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КАФЕДРА\НАГРУЗКА\2025-2026\Факультет\"/>
    </mc:Choice>
  </mc:AlternateContent>
  <bookViews>
    <workbookView xWindow="0" yWindow="0" windowWidth="15360" windowHeight="12000" tabRatio="810"/>
  </bookViews>
  <sheets>
    <sheet name="Бюджет" sheetId="1" r:id="rId1"/>
    <sheet name="Каф 07 Б" sheetId="5" r:id="rId2"/>
    <sheet name="Каф 08 Б" sheetId="10" r:id="rId3"/>
    <sheet name="Каф 10 Б" sheetId="11" r:id="rId4"/>
    <sheet name="Каф 12 Б" sheetId="12" r:id="rId5"/>
    <sheet name="Свод Б" sheetId="17" r:id="rId6"/>
    <sheet name="Бюджет_Конт" sheetId="3" r:id="rId7"/>
    <sheet name="Внебюджет_Конт" sheetId="30" r:id="rId8"/>
    <sheet name="Внебюджет" sheetId="40" r:id="rId9"/>
    <sheet name="Каф 07 ВБ" sheetId="41" r:id="rId10"/>
    <sheet name="Каф 08 ВБ" sheetId="42" r:id="rId11"/>
    <sheet name="Каф 10 ВБ" sheetId="43" r:id="rId12"/>
    <sheet name="Каф 12 ВБ" sheetId="44" r:id="rId13"/>
    <sheet name="Свод ВБ" sheetId="9" r:id="rId14"/>
    <sheet name="Свод общий" sheetId="22" r:id="rId15"/>
  </sheets>
  <definedNames>
    <definedName name="_xlnm.Print_Area" localSheetId="0">Бюджет!$A$1:$AK$509</definedName>
    <definedName name="_xlnm.Print_Area" localSheetId="8">Внебюджет!$A$1:$AK$80</definedName>
    <definedName name="_xlnm.Print_Area" localSheetId="1">'Каф 07 Б'!$A$1:$AK$194</definedName>
    <definedName name="_xlnm.Print_Area" localSheetId="9">'Каф 07 ВБ'!$A$1:$AK$54</definedName>
    <definedName name="_xlnm.Print_Area" localSheetId="2">'Каф 08 Б'!$A$1:$AK$208</definedName>
    <definedName name="_xlnm.Print_Area" localSheetId="10">'Каф 08 ВБ'!$A$1:$AK$49</definedName>
    <definedName name="_xlnm.Print_Area" localSheetId="3">'Каф 10 Б'!$A$1:$AK$181</definedName>
    <definedName name="_xlnm.Print_Area" localSheetId="11">'Каф 10 ВБ'!$A$1:$AK$42</definedName>
    <definedName name="_xlnm.Print_Area" localSheetId="4">'Каф 12 Б'!$A$1:$AK$145</definedName>
    <definedName name="_xlnm.Print_Area" localSheetId="12">'Каф 12 ВБ'!$A$1:$AK$44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9" i="10" l="1"/>
  <c r="A117" i="10"/>
  <c r="B117" i="10"/>
  <c r="C117" i="10"/>
  <c r="D117" i="10"/>
  <c r="E117" i="10"/>
  <c r="F117" i="10"/>
  <c r="G117" i="10"/>
  <c r="H117" i="10"/>
  <c r="I117" i="10"/>
  <c r="J117" i="10"/>
  <c r="K117" i="10"/>
  <c r="L117" i="10"/>
  <c r="M117" i="10"/>
  <c r="N117" i="10"/>
  <c r="O117" i="10"/>
  <c r="P117" i="10"/>
  <c r="Q117" i="10"/>
  <c r="R117" i="10"/>
  <c r="S117" i="10"/>
  <c r="T117" i="10"/>
  <c r="U117" i="10"/>
  <c r="V117" i="10"/>
  <c r="W117" i="10"/>
  <c r="X117" i="10"/>
  <c r="Y117" i="10"/>
  <c r="Z117" i="10"/>
  <c r="AA117" i="10"/>
  <c r="AB117" i="10"/>
  <c r="AC117" i="10"/>
  <c r="AD117" i="10"/>
  <c r="AE117" i="10"/>
  <c r="AF117" i="10"/>
  <c r="AG117" i="10"/>
  <c r="AH117" i="10"/>
  <c r="AI117" i="10"/>
  <c r="AJ117" i="10"/>
  <c r="B57" i="10"/>
  <c r="C57" i="10"/>
  <c r="D57" i="10"/>
  <c r="E57" i="10"/>
  <c r="F57" i="10"/>
  <c r="G57" i="10"/>
  <c r="AJ57" i="10" s="1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AI57" i="10"/>
  <c r="B58" i="10"/>
  <c r="C58" i="10"/>
  <c r="D58" i="10"/>
  <c r="E58" i="10"/>
  <c r="F58" i="10"/>
  <c r="G58" i="10"/>
  <c r="AJ58" i="10" s="1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B59" i="10"/>
  <c r="C59" i="10"/>
  <c r="D59" i="10"/>
  <c r="E59" i="10"/>
  <c r="F59" i="10"/>
  <c r="G59" i="10"/>
  <c r="AJ59" i="10" s="1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A58" i="10"/>
  <c r="A59" i="10"/>
  <c r="A57" i="10"/>
  <c r="E135" i="1"/>
  <c r="D135" i="1"/>
  <c r="K135" i="1" s="1"/>
  <c r="E134" i="1"/>
  <c r="D134" i="1"/>
  <c r="D133" i="1"/>
  <c r="K133" i="1" s="1"/>
  <c r="Q133" i="1" s="1"/>
  <c r="G135" i="1"/>
  <c r="G134" i="1"/>
  <c r="J134" i="1"/>
  <c r="G133" i="1"/>
  <c r="E133" i="1"/>
  <c r="B55" i="10"/>
  <c r="C55" i="10"/>
  <c r="F55" i="10"/>
  <c r="G55" i="10"/>
  <c r="H55" i="10"/>
  <c r="I55" i="10"/>
  <c r="L55" i="10"/>
  <c r="M55" i="10"/>
  <c r="N55" i="10"/>
  <c r="O55" i="10"/>
  <c r="P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AI55" i="10"/>
  <c r="B56" i="10"/>
  <c r="C56" i="10"/>
  <c r="D56" i="10"/>
  <c r="F56" i="10"/>
  <c r="H56" i="10"/>
  <c r="I56" i="10"/>
  <c r="L56" i="10"/>
  <c r="M56" i="10"/>
  <c r="N56" i="10"/>
  <c r="O56" i="10"/>
  <c r="P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AI56" i="10"/>
  <c r="A56" i="10"/>
  <c r="A55" i="10"/>
  <c r="E132" i="1"/>
  <c r="E56" i="10" s="1"/>
  <c r="D132" i="1"/>
  <c r="K132" i="1" s="1"/>
  <c r="K56" i="10" s="1"/>
  <c r="E130" i="1"/>
  <c r="E55" i="10" s="1"/>
  <c r="D130" i="1"/>
  <c r="D55" i="10" s="1"/>
  <c r="G132" i="1"/>
  <c r="G56" i="10" s="1"/>
  <c r="G130" i="1"/>
  <c r="B50" i="10"/>
  <c r="C50" i="10"/>
  <c r="F50" i="10"/>
  <c r="H50" i="10"/>
  <c r="L50" i="10"/>
  <c r="M50" i="10"/>
  <c r="N50" i="10"/>
  <c r="O50" i="10"/>
  <c r="P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B51" i="10"/>
  <c r="C51" i="10"/>
  <c r="F51" i="10"/>
  <c r="H51" i="10"/>
  <c r="J51" i="10"/>
  <c r="L51" i="10"/>
  <c r="M51" i="10"/>
  <c r="N51" i="10"/>
  <c r="O51" i="10"/>
  <c r="P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B52" i="10"/>
  <c r="C52" i="10"/>
  <c r="F52" i="10"/>
  <c r="H52" i="10"/>
  <c r="I52" i="10"/>
  <c r="K52" i="10"/>
  <c r="L52" i="10"/>
  <c r="N52" i="10"/>
  <c r="O52" i="10"/>
  <c r="P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A51" i="10"/>
  <c r="A52" i="10"/>
  <c r="A50" i="10"/>
  <c r="E127" i="1"/>
  <c r="E52" i="10" s="1"/>
  <c r="D127" i="1"/>
  <c r="M127" i="1" s="1"/>
  <c r="M52" i="10" s="1"/>
  <c r="E126" i="1"/>
  <c r="I126" i="1" s="1"/>
  <c r="I51" i="10" s="1"/>
  <c r="D126" i="1"/>
  <c r="K126" i="1" s="1"/>
  <c r="D125" i="1"/>
  <c r="J125" i="1" s="1"/>
  <c r="J50" i="10" s="1"/>
  <c r="G127" i="1"/>
  <c r="G52" i="10" s="1"/>
  <c r="G126" i="1"/>
  <c r="G51" i="10" s="1"/>
  <c r="G125" i="1"/>
  <c r="G50" i="10" s="1"/>
  <c r="E125" i="1"/>
  <c r="I125" i="1" s="1"/>
  <c r="I50" i="10" s="1"/>
  <c r="K130" i="1" l="1"/>
  <c r="K55" i="10" s="1"/>
  <c r="AJ134" i="1"/>
  <c r="K134" i="1"/>
  <c r="Q134" i="1" s="1"/>
  <c r="Q135" i="1"/>
  <c r="AJ135" i="1" s="1"/>
  <c r="AJ133" i="1"/>
  <c r="Q130" i="1"/>
  <c r="Q55" i="10" s="1"/>
  <c r="Q132" i="1"/>
  <c r="Q56" i="10" s="1"/>
  <c r="J132" i="1"/>
  <c r="J130" i="1"/>
  <c r="J55" i="10" s="1"/>
  <c r="AJ55" i="10" s="1"/>
  <c r="D52" i="10"/>
  <c r="Q126" i="1"/>
  <c r="Q51" i="10" s="1"/>
  <c r="K51" i="10"/>
  <c r="E51" i="10"/>
  <c r="D51" i="10"/>
  <c r="D50" i="10"/>
  <c r="E50" i="10"/>
  <c r="Q127" i="1"/>
  <c r="Q52" i="10" s="1"/>
  <c r="J127" i="1"/>
  <c r="J52" i="10" s="1"/>
  <c r="AJ126" i="1"/>
  <c r="K125" i="1"/>
  <c r="AJ132" i="1" l="1"/>
  <c r="J56" i="10"/>
  <c r="AJ56" i="10" s="1"/>
  <c r="AJ51" i="10"/>
  <c r="AJ52" i="10"/>
  <c r="AJ130" i="1"/>
  <c r="Q125" i="1"/>
  <c r="Q50" i="10" s="1"/>
  <c r="K50" i="10"/>
  <c r="AJ127" i="1"/>
  <c r="AJ125" i="1" l="1"/>
  <c r="AJ50" i="10"/>
  <c r="B126" i="12" l="1"/>
  <c r="C126" i="12"/>
  <c r="F126" i="12"/>
  <c r="G126" i="12"/>
  <c r="H126" i="12"/>
  <c r="I126" i="12"/>
  <c r="J126" i="12"/>
  <c r="K126" i="12"/>
  <c r="L126" i="12"/>
  <c r="M126" i="12"/>
  <c r="N126" i="12"/>
  <c r="O126" i="12"/>
  <c r="P126" i="12"/>
  <c r="R126" i="12"/>
  <c r="S126" i="12"/>
  <c r="T126" i="12"/>
  <c r="U126" i="12"/>
  <c r="V126" i="12"/>
  <c r="W126" i="12"/>
  <c r="X126" i="12"/>
  <c r="Y126" i="12"/>
  <c r="Z126" i="12"/>
  <c r="AA126" i="12"/>
  <c r="AC126" i="12"/>
  <c r="AD126" i="12"/>
  <c r="AE126" i="12"/>
  <c r="AF126" i="12"/>
  <c r="AG126" i="12"/>
  <c r="AH126" i="12"/>
  <c r="AI126" i="12"/>
  <c r="A126" i="12"/>
  <c r="K125" i="12"/>
  <c r="AJ125" i="12" s="1"/>
  <c r="B136" i="10"/>
  <c r="C136" i="10"/>
  <c r="F136" i="10"/>
  <c r="G136" i="10"/>
  <c r="H136" i="10"/>
  <c r="I136" i="10"/>
  <c r="J136" i="10"/>
  <c r="K136" i="10"/>
  <c r="L136" i="10"/>
  <c r="M136" i="10"/>
  <c r="N136" i="10"/>
  <c r="O136" i="10"/>
  <c r="P136" i="10"/>
  <c r="R136" i="10"/>
  <c r="S136" i="10"/>
  <c r="T136" i="10"/>
  <c r="U136" i="10"/>
  <c r="V136" i="10"/>
  <c r="W136" i="10"/>
  <c r="X136" i="10"/>
  <c r="Y136" i="10"/>
  <c r="Z136" i="10"/>
  <c r="AA136" i="10"/>
  <c r="AC136" i="10"/>
  <c r="AD136" i="10"/>
  <c r="AE136" i="10"/>
  <c r="AF136" i="10"/>
  <c r="AG136" i="10"/>
  <c r="AH136" i="10"/>
  <c r="AI136" i="10"/>
  <c r="A136" i="10"/>
  <c r="J46" i="5" l="1"/>
  <c r="AJ46" i="5" s="1"/>
  <c r="J45" i="5"/>
  <c r="AJ45" i="5" s="1"/>
  <c r="J44" i="5"/>
  <c r="AJ44" i="5" s="1"/>
  <c r="J41" i="5"/>
  <c r="AJ41" i="5" s="1"/>
  <c r="J40" i="5"/>
  <c r="AJ40" i="5" s="1"/>
  <c r="J39" i="5"/>
  <c r="AJ39" i="5" s="1"/>
  <c r="B80" i="10"/>
  <c r="C80" i="10"/>
  <c r="F80" i="10"/>
  <c r="H80" i="10"/>
  <c r="L80" i="10"/>
  <c r="M80" i="10"/>
  <c r="N80" i="10"/>
  <c r="O80" i="10"/>
  <c r="P80" i="10"/>
  <c r="R80" i="10"/>
  <c r="S80" i="10"/>
  <c r="T80" i="10"/>
  <c r="U80" i="10"/>
  <c r="V80" i="10"/>
  <c r="W80" i="10"/>
  <c r="X80" i="10"/>
  <c r="Y80" i="10"/>
  <c r="Z80" i="10"/>
  <c r="AA80" i="10"/>
  <c r="AB80" i="10"/>
  <c r="AC80" i="10"/>
  <c r="AD80" i="10"/>
  <c r="AE80" i="10"/>
  <c r="AF80" i="10"/>
  <c r="AG80" i="10"/>
  <c r="AH80" i="10"/>
  <c r="AI80" i="10"/>
  <c r="A80" i="10"/>
  <c r="J79" i="10" l="1"/>
  <c r="AJ79" i="10" s="1"/>
  <c r="A70" i="10"/>
  <c r="B70" i="10"/>
  <c r="C70" i="10"/>
  <c r="F70" i="10"/>
  <c r="H70" i="10"/>
  <c r="L70" i="10"/>
  <c r="M70" i="10"/>
  <c r="N70" i="10"/>
  <c r="O70" i="10"/>
  <c r="P70" i="10"/>
  <c r="R70" i="10"/>
  <c r="S70" i="10"/>
  <c r="T70" i="10"/>
  <c r="U70" i="10"/>
  <c r="V70" i="10"/>
  <c r="W70" i="10"/>
  <c r="X70" i="10"/>
  <c r="Y70" i="10"/>
  <c r="Z70" i="10"/>
  <c r="AA70" i="10"/>
  <c r="AB70" i="10"/>
  <c r="AC70" i="10"/>
  <c r="AD70" i="10"/>
  <c r="AE70" i="10"/>
  <c r="AF70" i="10"/>
  <c r="AG70" i="10"/>
  <c r="AH70" i="10"/>
  <c r="AI70" i="10"/>
  <c r="J78" i="10" l="1"/>
  <c r="AJ78" i="10" s="1"/>
  <c r="A67" i="10"/>
  <c r="B67" i="10"/>
  <c r="C67" i="10"/>
  <c r="F67" i="10"/>
  <c r="H67" i="10"/>
  <c r="J67" i="10"/>
  <c r="L67" i="10"/>
  <c r="M67" i="10"/>
  <c r="N67" i="10"/>
  <c r="O67" i="10"/>
  <c r="P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AI67" i="10"/>
  <c r="A65" i="10"/>
  <c r="B65" i="10"/>
  <c r="C65" i="10"/>
  <c r="F65" i="10"/>
  <c r="H65" i="10"/>
  <c r="J65" i="10"/>
  <c r="L65" i="10"/>
  <c r="M65" i="10"/>
  <c r="N65" i="10"/>
  <c r="O65" i="10"/>
  <c r="P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66" i="10"/>
  <c r="B66" i="10"/>
  <c r="C66" i="10"/>
  <c r="F66" i="10"/>
  <c r="H66" i="10"/>
  <c r="L66" i="10"/>
  <c r="M66" i="10"/>
  <c r="N66" i="10"/>
  <c r="O66" i="10"/>
  <c r="P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J49" i="10"/>
  <c r="J48" i="10"/>
  <c r="J47" i="10"/>
  <c r="J41" i="10"/>
  <c r="J40" i="10"/>
  <c r="J39" i="10"/>
  <c r="A80" i="12"/>
  <c r="B80" i="12"/>
  <c r="C80" i="12"/>
  <c r="F80" i="12"/>
  <c r="G80" i="12"/>
  <c r="H80" i="12"/>
  <c r="I80" i="12"/>
  <c r="J80" i="12"/>
  <c r="K80" i="12"/>
  <c r="L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87" i="12"/>
  <c r="B87" i="12"/>
  <c r="C87" i="12"/>
  <c r="F87" i="12"/>
  <c r="G87" i="12"/>
  <c r="H87" i="12"/>
  <c r="I87" i="12"/>
  <c r="J87" i="12"/>
  <c r="K87" i="12"/>
  <c r="L87" i="12"/>
  <c r="N87" i="12"/>
  <c r="O87" i="12"/>
  <c r="P87" i="12"/>
  <c r="Q87" i="12"/>
  <c r="R87" i="12"/>
  <c r="S87" i="12"/>
  <c r="T87" i="12"/>
  <c r="U87" i="12"/>
  <c r="V87" i="12"/>
  <c r="W87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B63" i="12"/>
  <c r="C63" i="12"/>
  <c r="F63" i="12"/>
  <c r="H63" i="12"/>
  <c r="I63" i="12"/>
  <c r="J63" i="12"/>
  <c r="K63" i="12"/>
  <c r="L63" i="12"/>
  <c r="N63" i="12"/>
  <c r="O63" i="12"/>
  <c r="P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B64" i="12"/>
  <c r="C64" i="12"/>
  <c r="F64" i="12"/>
  <c r="H64" i="12"/>
  <c r="I64" i="12"/>
  <c r="J64" i="12"/>
  <c r="K64" i="12"/>
  <c r="L64" i="12"/>
  <c r="N64" i="12"/>
  <c r="O64" i="12"/>
  <c r="P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64" i="12"/>
  <c r="A63" i="12"/>
  <c r="J62" i="12"/>
  <c r="AJ62" i="12" s="1"/>
  <c r="A79" i="12" l="1"/>
  <c r="B79" i="12"/>
  <c r="C79" i="12"/>
  <c r="F79" i="12"/>
  <c r="H79" i="12"/>
  <c r="J79" i="12"/>
  <c r="K79" i="12"/>
  <c r="L79" i="12"/>
  <c r="N79" i="12"/>
  <c r="O79" i="12"/>
  <c r="P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J56" i="12"/>
  <c r="AJ56" i="12" s="1"/>
  <c r="J55" i="12"/>
  <c r="AJ55" i="12" s="1"/>
  <c r="J54" i="12"/>
  <c r="AJ54" i="12" s="1"/>
  <c r="J48" i="12"/>
  <c r="AJ48" i="12" s="1"/>
  <c r="J47" i="12"/>
  <c r="AJ47" i="12" s="1"/>
  <c r="J46" i="12"/>
  <c r="AJ46" i="12" s="1"/>
  <c r="AJ159" i="1"/>
  <c r="E196" i="1" l="1"/>
  <c r="D196" i="1"/>
  <c r="E195" i="1"/>
  <c r="D195" i="1"/>
  <c r="E194" i="1"/>
  <c r="D194" i="1"/>
  <c r="E193" i="1"/>
  <c r="D193" i="1"/>
  <c r="E192" i="1"/>
  <c r="D192" i="1"/>
  <c r="E191" i="1"/>
  <c r="E80" i="12" s="1"/>
  <c r="D191" i="1"/>
  <c r="D80" i="12" s="1"/>
  <c r="E190" i="1"/>
  <c r="E79" i="12" s="1"/>
  <c r="D190" i="1"/>
  <c r="D79" i="12" s="1"/>
  <c r="E198" i="1"/>
  <c r="E87" i="12" s="1"/>
  <c r="D198" i="1"/>
  <c r="D87" i="12" s="1"/>
  <c r="M198" i="1" l="1"/>
  <c r="M87" i="12" s="1"/>
  <c r="AJ87" i="12" s="1"/>
  <c r="M191" i="1"/>
  <c r="M80" i="12" s="1"/>
  <c r="AJ80" i="12" s="1"/>
  <c r="G190" i="1"/>
  <c r="I190" i="1"/>
  <c r="I79" i="12" s="1"/>
  <c r="M190" i="1"/>
  <c r="D152" i="1"/>
  <c r="D64" i="12" s="1"/>
  <c r="D151" i="1"/>
  <c r="D63" i="12" s="1"/>
  <c r="D150" i="1"/>
  <c r="D149" i="1"/>
  <c r="D148" i="1"/>
  <c r="D142" i="1"/>
  <c r="D66" i="10" s="1"/>
  <c r="J27" i="12"/>
  <c r="AJ27" i="12" s="1"/>
  <c r="J26" i="12"/>
  <c r="AJ26" i="12" s="1"/>
  <c r="J28" i="11"/>
  <c r="AJ28" i="11" s="1"/>
  <c r="J27" i="11"/>
  <c r="AJ27" i="11" s="1"/>
  <c r="K28" i="10"/>
  <c r="K27" i="10"/>
  <c r="J27" i="5"/>
  <c r="AJ27" i="5" s="1"/>
  <c r="J26" i="5"/>
  <c r="Q190" i="1" l="1"/>
  <c r="Q79" i="12" s="1"/>
  <c r="M79" i="12"/>
  <c r="G79" i="12"/>
  <c r="AJ198" i="1"/>
  <c r="AJ191" i="1"/>
  <c r="A97" i="10"/>
  <c r="B97" i="10"/>
  <c r="C97" i="10"/>
  <c r="F97" i="10"/>
  <c r="G97" i="10"/>
  <c r="H97" i="10"/>
  <c r="J97" i="10"/>
  <c r="K97" i="10"/>
  <c r="L97" i="10"/>
  <c r="M97" i="10"/>
  <c r="N97" i="10"/>
  <c r="O97" i="10"/>
  <c r="P97" i="10"/>
  <c r="R97" i="10"/>
  <c r="S97" i="10"/>
  <c r="T97" i="10"/>
  <c r="U97" i="10"/>
  <c r="V97" i="10"/>
  <c r="W97" i="10"/>
  <c r="X97" i="10"/>
  <c r="Y97" i="10"/>
  <c r="Z97" i="10"/>
  <c r="AA97" i="10"/>
  <c r="AB97" i="10"/>
  <c r="AC97" i="10"/>
  <c r="AD97" i="10"/>
  <c r="AE97" i="10"/>
  <c r="AF97" i="10"/>
  <c r="AG97" i="10"/>
  <c r="AH97" i="10"/>
  <c r="AI97" i="10"/>
  <c r="T99" i="5"/>
  <c r="AJ190" i="1" l="1"/>
  <c r="AJ79" i="12"/>
  <c r="W102" i="5"/>
  <c r="W101" i="5"/>
  <c r="W99" i="10"/>
  <c r="T100" i="5"/>
  <c r="T98" i="10"/>
  <c r="B98" i="10"/>
  <c r="C98" i="10"/>
  <c r="F98" i="10"/>
  <c r="G98" i="10"/>
  <c r="H98" i="10"/>
  <c r="I98" i="10"/>
  <c r="J98" i="10"/>
  <c r="K98" i="10"/>
  <c r="L98" i="10"/>
  <c r="M98" i="10"/>
  <c r="N98" i="10"/>
  <c r="O98" i="10"/>
  <c r="P98" i="10"/>
  <c r="R98" i="10"/>
  <c r="S98" i="10"/>
  <c r="U98" i="10"/>
  <c r="V98" i="10"/>
  <c r="W98" i="10"/>
  <c r="X98" i="10"/>
  <c r="Y98" i="10"/>
  <c r="Z98" i="10"/>
  <c r="AA98" i="10"/>
  <c r="AB98" i="10"/>
  <c r="AC98" i="10"/>
  <c r="AD98" i="10"/>
  <c r="AE98" i="10"/>
  <c r="AF98" i="10"/>
  <c r="AG98" i="10"/>
  <c r="AH98" i="10"/>
  <c r="AI98" i="10"/>
  <c r="B99" i="10"/>
  <c r="C99" i="10"/>
  <c r="F99" i="10"/>
  <c r="G99" i="10"/>
  <c r="H99" i="10"/>
  <c r="I99" i="10"/>
  <c r="J99" i="10"/>
  <c r="K99" i="10"/>
  <c r="L99" i="10"/>
  <c r="M99" i="10"/>
  <c r="N99" i="10"/>
  <c r="O99" i="10"/>
  <c r="P99" i="10"/>
  <c r="R99" i="10"/>
  <c r="S99" i="10"/>
  <c r="T99" i="10"/>
  <c r="U99" i="10"/>
  <c r="V99" i="10"/>
  <c r="X99" i="10"/>
  <c r="Y99" i="10"/>
  <c r="Z99" i="10"/>
  <c r="AA99" i="10"/>
  <c r="AB99" i="10"/>
  <c r="AC99" i="10"/>
  <c r="AD99" i="10"/>
  <c r="AE99" i="10"/>
  <c r="AF99" i="10"/>
  <c r="AG99" i="10"/>
  <c r="AH99" i="10"/>
  <c r="AI99" i="10"/>
  <c r="A99" i="10"/>
  <c r="A98" i="10"/>
  <c r="B128" i="12" l="1"/>
  <c r="C128" i="12"/>
  <c r="F128" i="12"/>
  <c r="H128" i="12"/>
  <c r="J128" i="12"/>
  <c r="L128" i="12"/>
  <c r="M128" i="12"/>
  <c r="N128" i="12"/>
  <c r="O128" i="12"/>
  <c r="P128" i="12"/>
  <c r="R128" i="12"/>
  <c r="S128" i="12"/>
  <c r="T128" i="12"/>
  <c r="U128" i="12"/>
  <c r="V128" i="12"/>
  <c r="W128" i="12"/>
  <c r="X128" i="12"/>
  <c r="Y128" i="12"/>
  <c r="Z128" i="12"/>
  <c r="AA128" i="12"/>
  <c r="AB128" i="12"/>
  <c r="AC128" i="12"/>
  <c r="AD128" i="12"/>
  <c r="AE128" i="12"/>
  <c r="AF128" i="12"/>
  <c r="AG128" i="12"/>
  <c r="AH128" i="12"/>
  <c r="AI128" i="12"/>
  <c r="A128" i="12"/>
  <c r="F464" i="1" l="1"/>
  <c r="AJ463" i="1"/>
  <c r="AJ462" i="1"/>
  <c r="AJ461" i="1"/>
  <c r="AJ460" i="1"/>
  <c r="AJ459" i="1"/>
  <c r="AJ458" i="1"/>
  <c r="AJ457" i="1"/>
  <c r="AJ456" i="1"/>
  <c r="AJ455" i="1"/>
  <c r="B136" i="5" l="1"/>
  <c r="C136" i="5"/>
  <c r="F136" i="5"/>
  <c r="G136" i="5"/>
  <c r="H136" i="5"/>
  <c r="I136" i="5"/>
  <c r="J136" i="5"/>
  <c r="K136" i="5"/>
  <c r="L136" i="5"/>
  <c r="M136" i="5"/>
  <c r="N136" i="5"/>
  <c r="O136" i="5"/>
  <c r="P136" i="5"/>
  <c r="R136" i="5"/>
  <c r="S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136" i="5"/>
  <c r="B137" i="5" l="1"/>
  <c r="C137" i="5"/>
  <c r="F137" i="5"/>
  <c r="G137" i="5"/>
  <c r="H137" i="5"/>
  <c r="I137" i="5"/>
  <c r="J137" i="5"/>
  <c r="K137" i="5"/>
  <c r="L137" i="5"/>
  <c r="M137" i="5"/>
  <c r="N137" i="5"/>
  <c r="O137" i="5"/>
  <c r="P137" i="5"/>
  <c r="R137" i="5"/>
  <c r="S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B138" i="5"/>
  <c r="C138" i="5"/>
  <c r="F138" i="5"/>
  <c r="G138" i="5"/>
  <c r="H138" i="5"/>
  <c r="I138" i="5"/>
  <c r="J138" i="5"/>
  <c r="K138" i="5"/>
  <c r="L138" i="5"/>
  <c r="M138" i="5"/>
  <c r="N138" i="5"/>
  <c r="O138" i="5"/>
  <c r="P138" i="5"/>
  <c r="R138" i="5"/>
  <c r="S138" i="5"/>
  <c r="T138" i="5"/>
  <c r="U138" i="5"/>
  <c r="V138" i="5"/>
  <c r="Y138" i="5"/>
  <c r="Z138" i="5"/>
  <c r="AA138" i="5"/>
  <c r="AB138" i="5"/>
  <c r="AC138" i="5"/>
  <c r="AD138" i="5"/>
  <c r="AE138" i="5"/>
  <c r="AF138" i="5"/>
  <c r="AG138" i="5"/>
  <c r="AH138" i="5"/>
  <c r="AI138" i="5"/>
  <c r="A138" i="5"/>
  <c r="A137" i="5"/>
  <c r="AJ40" i="42" l="1"/>
  <c r="AJ36" i="42"/>
  <c r="B43" i="42"/>
  <c r="C43" i="42"/>
  <c r="D43" i="42"/>
  <c r="E43" i="42"/>
  <c r="F43" i="42"/>
  <c r="G43" i="42"/>
  <c r="H43" i="42"/>
  <c r="I43" i="42"/>
  <c r="J43" i="42"/>
  <c r="K43" i="42"/>
  <c r="L43" i="42"/>
  <c r="M43" i="42"/>
  <c r="N43" i="42"/>
  <c r="O43" i="42"/>
  <c r="P43" i="42"/>
  <c r="Q43" i="42"/>
  <c r="R43" i="42"/>
  <c r="S43" i="42"/>
  <c r="T43" i="42"/>
  <c r="U43" i="42"/>
  <c r="V43" i="42"/>
  <c r="W43" i="42"/>
  <c r="X43" i="42"/>
  <c r="Y43" i="42"/>
  <c r="Z43" i="42"/>
  <c r="AA43" i="42"/>
  <c r="AB43" i="42"/>
  <c r="AC43" i="42"/>
  <c r="AD43" i="42"/>
  <c r="AE43" i="42"/>
  <c r="AF43" i="42"/>
  <c r="AG43" i="42"/>
  <c r="AH43" i="42"/>
  <c r="AI43" i="42"/>
  <c r="B41" i="42"/>
  <c r="C41" i="42"/>
  <c r="D41" i="42"/>
  <c r="E41" i="42"/>
  <c r="F41" i="42"/>
  <c r="F44" i="42" s="1"/>
  <c r="G41" i="42"/>
  <c r="H41" i="42"/>
  <c r="I41" i="42"/>
  <c r="J41" i="42"/>
  <c r="K41" i="42"/>
  <c r="L41" i="42"/>
  <c r="M41" i="42"/>
  <c r="M44" i="42" s="1"/>
  <c r="N41" i="42"/>
  <c r="N44" i="42" s="1"/>
  <c r="O41" i="42"/>
  <c r="P41" i="42"/>
  <c r="Q41" i="42"/>
  <c r="R41" i="42"/>
  <c r="S41" i="42"/>
  <c r="T41" i="42"/>
  <c r="U41" i="42"/>
  <c r="U44" i="42" s="1"/>
  <c r="V41" i="42"/>
  <c r="V44" i="42" s="1"/>
  <c r="W41" i="42"/>
  <c r="X41" i="42"/>
  <c r="Y41" i="42"/>
  <c r="Z41" i="42"/>
  <c r="AA41" i="42"/>
  <c r="AB41" i="42"/>
  <c r="AC41" i="42"/>
  <c r="AC44" i="42" s="1"/>
  <c r="AD41" i="42"/>
  <c r="AD44" i="42" s="1"/>
  <c r="AE41" i="42"/>
  <c r="AF41" i="42"/>
  <c r="AG41" i="42"/>
  <c r="AH41" i="42"/>
  <c r="AI41" i="42"/>
  <c r="B39" i="42"/>
  <c r="C39" i="42"/>
  <c r="D39" i="42"/>
  <c r="E39" i="42"/>
  <c r="F39" i="42"/>
  <c r="G39" i="42"/>
  <c r="G44" i="42" s="1"/>
  <c r="H39" i="42"/>
  <c r="H44" i="42" s="1"/>
  <c r="I39" i="42"/>
  <c r="I44" i="42" s="1"/>
  <c r="J39" i="42"/>
  <c r="K39" i="42"/>
  <c r="K44" i="42" s="1"/>
  <c r="L39" i="42"/>
  <c r="L44" i="42" s="1"/>
  <c r="M39" i="42"/>
  <c r="N39" i="42"/>
  <c r="O39" i="42"/>
  <c r="O44" i="42" s="1"/>
  <c r="P39" i="42"/>
  <c r="P44" i="42" s="1"/>
  <c r="Q39" i="42"/>
  <c r="Q44" i="42" s="1"/>
  <c r="R39" i="42"/>
  <c r="R44" i="42" s="1"/>
  <c r="S39" i="42"/>
  <c r="S44" i="42" s="1"/>
  <c r="T39" i="42"/>
  <c r="T44" i="42" s="1"/>
  <c r="U39" i="42"/>
  <c r="V39" i="42"/>
  <c r="W39" i="42"/>
  <c r="W44" i="42" s="1"/>
  <c r="X39" i="42"/>
  <c r="X44" i="42" s="1"/>
  <c r="Y39" i="42"/>
  <c r="Y44" i="42" s="1"/>
  <c r="Z39" i="42"/>
  <c r="Z44" i="42" s="1"/>
  <c r="AA39" i="42"/>
  <c r="AA44" i="42" s="1"/>
  <c r="AB39" i="42"/>
  <c r="AB44" i="42" s="1"/>
  <c r="AC39" i="42"/>
  <c r="AD39" i="42"/>
  <c r="AE39" i="42"/>
  <c r="AE44" i="42" s="1"/>
  <c r="AF39" i="42"/>
  <c r="AF44" i="42" s="1"/>
  <c r="AG39" i="42"/>
  <c r="AG44" i="42" s="1"/>
  <c r="AH39" i="42"/>
  <c r="AH44" i="42" s="1"/>
  <c r="AI39" i="42"/>
  <c r="AI44" i="42" s="1"/>
  <c r="A43" i="42"/>
  <c r="A41" i="42"/>
  <c r="J42" i="42"/>
  <c r="AJ42" i="42" s="1"/>
  <c r="J40" i="42"/>
  <c r="A39" i="42"/>
  <c r="J38" i="42"/>
  <c r="AJ38" i="42" s="1"/>
  <c r="L37" i="42"/>
  <c r="AJ37" i="42" s="1"/>
  <c r="G71" i="40"/>
  <c r="L71" i="40"/>
  <c r="O71" i="40"/>
  <c r="T71" i="40"/>
  <c r="W71" i="40"/>
  <c r="AB71" i="40"/>
  <c r="AE71" i="40"/>
  <c r="AG71" i="40"/>
  <c r="AJ66" i="40"/>
  <c r="AJ68" i="40"/>
  <c r="AJ67" i="40"/>
  <c r="AI69" i="40"/>
  <c r="AI71" i="40" s="1"/>
  <c r="AH69" i="40"/>
  <c r="AH71" i="40" s="1"/>
  <c r="AG69" i="40"/>
  <c r="AF69" i="40"/>
  <c r="AF71" i="40" s="1"/>
  <c r="AE69" i="40"/>
  <c r="AD69" i="40"/>
  <c r="AD71" i="40" s="1"/>
  <c r="AC69" i="40"/>
  <c r="AC71" i="40" s="1"/>
  <c r="AB69" i="40"/>
  <c r="AA69" i="40"/>
  <c r="AA71" i="40" s="1"/>
  <c r="Z69" i="40"/>
  <c r="Z71" i="40" s="1"/>
  <c r="Y69" i="40"/>
  <c r="Y71" i="40" s="1"/>
  <c r="X69" i="40"/>
  <c r="X71" i="40" s="1"/>
  <c r="W69" i="40"/>
  <c r="V69" i="40"/>
  <c r="V71" i="40" s="1"/>
  <c r="U69" i="40"/>
  <c r="U71" i="40" s="1"/>
  <c r="T69" i="40"/>
  <c r="S69" i="40"/>
  <c r="S71" i="40" s="1"/>
  <c r="R69" i="40"/>
  <c r="R71" i="40" s="1"/>
  <c r="Q69" i="40"/>
  <c r="Q71" i="40" s="1"/>
  <c r="P69" i="40"/>
  <c r="P71" i="40" s="1"/>
  <c r="O69" i="40"/>
  <c r="N69" i="40"/>
  <c r="N71" i="40" s="1"/>
  <c r="M69" i="40"/>
  <c r="M71" i="40" s="1"/>
  <c r="L69" i="40"/>
  <c r="K69" i="40"/>
  <c r="K71" i="40" s="1"/>
  <c r="J69" i="40"/>
  <c r="J71" i="40" s="1"/>
  <c r="I69" i="40"/>
  <c r="I71" i="40" s="1"/>
  <c r="H69" i="40"/>
  <c r="H71" i="40" s="1"/>
  <c r="G69" i="40"/>
  <c r="F69" i="40"/>
  <c r="F71" i="40" s="1"/>
  <c r="AJ65" i="40"/>
  <c r="AJ64" i="40"/>
  <c r="AJ63" i="40"/>
  <c r="AJ43" i="42" l="1"/>
  <c r="AJ41" i="42"/>
  <c r="J44" i="42"/>
  <c r="AJ39" i="42"/>
  <c r="AJ44" i="42" s="1"/>
  <c r="AJ69" i="40"/>
  <c r="AJ71" i="40" s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U479" i="1"/>
  <c r="V479" i="1"/>
  <c r="W479" i="1"/>
  <c r="X479" i="1"/>
  <c r="Y479" i="1"/>
  <c r="Z479" i="1"/>
  <c r="AA479" i="1"/>
  <c r="AB479" i="1"/>
  <c r="AC479" i="1"/>
  <c r="AD479" i="1"/>
  <c r="AE479" i="1"/>
  <c r="AF479" i="1"/>
  <c r="AG479" i="1"/>
  <c r="AH479" i="1"/>
  <c r="AI479" i="1"/>
  <c r="F479" i="1"/>
  <c r="B24" i="43" l="1"/>
  <c r="C24" i="43"/>
  <c r="E24" i="43"/>
  <c r="F24" i="43"/>
  <c r="G24" i="43"/>
  <c r="H24" i="43"/>
  <c r="I24" i="43"/>
  <c r="J24" i="43"/>
  <c r="L24" i="43"/>
  <c r="M24" i="43"/>
  <c r="N24" i="43"/>
  <c r="O24" i="43"/>
  <c r="P24" i="43"/>
  <c r="R24" i="43"/>
  <c r="S24" i="43"/>
  <c r="T24" i="43"/>
  <c r="U24" i="43"/>
  <c r="V24" i="43"/>
  <c r="W24" i="43"/>
  <c r="X24" i="43"/>
  <c r="Y24" i="43"/>
  <c r="Z24" i="43"/>
  <c r="AA24" i="43"/>
  <c r="AB24" i="43"/>
  <c r="AC24" i="43"/>
  <c r="AD24" i="43"/>
  <c r="AE24" i="43"/>
  <c r="AF24" i="43"/>
  <c r="AG24" i="43"/>
  <c r="AH24" i="43"/>
  <c r="A24" i="43"/>
  <c r="A30" i="41"/>
  <c r="B30" i="41"/>
  <c r="C30" i="41"/>
  <c r="E30" i="41"/>
  <c r="F30" i="41"/>
  <c r="G30" i="41"/>
  <c r="H30" i="41"/>
  <c r="I30" i="41"/>
  <c r="J30" i="41"/>
  <c r="L30" i="41"/>
  <c r="M30" i="41"/>
  <c r="N30" i="41"/>
  <c r="O30" i="41"/>
  <c r="P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B30" i="42"/>
  <c r="C30" i="42"/>
  <c r="E30" i="42"/>
  <c r="F30" i="42"/>
  <c r="G30" i="42"/>
  <c r="H30" i="42"/>
  <c r="I30" i="42"/>
  <c r="J30" i="42"/>
  <c r="K30" i="42"/>
  <c r="L30" i="42"/>
  <c r="N30" i="42"/>
  <c r="O30" i="42"/>
  <c r="P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30" i="42"/>
  <c r="J29" i="42"/>
  <c r="J28" i="42"/>
  <c r="J27" i="42"/>
  <c r="B24" i="42"/>
  <c r="C24" i="42"/>
  <c r="E24" i="42"/>
  <c r="F24" i="42"/>
  <c r="G24" i="42"/>
  <c r="H24" i="42"/>
  <c r="I24" i="42"/>
  <c r="J24" i="42"/>
  <c r="L24" i="42"/>
  <c r="N24" i="42"/>
  <c r="O24" i="42"/>
  <c r="P24" i="42"/>
  <c r="R24" i="42"/>
  <c r="S24" i="42"/>
  <c r="T24" i="42"/>
  <c r="U24" i="42"/>
  <c r="V24" i="42"/>
  <c r="W24" i="42"/>
  <c r="X24" i="42"/>
  <c r="Y24" i="42"/>
  <c r="Z24" i="42"/>
  <c r="AA24" i="42"/>
  <c r="AB24" i="42"/>
  <c r="AC24" i="42"/>
  <c r="AD24" i="42"/>
  <c r="AE24" i="42"/>
  <c r="AF24" i="42"/>
  <c r="AG24" i="42"/>
  <c r="AH24" i="42"/>
  <c r="AI24" i="42"/>
  <c r="A24" i="42"/>
  <c r="K23" i="42"/>
  <c r="L22" i="42"/>
  <c r="B31" i="44"/>
  <c r="C31" i="44"/>
  <c r="E31" i="44"/>
  <c r="F31" i="44"/>
  <c r="G31" i="44"/>
  <c r="H31" i="44"/>
  <c r="I31" i="44"/>
  <c r="J31" i="44"/>
  <c r="K31" i="44"/>
  <c r="L31" i="44"/>
  <c r="N31" i="44"/>
  <c r="O31" i="44"/>
  <c r="P31" i="44"/>
  <c r="R31" i="44"/>
  <c r="S31" i="44"/>
  <c r="T31" i="44"/>
  <c r="V31" i="44"/>
  <c r="W31" i="44"/>
  <c r="X31" i="44"/>
  <c r="Y31" i="44"/>
  <c r="Z31" i="44"/>
  <c r="AA31" i="44"/>
  <c r="AB31" i="44"/>
  <c r="AC31" i="44"/>
  <c r="AD31" i="44"/>
  <c r="AE31" i="44"/>
  <c r="AF31" i="44"/>
  <c r="AG31" i="44"/>
  <c r="AH31" i="44"/>
  <c r="A31" i="44"/>
  <c r="J30" i="44"/>
  <c r="J29" i="44"/>
  <c r="L28" i="44"/>
  <c r="B23" i="44"/>
  <c r="C23" i="44"/>
  <c r="E23" i="44"/>
  <c r="F23" i="44"/>
  <c r="G23" i="44"/>
  <c r="H23" i="44"/>
  <c r="I23" i="44"/>
  <c r="J23" i="44"/>
  <c r="K23" i="44"/>
  <c r="L23" i="44"/>
  <c r="N23" i="44"/>
  <c r="O23" i="44"/>
  <c r="P23" i="44"/>
  <c r="R23" i="44"/>
  <c r="S23" i="44"/>
  <c r="T23" i="44"/>
  <c r="V23" i="44"/>
  <c r="W23" i="44"/>
  <c r="X23" i="44"/>
  <c r="Y23" i="44"/>
  <c r="Z23" i="44"/>
  <c r="AA23" i="44"/>
  <c r="AB23" i="44"/>
  <c r="AC23" i="44"/>
  <c r="AD23" i="44"/>
  <c r="AE23" i="44"/>
  <c r="AF23" i="44"/>
  <c r="AG23" i="44"/>
  <c r="AH23" i="44"/>
  <c r="B24" i="44"/>
  <c r="C24" i="44"/>
  <c r="E24" i="44"/>
  <c r="F24" i="44"/>
  <c r="G24" i="44"/>
  <c r="H24" i="44"/>
  <c r="I24" i="44"/>
  <c r="J24" i="44"/>
  <c r="K24" i="44"/>
  <c r="L24" i="44"/>
  <c r="N24" i="44"/>
  <c r="O24" i="44"/>
  <c r="P24" i="44"/>
  <c r="R24" i="44"/>
  <c r="S24" i="44"/>
  <c r="T24" i="44"/>
  <c r="V24" i="44"/>
  <c r="W24" i="44"/>
  <c r="X24" i="44"/>
  <c r="Y24" i="44"/>
  <c r="Z24" i="44"/>
  <c r="AA24" i="44"/>
  <c r="AB24" i="44"/>
  <c r="AC24" i="44"/>
  <c r="AD24" i="44"/>
  <c r="AE24" i="44"/>
  <c r="AF24" i="44"/>
  <c r="AG24" i="44"/>
  <c r="AH24" i="44"/>
  <c r="AI24" i="44"/>
  <c r="B25" i="44"/>
  <c r="C25" i="44"/>
  <c r="E25" i="44"/>
  <c r="F25" i="44"/>
  <c r="G25" i="44"/>
  <c r="H25" i="44"/>
  <c r="I25" i="44"/>
  <c r="J25" i="44"/>
  <c r="K25" i="44"/>
  <c r="L25" i="44"/>
  <c r="N25" i="44"/>
  <c r="O25" i="44"/>
  <c r="P25" i="44"/>
  <c r="R25" i="44"/>
  <c r="S25" i="44"/>
  <c r="T25" i="44"/>
  <c r="U25" i="44"/>
  <c r="V25" i="44"/>
  <c r="W25" i="44"/>
  <c r="X25" i="44"/>
  <c r="Y25" i="44"/>
  <c r="Z25" i="44"/>
  <c r="AA25" i="44"/>
  <c r="AB25" i="44"/>
  <c r="AC25" i="44"/>
  <c r="AD25" i="44"/>
  <c r="AE25" i="44"/>
  <c r="AF25" i="44"/>
  <c r="AG25" i="44"/>
  <c r="AH25" i="44"/>
  <c r="AI25" i="44"/>
  <c r="A25" i="44"/>
  <c r="A24" i="44"/>
  <c r="A23" i="44"/>
  <c r="J22" i="44"/>
  <c r="L21" i="44"/>
  <c r="G37" i="43"/>
  <c r="H37" i="43"/>
  <c r="I37" i="43"/>
  <c r="J37" i="43"/>
  <c r="K37" i="43"/>
  <c r="L37" i="43"/>
  <c r="M37" i="43"/>
  <c r="N37" i="43"/>
  <c r="O37" i="43"/>
  <c r="P37" i="43"/>
  <c r="Q37" i="43"/>
  <c r="R37" i="43"/>
  <c r="S37" i="43"/>
  <c r="T37" i="43"/>
  <c r="U37" i="43"/>
  <c r="V37" i="43"/>
  <c r="W37" i="43"/>
  <c r="X37" i="43"/>
  <c r="Y37" i="43"/>
  <c r="Z37" i="43"/>
  <c r="AA37" i="43"/>
  <c r="AB37" i="43"/>
  <c r="AC37" i="43"/>
  <c r="AD37" i="43"/>
  <c r="AE37" i="43"/>
  <c r="AF37" i="43"/>
  <c r="AG37" i="43"/>
  <c r="AH37" i="43"/>
  <c r="AI37" i="43"/>
  <c r="AJ37" i="43"/>
  <c r="F37" i="43"/>
  <c r="B30" i="43"/>
  <c r="C30" i="43"/>
  <c r="E30" i="43"/>
  <c r="F30" i="43"/>
  <c r="G30" i="43"/>
  <c r="H30" i="43"/>
  <c r="I30" i="43"/>
  <c r="J30" i="43"/>
  <c r="L30" i="43"/>
  <c r="M30" i="43"/>
  <c r="N30" i="43"/>
  <c r="O30" i="43"/>
  <c r="P30" i="43"/>
  <c r="R30" i="43"/>
  <c r="S30" i="43"/>
  <c r="T30" i="43"/>
  <c r="U30" i="43"/>
  <c r="V30" i="43"/>
  <c r="W30" i="43"/>
  <c r="X30" i="43"/>
  <c r="Y30" i="43"/>
  <c r="Z30" i="43"/>
  <c r="AA30" i="43"/>
  <c r="AB30" i="43"/>
  <c r="AC30" i="43"/>
  <c r="AD30" i="43"/>
  <c r="AE30" i="43"/>
  <c r="AF30" i="43"/>
  <c r="AG30" i="43"/>
  <c r="AH30" i="43"/>
  <c r="AI30" i="43"/>
  <c r="A30" i="43"/>
  <c r="J29" i="43"/>
  <c r="B25" i="43"/>
  <c r="C25" i="43"/>
  <c r="E25" i="43"/>
  <c r="F25" i="43"/>
  <c r="G25" i="43"/>
  <c r="H25" i="43"/>
  <c r="I25" i="43"/>
  <c r="J25" i="43"/>
  <c r="L25" i="43"/>
  <c r="M25" i="43"/>
  <c r="N25" i="43"/>
  <c r="O25" i="43"/>
  <c r="P25" i="43"/>
  <c r="R25" i="43"/>
  <c r="S25" i="43"/>
  <c r="T25" i="43"/>
  <c r="U25" i="43"/>
  <c r="V25" i="43"/>
  <c r="W25" i="43"/>
  <c r="X25" i="43"/>
  <c r="Y25" i="43"/>
  <c r="Z25" i="43"/>
  <c r="AA25" i="43"/>
  <c r="AB25" i="43"/>
  <c r="AC25" i="43"/>
  <c r="AD25" i="43"/>
  <c r="AE25" i="43"/>
  <c r="AF25" i="43"/>
  <c r="AG25" i="43"/>
  <c r="AH25" i="43"/>
  <c r="B26" i="43"/>
  <c r="C26" i="43"/>
  <c r="E26" i="43"/>
  <c r="F26" i="43"/>
  <c r="G26" i="43"/>
  <c r="H26" i="43"/>
  <c r="I26" i="43"/>
  <c r="J26" i="43"/>
  <c r="L26" i="43"/>
  <c r="M26" i="43"/>
  <c r="N26" i="43"/>
  <c r="O26" i="43"/>
  <c r="P26" i="43"/>
  <c r="R26" i="43"/>
  <c r="S26" i="43"/>
  <c r="T26" i="43"/>
  <c r="U26" i="43"/>
  <c r="V26" i="43"/>
  <c r="W26" i="43"/>
  <c r="X26" i="43"/>
  <c r="Y26" i="43"/>
  <c r="Z26" i="43"/>
  <c r="AA26" i="43"/>
  <c r="AB26" i="43"/>
  <c r="AC26" i="43"/>
  <c r="AD26" i="43"/>
  <c r="AE26" i="43"/>
  <c r="AF26" i="43"/>
  <c r="AG26" i="43"/>
  <c r="AH26" i="43"/>
  <c r="AI26" i="43"/>
  <c r="B27" i="43"/>
  <c r="C27" i="43"/>
  <c r="E27" i="43"/>
  <c r="F27" i="43"/>
  <c r="G27" i="43"/>
  <c r="H27" i="43"/>
  <c r="I27" i="43"/>
  <c r="J27" i="43"/>
  <c r="L27" i="43"/>
  <c r="M27" i="43"/>
  <c r="N27" i="43"/>
  <c r="O27" i="43"/>
  <c r="P27" i="43"/>
  <c r="R27" i="43"/>
  <c r="S27" i="43"/>
  <c r="T27" i="43"/>
  <c r="V27" i="43"/>
  <c r="W27" i="43"/>
  <c r="X27" i="43"/>
  <c r="Y27" i="43"/>
  <c r="Z27" i="43"/>
  <c r="AA27" i="43"/>
  <c r="AB27" i="43"/>
  <c r="AC27" i="43"/>
  <c r="AD27" i="43"/>
  <c r="AE27" i="43"/>
  <c r="AF27" i="43"/>
  <c r="AG27" i="43"/>
  <c r="AH27" i="43"/>
  <c r="B28" i="43"/>
  <c r="C28" i="43"/>
  <c r="E28" i="43"/>
  <c r="F28" i="43"/>
  <c r="G28" i="43"/>
  <c r="H28" i="43"/>
  <c r="I28" i="43"/>
  <c r="J28" i="43"/>
  <c r="L28" i="43"/>
  <c r="M28" i="43"/>
  <c r="N28" i="43"/>
  <c r="O28" i="43"/>
  <c r="P28" i="43"/>
  <c r="R28" i="43"/>
  <c r="S28" i="43"/>
  <c r="T28" i="43"/>
  <c r="U28" i="43"/>
  <c r="V28" i="43"/>
  <c r="W28" i="43"/>
  <c r="X28" i="43"/>
  <c r="Y28" i="43"/>
  <c r="Z28" i="43"/>
  <c r="AA28" i="43"/>
  <c r="AB28" i="43"/>
  <c r="AC28" i="43"/>
  <c r="AD28" i="43"/>
  <c r="AE28" i="43"/>
  <c r="AF28" i="43"/>
  <c r="AG28" i="43"/>
  <c r="AH28" i="43"/>
  <c r="AI28" i="43"/>
  <c r="A26" i="43"/>
  <c r="A27" i="43"/>
  <c r="A28" i="43"/>
  <c r="A25" i="43"/>
  <c r="J23" i="43"/>
  <c r="J22" i="43"/>
  <c r="L21" i="43"/>
  <c r="K10" i="44"/>
  <c r="K10" i="43"/>
  <c r="K10" i="42"/>
  <c r="K10" i="41"/>
  <c r="B39" i="41"/>
  <c r="C39" i="41"/>
  <c r="E39" i="41"/>
  <c r="F39" i="41"/>
  <c r="G39" i="41"/>
  <c r="H39" i="41"/>
  <c r="I39" i="41"/>
  <c r="J39" i="41"/>
  <c r="L39" i="41"/>
  <c r="M39" i="41"/>
  <c r="N39" i="41"/>
  <c r="O39" i="41"/>
  <c r="P39" i="41"/>
  <c r="R39" i="41"/>
  <c r="S39" i="41"/>
  <c r="T39" i="41"/>
  <c r="U39" i="41"/>
  <c r="V39" i="41"/>
  <c r="W39" i="41"/>
  <c r="X39" i="41"/>
  <c r="Y39" i="41"/>
  <c r="Z39" i="41"/>
  <c r="AA39" i="41"/>
  <c r="AB39" i="41"/>
  <c r="AC39" i="41"/>
  <c r="AD39" i="41"/>
  <c r="AE39" i="41"/>
  <c r="AF39" i="41"/>
  <c r="AG39" i="41"/>
  <c r="AH39" i="41"/>
  <c r="AI39" i="41"/>
  <c r="B40" i="41"/>
  <c r="C40" i="41"/>
  <c r="E40" i="41"/>
  <c r="F40" i="41"/>
  <c r="G40" i="41"/>
  <c r="H40" i="41"/>
  <c r="I40" i="41"/>
  <c r="J40" i="41"/>
  <c r="K40" i="41"/>
  <c r="L40" i="41"/>
  <c r="N40" i="41"/>
  <c r="O40" i="41"/>
  <c r="P40" i="41"/>
  <c r="R40" i="41"/>
  <c r="S40" i="41"/>
  <c r="T40" i="41"/>
  <c r="U40" i="41"/>
  <c r="V40" i="41"/>
  <c r="W40" i="41"/>
  <c r="X40" i="41"/>
  <c r="Y40" i="41"/>
  <c r="Z40" i="41"/>
  <c r="AA40" i="41"/>
  <c r="AB40" i="41"/>
  <c r="AC40" i="41"/>
  <c r="AD40" i="41"/>
  <c r="AE40" i="41"/>
  <c r="AF40" i="41"/>
  <c r="AG40" i="41"/>
  <c r="AH40" i="41"/>
  <c r="B41" i="41"/>
  <c r="C41" i="41"/>
  <c r="E41" i="41"/>
  <c r="F41" i="41"/>
  <c r="G41" i="41"/>
  <c r="H41" i="41"/>
  <c r="I41" i="41"/>
  <c r="J41" i="41"/>
  <c r="K41" i="41"/>
  <c r="L41" i="41"/>
  <c r="N41" i="41"/>
  <c r="O41" i="41"/>
  <c r="P41" i="41"/>
  <c r="R41" i="41"/>
  <c r="S41" i="41"/>
  <c r="T41" i="41"/>
  <c r="U41" i="41"/>
  <c r="V41" i="41"/>
  <c r="W41" i="41"/>
  <c r="X41" i="41"/>
  <c r="Y41" i="41"/>
  <c r="Z41" i="41"/>
  <c r="AA41" i="41"/>
  <c r="AB41" i="41"/>
  <c r="AC41" i="41"/>
  <c r="AD41" i="41"/>
  <c r="AE41" i="41"/>
  <c r="AF41" i="41"/>
  <c r="AG41" i="41"/>
  <c r="AH41" i="41"/>
  <c r="A41" i="41"/>
  <c r="A40" i="41"/>
  <c r="A39" i="41"/>
  <c r="J38" i="41"/>
  <c r="AJ38" i="41" s="1"/>
  <c r="J37" i="41"/>
  <c r="AJ37" i="41" s="1"/>
  <c r="J36" i="41"/>
  <c r="AJ36" i="41" s="1"/>
  <c r="B24" i="41"/>
  <c r="C24" i="41"/>
  <c r="E24" i="41"/>
  <c r="F24" i="41"/>
  <c r="G24" i="41"/>
  <c r="H24" i="41"/>
  <c r="I24" i="41"/>
  <c r="J24" i="41"/>
  <c r="L24" i="41"/>
  <c r="M24" i="41"/>
  <c r="N24" i="41"/>
  <c r="O24" i="41"/>
  <c r="P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B25" i="41"/>
  <c r="C25" i="41"/>
  <c r="E25" i="41"/>
  <c r="F25" i="41"/>
  <c r="G25" i="41"/>
  <c r="H25" i="41"/>
  <c r="I25" i="41"/>
  <c r="J25" i="41"/>
  <c r="L25" i="41"/>
  <c r="M25" i="41"/>
  <c r="N25" i="41"/>
  <c r="O25" i="41"/>
  <c r="P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B26" i="41"/>
  <c r="C26" i="41"/>
  <c r="E26" i="41"/>
  <c r="F26" i="41"/>
  <c r="G26" i="41"/>
  <c r="H26" i="41"/>
  <c r="I26" i="41"/>
  <c r="J26" i="41"/>
  <c r="L26" i="41"/>
  <c r="M26" i="41"/>
  <c r="N26" i="41"/>
  <c r="O26" i="41"/>
  <c r="P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B27" i="41"/>
  <c r="C27" i="41"/>
  <c r="E27" i="41"/>
  <c r="F27" i="41"/>
  <c r="G27" i="41"/>
  <c r="H27" i="41"/>
  <c r="I27" i="41"/>
  <c r="J27" i="41"/>
  <c r="K27" i="41"/>
  <c r="L27" i="41"/>
  <c r="N27" i="41"/>
  <c r="O27" i="41"/>
  <c r="P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B28" i="41"/>
  <c r="C28" i="41"/>
  <c r="E28" i="41"/>
  <c r="F28" i="41"/>
  <c r="G28" i="41"/>
  <c r="H28" i="41"/>
  <c r="I28" i="41"/>
  <c r="J28" i="41"/>
  <c r="L28" i="41"/>
  <c r="M28" i="41"/>
  <c r="N28" i="41"/>
  <c r="O28" i="41"/>
  <c r="P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B29" i="41"/>
  <c r="C29" i="41"/>
  <c r="E29" i="41"/>
  <c r="F29" i="41"/>
  <c r="G29" i="41"/>
  <c r="H29" i="41"/>
  <c r="I29" i="41"/>
  <c r="J29" i="41"/>
  <c r="L29" i="41"/>
  <c r="M29" i="41"/>
  <c r="N29" i="41"/>
  <c r="O29" i="41"/>
  <c r="P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B31" i="41"/>
  <c r="C31" i="41"/>
  <c r="E31" i="41"/>
  <c r="F31" i="41"/>
  <c r="G31" i="41"/>
  <c r="H31" i="41"/>
  <c r="I31" i="41"/>
  <c r="J31" i="41"/>
  <c r="L31" i="41"/>
  <c r="M31" i="41"/>
  <c r="N31" i="41"/>
  <c r="O31" i="41"/>
  <c r="P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B32" i="41"/>
  <c r="C32" i="41"/>
  <c r="E32" i="41"/>
  <c r="F32" i="41"/>
  <c r="G32" i="41"/>
  <c r="H32" i="41"/>
  <c r="I32" i="41"/>
  <c r="J32" i="41"/>
  <c r="L32" i="41"/>
  <c r="M32" i="41"/>
  <c r="N32" i="41"/>
  <c r="O32" i="41"/>
  <c r="P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B33" i="41"/>
  <c r="C33" i="41"/>
  <c r="E33" i="41"/>
  <c r="F33" i="41"/>
  <c r="G33" i="41"/>
  <c r="H33" i="41"/>
  <c r="I33" i="41"/>
  <c r="J33" i="41"/>
  <c r="K33" i="41"/>
  <c r="L33" i="41"/>
  <c r="M33" i="41"/>
  <c r="N33" i="41"/>
  <c r="O33" i="41"/>
  <c r="P33" i="41"/>
  <c r="R33" i="41"/>
  <c r="S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32" i="41"/>
  <c r="A33" i="41"/>
  <c r="A31" i="41"/>
  <c r="A26" i="41"/>
  <c r="A27" i="41"/>
  <c r="A28" i="41"/>
  <c r="A29" i="41"/>
  <c r="A25" i="41"/>
  <c r="A24" i="41"/>
  <c r="J23" i="41"/>
  <c r="J22" i="41"/>
  <c r="D55" i="40"/>
  <c r="K55" i="40" s="1"/>
  <c r="Q55" i="40" s="1"/>
  <c r="Q30" i="43" s="1"/>
  <c r="D53" i="40"/>
  <c r="K53" i="40" s="1"/>
  <c r="Q53" i="40" s="1"/>
  <c r="Q28" i="43" s="1"/>
  <c r="D52" i="40"/>
  <c r="D27" i="43" s="1"/>
  <c r="D51" i="40"/>
  <c r="K51" i="40" s="1"/>
  <c r="K26" i="43" s="1"/>
  <c r="D50" i="40"/>
  <c r="K50" i="40" s="1"/>
  <c r="K25" i="43" s="1"/>
  <c r="D49" i="40"/>
  <c r="D30" i="42" s="1"/>
  <c r="D48" i="40"/>
  <c r="K48" i="40" s="1"/>
  <c r="K24" i="43" s="1"/>
  <c r="D47" i="40"/>
  <c r="D41" i="41" s="1"/>
  <c r="D46" i="40"/>
  <c r="D40" i="41" s="1"/>
  <c r="D45" i="40"/>
  <c r="D31" i="44" s="1"/>
  <c r="D44" i="40"/>
  <c r="D39" i="41" s="1"/>
  <c r="D38" i="40"/>
  <c r="T38" i="40" s="1"/>
  <c r="T33" i="41" s="1"/>
  <c r="D37" i="40"/>
  <c r="K37" i="40" s="1"/>
  <c r="K32" i="41" s="1"/>
  <c r="D36" i="40"/>
  <c r="K36" i="40" s="1"/>
  <c r="K31" i="41" s="1"/>
  <c r="D35" i="40"/>
  <c r="M35" i="40" s="1"/>
  <c r="M25" i="44" s="1"/>
  <c r="D34" i="40"/>
  <c r="K34" i="40" s="1"/>
  <c r="K30" i="41" s="1"/>
  <c r="D33" i="40"/>
  <c r="K33" i="40" s="1"/>
  <c r="K29" i="41" s="1"/>
  <c r="D32" i="40"/>
  <c r="K32" i="40" s="1"/>
  <c r="K28" i="41" s="1"/>
  <c r="D31" i="40"/>
  <c r="M31" i="40" s="1"/>
  <c r="M27" i="41" s="1"/>
  <c r="D30" i="40"/>
  <c r="D26" i="41" s="1"/>
  <c r="D29" i="40"/>
  <c r="K29" i="40" s="1"/>
  <c r="K25" i="41" s="1"/>
  <c r="D28" i="40"/>
  <c r="D27" i="40"/>
  <c r="M27" i="40" s="1"/>
  <c r="Q27" i="40" s="1"/>
  <c r="Q24" i="44" s="1"/>
  <c r="D26" i="40"/>
  <c r="D24" i="41" s="1"/>
  <c r="D25" i="40"/>
  <c r="M25" i="40" s="1"/>
  <c r="M23" i="44" s="1"/>
  <c r="AH56" i="40"/>
  <c r="AG56" i="40"/>
  <c r="AF56" i="40"/>
  <c r="AE56" i="40"/>
  <c r="AD56" i="40"/>
  <c r="AC56" i="40"/>
  <c r="AA56" i="40"/>
  <c r="Z56" i="40"/>
  <c r="Y56" i="40"/>
  <c r="X56" i="40"/>
  <c r="S56" i="40"/>
  <c r="R56" i="40"/>
  <c r="R59" i="40" s="1"/>
  <c r="P56" i="40"/>
  <c r="O56" i="40"/>
  <c r="N56" i="40"/>
  <c r="L56" i="40"/>
  <c r="H56" i="40"/>
  <c r="F56" i="40"/>
  <c r="AB56" i="40"/>
  <c r="V56" i="40"/>
  <c r="AI50" i="40"/>
  <c r="AI25" i="43" s="1"/>
  <c r="AI48" i="40"/>
  <c r="AI24" i="43" s="1"/>
  <c r="AI46" i="40"/>
  <c r="AI40" i="41" s="1"/>
  <c r="K44" i="40"/>
  <c r="Q44" i="40" s="1"/>
  <c r="Q39" i="41" s="1"/>
  <c r="AH39" i="40"/>
  <c r="AG39" i="40"/>
  <c r="AG59" i="40" s="1"/>
  <c r="AF39" i="40"/>
  <c r="AF59" i="40" s="1"/>
  <c r="AE39" i="40"/>
  <c r="AD39" i="40"/>
  <c r="AD59" i="40" s="1"/>
  <c r="AC39" i="40"/>
  <c r="AA39" i="40"/>
  <c r="AA59" i="40" s="1"/>
  <c r="Z39" i="40"/>
  <c r="Y39" i="40"/>
  <c r="Y59" i="40" s="1"/>
  <c r="X39" i="40"/>
  <c r="X59" i="40" s="1"/>
  <c r="V39" i="40"/>
  <c r="S39" i="40"/>
  <c r="R39" i="40"/>
  <c r="P39" i="40"/>
  <c r="O39" i="40"/>
  <c r="O59" i="40" s="1"/>
  <c r="N39" i="40"/>
  <c r="L39" i="40"/>
  <c r="L59" i="40" s="1"/>
  <c r="H39" i="40"/>
  <c r="F39" i="40"/>
  <c r="AB39" i="40"/>
  <c r="AB59" i="40" s="1"/>
  <c r="Q38" i="40"/>
  <c r="Q33" i="41" s="1"/>
  <c r="AI25" i="40"/>
  <c r="AI23" i="44" s="1"/>
  <c r="AE59" i="40" l="1"/>
  <c r="AB31" i="43"/>
  <c r="M24" i="42"/>
  <c r="K28" i="40"/>
  <c r="K24" i="42" s="1"/>
  <c r="N59" i="40"/>
  <c r="N16" i="40" s="1"/>
  <c r="V59" i="40"/>
  <c r="S34" i="41"/>
  <c r="H59" i="40"/>
  <c r="H16" i="40" s="1"/>
  <c r="O31" i="43"/>
  <c r="P59" i="40"/>
  <c r="P16" i="40" s="1"/>
  <c r="AH59" i="40"/>
  <c r="AC59" i="40"/>
  <c r="S59" i="40"/>
  <c r="D28" i="41"/>
  <c r="Z59" i="40"/>
  <c r="Z16" i="40" s="1"/>
  <c r="F59" i="40"/>
  <c r="F73" i="40" s="1"/>
  <c r="D25" i="41"/>
  <c r="Z34" i="41"/>
  <c r="M31" i="43"/>
  <c r="L34" i="41"/>
  <c r="AI34" i="41"/>
  <c r="W34" i="41"/>
  <c r="I34" i="41"/>
  <c r="Y31" i="43"/>
  <c r="L31" i="43"/>
  <c r="L33" i="43" s="1"/>
  <c r="X34" i="41"/>
  <c r="Y34" i="41"/>
  <c r="AH34" i="41"/>
  <c r="V34" i="41"/>
  <c r="H34" i="41"/>
  <c r="X31" i="43"/>
  <c r="X33" i="43" s="1"/>
  <c r="J31" i="43"/>
  <c r="J33" i="43" s="1"/>
  <c r="D33" i="41"/>
  <c r="AG34" i="41"/>
  <c r="U34" i="41"/>
  <c r="W31" i="43"/>
  <c r="I31" i="43"/>
  <c r="I33" i="43" s="1"/>
  <c r="O34" i="41"/>
  <c r="AF34" i="41"/>
  <c r="F34" i="41"/>
  <c r="AH31" i="43"/>
  <c r="AH33" i="43" s="1"/>
  <c r="V31" i="43"/>
  <c r="V33" i="43" s="1"/>
  <c r="H31" i="43"/>
  <c r="H33" i="43" s="1"/>
  <c r="AA34" i="41"/>
  <c r="AD31" i="43"/>
  <c r="R31" i="43"/>
  <c r="R33" i="43" s="1"/>
  <c r="AG31" i="43"/>
  <c r="AG33" i="43" s="1"/>
  <c r="G31" i="43"/>
  <c r="AE34" i="41"/>
  <c r="Z31" i="43"/>
  <c r="Z33" i="43" s="1"/>
  <c r="AD34" i="41"/>
  <c r="R34" i="41"/>
  <c r="K30" i="43"/>
  <c r="AF31" i="43"/>
  <c r="T31" i="43"/>
  <c r="T33" i="43" s="1"/>
  <c r="F31" i="43"/>
  <c r="F33" i="43" s="1"/>
  <c r="D32" i="41"/>
  <c r="J34" i="41"/>
  <c r="P34" i="41"/>
  <c r="AE31" i="43"/>
  <c r="S31" i="43"/>
  <c r="S33" i="43" s="1"/>
  <c r="AA31" i="43"/>
  <c r="G34" i="41"/>
  <c r="AC34" i="41"/>
  <c r="AB34" i="41"/>
  <c r="M24" i="44"/>
  <c r="D24" i="42"/>
  <c r="N34" i="41"/>
  <c r="AC31" i="43"/>
  <c r="AC33" i="43" s="1"/>
  <c r="P31" i="43"/>
  <c r="P33" i="43" s="1"/>
  <c r="M34" i="41"/>
  <c r="T34" i="41"/>
  <c r="D28" i="43"/>
  <c r="D23" i="44"/>
  <c r="D24" i="43"/>
  <c r="D29" i="41"/>
  <c r="K26" i="40"/>
  <c r="K24" i="41" s="1"/>
  <c r="U45" i="40"/>
  <c r="U31" i="44" s="1"/>
  <c r="D24" i="44"/>
  <c r="N31" i="43"/>
  <c r="N33" i="43" s="1"/>
  <c r="D31" i="41"/>
  <c r="K30" i="40"/>
  <c r="K26" i="41" s="1"/>
  <c r="D25" i="44"/>
  <c r="K28" i="43"/>
  <c r="D30" i="41"/>
  <c r="D25" i="43"/>
  <c r="D30" i="43"/>
  <c r="K39" i="41"/>
  <c r="D26" i="43"/>
  <c r="D27" i="41"/>
  <c r="AF33" i="43"/>
  <c r="AD33" i="43"/>
  <c r="AE33" i="43"/>
  <c r="G33" i="43"/>
  <c r="AJ33" i="41"/>
  <c r="AB33" i="43"/>
  <c r="AA33" i="43"/>
  <c r="Y33" i="43"/>
  <c r="M33" i="43"/>
  <c r="O33" i="43"/>
  <c r="W33" i="43"/>
  <c r="AE16" i="40"/>
  <c r="Q51" i="40"/>
  <c r="Q32" i="40"/>
  <c r="Q36" i="40"/>
  <c r="Q31" i="41" s="1"/>
  <c r="AJ31" i="41" s="1"/>
  <c r="Q48" i="40"/>
  <c r="Q24" i="43" s="1"/>
  <c r="Q37" i="40"/>
  <c r="N19" i="40"/>
  <c r="Z19" i="40"/>
  <c r="AI19" i="40"/>
  <c r="U19" i="40"/>
  <c r="AG19" i="40"/>
  <c r="M45" i="40"/>
  <c r="AI52" i="40"/>
  <c r="AI27" i="43" s="1"/>
  <c r="AI31" i="43" s="1"/>
  <c r="AI33" i="43" s="1"/>
  <c r="AC19" i="40"/>
  <c r="Q31" i="40"/>
  <c r="AI47" i="40"/>
  <c r="AI41" i="41" s="1"/>
  <c r="W19" i="40"/>
  <c r="AJ38" i="40"/>
  <c r="T39" i="40"/>
  <c r="G19" i="40"/>
  <c r="F19" i="40"/>
  <c r="Q35" i="40"/>
  <c r="I19" i="40"/>
  <c r="G56" i="40"/>
  <c r="AI45" i="40"/>
  <c r="AI31" i="44" s="1"/>
  <c r="J19" i="40"/>
  <c r="X19" i="40"/>
  <c r="S19" i="40"/>
  <c r="AE19" i="40"/>
  <c r="H19" i="40"/>
  <c r="T19" i="40"/>
  <c r="AF19" i="40"/>
  <c r="Q29" i="40"/>
  <c r="Q28" i="40"/>
  <c r="Q24" i="42" s="1"/>
  <c r="L19" i="40"/>
  <c r="AA19" i="40"/>
  <c r="V19" i="40"/>
  <c r="AH19" i="40"/>
  <c r="O19" i="40"/>
  <c r="AB19" i="40"/>
  <c r="P19" i="40"/>
  <c r="Q34" i="40"/>
  <c r="AJ55" i="40"/>
  <c r="K19" i="40"/>
  <c r="R19" i="40"/>
  <c r="AD19" i="40"/>
  <c r="U25" i="40"/>
  <c r="U23" i="44" s="1"/>
  <c r="G39" i="40"/>
  <c r="G59" i="40" s="1"/>
  <c r="Q25" i="40"/>
  <c r="Q23" i="44" s="1"/>
  <c r="AB16" i="40"/>
  <c r="W39" i="40"/>
  <c r="M47" i="40"/>
  <c r="U52" i="40"/>
  <c r="U27" i="43" s="1"/>
  <c r="U31" i="43" s="1"/>
  <c r="U33" i="43" s="1"/>
  <c r="K52" i="40"/>
  <c r="AF16" i="40"/>
  <c r="AG16" i="40"/>
  <c r="R16" i="40"/>
  <c r="AH16" i="40"/>
  <c r="T56" i="40"/>
  <c r="V16" i="40"/>
  <c r="V20" i="40" s="1"/>
  <c r="M46" i="40"/>
  <c r="Q50" i="40"/>
  <c r="Q25" i="43" s="1"/>
  <c r="AC16" i="40"/>
  <c r="X16" i="40"/>
  <c r="Y16" i="40"/>
  <c r="U27" i="40"/>
  <c r="Q33" i="40"/>
  <c r="Q29" i="41" s="1"/>
  <c r="AJ29" i="41" s="1"/>
  <c r="W56" i="40"/>
  <c r="AA16" i="40"/>
  <c r="M49" i="40"/>
  <c r="AJ53" i="40"/>
  <c r="L16" i="40"/>
  <c r="AJ44" i="40"/>
  <c r="AD16" i="40"/>
  <c r="B169" i="5"/>
  <c r="C169" i="5"/>
  <c r="D169" i="5"/>
  <c r="E169" i="5"/>
  <c r="F169" i="5"/>
  <c r="H169" i="5"/>
  <c r="J169" i="5"/>
  <c r="K169" i="5"/>
  <c r="L169" i="5"/>
  <c r="M169" i="5"/>
  <c r="N169" i="5"/>
  <c r="O169" i="5"/>
  <c r="P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169" i="5"/>
  <c r="B158" i="10"/>
  <c r="C158" i="10"/>
  <c r="F158" i="10"/>
  <c r="H158" i="10"/>
  <c r="J158" i="10"/>
  <c r="L158" i="10"/>
  <c r="M158" i="10"/>
  <c r="N158" i="10"/>
  <c r="O158" i="10"/>
  <c r="P158" i="10"/>
  <c r="R158" i="10"/>
  <c r="S158" i="10"/>
  <c r="T158" i="10"/>
  <c r="U158" i="10"/>
  <c r="V158" i="10"/>
  <c r="W158" i="10"/>
  <c r="X158" i="10"/>
  <c r="Y158" i="10"/>
  <c r="Z158" i="10"/>
  <c r="AA158" i="10"/>
  <c r="AB158" i="10"/>
  <c r="AC158" i="10"/>
  <c r="AD158" i="10"/>
  <c r="AE158" i="10"/>
  <c r="AF158" i="10"/>
  <c r="AG158" i="10"/>
  <c r="AH158" i="10"/>
  <c r="AI158" i="10"/>
  <c r="B159" i="10"/>
  <c r="C159" i="10"/>
  <c r="F159" i="10"/>
  <c r="H159" i="10"/>
  <c r="J159" i="10"/>
  <c r="L159" i="10"/>
  <c r="M159" i="10"/>
  <c r="N159" i="10"/>
  <c r="O159" i="10"/>
  <c r="P159" i="10"/>
  <c r="R159" i="10"/>
  <c r="S159" i="10"/>
  <c r="T159" i="10"/>
  <c r="U159" i="10"/>
  <c r="V159" i="10"/>
  <c r="W159" i="10"/>
  <c r="X159" i="10"/>
  <c r="Y159" i="10"/>
  <c r="Z159" i="10"/>
  <c r="AA159" i="10"/>
  <c r="AB159" i="10"/>
  <c r="AC159" i="10"/>
  <c r="AD159" i="10"/>
  <c r="AE159" i="10"/>
  <c r="AF159" i="10"/>
  <c r="AG159" i="10"/>
  <c r="AH159" i="10"/>
  <c r="AI159" i="10"/>
  <c r="A159" i="10"/>
  <c r="A158" i="10"/>
  <c r="J157" i="10"/>
  <c r="AJ157" i="10" s="1"/>
  <c r="J156" i="10"/>
  <c r="B170" i="5"/>
  <c r="C170" i="5"/>
  <c r="F170" i="5"/>
  <c r="G170" i="5"/>
  <c r="H170" i="5"/>
  <c r="I170" i="5"/>
  <c r="J170" i="5"/>
  <c r="L170" i="5"/>
  <c r="M170" i="5"/>
  <c r="N170" i="5"/>
  <c r="O170" i="5"/>
  <c r="P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B171" i="5"/>
  <c r="C171" i="5"/>
  <c r="F171" i="5"/>
  <c r="H171" i="5"/>
  <c r="J171" i="5"/>
  <c r="L171" i="5"/>
  <c r="M171" i="5"/>
  <c r="N171" i="5"/>
  <c r="O171" i="5"/>
  <c r="P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B172" i="5"/>
  <c r="C172" i="5"/>
  <c r="F172" i="5"/>
  <c r="H172" i="5"/>
  <c r="I172" i="5"/>
  <c r="J172" i="5"/>
  <c r="K172" i="5"/>
  <c r="L172" i="5"/>
  <c r="N172" i="5"/>
  <c r="O172" i="5"/>
  <c r="P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B173" i="5"/>
  <c r="C173" i="5"/>
  <c r="F173" i="5"/>
  <c r="H173" i="5"/>
  <c r="J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B174" i="5"/>
  <c r="C174" i="5"/>
  <c r="F174" i="5"/>
  <c r="H174" i="5"/>
  <c r="J174" i="5"/>
  <c r="K174" i="5"/>
  <c r="L174" i="5"/>
  <c r="N174" i="5"/>
  <c r="O174" i="5"/>
  <c r="P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B175" i="5"/>
  <c r="C175" i="5"/>
  <c r="F175" i="5"/>
  <c r="H175" i="5"/>
  <c r="J175" i="5"/>
  <c r="K175" i="5"/>
  <c r="L175" i="5"/>
  <c r="N175" i="5"/>
  <c r="O175" i="5"/>
  <c r="P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B176" i="5"/>
  <c r="C176" i="5"/>
  <c r="F176" i="5"/>
  <c r="H176" i="5"/>
  <c r="J176" i="5"/>
  <c r="K176" i="5"/>
  <c r="L176" i="5"/>
  <c r="N176" i="5"/>
  <c r="O176" i="5"/>
  <c r="P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B177" i="5"/>
  <c r="C177" i="5"/>
  <c r="F177" i="5"/>
  <c r="H177" i="5"/>
  <c r="J177" i="5"/>
  <c r="K177" i="5"/>
  <c r="L177" i="5"/>
  <c r="N177" i="5"/>
  <c r="O177" i="5"/>
  <c r="P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B178" i="5"/>
  <c r="C178" i="5"/>
  <c r="F178" i="5"/>
  <c r="H178" i="5"/>
  <c r="J178" i="5"/>
  <c r="L178" i="5"/>
  <c r="M178" i="5"/>
  <c r="N178" i="5"/>
  <c r="O178" i="5"/>
  <c r="P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B179" i="5"/>
  <c r="C179" i="5"/>
  <c r="F179" i="5"/>
  <c r="H179" i="5"/>
  <c r="J179" i="5"/>
  <c r="L179" i="5"/>
  <c r="M179" i="5"/>
  <c r="N179" i="5"/>
  <c r="O179" i="5"/>
  <c r="P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B180" i="5"/>
  <c r="C180" i="5"/>
  <c r="F180" i="5"/>
  <c r="H180" i="5"/>
  <c r="J180" i="5"/>
  <c r="L180" i="5"/>
  <c r="M180" i="5"/>
  <c r="N180" i="5"/>
  <c r="O180" i="5"/>
  <c r="P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B181" i="5"/>
  <c r="C181" i="5"/>
  <c r="F181" i="5"/>
  <c r="H181" i="5"/>
  <c r="J181" i="5"/>
  <c r="L181" i="5"/>
  <c r="M181" i="5"/>
  <c r="N181" i="5"/>
  <c r="O181" i="5"/>
  <c r="P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181" i="5"/>
  <c r="A180" i="5"/>
  <c r="A179" i="5"/>
  <c r="A178" i="5"/>
  <c r="A177" i="5"/>
  <c r="A176" i="5"/>
  <c r="A170" i="5"/>
  <c r="A171" i="5"/>
  <c r="A172" i="5"/>
  <c r="A173" i="5"/>
  <c r="A174" i="5"/>
  <c r="A175" i="5"/>
  <c r="A168" i="5"/>
  <c r="K167" i="5"/>
  <c r="L166" i="5"/>
  <c r="B129" i="12"/>
  <c r="C129" i="12"/>
  <c r="F129" i="12"/>
  <c r="H129" i="12"/>
  <c r="J129" i="12"/>
  <c r="K129" i="12"/>
  <c r="L129" i="12"/>
  <c r="N129" i="12"/>
  <c r="O129" i="12"/>
  <c r="P129" i="12"/>
  <c r="R129" i="12"/>
  <c r="S129" i="12"/>
  <c r="T129" i="12"/>
  <c r="U129" i="12"/>
  <c r="V129" i="12"/>
  <c r="W129" i="12"/>
  <c r="X129" i="12"/>
  <c r="Y129" i="12"/>
  <c r="Z129" i="12"/>
  <c r="AA129" i="12"/>
  <c r="AB129" i="12"/>
  <c r="AC129" i="12"/>
  <c r="AD129" i="12"/>
  <c r="AE129" i="12"/>
  <c r="AF129" i="12"/>
  <c r="AG129" i="12"/>
  <c r="AH129" i="12"/>
  <c r="B130" i="12"/>
  <c r="C130" i="12"/>
  <c r="F130" i="12"/>
  <c r="H130" i="12"/>
  <c r="J130" i="12"/>
  <c r="L130" i="12"/>
  <c r="M130" i="12"/>
  <c r="N130" i="12"/>
  <c r="O130" i="12"/>
  <c r="P130" i="12"/>
  <c r="R130" i="12"/>
  <c r="S130" i="12"/>
  <c r="T130" i="12"/>
  <c r="U130" i="12"/>
  <c r="V130" i="12"/>
  <c r="W130" i="12"/>
  <c r="X130" i="12"/>
  <c r="Y130" i="12"/>
  <c r="Z130" i="12"/>
  <c r="AA130" i="12"/>
  <c r="AB130" i="12"/>
  <c r="AC130" i="12"/>
  <c r="AD130" i="12"/>
  <c r="AE130" i="12"/>
  <c r="AF130" i="12"/>
  <c r="AG130" i="12"/>
  <c r="AH130" i="12"/>
  <c r="AI130" i="12"/>
  <c r="B131" i="12"/>
  <c r="C131" i="12"/>
  <c r="F131" i="12"/>
  <c r="H131" i="12"/>
  <c r="J131" i="12"/>
  <c r="L131" i="12"/>
  <c r="M131" i="12"/>
  <c r="N131" i="12"/>
  <c r="O131" i="12"/>
  <c r="P131" i="12"/>
  <c r="R131" i="12"/>
  <c r="S131" i="12"/>
  <c r="T131" i="12"/>
  <c r="U131" i="12"/>
  <c r="V131" i="12"/>
  <c r="W131" i="12"/>
  <c r="X131" i="12"/>
  <c r="Y131" i="12"/>
  <c r="Z131" i="12"/>
  <c r="AA131" i="12"/>
  <c r="AB131" i="12"/>
  <c r="AC131" i="12"/>
  <c r="AD131" i="12"/>
  <c r="AE131" i="12"/>
  <c r="AF131" i="12"/>
  <c r="AG131" i="12"/>
  <c r="AH131" i="12"/>
  <c r="AI131" i="12"/>
  <c r="B132" i="12"/>
  <c r="C132" i="12"/>
  <c r="F132" i="12"/>
  <c r="G132" i="12"/>
  <c r="H132" i="12"/>
  <c r="I132" i="12"/>
  <c r="J132" i="12"/>
  <c r="K132" i="12"/>
  <c r="L132" i="12"/>
  <c r="M132" i="12"/>
  <c r="N132" i="12"/>
  <c r="O132" i="12"/>
  <c r="P132" i="12"/>
  <c r="R132" i="12"/>
  <c r="S132" i="12"/>
  <c r="T132" i="12"/>
  <c r="U132" i="12"/>
  <c r="V132" i="12"/>
  <c r="W132" i="12"/>
  <c r="X132" i="12"/>
  <c r="Y132" i="12"/>
  <c r="Z132" i="12"/>
  <c r="AA132" i="12"/>
  <c r="AC132" i="12"/>
  <c r="AD132" i="12"/>
  <c r="AE132" i="12"/>
  <c r="AF132" i="12"/>
  <c r="AG132" i="12"/>
  <c r="AH132" i="12"/>
  <c r="AI132" i="12"/>
  <c r="A132" i="12"/>
  <c r="A131" i="12"/>
  <c r="A130" i="12"/>
  <c r="A129" i="12"/>
  <c r="K127" i="12"/>
  <c r="L124" i="12"/>
  <c r="B143" i="10"/>
  <c r="C143" i="10"/>
  <c r="F143" i="10"/>
  <c r="H143" i="10"/>
  <c r="J143" i="10"/>
  <c r="L143" i="10"/>
  <c r="M143" i="10"/>
  <c r="N143" i="10"/>
  <c r="O143" i="10"/>
  <c r="P143" i="10"/>
  <c r="R143" i="10"/>
  <c r="S143" i="10"/>
  <c r="T143" i="10"/>
  <c r="U143" i="10"/>
  <c r="V143" i="10"/>
  <c r="W143" i="10"/>
  <c r="X143" i="10"/>
  <c r="Y143" i="10"/>
  <c r="Z143" i="10"/>
  <c r="AA143" i="10"/>
  <c r="AB143" i="10"/>
  <c r="AC143" i="10"/>
  <c r="AD143" i="10"/>
  <c r="AE143" i="10"/>
  <c r="AF143" i="10"/>
  <c r="AG143" i="10"/>
  <c r="AH143" i="10"/>
  <c r="B144" i="10"/>
  <c r="C144" i="10"/>
  <c r="F144" i="10"/>
  <c r="G144" i="10"/>
  <c r="H144" i="10"/>
  <c r="I144" i="10"/>
  <c r="J144" i="10"/>
  <c r="K144" i="10"/>
  <c r="L144" i="10"/>
  <c r="M144" i="10"/>
  <c r="N144" i="10"/>
  <c r="O144" i="10"/>
  <c r="P144" i="10"/>
  <c r="Q144" i="10"/>
  <c r="R144" i="10"/>
  <c r="T144" i="10"/>
  <c r="U144" i="10"/>
  <c r="V144" i="10"/>
  <c r="W144" i="10"/>
  <c r="X144" i="10"/>
  <c r="Y144" i="10"/>
  <c r="Z144" i="10"/>
  <c r="AA144" i="10"/>
  <c r="AB144" i="10"/>
  <c r="AC144" i="10"/>
  <c r="AD144" i="10"/>
  <c r="AE144" i="10"/>
  <c r="AF144" i="10"/>
  <c r="AG144" i="10"/>
  <c r="AH144" i="10"/>
  <c r="AI144" i="10"/>
  <c r="B145" i="10"/>
  <c r="C145" i="10"/>
  <c r="F145" i="10"/>
  <c r="G145" i="10"/>
  <c r="H145" i="10"/>
  <c r="I145" i="10"/>
  <c r="J145" i="10"/>
  <c r="K145" i="10"/>
  <c r="L145" i="10"/>
  <c r="M145" i="10"/>
  <c r="N145" i="10"/>
  <c r="O145" i="10"/>
  <c r="P145" i="10"/>
  <c r="Q145" i="10"/>
  <c r="R145" i="10"/>
  <c r="S145" i="10"/>
  <c r="U145" i="10"/>
  <c r="V145" i="10"/>
  <c r="W145" i="10"/>
  <c r="X145" i="10"/>
  <c r="Y145" i="10"/>
  <c r="Z145" i="10"/>
  <c r="AA145" i="10"/>
  <c r="AB145" i="10"/>
  <c r="AC145" i="10"/>
  <c r="AD145" i="10"/>
  <c r="AE145" i="10"/>
  <c r="AF145" i="10"/>
  <c r="AG145" i="10"/>
  <c r="AH145" i="10"/>
  <c r="AI145" i="10"/>
  <c r="B146" i="10"/>
  <c r="C146" i="10"/>
  <c r="D146" i="10"/>
  <c r="E146" i="10"/>
  <c r="F146" i="10"/>
  <c r="H146" i="10"/>
  <c r="J146" i="10"/>
  <c r="K146" i="10"/>
  <c r="L146" i="10"/>
  <c r="M146" i="10"/>
  <c r="N146" i="10"/>
  <c r="O146" i="10"/>
  <c r="P146" i="10"/>
  <c r="R146" i="10"/>
  <c r="S146" i="10"/>
  <c r="T146" i="10"/>
  <c r="U146" i="10"/>
  <c r="V146" i="10"/>
  <c r="W146" i="10"/>
  <c r="X146" i="10"/>
  <c r="Y146" i="10"/>
  <c r="Z146" i="10"/>
  <c r="AA146" i="10"/>
  <c r="AB146" i="10"/>
  <c r="AC146" i="10"/>
  <c r="AD146" i="10"/>
  <c r="AE146" i="10"/>
  <c r="AF146" i="10"/>
  <c r="AG146" i="10"/>
  <c r="AH146" i="10"/>
  <c r="B147" i="10"/>
  <c r="C147" i="10"/>
  <c r="F147" i="10"/>
  <c r="G147" i="10"/>
  <c r="H147" i="10"/>
  <c r="J147" i="10"/>
  <c r="L147" i="10"/>
  <c r="M147" i="10"/>
  <c r="N147" i="10"/>
  <c r="O147" i="10"/>
  <c r="P147" i="10"/>
  <c r="R147" i="10"/>
  <c r="S147" i="10"/>
  <c r="T147" i="10"/>
  <c r="U147" i="10"/>
  <c r="V147" i="10"/>
  <c r="W147" i="10"/>
  <c r="X147" i="10"/>
  <c r="Y147" i="10"/>
  <c r="Z147" i="10"/>
  <c r="AA147" i="10"/>
  <c r="AB147" i="10"/>
  <c r="AC147" i="10"/>
  <c r="AD147" i="10"/>
  <c r="AE147" i="10"/>
  <c r="AF147" i="10"/>
  <c r="AG147" i="10"/>
  <c r="AH147" i="10"/>
  <c r="AI147" i="10"/>
  <c r="B148" i="10"/>
  <c r="C148" i="10"/>
  <c r="F148" i="10"/>
  <c r="H148" i="10"/>
  <c r="J148" i="10"/>
  <c r="L148" i="10"/>
  <c r="M148" i="10"/>
  <c r="N148" i="10"/>
  <c r="O148" i="10"/>
  <c r="P148" i="10"/>
  <c r="R148" i="10"/>
  <c r="S148" i="10"/>
  <c r="T148" i="10"/>
  <c r="U148" i="10"/>
  <c r="V148" i="10"/>
  <c r="W148" i="10"/>
  <c r="X148" i="10"/>
  <c r="Y148" i="10"/>
  <c r="Z148" i="10"/>
  <c r="AA148" i="10"/>
  <c r="AB148" i="10"/>
  <c r="AC148" i="10"/>
  <c r="AD148" i="10"/>
  <c r="AE148" i="10"/>
  <c r="AF148" i="10"/>
  <c r="AG148" i="10"/>
  <c r="AH148" i="10"/>
  <c r="AI148" i="10"/>
  <c r="B149" i="10"/>
  <c r="C149" i="10"/>
  <c r="F149" i="10"/>
  <c r="G149" i="10"/>
  <c r="H149" i="10"/>
  <c r="I149" i="10"/>
  <c r="J149" i="10"/>
  <c r="L149" i="10"/>
  <c r="M149" i="10"/>
  <c r="N149" i="10"/>
  <c r="O149" i="10"/>
  <c r="P149" i="10"/>
  <c r="R149" i="10"/>
  <c r="S149" i="10"/>
  <c r="T149" i="10"/>
  <c r="U149" i="10"/>
  <c r="V149" i="10"/>
  <c r="W149" i="10"/>
  <c r="X149" i="10"/>
  <c r="Y149" i="10"/>
  <c r="Z149" i="10"/>
  <c r="AA149" i="10"/>
  <c r="AB149" i="10"/>
  <c r="AC149" i="10"/>
  <c r="AD149" i="10"/>
  <c r="AE149" i="10"/>
  <c r="AF149" i="10"/>
  <c r="AG149" i="10"/>
  <c r="AH149" i="10"/>
  <c r="AI149" i="10"/>
  <c r="B150" i="10"/>
  <c r="C150" i="10"/>
  <c r="F150" i="10"/>
  <c r="H150" i="10"/>
  <c r="J150" i="10"/>
  <c r="K150" i="10"/>
  <c r="L150" i="10"/>
  <c r="M150" i="10"/>
  <c r="N150" i="10"/>
  <c r="O150" i="10"/>
  <c r="P150" i="10"/>
  <c r="R150" i="10"/>
  <c r="S150" i="10"/>
  <c r="U150" i="10"/>
  <c r="V150" i="10"/>
  <c r="W150" i="10"/>
  <c r="X150" i="10"/>
  <c r="Y150" i="10"/>
  <c r="Z150" i="10"/>
  <c r="AA150" i="10"/>
  <c r="AB150" i="10"/>
  <c r="AC150" i="10"/>
  <c r="AD150" i="10"/>
  <c r="AE150" i="10"/>
  <c r="AF150" i="10"/>
  <c r="AG150" i="10"/>
  <c r="AH150" i="10"/>
  <c r="AI150" i="10"/>
  <c r="B151" i="10"/>
  <c r="C151" i="10"/>
  <c r="F151" i="10"/>
  <c r="H151" i="10"/>
  <c r="J151" i="10"/>
  <c r="K151" i="10"/>
  <c r="L151" i="10"/>
  <c r="M151" i="10"/>
  <c r="N151" i="10"/>
  <c r="O151" i="10"/>
  <c r="P151" i="10"/>
  <c r="R151" i="10"/>
  <c r="S151" i="10"/>
  <c r="U151" i="10"/>
  <c r="V151" i="10"/>
  <c r="W151" i="10"/>
  <c r="X151" i="10"/>
  <c r="Y151" i="10"/>
  <c r="Z151" i="10"/>
  <c r="AA151" i="10"/>
  <c r="AB151" i="10"/>
  <c r="AC151" i="10"/>
  <c r="AD151" i="10"/>
  <c r="AE151" i="10"/>
  <c r="AF151" i="10"/>
  <c r="AG151" i="10"/>
  <c r="AH151" i="10"/>
  <c r="AI151" i="10"/>
  <c r="B152" i="10"/>
  <c r="C152" i="10"/>
  <c r="F152" i="10"/>
  <c r="G152" i="10"/>
  <c r="H152" i="10"/>
  <c r="I152" i="10"/>
  <c r="J152" i="10"/>
  <c r="K152" i="10"/>
  <c r="L152" i="10"/>
  <c r="M152" i="10"/>
  <c r="N152" i="10"/>
  <c r="O152" i="10"/>
  <c r="P152" i="10"/>
  <c r="R152" i="10"/>
  <c r="S152" i="10"/>
  <c r="T152" i="10"/>
  <c r="U152" i="10"/>
  <c r="V152" i="10"/>
  <c r="W152" i="10"/>
  <c r="X152" i="10"/>
  <c r="Y152" i="10"/>
  <c r="Z152" i="10"/>
  <c r="AA152" i="10"/>
  <c r="AC152" i="10"/>
  <c r="AD152" i="10"/>
  <c r="AE152" i="10"/>
  <c r="AF152" i="10"/>
  <c r="AG152" i="10"/>
  <c r="AH152" i="10"/>
  <c r="AI152" i="10"/>
  <c r="B153" i="10"/>
  <c r="C153" i="10"/>
  <c r="F153" i="10"/>
  <c r="G153" i="10"/>
  <c r="H153" i="10"/>
  <c r="I153" i="10"/>
  <c r="J153" i="10"/>
  <c r="K153" i="10"/>
  <c r="L153" i="10"/>
  <c r="M153" i="10"/>
  <c r="N153" i="10"/>
  <c r="O153" i="10"/>
  <c r="P153" i="10"/>
  <c r="R153" i="10"/>
  <c r="S153" i="10"/>
  <c r="T153" i="10"/>
  <c r="U153" i="10"/>
  <c r="V153" i="10"/>
  <c r="Y153" i="10"/>
  <c r="Z153" i="10"/>
  <c r="AA153" i="10"/>
  <c r="AB153" i="10"/>
  <c r="AC153" i="10"/>
  <c r="AD153" i="10"/>
  <c r="AE153" i="10"/>
  <c r="AF153" i="10"/>
  <c r="AG153" i="10"/>
  <c r="AH153" i="10"/>
  <c r="AI153" i="10"/>
  <c r="A150" i="10"/>
  <c r="A151" i="10"/>
  <c r="A152" i="10"/>
  <c r="A153" i="10"/>
  <c r="A149" i="10"/>
  <c r="A148" i="10"/>
  <c r="A144" i="10"/>
  <c r="A145" i="10"/>
  <c r="A146" i="10"/>
  <c r="A147" i="10"/>
  <c r="A143" i="10"/>
  <c r="B138" i="10"/>
  <c r="C138" i="10"/>
  <c r="F138" i="10"/>
  <c r="H138" i="10"/>
  <c r="J138" i="10"/>
  <c r="L138" i="10"/>
  <c r="M138" i="10"/>
  <c r="N138" i="10"/>
  <c r="O138" i="10"/>
  <c r="P138" i="10"/>
  <c r="R138" i="10"/>
  <c r="S138" i="10"/>
  <c r="T138" i="10"/>
  <c r="U138" i="10"/>
  <c r="V138" i="10"/>
  <c r="W138" i="10"/>
  <c r="X138" i="10"/>
  <c r="Y138" i="10"/>
  <c r="Z138" i="10"/>
  <c r="AA138" i="10"/>
  <c r="AB138" i="10"/>
  <c r="AC138" i="10"/>
  <c r="AD138" i="10"/>
  <c r="AE138" i="10"/>
  <c r="AF138" i="10"/>
  <c r="AG138" i="10"/>
  <c r="AH138" i="10"/>
  <c r="AI138" i="10"/>
  <c r="B139" i="10"/>
  <c r="C139" i="10"/>
  <c r="F139" i="10"/>
  <c r="H139" i="10"/>
  <c r="J139" i="10"/>
  <c r="K139" i="10"/>
  <c r="L139" i="10"/>
  <c r="N139" i="10"/>
  <c r="O139" i="10"/>
  <c r="P139" i="10"/>
  <c r="R139" i="10"/>
  <c r="S139" i="10"/>
  <c r="T139" i="10"/>
  <c r="U139" i="10"/>
  <c r="V139" i="10"/>
  <c r="W139" i="10"/>
  <c r="X139" i="10"/>
  <c r="Y139" i="10"/>
  <c r="Z139" i="10"/>
  <c r="AA139" i="10"/>
  <c r="AB139" i="10"/>
  <c r="AC139" i="10"/>
  <c r="AD139" i="10"/>
  <c r="AE139" i="10"/>
  <c r="AF139" i="10"/>
  <c r="AG139" i="10"/>
  <c r="AH139" i="10"/>
  <c r="AI139" i="10"/>
  <c r="B140" i="10"/>
  <c r="C140" i="10"/>
  <c r="F140" i="10"/>
  <c r="H140" i="10"/>
  <c r="J140" i="10"/>
  <c r="K140" i="10"/>
  <c r="L140" i="10"/>
  <c r="N140" i="10"/>
  <c r="O140" i="10"/>
  <c r="P140" i="10"/>
  <c r="R140" i="10"/>
  <c r="S140" i="10"/>
  <c r="T140" i="10"/>
  <c r="U140" i="10"/>
  <c r="V140" i="10"/>
  <c r="W140" i="10"/>
  <c r="X140" i="10"/>
  <c r="Y140" i="10"/>
  <c r="Z140" i="10"/>
  <c r="AA140" i="10"/>
  <c r="AB140" i="10"/>
  <c r="AC140" i="10"/>
  <c r="AD140" i="10"/>
  <c r="AE140" i="10"/>
  <c r="AF140" i="10"/>
  <c r="AG140" i="10"/>
  <c r="AH140" i="10"/>
  <c r="AI140" i="10"/>
  <c r="B141" i="10"/>
  <c r="C141" i="10"/>
  <c r="F141" i="10"/>
  <c r="H141" i="10"/>
  <c r="I141" i="10"/>
  <c r="J141" i="10"/>
  <c r="L141" i="10"/>
  <c r="M141" i="10"/>
  <c r="N141" i="10"/>
  <c r="O141" i="10"/>
  <c r="P141" i="10"/>
  <c r="R141" i="10"/>
  <c r="S141" i="10"/>
  <c r="T141" i="10"/>
  <c r="U141" i="10"/>
  <c r="V141" i="10"/>
  <c r="W141" i="10"/>
  <c r="X141" i="10"/>
  <c r="Y141" i="10"/>
  <c r="Z141" i="10"/>
  <c r="AA141" i="10"/>
  <c r="AB141" i="10"/>
  <c r="AC141" i="10"/>
  <c r="AD141" i="10"/>
  <c r="AE141" i="10"/>
  <c r="AF141" i="10"/>
  <c r="AG141" i="10"/>
  <c r="AH141" i="10"/>
  <c r="AI141" i="10"/>
  <c r="B142" i="10"/>
  <c r="C142" i="10"/>
  <c r="F142" i="10"/>
  <c r="H142" i="10"/>
  <c r="J142" i="10"/>
  <c r="L142" i="10"/>
  <c r="M142" i="10"/>
  <c r="N142" i="10"/>
  <c r="O142" i="10"/>
  <c r="P142" i="10"/>
  <c r="R142" i="10"/>
  <c r="S142" i="10"/>
  <c r="T142" i="10"/>
  <c r="U142" i="10"/>
  <c r="V142" i="10"/>
  <c r="W142" i="10"/>
  <c r="X142" i="10"/>
  <c r="Y142" i="10"/>
  <c r="Z142" i="10"/>
  <c r="AA142" i="10"/>
  <c r="AB142" i="10"/>
  <c r="AC142" i="10"/>
  <c r="AD142" i="10"/>
  <c r="AE142" i="10"/>
  <c r="AF142" i="10"/>
  <c r="AG142" i="10"/>
  <c r="AH142" i="10"/>
  <c r="AI142" i="10"/>
  <c r="A139" i="10"/>
  <c r="A140" i="10"/>
  <c r="A141" i="10"/>
  <c r="A142" i="10"/>
  <c r="A138" i="10"/>
  <c r="J137" i="10"/>
  <c r="B135" i="10"/>
  <c r="C135" i="10"/>
  <c r="F135" i="10"/>
  <c r="H135" i="10"/>
  <c r="J135" i="10"/>
  <c r="L135" i="10"/>
  <c r="M135" i="10"/>
  <c r="N135" i="10"/>
  <c r="O135" i="10"/>
  <c r="P135" i="10"/>
  <c r="R135" i="10"/>
  <c r="S135" i="10"/>
  <c r="T135" i="10"/>
  <c r="U135" i="10"/>
  <c r="V135" i="10"/>
  <c r="W135" i="10"/>
  <c r="X135" i="10"/>
  <c r="Y135" i="10"/>
  <c r="Z135" i="10"/>
  <c r="AA135" i="10"/>
  <c r="AB135" i="10"/>
  <c r="AC135" i="10"/>
  <c r="AD135" i="10"/>
  <c r="AE135" i="10"/>
  <c r="AF135" i="10"/>
  <c r="AG135" i="10"/>
  <c r="AH135" i="10"/>
  <c r="AI135" i="10"/>
  <c r="A135" i="10"/>
  <c r="J134" i="10"/>
  <c r="B133" i="10"/>
  <c r="C133" i="10"/>
  <c r="F133" i="10"/>
  <c r="H133" i="10"/>
  <c r="J133" i="10"/>
  <c r="L133" i="10"/>
  <c r="M133" i="10"/>
  <c r="N133" i="10"/>
  <c r="O133" i="10"/>
  <c r="P133" i="10"/>
  <c r="R133" i="10"/>
  <c r="S133" i="10"/>
  <c r="T133" i="10"/>
  <c r="U133" i="10"/>
  <c r="V133" i="10"/>
  <c r="W133" i="10"/>
  <c r="X133" i="10"/>
  <c r="Y133" i="10"/>
  <c r="Z133" i="10"/>
  <c r="AA133" i="10"/>
  <c r="AB133" i="10"/>
  <c r="AC133" i="10"/>
  <c r="AD133" i="10"/>
  <c r="AE133" i="10"/>
  <c r="AF133" i="10"/>
  <c r="AG133" i="10"/>
  <c r="AH133" i="10"/>
  <c r="AI133" i="10"/>
  <c r="A133" i="10"/>
  <c r="J132" i="10"/>
  <c r="B163" i="5"/>
  <c r="C163" i="5"/>
  <c r="F163" i="5"/>
  <c r="G163" i="5"/>
  <c r="H163" i="5"/>
  <c r="I163" i="5"/>
  <c r="J163" i="5"/>
  <c r="K163" i="5"/>
  <c r="L163" i="5"/>
  <c r="M163" i="5"/>
  <c r="N163" i="5"/>
  <c r="O163" i="5"/>
  <c r="P163" i="5"/>
  <c r="R163" i="5"/>
  <c r="S163" i="5"/>
  <c r="T163" i="5"/>
  <c r="U163" i="5"/>
  <c r="V163" i="5"/>
  <c r="W163" i="5"/>
  <c r="X163" i="5"/>
  <c r="Y163" i="5"/>
  <c r="Z163" i="5"/>
  <c r="AA163" i="5"/>
  <c r="AC163" i="5"/>
  <c r="AD163" i="5"/>
  <c r="AE163" i="5"/>
  <c r="AF163" i="5"/>
  <c r="AG163" i="5"/>
  <c r="AH163" i="5"/>
  <c r="AI163" i="5"/>
  <c r="A163" i="5"/>
  <c r="K162" i="5"/>
  <c r="B153" i="5"/>
  <c r="C153" i="5"/>
  <c r="F153" i="5"/>
  <c r="G153" i="5"/>
  <c r="H153" i="5"/>
  <c r="I153" i="5"/>
  <c r="J153" i="5"/>
  <c r="L153" i="5"/>
  <c r="M153" i="5"/>
  <c r="N153" i="5"/>
  <c r="O153" i="5"/>
  <c r="P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B154" i="5"/>
  <c r="C154" i="5"/>
  <c r="F154" i="5"/>
  <c r="H154" i="5"/>
  <c r="J154" i="5"/>
  <c r="L154" i="5"/>
  <c r="M154" i="5"/>
  <c r="N154" i="5"/>
  <c r="O154" i="5"/>
  <c r="P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B155" i="5"/>
  <c r="C155" i="5"/>
  <c r="F155" i="5"/>
  <c r="H155" i="5"/>
  <c r="J155" i="5"/>
  <c r="L155" i="5"/>
  <c r="M155" i="5"/>
  <c r="N155" i="5"/>
  <c r="O155" i="5"/>
  <c r="P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B156" i="5"/>
  <c r="C156" i="5"/>
  <c r="F156" i="5"/>
  <c r="H156" i="5"/>
  <c r="J156" i="5"/>
  <c r="K156" i="5"/>
  <c r="L156" i="5"/>
  <c r="N156" i="5"/>
  <c r="O156" i="5"/>
  <c r="P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B157" i="5"/>
  <c r="C157" i="5"/>
  <c r="F157" i="5"/>
  <c r="H157" i="5"/>
  <c r="J157" i="5"/>
  <c r="L157" i="5"/>
  <c r="M157" i="5"/>
  <c r="N157" i="5"/>
  <c r="O157" i="5"/>
  <c r="P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B158" i="5"/>
  <c r="C158" i="5"/>
  <c r="F158" i="5"/>
  <c r="H158" i="5"/>
  <c r="J158" i="5"/>
  <c r="K158" i="5"/>
  <c r="L158" i="5"/>
  <c r="N158" i="5"/>
  <c r="O158" i="5"/>
  <c r="P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B159" i="5"/>
  <c r="C159" i="5"/>
  <c r="F159" i="5"/>
  <c r="H159" i="5"/>
  <c r="J159" i="5"/>
  <c r="K159" i="5"/>
  <c r="L159" i="5"/>
  <c r="M159" i="5"/>
  <c r="N159" i="5"/>
  <c r="O159" i="5"/>
  <c r="P159" i="5"/>
  <c r="R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B160" i="5"/>
  <c r="C160" i="5"/>
  <c r="F160" i="5"/>
  <c r="H160" i="5"/>
  <c r="J160" i="5"/>
  <c r="K160" i="5"/>
  <c r="L160" i="5"/>
  <c r="M160" i="5"/>
  <c r="N160" i="5"/>
  <c r="O160" i="5"/>
  <c r="P160" i="5"/>
  <c r="R160" i="5"/>
  <c r="S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B161" i="5"/>
  <c r="C161" i="5"/>
  <c r="D161" i="5"/>
  <c r="E161" i="5"/>
  <c r="F161" i="5"/>
  <c r="H161" i="5"/>
  <c r="J161" i="5"/>
  <c r="K161" i="5"/>
  <c r="L161" i="5"/>
  <c r="M161" i="5"/>
  <c r="N161" i="5"/>
  <c r="O161" i="5"/>
  <c r="P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154" i="5"/>
  <c r="A155" i="5"/>
  <c r="A156" i="5"/>
  <c r="A157" i="5"/>
  <c r="A158" i="5"/>
  <c r="A159" i="5"/>
  <c r="A160" i="5"/>
  <c r="A161" i="5"/>
  <c r="A153" i="5"/>
  <c r="K152" i="5"/>
  <c r="B144" i="5"/>
  <c r="C144" i="5"/>
  <c r="D144" i="5"/>
  <c r="E144" i="5"/>
  <c r="F144" i="5"/>
  <c r="H144" i="5"/>
  <c r="J144" i="5"/>
  <c r="K144" i="5"/>
  <c r="L144" i="5"/>
  <c r="M144" i="5"/>
  <c r="N144" i="5"/>
  <c r="O144" i="5"/>
  <c r="P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B145" i="5"/>
  <c r="C145" i="5"/>
  <c r="F145" i="5"/>
  <c r="H145" i="5"/>
  <c r="J145" i="5"/>
  <c r="L145" i="5"/>
  <c r="M145" i="5"/>
  <c r="N145" i="5"/>
  <c r="O145" i="5"/>
  <c r="P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B146" i="5"/>
  <c r="C146" i="5"/>
  <c r="F146" i="5"/>
  <c r="H146" i="5"/>
  <c r="J146" i="5"/>
  <c r="K146" i="5"/>
  <c r="L146" i="5"/>
  <c r="N146" i="5"/>
  <c r="O146" i="5"/>
  <c r="P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B147" i="5"/>
  <c r="C147" i="5"/>
  <c r="F147" i="5"/>
  <c r="H147" i="5"/>
  <c r="J147" i="5"/>
  <c r="K147" i="5"/>
  <c r="L147" i="5"/>
  <c r="N147" i="5"/>
  <c r="O147" i="5"/>
  <c r="P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B148" i="5"/>
  <c r="C148" i="5"/>
  <c r="F148" i="5"/>
  <c r="G148" i="5"/>
  <c r="H148" i="5"/>
  <c r="I148" i="5"/>
  <c r="J148" i="5"/>
  <c r="K148" i="5"/>
  <c r="L148" i="5"/>
  <c r="M148" i="5"/>
  <c r="N148" i="5"/>
  <c r="O148" i="5"/>
  <c r="P148" i="5"/>
  <c r="R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B149" i="5"/>
  <c r="C149" i="5"/>
  <c r="F149" i="5"/>
  <c r="H149" i="5"/>
  <c r="J149" i="5"/>
  <c r="K149" i="5"/>
  <c r="L149" i="5"/>
  <c r="M149" i="5"/>
  <c r="N149" i="5"/>
  <c r="O149" i="5"/>
  <c r="P149" i="5"/>
  <c r="R149" i="5"/>
  <c r="S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B150" i="5"/>
  <c r="C150" i="5"/>
  <c r="F150" i="5"/>
  <c r="G150" i="5"/>
  <c r="H150" i="5"/>
  <c r="I150" i="5"/>
  <c r="J150" i="5"/>
  <c r="K150" i="5"/>
  <c r="L150" i="5"/>
  <c r="M150" i="5"/>
  <c r="N150" i="5"/>
  <c r="O150" i="5"/>
  <c r="P150" i="5"/>
  <c r="R150" i="5"/>
  <c r="S150" i="5"/>
  <c r="T150" i="5"/>
  <c r="U150" i="5"/>
  <c r="V150" i="5"/>
  <c r="W150" i="5"/>
  <c r="X150" i="5"/>
  <c r="Y150" i="5"/>
  <c r="Z150" i="5"/>
  <c r="AA150" i="5"/>
  <c r="AC150" i="5"/>
  <c r="AD150" i="5"/>
  <c r="AE150" i="5"/>
  <c r="AF150" i="5"/>
  <c r="AG150" i="5"/>
  <c r="AH150" i="5"/>
  <c r="AI150" i="5"/>
  <c r="B151" i="5"/>
  <c r="C151" i="5"/>
  <c r="F151" i="5"/>
  <c r="G151" i="5"/>
  <c r="H151" i="5"/>
  <c r="I151" i="5"/>
  <c r="J151" i="5"/>
  <c r="K151" i="5"/>
  <c r="L151" i="5"/>
  <c r="M151" i="5"/>
  <c r="N151" i="5"/>
  <c r="O151" i="5"/>
  <c r="P151" i="5"/>
  <c r="R151" i="5"/>
  <c r="S151" i="5"/>
  <c r="T151" i="5"/>
  <c r="U151" i="5"/>
  <c r="V151" i="5"/>
  <c r="Y151" i="5"/>
  <c r="Z151" i="5"/>
  <c r="AA151" i="5"/>
  <c r="AB151" i="5"/>
  <c r="AC151" i="5"/>
  <c r="AD151" i="5"/>
  <c r="AE151" i="5"/>
  <c r="AF151" i="5"/>
  <c r="AG151" i="5"/>
  <c r="AH151" i="5"/>
  <c r="AI151" i="5"/>
  <c r="A151" i="5"/>
  <c r="A146" i="5"/>
  <c r="A147" i="5"/>
  <c r="A148" i="5"/>
  <c r="A149" i="5"/>
  <c r="A150" i="5"/>
  <c r="A145" i="5"/>
  <c r="A144" i="5"/>
  <c r="K143" i="5"/>
  <c r="AJ143" i="5" s="1"/>
  <c r="B142" i="5"/>
  <c r="C142" i="5"/>
  <c r="F142" i="5"/>
  <c r="G142" i="5"/>
  <c r="H142" i="5"/>
  <c r="I142" i="5"/>
  <c r="J142" i="5"/>
  <c r="L142" i="5"/>
  <c r="M142" i="5"/>
  <c r="N142" i="5"/>
  <c r="O142" i="5"/>
  <c r="P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142" i="5"/>
  <c r="L141" i="5"/>
  <c r="B146" i="11"/>
  <c r="C146" i="11"/>
  <c r="F146" i="11"/>
  <c r="H146" i="11"/>
  <c r="J146" i="11"/>
  <c r="L146" i="11"/>
  <c r="M146" i="11"/>
  <c r="N146" i="11"/>
  <c r="O146" i="11"/>
  <c r="P146" i="11"/>
  <c r="R146" i="11"/>
  <c r="S146" i="11"/>
  <c r="T146" i="11"/>
  <c r="U146" i="11"/>
  <c r="V146" i="11"/>
  <c r="W146" i="11"/>
  <c r="X146" i="11"/>
  <c r="Y146" i="11"/>
  <c r="Z146" i="11"/>
  <c r="AA146" i="11"/>
  <c r="AB146" i="11"/>
  <c r="AC146" i="11"/>
  <c r="AD146" i="11"/>
  <c r="AE146" i="11"/>
  <c r="AF146" i="11"/>
  <c r="AG146" i="11"/>
  <c r="AH146" i="11"/>
  <c r="B147" i="11"/>
  <c r="C147" i="11"/>
  <c r="F147" i="11"/>
  <c r="H147" i="11"/>
  <c r="J147" i="11"/>
  <c r="K147" i="11"/>
  <c r="L147" i="11"/>
  <c r="N147" i="11"/>
  <c r="O147" i="11"/>
  <c r="P147" i="11"/>
  <c r="R147" i="11"/>
  <c r="S147" i="11"/>
  <c r="T147" i="11"/>
  <c r="U147" i="11"/>
  <c r="V147" i="11"/>
  <c r="W147" i="11"/>
  <c r="X147" i="11"/>
  <c r="Y147" i="11"/>
  <c r="Z147" i="11"/>
  <c r="AA147" i="11"/>
  <c r="AB147" i="11"/>
  <c r="AC147" i="11"/>
  <c r="AD147" i="11"/>
  <c r="AE147" i="11"/>
  <c r="AF147" i="11"/>
  <c r="AG147" i="11"/>
  <c r="AH147" i="11"/>
  <c r="B148" i="11"/>
  <c r="C148" i="11"/>
  <c r="F148" i="11"/>
  <c r="H148" i="11"/>
  <c r="J148" i="11"/>
  <c r="L148" i="11"/>
  <c r="M148" i="11"/>
  <c r="N148" i="11"/>
  <c r="O148" i="11"/>
  <c r="P148" i="11"/>
  <c r="R148" i="11"/>
  <c r="S148" i="11"/>
  <c r="T148" i="11"/>
  <c r="U148" i="11"/>
  <c r="V148" i="11"/>
  <c r="W148" i="11"/>
  <c r="X148" i="11"/>
  <c r="Y148" i="11"/>
  <c r="Z148" i="11"/>
  <c r="AA148" i="11"/>
  <c r="AB148" i="11"/>
  <c r="AC148" i="11"/>
  <c r="AD148" i="11"/>
  <c r="AE148" i="11"/>
  <c r="AF148" i="11"/>
  <c r="AG148" i="11"/>
  <c r="AH148" i="11"/>
  <c r="AI148" i="11"/>
  <c r="B149" i="11"/>
  <c r="C149" i="11"/>
  <c r="F149" i="11"/>
  <c r="H149" i="11"/>
  <c r="J149" i="11"/>
  <c r="K149" i="11"/>
  <c r="L149" i="11"/>
  <c r="N149" i="11"/>
  <c r="O149" i="11"/>
  <c r="P149" i="11"/>
  <c r="R149" i="11"/>
  <c r="S149" i="11"/>
  <c r="T149" i="11"/>
  <c r="U149" i="11"/>
  <c r="V149" i="11"/>
  <c r="W149" i="11"/>
  <c r="X149" i="11"/>
  <c r="Y149" i="11"/>
  <c r="Z149" i="11"/>
  <c r="AA149" i="11"/>
  <c r="AB149" i="11"/>
  <c r="AC149" i="11"/>
  <c r="AD149" i="11"/>
  <c r="AE149" i="11"/>
  <c r="AF149" i="11"/>
  <c r="AG149" i="11"/>
  <c r="AH149" i="11"/>
  <c r="B150" i="11"/>
  <c r="C150" i="11"/>
  <c r="F150" i="11"/>
  <c r="H150" i="11"/>
  <c r="J150" i="11"/>
  <c r="K150" i="11"/>
  <c r="L150" i="11"/>
  <c r="N150" i="11"/>
  <c r="O150" i="11"/>
  <c r="P150" i="11"/>
  <c r="R150" i="11"/>
  <c r="S150" i="11"/>
  <c r="T150" i="11"/>
  <c r="U150" i="11"/>
  <c r="V150" i="11"/>
  <c r="W150" i="11"/>
  <c r="X150" i="11"/>
  <c r="Y150" i="11"/>
  <c r="Z150" i="11"/>
  <c r="AA150" i="11"/>
  <c r="AB150" i="11"/>
  <c r="AC150" i="11"/>
  <c r="AD150" i="11"/>
  <c r="AE150" i="11"/>
  <c r="AF150" i="11"/>
  <c r="AG150" i="11"/>
  <c r="AH150" i="11"/>
  <c r="B151" i="11"/>
  <c r="C151" i="11"/>
  <c r="F151" i="11"/>
  <c r="H151" i="11"/>
  <c r="J151" i="11"/>
  <c r="L151" i="11"/>
  <c r="M151" i="11"/>
  <c r="N151" i="11"/>
  <c r="O151" i="11"/>
  <c r="P151" i="11"/>
  <c r="R151" i="11"/>
  <c r="S151" i="11"/>
  <c r="T151" i="11"/>
  <c r="U151" i="11"/>
  <c r="V151" i="11"/>
  <c r="W151" i="11"/>
  <c r="X151" i="11"/>
  <c r="Y151" i="11"/>
  <c r="Z151" i="11"/>
  <c r="AA151" i="11"/>
  <c r="AB151" i="11"/>
  <c r="AC151" i="11"/>
  <c r="AD151" i="11"/>
  <c r="AE151" i="11"/>
  <c r="AF151" i="11"/>
  <c r="AG151" i="11"/>
  <c r="AH151" i="11"/>
  <c r="B152" i="11"/>
  <c r="C152" i="11"/>
  <c r="F152" i="11"/>
  <c r="H152" i="11"/>
  <c r="J152" i="11"/>
  <c r="K152" i="11"/>
  <c r="L152" i="11"/>
  <c r="N152" i="11"/>
  <c r="O152" i="11"/>
  <c r="P152" i="11"/>
  <c r="R152" i="11"/>
  <c r="S152" i="11"/>
  <c r="T152" i="11"/>
  <c r="U152" i="11"/>
  <c r="V152" i="11"/>
  <c r="W152" i="11"/>
  <c r="X152" i="11"/>
  <c r="Y152" i="11"/>
  <c r="Z152" i="11"/>
  <c r="AA152" i="11"/>
  <c r="AB152" i="11"/>
  <c r="AC152" i="11"/>
  <c r="AD152" i="11"/>
  <c r="AE152" i="11"/>
  <c r="AF152" i="11"/>
  <c r="AG152" i="11"/>
  <c r="AH152" i="11"/>
  <c r="AI152" i="11"/>
  <c r="B153" i="11"/>
  <c r="C153" i="11"/>
  <c r="F153" i="11"/>
  <c r="H153" i="11"/>
  <c r="J153" i="11"/>
  <c r="K153" i="11"/>
  <c r="L153" i="11"/>
  <c r="N153" i="11"/>
  <c r="O153" i="11"/>
  <c r="P153" i="11"/>
  <c r="R153" i="11"/>
  <c r="S153" i="11"/>
  <c r="T153" i="11"/>
  <c r="U153" i="11"/>
  <c r="V153" i="11"/>
  <c r="W153" i="11"/>
  <c r="X153" i="11"/>
  <c r="Y153" i="11"/>
  <c r="Z153" i="11"/>
  <c r="AA153" i="11"/>
  <c r="AB153" i="11"/>
  <c r="AC153" i="11"/>
  <c r="AD153" i="11"/>
  <c r="AE153" i="11"/>
  <c r="AF153" i="11"/>
  <c r="AG153" i="11"/>
  <c r="AH153" i="11"/>
  <c r="B154" i="11"/>
  <c r="C154" i="11"/>
  <c r="F154" i="11"/>
  <c r="H154" i="11"/>
  <c r="J154" i="11"/>
  <c r="L154" i="11"/>
  <c r="M154" i="11"/>
  <c r="N154" i="11"/>
  <c r="O154" i="11"/>
  <c r="P154" i="11"/>
  <c r="R154" i="11"/>
  <c r="S154" i="11"/>
  <c r="T154" i="11"/>
  <c r="U154" i="11"/>
  <c r="V154" i="11"/>
  <c r="W154" i="11"/>
  <c r="X154" i="11"/>
  <c r="Y154" i="11"/>
  <c r="Z154" i="11"/>
  <c r="AA154" i="11"/>
  <c r="AB154" i="11"/>
  <c r="AC154" i="11"/>
  <c r="AD154" i="11"/>
  <c r="AE154" i="11"/>
  <c r="AF154" i="11"/>
  <c r="AG154" i="11"/>
  <c r="AH154" i="11"/>
  <c r="AI154" i="11"/>
  <c r="B155" i="11"/>
  <c r="C155" i="11"/>
  <c r="F155" i="11"/>
  <c r="G155" i="11"/>
  <c r="H155" i="11"/>
  <c r="I155" i="11"/>
  <c r="J155" i="11"/>
  <c r="K155" i="11"/>
  <c r="L155" i="11"/>
  <c r="M155" i="11"/>
  <c r="N155" i="11"/>
  <c r="O155" i="11"/>
  <c r="P155" i="11"/>
  <c r="Q155" i="11"/>
  <c r="R155" i="11"/>
  <c r="T155" i="11"/>
  <c r="U155" i="11"/>
  <c r="V155" i="11"/>
  <c r="W155" i="11"/>
  <c r="X155" i="11"/>
  <c r="Y155" i="11"/>
  <c r="Z155" i="11"/>
  <c r="AA155" i="11"/>
  <c r="AB155" i="11"/>
  <c r="AC155" i="11"/>
  <c r="AD155" i="11"/>
  <c r="AE155" i="11"/>
  <c r="AF155" i="11"/>
  <c r="AG155" i="11"/>
  <c r="AH155" i="11"/>
  <c r="AI155" i="11"/>
  <c r="B156" i="11"/>
  <c r="C156" i="11"/>
  <c r="D156" i="11"/>
  <c r="E156" i="11"/>
  <c r="F156" i="11"/>
  <c r="H156" i="11"/>
  <c r="J156" i="11"/>
  <c r="K156" i="11"/>
  <c r="L156" i="11"/>
  <c r="M156" i="11"/>
  <c r="N156" i="11"/>
  <c r="O156" i="11"/>
  <c r="P156" i="11"/>
  <c r="R156" i="11"/>
  <c r="S156" i="11"/>
  <c r="T156" i="11"/>
  <c r="U156" i="11"/>
  <c r="V156" i="11"/>
  <c r="W156" i="11"/>
  <c r="X156" i="11"/>
  <c r="Y156" i="11"/>
  <c r="Z156" i="11"/>
  <c r="AA156" i="11"/>
  <c r="AB156" i="11"/>
  <c r="AC156" i="11"/>
  <c r="AD156" i="11"/>
  <c r="AE156" i="11"/>
  <c r="AF156" i="11"/>
  <c r="AG156" i="11"/>
  <c r="AH156" i="11"/>
  <c r="B157" i="11"/>
  <c r="C157" i="11"/>
  <c r="F157" i="11"/>
  <c r="H157" i="11"/>
  <c r="J157" i="11"/>
  <c r="K157" i="11"/>
  <c r="L157" i="11"/>
  <c r="N157" i="11"/>
  <c r="O157" i="11"/>
  <c r="P157" i="11"/>
  <c r="R157" i="11"/>
  <c r="S157" i="11"/>
  <c r="T157" i="11"/>
  <c r="U157" i="11"/>
  <c r="V157" i="11"/>
  <c r="W157" i="11"/>
  <c r="X157" i="11"/>
  <c r="Y157" i="11"/>
  <c r="Z157" i="11"/>
  <c r="AA157" i="11"/>
  <c r="AB157" i="11"/>
  <c r="AC157" i="11"/>
  <c r="AD157" i="11"/>
  <c r="AE157" i="11"/>
  <c r="AF157" i="11"/>
  <c r="AG157" i="11"/>
  <c r="AH157" i="11"/>
  <c r="B158" i="11"/>
  <c r="C158" i="11"/>
  <c r="F158" i="11"/>
  <c r="G158" i="11"/>
  <c r="H158" i="11"/>
  <c r="J158" i="11"/>
  <c r="L158" i="11"/>
  <c r="M158" i="11"/>
  <c r="N158" i="11"/>
  <c r="O158" i="11"/>
  <c r="P158" i="11"/>
  <c r="R158" i="11"/>
  <c r="S158" i="11"/>
  <c r="T158" i="11"/>
  <c r="U158" i="11"/>
  <c r="V158" i="11"/>
  <c r="W158" i="11"/>
  <c r="X158" i="11"/>
  <c r="Y158" i="11"/>
  <c r="Z158" i="11"/>
  <c r="AA158" i="11"/>
  <c r="AB158" i="11"/>
  <c r="AC158" i="11"/>
  <c r="AD158" i="11"/>
  <c r="AE158" i="11"/>
  <c r="AF158" i="11"/>
  <c r="AG158" i="11"/>
  <c r="AH158" i="11"/>
  <c r="AI158" i="11"/>
  <c r="B159" i="11"/>
  <c r="C159" i="11"/>
  <c r="F159" i="11"/>
  <c r="G159" i="11"/>
  <c r="H159" i="11"/>
  <c r="I159" i="11"/>
  <c r="J159" i="11"/>
  <c r="K159" i="11"/>
  <c r="L159" i="11"/>
  <c r="M159" i="11"/>
  <c r="N159" i="11"/>
  <c r="O159" i="11"/>
  <c r="P159" i="11"/>
  <c r="R159" i="11"/>
  <c r="S159" i="11"/>
  <c r="U159" i="11"/>
  <c r="V159" i="11"/>
  <c r="W159" i="11"/>
  <c r="X159" i="11"/>
  <c r="Y159" i="11"/>
  <c r="Z159" i="11"/>
  <c r="AA159" i="11"/>
  <c r="AB159" i="11"/>
  <c r="AC159" i="11"/>
  <c r="AD159" i="11"/>
  <c r="AE159" i="11"/>
  <c r="AF159" i="11"/>
  <c r="AG159" i="11"/>
  <c r="AH159" i="11"/>
  <c r="AI159" i="11"/>
  <c r="B160" i="11"/>
  <c r="C160" i="11"/>
  <c r="F160" i="11"/>
  <c r="G160" i="11"/>
  <c r="H160" i="11"/>
  <c r="I160" i="11"/>
  <c r="J160" i="11"/>
  <c r="K160" i="11"/>
  <c r="L160" i="11"/>
  <c r="M160" i="11"/>
  <c r="N160" i="11"/>
  <c r="O160" i="11"/>
  <c r="P160" i="11"/>
  <c r="R160" i="11"/>
  <c r="S160" i="11"/>
  <c r="U160" i="11"/>
  <c r="V160" i="11"/>
  <c r="W160" i="11"/>
  <c r="X160" i="11"/>
  <c r="Y160" i="11"/>
  <c r="Z160" i="11"/>
  <c r="AA160" i="11"/>
  <c r="AB160" i="11"/>
  <c r="AC160" i="11"/>
  <c r="AD160" i="11"/>
  <c r="AE160" i="11"/>
  <c r="AF160" i="11"/>
  <c r="AG160" i="11"/>
  <c r="AH160" i="11"/>
  <c r="AI160" i="11"/>
  <c r="B161" i="11"/>
  <c r="C161" i="11"/>
  <c r="F161" i="11"/>
  <c r="G161" i="11"/>
  <c r="H161" i="11"/>
  <c r="I161" i="11"/>
  <c r="J161" i="11"/>
  <c r="K161" i="11"/>
  <c r="L161" i="11"/>
  <c r="M161" i="11"/>
  <c r="N161" i="11"/>
  <c r="O161" i="11"/>
  <c r="P161" i="11"/>
  <c r="R161" i="11"/>
  <c r="S161" i="11"/>
  <c r="T161" i="11"/>
  <c r="U161" i="11"/>
  <c r="V161" i="11"/>
  <c r="W161" i="11"/>
  <c r="X161" i="11"/>
  <c r="Y161" i="11"/>
  <c r="Z161" i="11"/>
  <c r="AA161" i="11"/>
  <c r="AC161" i="11"/>
  <c r="AD161" i="11"/>
  <c r="AE161" i="11"/>
  <c r="AF161" i="11"/>
  <c r="AG161" i="11"/>
  <c r="AH161" i="11"/>
  <c r="AI161" i="11"/>
  <c r="B162" i="11"/>
  <c r="C162" i="11"/>
  <c r="F162" i="11"/>
  <c r="G162" i="11"/>
  <c r="H162" i="11"/>
  <c r="I162" i="11"/>
  <c r="J162" i="11"/>
  <c r="K162" i="11"/>
  <c r="L162" i="11"/>
  <c r="M162" i="11"/>
  <c r="N162" i="11"/>
  <c r="O162" i="11"/>
  <c r="P162" i="11"/>
  <c r="R162" i="11"/>
  <c r="S162" i="11"/>
  <c r="T162" i="11"/>
  <c r="U162" i="11"/>
  <c r="V162" i="11"/>
  <c r="Y162" i="11"/>
  <c r="Z162" i="11"/>
  <c r="AA162" i="11"/>
  <c r="AB162" i="11"/>
  <c r="AC162" i="11"/>
  <c r="AD162" i="11"/>
  <c r="AE162" i="11"/>
  <c r="AF162" i="11"/>
  <c r="AG162" i="11"/>
  <c r="AH162" i="11"/>
  <c r="AI162" i="11"/>
  <c r="A160" i="11"/>
  <c r="A161" i="11"/>
  <c r="A162" i="11"/>
  <c r="A159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46" i="11"/>
  <c r="K145" i="11"/>
  <c r="L144" i="11"/>
  <c r="B128" i="10"/>
  <c r="C128" i="10"/>
  <c r="F128" i="10"/>
  <c r="H128" i="10"/>
  <c r="J128" i="10"/>
  <c r="K128" i="10"/>
  <c r="L128" i="10"/>
  <c r="N128" i="10"/>
  <c r="O128" i="10"/>
  <c r="P128" i="10"/>
  <c r="R128" i="10"/>
  <c r="S128" i="10"/>
  <c r="T128" i="10"/>
  <c r="U128" i="10"/>
  <c r="V128" i="10"/>
  <c r="W128" i="10"/>
  <c r="X128" i="10"/>
  <c r="Y128" i="10"/>
  <c r="Z128" i="10"/>
  <c r="AA128" i="10"/>
  <c r="AB128" i="10"/>
  <c r="AC128" i="10"/>
  <c r="AD128" i="10"/>
  <c r="AE128" i="10"/>
  <c r="AF128" i="10"/>
  <c r="AG128" i="10"/>
  <c r="AH128" i="10"/>
  <c r="B129" i="10"/>
  <c r="C129" i="10"/>
  <c r="F129" i="10"/>
  <c r="H129" i="10"/>
  <c r="J129" i="10"/>
  <c r="L129" i="10"/>
  <c r="M129" i="10"/>
  <c r="N129" i="10"/>
  <c r="O129" i="10"/>
  <c r="P129" i="10"/>
  <c r="R129" i="10"/>
  <c r="S129" i="10"/>
  <c r="T129" i="10"/>
  <c r="U129" i="10"/>
  <c r="V129" i="10"/>
  <c r="W129" i="10"/>
  <c r="X129" i="10"/>
  <c r="Y129" i="10"/>
  <c r="Z129" i="10"/>
  <c r="AA129" i="10"/>
  <c r="AB129" i="10"/>
  <c r="AC129" i="10"/>
  <c r="AD129" i="10"/>
  <c r="AE129" i="10"/>
  <c r="AF129" i="10"/>
  <c r="AG129" i="10"/>
  <c r="AH129" i="10"/>
  <c r="A129" i="10"/>
  <c r="A128" i="10"/>
  <c r="J127" i="10"/>
  <c r="J126" i="10"/>
  <c r="B135" i="5"/>
  <c r="C135" i="5"/>
  <c r="F135" i="5"/>
  <c r="F139" i="5" s="1"/>
  <c r="H135" i="5"/>
  <c r="H139" i="5" s="1"/>
  <c r="J135" i="5"/>
  <c r="J139" i="5" s="1"/>
  <c r="L135" i="5"/>
  <c r="L139" i="5" s="1"/>
  <c r="M135" i="5"/>
  <c r="M139" i="5" s="1"/>
  <c r="N135" i="5"/>
  <c r="N139" i="5" s="1"/>
  <c r="O135" i="5"/>
  <c r="O139" i="5" s="1"/>
  <c r="P135" i="5"/>
  <c r="P139" i="5" s="1"/>
  <c r="R135" i="5"/>
  <c r="R139" i="5" s="1"/>
  <c r="S135" i="5"/>
  <c r="S139" i="5" s="1"/>
  <c r="T135" i="5"/>
  <c r="U135" i="5"/>
  <c r="U139" i="5" s="1"/>
  <c r="V135" i="5"/>
  <c r="V139" i="5" s="1"/>
  <c r="W135" i="5"/>
  <c r="X135" i="5"/>
  <c r="Y135" i="5"/>
  <c r="Y139" i="5" s="1"/>
  <c r="Z135" i="5"/>
  <c r="Z139" i="5" s="1"/>
  <c r="AA135" i="5"/>
  <c r="AA139" i="5" s="1"/>
  <c r="AB135" i="5"/>
  <c r="AB139" i="5" s="1"/>
  <c r="AC135" i="5"/>
  <c r="AC139" i="5" s="1"/>
  <c r="AD135" i="5"/>
  <c r="AD139" i="5" s="1"/>
  <c r="AE135" i="5"/>
  <c r="AE139" i="5" s="1"/>
  <c r="AF135" i="5"/>
  <c r="AF139" i="5" s="1"/>
  <c r="AG135" i="5"/>
  <c r="AG139" i="5" s="1"/>
  <c r="AH135" i="5"/>
  <c r="AH139" i="5" s="1"/>
  <c r="AI135" i="5"/>
  <c r="AI139" i="5" s="1"/>
  <c r="A135" i="5"/>
  <c r="K134" i="5"/>
  <c r="L133" i="5"/>
  <c r="B116" i="12"/>
  <c r="C116" i="12"/>
  <c r="F116" i="12"/>
  <c r="G116" i="12"/>
  <c r="H116" i="12"/>
  <c r="J116" i="12"/>
  <c r="K116" i="12"/>
  <c r="L116" i="12"/>
  <c r="N116" i="12"/>
  <c r="O116" i="12"/>
  <c r="P116" i="12"/>
  <c r="R116" i="12"/>
  <c r="S116" i="12"/>
  <c r="T116" i="12"/>
  <c r="V116" i="12"/>
  <c r="W116" i="12"/>
  <c r="X116" i="12"/>
  <c r="Y116" i="12"/>
  <c r="Z116" i="12"/>
  <c r="AA116" i="12"/>
  <c r="AB116" i="12"/>
  <c r="AC116" i="12"/>
  <c r="AD116" i="12"/>
  <c r="AE116" i="12"/>
  <c r="AF116" i="12"/>
  <c r="AG116" i="12"/>
  <c r="AH116" i="12"/>
  <c r="B117" i="12"/>
  <c r="C117" i="12"/>
  <c r="F117" i="12"/>
  <c r="G117" i="12"/>
  <c r="H117" i="12"/>
  <c r="J117" i="12"/>
  <c r="K117" i="12"/>
  <c r="L117" i="12"/>
  <c r="N117" i="12"/>
  <c r="O117" i="12"/>
  <c r="P117" i="12"/>
  <c r="R117" i="12"/>
  <c r="S117" i="12"/>
  <c r="T117" i="12"/>
  <c r="V117" i="12"/>
  <c r="W117" i="12"/>
  <c r="X117" i="12"/>
  <c r="Y117" i="12"/>
  <c r="Z117" i="12"/>
  <c r="AA117" i="12"/>
  <c r="AB117" i="12"/>
  <c r="AC117" i="12"/>
  <c r="AD117" i="12"/>
  <c r="AE117" i="12"/>
  <c r="AF117" i="12"/>
  <c r="AG117" i="12"/>
  <c r="AH117" i="12"/>
  <c r="B118" i="12"/>
  <c r="C118" i="12"/>
  <c r="F118" i="12"/>
  <c r="G118" i="12"/>
  <c r="H118" i="12"/>
  <c r="J118" i="12"/>
  <c r="K118" i="12"/>
  <c r="L118" i="12"/>
  <c r="N118" i="12"/>
  <c r="O118" i="12"/>
  <c r="P118" i="12"/>
  <c r="R118" i="12"/>
  <c r="S118" i="12"/>
  <c r="T118" i="12"/>
  <c r="V118" i="12"/>
  <c r="W118" i="12"/>
  <c r="X118" i="12"/>
  <c r="Y118" i="12"/>
  <c r="Z118" i="12"/>
  <c r="AA118" i="12"/>
  <c r="AB118" i="12"/>
  <c r="AC118" i="12"/>
  <c r="AD118" i="12"/>
  <c r="AE118" i="12"/>
  <c r="AF118" i="12"/>
  <c r="AG118" i="12"/>
  <c r="AH118" i="12"/>
  <c r="B119" i="12"/>
  <c r="C119" i="12"/>
  <c r="F119" i="12"/>
  <c r="G119" i="12"/>
  <c r="H119" i="12"/>
  <c r="J119" i="12"/>
  <c r="K119" i="12"/>
  <c r="L119" i="12"/>
  <c r="N119" i="12"/>
  <c r="O119" i="12"/>
  <c r="P119" i="12"/>
  <c r="R119" i="12"/>
  <c r="S119" i="12"/>
  <c r="T119" i="12"/>
  <c r="V119" i="12"/>
  <c r="W119" i="12"/>
  <c r="X119" i="12"/>
  <c r="Y119" i="12"/>
  <c r="Z119" i="12"/>
  <c r="AA119" i="12"/>
  <c r="AB119" i="12"/>
  <c r="AC119" i="12"/>
  <c r="AD119" i="12"/>
  <c r="AE119" i="12"/>
  <c r="AF119" i="12"/>
  <c r="AG119" i="12"/>
  <c r="AH119" i="12"/>
  <c r="B120" i="12"/>
  <c r="C120" i="12"/>
  <c r="F120" i="12"/>
  <c r="G120" i="12"/>
  <c r="H120" i="12"/>
  <c r="J120" i="12"/>
  <c r="K120" i="12"/>
  <c r="L120" i="12"/>
  <c r="N120" i="12"/>
  <c r="O120" i="12"/>
  <c r="P120" i="12"/>
  <c r="R120" i="12"/>
  <c r="S120" i="12"/>
  <c r="T120" i="12"/>
  <c r="V120" i="12"/>
  <c r="W120" i="12"/>
  <c r="X120" i="12"/>
  <c r="Y120" i="12"/>
  <c r="Z120" i="12"/>
  <c r="AA120" i="12"/>
  <c r="AB120" i="12"/>
  <c r="AC120" i="12"/>
  <c r="AD120" i="12"/>
  <c r="AE120" i="12"/>
  <c r="AF120" i="12"/>
  <c r="AG120" i="12"/>
  <c r="AH120" i="12"/>
  <c r="B121" i="12"/>
  <c r="C121" i="12"/>
  <c r="F121" i="12"/>
  <c r="G121" i="12"/>
  <c r="H121" i="12"/>
  <c r="J121" i="12"/>
  <c r="K121" i="12"/>
  <c r="L121" i="12"/>
  <c r="N121" i="12"/>
  <c r="O121" i="12"/>
  <c r="P121" i="12"/>
  <c r="R121" i="12"/>
  <c r="S121" i="12"/>
  <c r="T121" i="12"/>
  <c r="V121" i="12"/>
  <c r="W121" i="12"/>
  <c r="X121" i="12"/>
  <c r="Y121" i="12"/>
  <c r="Z121" i="12"/>
  <c r="AA121" i="12"/>
  <c r="AB121" i="12"/>
  <c r="AC121" i="12"/>
  <c r="AD121" i="12"/>
  <c r="AE121" i="12"/>
  <c r="AF121" i="12"/>
  <c r="AG121" i="12"/>
  <c r="AH121" i="12"/>
  <c r="AI121" i="12"/>
  <c r="A121" i="12"/>
  <c r="A120" i="12"/>
  <c r="A119" i="12"/>
  <c r="A117" i="12"/>
  <c r="A118" i="12"/>
  <c r="A116" i="12"/>
  <c r="K115" i="12"/>
  <c r="L114" i="12"/>
  <c r="B133" i="11"/>
  <c r="C133" i="11"/>
  <c r="F133" i="11"/>
  <c r="G133" i="11"/>
  <c r="H133" i="11"/>
  <c r="I133" i="11"/>
  <c r="L133" i="11"/>
  <c r="M133" i="11"/>
  <c r="N133" i="11"/>
  <c r="O133" i="11"/>
  <c r="P133" i="11"/>
  <c r="R133" i="11"/>
  <c r="S133" i="11"/>
  <c r="T133" i="11"/>
  <c r="U133" i="11"/>
  <c r="V133" i="11"/>
  <c r="W133" i="11"/>
  <c r="X133" i="11"/>
  <c r="Y133" i="11"/>
  <c r="Z133" i="11"/>
  <c r="AA133" i="11"/>
  <c r="AB133" i="11"/>
  <c r="AC133" i="11"/>
  <c r="AD133" i="11"/>
  <c r="AE133" i="11"/>
  <c r="AF133" i="11"/>
  <c r="AG133" i="11"/>
  <c r="AH133" i="11"/>
  <c r="AI133" i="11"/>
  <c r="B134" i="11"/>
  <c r="C134" i="11"/>
  <c r="F134" i="11"/>
  <c r="G134" i="11"/>
  <c r="H134" i="11"/>
  <c r="L134" i="11"/>
  <c r="M134" i="11"/>
  <c r="N134" i="11"/>
  <c r="O134" i="11"/>
  <c r="P134" i="11"/>
  <c r="R134" i="11"/>
  <c r="S134" i="11"/>
  <c r="T134" i="11"/>
  <c r="U134" i="11"/>
  <c r="V134" i="11"/>
  <c r="W134" i="11"/>
  <c r="X134" i="11"/>
  <c r="Y134" i="11"/>
  <c r="Z134" i="11"/>
  <c r="AA134" i="11"/>
  <c r="AB134" i="11"/>
  <c r="AC134" i="11"/>
  <c r="AD134" i="11"/>
  <c r="AE134" i="11"/>
  <c r="AF134" i="11"/>
  <c r="AG134" i="11"/>
  <c r="AH134" i="11"/>
  <c r="AI134" i="11"/>
  <c r="B135" i="11"/>
  <c r="C135" i="11"/>
  <c r="F135" i="11"/>
  <c r="H135" i="11"/>
  <c r="L135" i="11"/>
  <c r="M135" i="11"/>
  <c r="N135" i="11"/>
  <c r="O135" i="11"/>
  <c r="P135" i="11"/>
  <c r="R135" i="11"/>
  <c r="S135" i="11"/>
  <c r="T135" i="11"/>
  <c r="U135" i="11"/>
  <c r="V135" i="11"/>
  <c r="W135" i="11"/>
  <c r="X135" i="11"/>
  <c r="Y135" i="11"/>
  <c r="Z135" i="11"/>
  <c r="AA135" i="11"/>
  <c r="AB135" i="11"/>
  <c r="AC135" i="11"/>
  <c r="AD135" i="11"/>
  <c r="AE135" i="11"/>
  <c r="AF135" i="11"/>
  <c r="AG135" i="11"/>
  <c r="AH135" i="11"/>
  <c r="AI135" i="11"/>
  <c r="B136" i="11"/>
  <c r="C136" i="11"/>
  <c r="F136" i="11"/>
  <c r="G136" i="11"/>
  <c r="H136" i="11"/>
  <c r="K136" i="11"/>
  <c r="L136" i="11"/>
  <c r="N136" i="11"/>
  <c r="O136" i="11"/>
  <c r="P136" i="11"/>
  <c r="R136" i="11"/>
  <c r="S136" i="11"/>
  <c r="T136" i="11"/>
  <c r="U136" i="11"/>
  <c r="V136" i="11"/>
  <c r="W136" i="11"/>
  <c r="X136" i="11"/>
  <c r="Y136" i="11"/>
  <c r="Z136" i="11"/>
  <c r="AA136" i="11"/>
  <c r="AB136" i="11"/>
  <c r="AC136" i="11"/>
  <c r="AD136" i="11"/>
  <c r="AE136" i="11"/>
  <c r="AF136" i="11"/>
  <c r="AG136" i="11"/>
  <c r="AH136" i="11"/>
  <c r="AI136" i="11"/>
  <c r="B137" i="11"/>
  <c r="C137" i="11"/>
  <c r="F137" i="11"/>
  <c r="G137" i="11"/>
  <c r="H137" i="11"/>
  <c r="L137" i="11"/>
  <c r="M137" i="11"/>
  <c r="N137" i="11"/>
  <c r="O137" i="11"/>
  <c r="P137" i="11"/>
  <c r="R137" i="11"/>
  <c r="S137" i="11"/>
  <c r="T137" i="11"/>
  <c r="U137" i="11"/>
  <c r="V137" i="11"/>
  <c r="W137" i="11"/>
  <c r="X137" i="11"/>
  <c r="Y137" i="11"/>
  <c r="Z137" i="11"/>
  <c r="AA137" i="11"/>
  <c r="AB137" i="11"/>
  <c r="AC137" i="11"/>
  <c r="AD137" i="11"/>
  <c r="AE137" i="11"/>
  <c r="AF137" i="11"/>
  <c r="AG137" i="11"/>
  <c r="AH137" i="11"/>
  <c r="AI137" i="11"/>
  <c r="B138" i="11"/>
  <c r="C138" i="11"/>
  <c r="F138" i="11"/>
  <c r="G138" i="11"/>
  <c r="H138" i="11"/>
  <c r="L138" i="11"/>
  <c r="M138" i="11"/>
  <c r="N138" i="11"/>
  <c r="O138" i="11"/>
  <c r="P138" i="11"/>
  <c r="R138" i="11"/>
  <c r="S138" i="11"/>
  <c r="T138" i="11"/>
  <c r="U138" i="11"/>
  <c r="V138" i="11"/>
  <c r="W138" i="11"/>
  <c r="X138" i="11"/>
  <c r="Y138" i="11"/>
  <c r="Z138" i="11"/>
  <c r="AA138" i="11"/>
  <c r="AB138" i="11"/>
  <c r="AC138" i="11"/>
  <c r="AD138" i="11"/>
  <c r="AE138" i="11"/>
  <c r="AF138" i="11"/>
  <c r="AG138" i="11"/>
  <c r="AH138" i="11"/>
  <c r="AI138" i="11"/>
  <c r="B139" i="11"/>
  <c r="C139" i="11"/>
  <c r="F139" i="11"/>
  <c r="H139" i="11"/>
  <c r="L139" i="11"/>
  <c r="M139" i="11"/>
  <c r="N139" i="11"/>
  <c r="O139" i="11"/>
  <c r="P139" i="11"/>
  <c r="R139" i="11"/>
  <c r="S139" i="11"/>
  <c r="T139" i="11"/>
  <c r="U139" i="11"/>
  <c r="V139" i="11"/>
  <c r="W139" i="11"/>
  <c r="X139" i="11"/>
  <c r="Y139" i="11"/>
  <c r="Z139" i="11"/>
  <c r="AA139" i="11"/>
  <c r="AB139" i="11"/>
  <c r="AC139" i="11"/>
  <c r="AD139" i="11"/>
  <c r="AE139" i="11"/>
  <c r="AF139" i="11"/>
  <c r="AG139" i="11"/>
  <c r="AH139" i="11"/>
  <c r="AI139" i="11"/>
  <c r="B140" i="11"/>
  <c r="C140" i="11"/>
  <c r="F140" i="11"/>
  <c r="G140" i="11"/>
  <c r="H140" i="11"/>
  <c r="L140" i="11"/>
  <c r="M140" i="11"/>
  <c r="N140" i="11"/>
  <c r="O140" i="11"/>
  <c r="P140" i="11"/>
  <c r="R140" i="11"/>
  <c r="S140" i="11"/>
  <c r="T140" i="11"/>
  <c r="U140" i="11"/>
  <c r="V140" i="11"/>
  <c r="W140" i="11"/>
  <c r="X140" i="11"/>
  <c r="Y140" i="11"/>
  <c r="Z140" i="11"/>
  <c r="AA140" i="11"/>
  <c r="AB140" i="11"/>
  <c r="AC140" i="11"/>
  <c r="AD140" i="11"/>
  <c r="AE140" i="11"/>
  <c r="AF140" i="11"/>
  <c r="AG140" i="11"/>
  <c r="AH140" i="11"/>
  <c r="AI140" i="11"/>
  <c r="B141" i="11"/>
  <c r="C141" i="11"/>
  <c r="F141" i="11"/>
  <c r="G141" i="11"/>
  <c r="H141" i="11"/>
  <c r="I141" i="11"/>
  <c r="L141" i="11"/>
  <c r="M141" i="11"/>
  <c r="N141" i="11"/>
  <c r="O141" i="11"/>
  <c r="P141" i="11"/>
  <c r="Q141" i="11"/>
  <c r="R141" i="11"/>
  <c r="S141" i="11"/>
  <c r="T141" i="11"/>
  <c r="U141" i="11"/>
  <c r="V141" i="11"/>
  <c r="W141" i="11"/>
  <c r="X141" i="11"/>
  <c r="Y141" i="11"/>
  <c r="Z141" i="11"/>
  <c r="AA141" i="11"/>
  <c r="AB141" i="11"/>
  <c r="AC141" i="11"/>
  <c r="AD141" i="11"/>
  <c r="AE141" i="11"/>
  <c r="AF141" i="11"/>
  <c r="AG141" i="11"/>
  <c r="AH141" i="11"/>
  <c r="AI141" i="11"/>
  <c r="A141" i="11"/>
  <c r="A140" i="11"/>
  <c r="A137" i="11"/>
  <c r="A138" i="11"/>
  <c r="A139" i="11"/>
  <c r="A136" i="11"/>
  <c r="A134" i="11"/>
  <c r="A135" i="11"/>
  <c r="A133" i="11"/>
  <c r="K132" i="11"/>
  <c r="L131" i="11"/>
  <c r="B123" i="10"/>
  <c r="C123" i="10"/>
  <c r="F123" i="10"/>
  <c r="H123" i="10"/>
  <c r="J123" i="10"/>
  <c r="L123" i="10"/>
  <c r="M123" i="10"/>
  <c r="N123" i="10"/>
  <c r="O123" i="10"/>
  <c r="P123" i="10"/>
  <c r="R123" i="10"/>
  <c r="S123" i="10"/>
  <c r="T123" i="10"/>
  <c r="U123" i="10"/>
  <c r="V123" i="10"/>
  <c r="W123" i="10"/>
  <c r="X123" i="10"/>
  <c r="Y123" i="10"/>
  <c r="Z123" i="10"/>
  <c r="AA123" i="10"/>
  <c r="AB123" i="10"/>
  <c r="AC123" i="10"/>
  <c r="AD123" i="10"/>
  <c r="AE123" i="10"/>
  <c r="AF123" i="10"/>
  <c r="AG123" i="10"/>
  <c r="AH123" i="10"/>
  <c r="AI123" i="10"/>
  <c r="A123" i="10"/>
  <c r="J122" i="10"/>
  <c r="J121" i="10"/>
  <c r="B127" i="5"/>
  <c r="C127" i="5"/>
  <c r="F127" i="5"/>
  <c r="G127" i="5"/>
  <c r="H127" i="5"/>
  <c r="L127" i="5"/>
  <c r="M127" i="5"/>
  <c r="N127" i="5"/>
  <c r="O127" i="5"/>
  <c r="P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B128" i="5"/>
  <c r="C128" i="5"/>
  <c r="F128" i="5"/>
  <c r="G128" i="5"/>
  <c r="H128" i="5"/>
  <c r="K128" i="5"/>
  <c r="L128" i="5"/>
  <c r="N128" i="5"/>
  <c r="O128" i="5"/>
  <c r="P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B129" i="5"/>
  <c r="C129" i="5"/>
  <c r="F129" i="5"/>
  <c r="G129" i="5"/>
  <c r="H129" i="5"/>
  <c r="K129" i="5"/>
  <c r="L129" i="5"/>
  <c r="N129" i="5"/>
  <c r="O129" i="5"/>
  <c r="P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B130" i="5"/>
  <c r="C130" i="5"/>
  <c r="F130" i="5"/>
  <c r="G130" i="5"/>
  <c r="H130" i="5"/>
  <c r="K130" i="5"/>
  <c r="L130" i="5"/>
  <c r="N130" i="5"/>
  <c r="O130" i="5"/>
  <c r="P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130" i="5"/>
  <c r="A129" i="5"/>
  <c r="A128" i="5"/>
  <c r="A127" i="5"/>
  <c r="J126" i="5"/>
  <c r="J125" i="5"/>
  <c r="AG133" i="12" l="1"/>
  <c r="Y133" i="12"/>
  <c r="P133" i="12"/>
  <c r="T133" i="12"/>
  <c r="AA133" i="12"/>
  <c r="S133" i="12"/>
  <c r="H133" i="12"/>
  <c r="J133" i="12"/>
  <c r="AH133" i="12"/>
  <c r="Z133" i="12"/>
  <c r="R133" i="12"/>
  <c r="F133" i="12"/>
  <c r="Q26" i="40"/>
  <c r="AF133" i="12"/>
  <c r="X133" i="12"/>
  <c r="O133" i="12"/>
  <c r="R20" i="40"/>
  <c r="Q30" i="40"/>
  <c r="AE133" i="12"/>
  <c r="W133" i="12"/>
  <c r="N133" i="12"/>
  <c r="L20" i="40"/>
  <c r="AD133" i="12"/>
  <c r="V133" i="12"/>
  <c r="L133" i="12"/>
  <c r="AC133" i="12"/>
  <c r="U133" i="12"/>
  <c r="AA160" i="10"/>
  <c r="N160" i="10"/>
  <c r="AB160" i="10"/>
  <c r="O160" i="10"/>
  <c r="X160" i="10"/>
  <c r="J160" i="10"/>
  <c r="AH160" i="10"/>
  <c r="V160" i="10"/>
  <c r="F160" i="10"/>
  <c r="AC160" i="10"/>
  <c r="P160" i="10"/>
  <c r="Z160" i="10"/>
  <c r="M160" i="10"/>
  <c r="Y160" i="10"/>
  <c r="L160" i="10"/>
  <c r="AI160" i="10"/>
  <c r="W160" i="10"/>
  <c r="H160" i="10"/>
  <c r="AG160" i="10"/>
  <c r="U160" i="10"/>
  <c r="AF160" i="10"/>
  <c r="T160" i="10"/>
  <c r="AE160" i="10"/>
  <c r="S160" i="10"/>
  <c r="AD160" i="10"/>
  <c r="R160" i="10"/>
  <c r="P20" i="40"/>
  <c r="K34" i="41"/>
  <c r="H20" i="40"/>
  <c r="AE20" i="40"/>
  <c r="Z20" i="40"/>
  <c r="AJ34" i="40"/>
  <c r="Q30" i="41"/>
  <c r="AJ30" i="41" s="1"/>
  <c r="AJ29" i="40"/>
  <c r="Q25" i="41"/>
  <c r="AJ25" i="41" s="1"/>
  <c r="AJ27" i="40"/>
  <c r="U24" i="44"/>
  <c r="Q52" i="40"/>
  <c r="Q27" i="43" s="1"/>
  <c r="K27" i="43"/>
  <c r="K31" i="43" s="1"/>
  <c r="K33" i="43" s="1"/>
  <c r="Q47" i="40"/>
  <c r="Q41" i="41" s="1"/>
  <c r="M41" i="41"/>
  <c r="AJ37" i="40"/>
  <c r="Q32" i="41"/>
  <c r="AJ32" i="41" s="1"/>
  <c r="AJ26" i="40"/>
  <c r="Q24" i="41"/>
  <c r="Q46" i="40"/>
  <c r="Q40" i="41" s="1"/>
  <c r="M40" i="41"/>
  <c r="AJ31" i="40"/>
  <c r="Q27" i="41"/>
  <c r="AJ27" i="41" s="1"/>
  <c r="Q49" i="40"/>
  <c r="Q30" i="42" s="1"/>
  <c r="M30" i="42"/>
  <c r="AJ32" i="40"/>
  <c r="Q28" i="41"/>
  <c r="AJ28" i="41" s="1"/>
  <c r="AJ51" i="40"/>
  <c r="Q26" i="43"/>
  <c r="Q45" i="40"/>
  <c r="Q31" i="44" s="1"/>
  <c r="M31" i="44"/>
  <c r="AJ30" i="40"/>
  <c r="Q26" i="41"/>
  <c r="AJ26" i="41" s="1"/>
  <c r="AJ35" i="40"/>
  <c r="Q25" i="44"/>
  <c r="AJ24" i="43"/>
  <c r="N154" i="10"/>
  <c r="Z154" i="10"/>
  <c r="Y154" i="10"/>
  <c r="L154" i="10"/>
  <c r="AH154" i="10"/>
  <c r="V154" i="10"/>
  <c r="J154" i="10"/>
  <c r="AC154" i="10"/>
  <c r="AG154" i="10"/>
  <c r="U154" i="10"/>
  <c r="P154" i="10"/>
  <c r="AF154" i="10"/>
  <c r="H154" i="10"/>
  <c r="AE154" i="10"/>
  <c r="AD154" i="10"/>
  <c r="R154" i="10"/>
  <c r="F154" i="10"/>
  <c r="AA154" i="10"/>
  <c r="O154" i="10"/>
  <c r="F163" i="11"/>
  <c r="F142" i="11"/>
  <c r="AG20" i="40"/>
  <c r="AC20" i="40"/>
  <c r="AH20" i="40"/>
  <c r="X20" i="40"/>
  <c r="W59" i="40"/>
  <c r="T59" i="40"/>
  <c r="T16" i="40" s="1"/>
  <c r="T20" i="40" s="1"/>
  <c r="AB20" i="40"/>
  <c r="N20" i="40"/>
  <c r="AA20" i="40"/>
  <c r="AD20" i="40"/>
  <c r="AF20" i="40"/>
  <c r="AG73" i="40"/>
  <c r="AJ48" i="40"/>
  <c r="AJ50" i="40"/>
  <c r="AJ25" i="40"/>
  <c r="AJ36" i="40"/>
  <c r="AI56" i="40"/>
  <c r="AE73" i="40"/>
  <c r="P73" i="40"/>
  <c r="AJ33" i="40"/>
  <c r="AJ28" i="40"/>
  <c r="N73" i="40"/>
  <c r="AI39" i="40"/>
  <c r="K56" i="40"/>
  <c r="U56" i="40"/>
  <c r="Q39" i="40"/>
  <c r="Q19" i="40"/>
  <c r="M19" i="40"/>
  <c r="H73" i="40"/>
  <c r="X73" i="40"/>
  <c r="O73" i="40"/>
  <c r="O16" i="40"/>
  <c r="O20" i="40" s="1"/>
  <c r="AA73" i="40"/>
  <c r="AA21" i="40" s="1"/>
  <c r="M56" i="40"/>
  <c r="Y73" i="40"/>
  <c r="Y19" i="40"/>
  <c r="Y20" i="40" s="1"/>
  <c r="AJ52" i="40"/>
  <c r="J39" i="40"/>
  <c r="I56" i="40"/>
  <c r="L73" i="40"/>
  <c r="L21" i="40" s="1"/>
  <c r="K39" i="40"/>
  <c r="AB73" i="40"/>
  <c r="AD73" i="40"/>
  <c r="R73" i="40"/>
  <c r="J56" i="40"/>
  <c r="F16" i="40"/>
  <c r="F20" i="40" s="1"/>
  <c r="I39" i="40"/>
  <c r="U39" i="40"/>
  <c r="U59" i="40" s="1"/>
  <c r="AH73" i="40"/>
  <c r="M39" i="40"/>
  <c r="AF73" i="40"/>
  <c r="AC73" i="40"/>
  <c r="Z73" i="40"/>
  <c r="V73" i="40"/>
  <c r="V21" i="40" s="1"/>
  <c r="L164" i="5"/>
  <c r="AF164" i="5"/>
  <c r="AD164" i="5"/>
  <c r="R164" i="5"/>
  <c r="F164" i="5"/>
  <c r="AH164" i="5"/>
  <c r="V164" i="5"/>
  <c r="J164" i="5"/>
  <c r="AC164" i="5"/>
  <c r="AG164" i="5"/>
  <c r="U164" i="5"/>
  <c r="H164" i="5"/>
  <c r="AE164" i="5"/>
  <c r="Y164" i="5"/>
  <c r="P164" i="5"/>
  <c r="AA164" i="5"/>
  <c r="O164" i="5"/>
  <c r="Z164" i="5"/>
  <c r="N164" i="5"/>
  <c r="F122" i="12"/>
  <c r="F131" i="5"/>
  <c r="B127" i="11"/>
  <c r="C127" i="11"/>
  <c r="F127" i="11"/>
  <c r="H127" i="11"/>
  <c r="K127" i="11"/>
  <c r="L127" i="11"/>
  <c r="N127" i="11"/>
  <c r="O127" i="11"/>
  <c r="P127" i="11"/>
  <c r="R127" i="11"/>
  <c r="S127" i="11"/>
  <c r="T127" i="11"/>
  <c r="U127" i="11"/>
  <c r="V127" i="11"/>
  <c r="W127" i="11"/>
  <c r="X127" i="11"/>
  <c r="Y127" i="11"/>
  <c r="Z127" i="11"/>
  <c r="AA127" i="11"/>
  <c r="AB127" i="11"/>
  <c r="AC127" i="11"/>
  <c r="AD127" i="11"/>
  <c r="AE127" i="11"/>
  <c r="AF127" i="11"/>
  <c r="AG127" i="11"/>
  <c r="AH127" i="11"/>
  <c r="AI127" i="11"/>
  <c r="B128" i="11"/>
  <c r="C128" i="11"/>
  <c r="F128" i="11"/>
  <c r="G128" i="11"/>
  <c r="H128" i="11"/>
  <c r="I128" i="11"/>
  <c r="L128" i="11"/>
  <c r="M128" i="11"/>
  <c r="N128" i="11"/>
  <c r="O128" i="11"/>
  <c r="P128" i="11"/>
  <c r="R128" i="11"/>
  <c r="S128" i="11"/>
  <c r="T128" i="11"/>
  <c r="U128" i="11"/>
  <c r="V128" i="11"/>
  <c r="W128" i="11"/>
  <c r="X128" i="11"/>
  <c r="Y128" i="11"/>
  <c r="Z128" i="11"/>
  <c r="AA128" i="11"/>
  <c r="AB128" i="11"/>
  <c r="AC128" i="11"/>
  <c r="AD128" i="11"/>
  <c r="AE128" i="11"/>
  <c r="AF128" i="11"/>
  <c r="AG128" i="11"/>
  <c r="AH128" i="11"/>
  <c r="AI128" i="11"/>
  <c r="A128" i="11"/>
  <c r="A127" i="11"/>
  <c r="B115" i="10"/>
  <c r="C115" i="10"/>
  <c r="F115" i="10"/>
  <c r="H115" i="10"/>
  <c r="J115" i="10"/>
  <c r="L115" i="10"/>
  <c r="M115" i="10"/>
  <c r="N115" i="10"/>
  <c r="O115" i="10"/>
  <c r="P115" i="10"/>
  <c r="R115" i="10"/>
  <c r="S115" i="10"/>
  <c r="T115" i="10"/>
  <c r="U115" i="10"/>
  <c r="V115" i="10"/>
  <c r="W115" i="10"/>
  <c r="X115" i="10"/>
  <c r="Y115" i="10"/>
  <c r="Z115" i="10"/>
  <c r="AA115" i="10"/>
  <c r="AB115" i="10"/>
  <c r="AC115" i="10"/>
  <c r="AD115" i="10"/>
  <c r="AE115" i="10"/>
  <c r="AF115" i="10"/>
  <c r="AG115" i="10"/>
  <c r="AH115" i="10"/>
  <c r="AI115" i="10"/>
  <c r="B116" i="10"/>
  <c r="C116" i="10"/>
  <c r="F116" i="10"/>
  <c r="G116" i="10"/>
  <c r="H116" i="10"/>
  <c r="J116" i="10"/>
  <c r="L116" i="10"/>
  <c r="M116" i="10"/>
  <c r="N116" i="10"/>
  <c r="O116" i="10"/>
  <c r="P116" i="10"/>
  <c r="R116" i="10"/>
  <c r="S116" i="10"/>
  <c r="T116" i="10"/>
  <c r="U116" i="10"/>
  <c r="V116" i="10"/>
  <c r="W116" i="10"/>
  <c r="X116" i="10"/>
  <c r="Y116" i="10"/>
  <c r="Z116" i="10"/>
  <c r="AA116" i="10"/>
  <c r="AB116" i="10"/>
  <c r="AC116" i="10"/>
  <c r="AD116" i="10"/>
  <c r="AE116" i="10"/>
  <c r="AF116" i="10"/>
  <c r="AG116" i="10"/>
  <c r="AH116" i="10"/>
  <c r="AI116" i="10"/>
  <c r="B118" i="10"/>
  <c r="C118" i="10"/>
  <c r="F118" i="10"/>
  <c r="H118" i="10"/>
  <c r="J118" i="10"/>
  <c r="L118" i="10"/>
  <c r="M118" i="10"/>
  <c r="N118" i="10"/>
  <c r="O118" i="10"/>
  <c r="P118" i="10"/>
  <c r="R118" i="10"/>
  <c r="S118" i="10"/>
  <c r="T118" i="10"/>
  <c r="U118" i="10"/>
  <c r="V118" i="10"/>
  <c r="W118" i="10"/>
  <c r="X118" i="10"/>
  <c r="Y118" i="10"/>
  <c r="Z118" i="10"/>
  <c r="AA118" i="10"/>
  <c r="AB118" i="10"/>
  <c r="AC118" i="10"/>
  <c r="AD118" i="10"/>
  <c r="AE118" i="10"/>
  <c r="AF118" i="10"/>
  <c r="AG118" i="10"/>
  <c r="AH118" i="10"/>
  <c r="AI118" i="10"/>
  <c r="A118" i="10"/>
  <c r="A116" i="10"/>
  <c r="A115" i="10"/>
  <c r="J114" i="10"/>
  <c r="J113" i="10"/>
  <c r="B117" i="5"/>
  <c r="C117" i="5"/>
  <c r="F117" i="5"/>
  <c r="H117" i="5"/>
  <c r="J117" i="5"/>
  <c r="L117" i="5"/>
  <c r="M117" i="5"/>
  <c r="N117" i="5"/>
  <c r="O117" i="5"/>
  <c r="P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B118" i="5"/>
  <c r="C118" i="5"/>
  <c r="F118" i="5"/>
  <c r="H118" i="5"/>
  <c r="J118" i="5"/>
  <c r="L118" i="5"/>
  <c r="M118" i="5"/>
  <c r="N118" i="5"/>
  <c r="O118" i="5"/>
  <c r="P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B119" i="5"/>
  <c r="C119" i="5"/>
  <c r="F119" i="5"/>
  <c r="H119" i="5"/>
  <c r="J119" i="5"/>
  <c r="L119" i="5"/>
  <c r="M119" i="5"/>
  <c r="N119" i="5"/>
  <c r="O119" i="5"/>
  <c r="P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B120" i="5"/>
  <c r="C120" i="5"/>
  <c r="F120" i="5"/>
  <c r="G120" i="5"/>
  <c r="H120" i="5"/>
  <c r="I120" i="5"/>
  <c r="J120" i="5"/>
  <c r="K120" i="5"/>
  <c r="L120" i="5"/>
  <c r="M120" i="5"/>
  <c r="N120" i="5"/>
  <c r="O120" i="5"/>
  <c r="P120" i="5"/>
  <c r="R120" i="5"/>
  <c r="S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B121" i="5"/>
  <c r="C121" i="5"/>
  <c r="F121" i="5"/>
  <c r="G121" i="5"/>
  <c r="H121" i="5"/>
  <c r="I121" i="5"/>
  <c r="J121" i="5"/>
  <c r="K121" i="5"/>
  <c r="L121" i="5"/>
  <c r="M121" i="5"/>
  <c r="N121" i="5"/>
  <c r="O121" i="5"/>
  <c r="P121" i="5"/>
  <c r="R121" i="5"/>
  <c r="S121" i="5"/>
  <c r="T121" i="5"/>
  <c r="U121" i="5"/>
  <c r="V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B122" i="5"/>
  <c r="C122" i="5"/>
  <c r="F122" i="5"/>
  <c r="G122" i="5"/>
  <c r="H122" i="5"/>
  <c r="I122" i="5"/>
  <c r="J122" i="5"/>
  <c r="K122" i="5"/>
  <c r="L122" i="5"/>
  <c r="M122" i="5"/>
  <c r="N122" i="5"/>
  <c r="O122" i="5"/>
  <c r="P122" i="5"/>
  <c r="R122" i="5"/>
  <c r="S122" i="5"/>
  <c r="T122" i="5"/>
  <c r="U122" i="5"/>
  <c r="V122" i="5"/>
  <c r="W122" i="5"/>
  <c r="X122" i="5"/>
  <c r="Y122" i="5"/>
  <c r="Z122" i="5"/>
  <c r="AA122" i="5"/>
  <c r="AC122" i="5"/>
  <c r="AD122" i="5"/>
  <c r="AE122" i="5"/>
  <c r="AF122" i="5"/>
  <c r="AG122" i="5"/>
  <c r="AH122" i="5"/>
  <c r="AI122" i="5"/>
  <c r="A119" i="5"/>
  <c r="A120" i="5"/>
  <c r="A121" i="5"/>
  <c r="A122" i="5"/>
  <c r="A118" i="5"/>
  <c r="A117" i="5"/>
  <c r="K126" i="11"/>
  <c r="L125" i="11"/>
  <c r="J116" i="5"/>
  <c r="J115" i="5"/>
  <c r="B109" i="12"/>
  <c r="C109" i="12"/>
  <c r="F109" i="12"/>
  <c r="G109" i="12"/>
  <c r="H109" i="12"/>
  <c r="J109" i="12"/>
  <c r="K109" i="12"/>
  <c r="L109" i="12"/>
  <c r="N109" i="12"/>
  <c r="O109" i="12"/>
  <c r="P109" i="12"/>
  <c r="R109" i="12"/>
  <c r="S109" i="12"/>
  <c r="T109" i="12"/>
  <c r="V109" i="12"/>
  <c r="W109" i="12"/>
  <c r="X109" i="12"/>
  <c r="Y109" i="12"/>
  <c r="Z109" i="12"/>
  <c r="AA109" i="12"/>
  <c r="AB109" i="12"/>
  <c r="AC109" i="12"/>
  <c r="AD109" i="12"/>
  <c r="AE109" i="12"/>
  <c r="AF109" i="12"/>
  <c r="AG109" i="12"/>
  <c r="AH109" i="12"/>
  <c r="B110" i="12"/>
  <c r="C110" i="12"/>
  <c r="F110" i="12"/>
  <c r="G110" i="12"/>
  <c r="H110" i="12"/>
  <c r="J110" i="12"/>
  <c r="K110" i="12"/>
  <c r="L110" i="12"/>
  <c r="N110" i="12"/>
  <c r="O110" i="12"/>
  <c r="P110" i="12"/>
  <c r="R110" i="12"/>
  <c r="S110" i="12"/>
  <c r="T110" i="12"/>
  <c r="V110" i="12"/>
  <c r="W110" i="12"/>
  <c r="X110" i="12"/>
  <c r="Y110" i="12"/>
  <c r="Z110" i="12"/>
  <c r="AA110" i="12"/>
  <c r="AB110" i="12"/>
  <c r="AC110" i="12"/>
  <c r="AD110" i="12"/>
  <c r="AE110" i="12"/>
  <c r="AF110" i="12"/>
  <c r="AG110" i="12"/>
  <c r="AH110" i="12"/>
  <c r="B111" i="12"/>
  <c r="C111" i="12"/>
  <c r="F111" i="12"/>
  <c r="G111" i="12"/>
  <c r="H111" i="12"/>
  <c r="J111" i="12"/>
  <c r="K111" i="12"/>
  <c r="L111" i="12"/>
  <c r="N111" i="12"/>
  <c r="O111" i="12"/>
  <c r="P111" i="12"/>
  <c r="R111" i="12"/>
  <c r="S111" i="12"/>
  <c r="T111" i="12"/>
  <c r="V111" i="12"/>
  <c r="W111" i="12"/>
  <c r="X111" i="12"/>
  <c r="Y111" i="12"/>
  <c r="Z111" i="12"/>
  <c r="AA111" i="12"/>
  <c r="AB111" i="12"/>
  <c r="AC111" i="12"/>
  <c r="AD111" i="12"/>
  <c r="AE111" i="12"/>
  <c r="AF111" i="12"/>
  <c r="AG111" i="12"/>
  <c r="AH111" i="12"/>
  <c r="A111" i="12"/>
  <c r="A110" i="12"/>
  <c r="A109" i="12"/>
  <c r="I108" i="12"/>
  <c r="K107" i="12"/>
  <c r="L106" i="12"/>
  <c r="R21" i="40" l="1"/>
  <c r="J59" i="40"/>
  <c r="AI129" i="11"/>
  <c r="W129" i="11"/>
  <c r="AH129" i="11"/>
  <c r="V129" i="11"/>
  <c r="AJ47" i="40"/>
  <c r="Z21" i="40"/>
  <c r="AF21" i="40"/>
  <c r="H21" i="40"/>
  <c r="AD21" i="40"/>
  <c r="P21" i="40"/>
  <c r="AE21" i="40"/>
  <c r="Q34" i="41"/>
  <c r="Q31" i="43"/>
  <c r="Q33" i="43" s="1"/>
  <c r="AJ46" i="40"/>
  <c r="AJ49" i="40"/>
  <c r="AJ45" i="40"/>
  <c r="M59" i="40"/>
  <c r="M16" i="40" s="1"/>
  <c r="M20" i="40" s="1"/>
  <c r="H129" i="11"/>
  <c r="AG129" i="11"/>
  <c r="AF129" i="11"/>
  <c r="T129" i="11"/>
  <c r="AC129" i="11"/>
  <c r="Y129" i="11"/>
  <c r="X129" i="11"/>
  <c r="L129" i="11"/>
  <c r="AD129" i="11"/>
  <c r="R129" i="11"/>
  <c r="F129" i="11"/>
  <c r="AG21" i="40"/>
  <c r="AC21" i="40"/>
  <c r="AH21" i="40"/>
  <c r="AI59" i="40"/>
  <c r="AI16" i="40" s="1"/>
  <c r="AI20" i="40" s="1"/>
  <c r="T73" i="40"/>
  <c r="T21" i="40" s="1"/>
  <c r="N21" i="40"/>
  <c r="I59" i="40"/>
  <c r="AB21" i="40"/>
  <c r="X21" i="40"/>
  <c r="K59" i="40"/>
  <c r="K73" i="40" s="1"/>
  <c r="O21" i="40"/>
  <c r="AJ39" i="40"/>
  <c r="Y21" i="40"/>
  <c r="F21" i="40"/>
  <c r="U16" i="40"/>
  <c r="U20" i="40" s="1"/>
  <c r="U73" i="40"/>
  <c r="Q56" i="40"/>
  <c r="Q59" i="40" s="1"/>
  <c r="W16" i="40"/>
  <c r="W20" i="40" s="1"/>
  <c r="W73" i="40"/>
  <c r="AJ19" i="40"/>
  <c r="G16" i="40"/>
  <c r="G20" i="40" s="1"/>
  <c r="G73" i="40"/>
  <c r="S16" i="40"/>
  <c r="S20" i="40" s="1"/>
  <c r="S73" i="40"/>
  <c r="AE129" i="11"/>
  <c r="S129" i="11"/>
  <c r="AA129" i="11"/>
  <c r="O129" i="11"/>
  <c r="Z129" i="11"/>
  <c r="N129" i="11"/>
  <c r="U129" i="11"/>
  <c r="AB129" i="11"/>
  <c r="P129" i="11"/>
  <c r="B115" i="11"/>
  <c r="C115" i="11"/>
  <c r="F115" i="11"/>
  <c r="G115" i="11"/>
  <c r="H115" i="11"/>
  <c r="L115" i="11"/>
  <c r="M115" i="11"/>
  <c r="N115" i="11"/>
  <c r="O115" i="11"/>
  <c r="P115" i="11"/>
  <c r="R115" i="11"/>
  <c r="S115" i="11"/>
  <c r="T115" i="11"/>
  <c r="U115" i="11"/>
  <c r="V115" i="11"/>
  <c r="W115" i="11"/>
  <c r="X115" i="11"/>
  <c r="Y115" i="11"/>
  <c r="Z115" i="11"/>
  <c r="AA115" i="11"/>
  <c r="AB115" i="11"/>
  <c r="AC115" i="11"/>
  <c r="AD115" i="11"/>
  <c r="AE115" i="11"/>
  <c r="AF115" i="11"/>
  <c r="AG115" i="11"/>
  <c r="AH115" i="11"/>
  <c r="AI115" i="11"/>
  <c r="B116" i="11"/>
  <c r="C116" i="11"/>
  <c r="F116" i="11"/>
  <c r="H116" i="11"/>
  <c r="K116" i="11"/>
  <c r="L116" i="11"/>
  <c r="N116" i="11"/>
  <c r="O116" i="11"/>
  <c r="P116" i="11"/>
  <c r="R116" i="11"/>
  <c r="S116" i="11"/>
  <c r="T116" i="11"/>
  <c r="U116" i="11"/>
  <c r="V116" i="11"/>
  <c r="W116" i="11"/>
  <c r="X116" i="11"/>
  <c r="Y116" i="11"/>
  <c r="Z116" i="11"/>
  <c r="AA116" i="11"/>
  <c r="AB116" i="11"/>
  <c r="AC116" i="11"/>
  <c r="AD116" i="11"/>
  <c r="AE116" i="11"/>
  <c r="AF116" i="11"/>
  <c r="AG116" i="11"/>
  <c r="AH116" i="11"/>
  <c r="AI116" i="11"/>
  <c r="B117" i="11"/>
  <c r="C117" i="11"/>
  <c r="F117" i="11"/>
  <c r="H117" i="11"/>
  <c r="K117" i="11"/>
  <c r="L117" i="11"/>
  <c r="N117" i="11"/>
  <c r="O117" i="11"/>
  <c r="P117" i="11"/>
  <c r="R117" i="11"/>
  <c r="S117" i="11"/>
  <c r="T117" i="11"/>
  <c r="U117" i="11"/>
  <c r="V117" i="11"/>
  <c r="W117" i="11"/>
  <c r="X117" i="11"/>
  <c r="Y117" i="11"/>
  <c r="Z117" i="11"/>
  <c r="AA117" i="11"/>
  <c r="AB117" i="11"/>
  <c r="AC117" i="11"/>
  <c r="AD117" i="11"/>
  <c r="AE117" i="11"/>
  <c r="AF117" i="11"/>
  <c r="AG117" i="11"/>
  <c r="AH117" i="11"/>
  <c r="B118" i="11"/>
  <c r="C118" i="11"/>
  <c r="F118" i="11"/>
  <c r="H118" i="11"/>
  <c r="L118" i="11"/>
  <c r="M118" i="11"/>
  <c r="N118" i="11"/>
  <c r="O118" i="11"/>
  <c r="P118" i="11"/>
  <c r="R118" i="11"/>
  <c r="S118" i="11"/>
  <c r="T118" i="11"/>
  <c r="U118" i="11"/>
  <c r="V118" i="11"/>
  <c r="W118" i="11"/>
  <c r="X118" i="11"/>
  <c r="Y118" i="11"/>
  <c r="Z118" i="11"/>
  <c r="AA118" i="11"/>
  <c r="AB118" i="11"/>
  <c r="AC118" i="11"/>
  <c r="AD118" i="11"/>
  <c r="AE118" i="11"/>
  <c r="AF118" i="11"/>
  <c r="AG118" i="11"/>
  <c r="AH118" i="11"/>
  <c r="AI118" i="11"/>
  <c r="B119" i="11"/>
  <c r="C119" i="11"/>
  <c r="F119" i="11"/>
  <c r="H119" i="11"/>
  <c r="L119" i="11"/>
  <c r="M119" i="11"/>
  <c r="N119" i="11"/>
  <c r="O119" i="11"/>
  <c r="P119" i="11"/>
  <c r="R119" i="11"/>
  <c r="S119" i="11"/>
  <c r="T119" i="11"/>
  <c r="U119" i="11"/>
  <c r="V119" i="11"/>
  <c r="W119" i="11"/>
  <c r="X119" i="11"/>
  <c r="Y119" i="11"/>
  <c r="Z119" i="11"/>
  <c r="AA119" i="11"/>
  <c r="AB119" i="11"/>
  <c r="AC119" i="11"/>
  <c r="AD119" i="11"/>
  <c r="AE119" i="11"/>
  <c r="AF119" i="11"/>
  <c r="AG119" i="11"/>
  <c r="AH119" i="11"/>
  <c r="AI119" i="11"/>
  <c r="B120" i="11"/>
  <c r="C120" i="11"/>
  <c r="E120" i="11"/>
  <c r="F120" i="11"/>
  <c r="G120" i="11"/>
  <c r="H120" i="11"/>
  <c r="L120" i="11"/>
  <c r="M120" i="11"/>
  <c r="N120" i="11"/>
  <c r="O120" i="11"/>
  <c r="P120" i="11"/>
  <c r="R120" i="11"/>
  <c r="S120" i="11"/>
  <c r="T120" i="11"/>
  <c r="U120" i="11"/>
  <c r="V120" i="11"/>
  <c r="W120" i="11"/>
  <c r="X120" i="11"/>
  <c r="Y120" i="11"/>
  <c r="Z120" i="11"/>
  <c r="AA120" i="11"/>
  <c r="AB120" i="11"/>
  <c r="AC120" i="11"/>
  <c r="AD120" i="11"/>
  <c r="AE120" i="11"/>
  <c r="AF120" i="11"/>
  <c r="AG120" i="11"/>
  <c r="AH120" i="11"/>
  <c r="B121" i="11"/>
  <c r="C121" i="11"/>
  <c r="E121" i="11"/>
  <c r="F121" i="11"/>
  <c r="G121" i="11"/>
  <c r="H121" i="11"/>
  <c r="J121" i="11"/>
  <c r="L121" i="11"/>
  <c r="M121" i="11"/>
  <c r="N121" i="11"/>
  <c r="O121" i="11"/>
  <c r="P121" i="11"/>
  <c r="R121" i="11"/>
  <c r="S121" i="11"/>
  <c r="T121" i="11"/>
  <c r="U121" i="11"/>
  <c r="V121" i="11"/>
  <c r="W121" i="11"/>
  <c r="X121" i="11"/>
  <c r="Y121" i="11"/>
  <c r="Z121" i="11"/>
  <c r="AA121" i="11"/>
  <c r="AB121" i="11"/>
  <c r="AC121" i="11"/>
  <c r="AD121" i="11"/>
  <c r="AE121" i="11"/>
  <c r="AF121" i="11"/>
  <c r="AG121" i="11"/>
  <c r="AH121" i="11"/>
  <c r="B122" i="11"/>
  <c r="C122" i="11"/>
  <c r="E122" i="11"/>
  <c r="F122" i="11"/>
  <c r="H122" i="11"/>
  <c r="L122" i="11"/>
  <c r="M122" i="11"/>
  <c r="N122" i="11"/>
  <c r="O122" i="11"/>
  <c r="P122" i="11"/>
  <c r="R122" i="11"/>
  <c r="S122" i="11"/>
  <c r="T122" i="11"/>
  <c r="U122" i="11"/>
  <c r="V122" i="11"/>
  <c r="W122" i="11"/>
  <c r="X122" i="11"/>
  <c r="Y122" i="11"/>
  <c r="Z122" i="11"/>
  <c r="AA122" i="11"/>
  <c r="AB122" i="11"/>
  <c r="AC122" i="11"/>
  <c r="AD122" i="11"/>
  <c r="AE122" i="11"/>
  <c r="AF122" i="11"/>
  <c r="AG122" i="11"/>
  <c r="AH122" i="11"/>
  <c r="A119" i="11"/>
  <c r="A120" i="11"/>
  <c r="A121" i="11"/>
  <c r="A122" i="11"/>
  <c r="A118" i="11"/>
  <c r="K114" i="11"/>
  <c r="A116" i="11"/>
  <c r="A117" i="11"/>
  <c r="A115" i="11"/>
  <c r="B106" i="11"/>
  <c r="C106" i="11"/>
  <c r="F106" i="11"/>
  <c r="H106" i="11"/>
  <c r="L106" i="11"/>
  <c r="M106" i="11"/>
  <c r="N106" i="11"/>
  <c r="O106" i="11"/>
  <c r="P106" i="11"/>
  <c r="R106" i="11"/>
  <c r="S106" i="11"/>
  <c r="T106" i="11"/>
  <c r="U106" i="11"/>
  <c r="V106" i="11"/>
  <c r="W106" i="11"/>
  <c r="X106" i="11"/>
  <c r="Y106" i="11"/>
  <c r="Z106" i="11"/>
  <c r="AA106" i="11"/>
  <c r="AB106" i="11"/>
  <c r="AC106" i="11"/>
  <c r="AD106" i="11"/>
  <c r="AE106" i="11"/>
  <c r="AF106" i="11"/>
  <c r="AG106" i="11"/>
  <c r="AH106" i="11"/>
  <c r="AI106" i="11"/>
  <c r="B107" i="11"/>
  <c r="C107" i="11"/>
  <c r="F107" i="11"/>
  <c r="H107" i="11"/>
  <c r="L107" i="11"/>
  <c r="M107" i="11"/>
  <c r="N107" i="11"/>
  <c r="O107" i="11"/>
  <c r="P107" i="11"/>
  <c r="R107" i="11"/>
  <c r="S107" i="11"/>
  <c r="T107" i="11"/>
  <c r="U107" i="11"/>
  <c r="V107" i="11"/>
  <c r="W107" i="11"/>
  <c r="X107" i="11"/>
  <c r="Y107" i="11"/>
  <c r="Z107" i="11"/>
  <c r="AA107" i="11"/>
  <c r="AB107" i="11"/>
  <c r="AC107" i="11"/>
  <c r="AD107" i="11"/>
  <c r="AE107" i="11"/>
  <c r="AF107" i="11"/>
  <c r="AG107" i="11"/>
  <c r="AH107" i="11"/>
  <c r="B108" i="11"/>
  <c r="C108" i="11"/>
  <c r="F108" i="11"/>
  <c r="H108" i="11"/>
  <c r="K108" i="11"/>
  <c r="L108" i="11"/>
  <c r="N108" i="11"/>
  <c r="O108" i="11"/>
  <c r="P108" i="11"/>
  <c r="R108" i="11"/>
  <c r="S108" i="11"/>
  <c r="T108" i="11"/>
  <c r="U108" i="11"/>
  <c r="V108" i="11"/>
  <c r="W108" i="11"/>
  <c r="X108" i="11"/>
  <c r="Y108" i="11"/>
  <c r="Z108" i="11"/>
  <c r="AA108" i="11"/>
  <c r="AB108" i="11"/>
  <c r="AC108" i="11"/>
  <c r="AD108" i="11"/>
  <c r="AE108" i="11"/>
  <c r="AF108" i="11"/>
  <c r="AG108" i="11"/>
  <c r="AH108" i="11"/>
  <c r="AI108" i="11"/>
  <c r="B109" i="11"/>
  <c r="C109" i="11"/>
  <c r="F109" i="11"/>
  <c r="H109" i="11"/>
  <c r="K109" i="11"/>
  <c r="L109" i="11"/>
  <c r="N109" i="11"/>
  <c r="O109" i="11"/>
  <c r="P109" i="11"/>
  <c r="R109" i="11"/>
  <c r="S109" i="11"/>
  <c r="T109" i="11"/>
  <c r="U109" i="11"/>
  <c r="V109" i="11"/>
  <c r="W109" i="11"/>
  <c r="X109" i="11"/>
  <c r="Y109" i="11"/>
  <c r="Z109" i="11"/>
  <c r="AA109" i="11"/>
  <c r="AB109" i="11"/>
  <c r="AC109" i="11"/>
  <c r="AD109" i="11"/>
  <c r="AE109" i="11"/>
  <c r="AF109" i="11"/>
  <c r="AG109" i="11"/>
  <c r="AH109" i="11"/>
  <c r="AI109" i="11"/>
  <c r="B110" i="11"/>
  <c r="C110" i="11"/>
  <c r="F110" i="11"/>
  <c r="H110" i="11"/>
  <c r="L110" i="11"/>
  <c r="M110" i="11"/>
  <c r="N110" i="11"/>
  <c r="O110" i="11"/>
  <c r="P110" i="11"/>
  <c r="R110" i="11"/>
  <c r="S110" i="11"/>
  <c r="T110" i="11"/>
  <c r="U110" i="11"/>
  <c r="V110" i="11"/>
  <c r="W110" i="11"/>
  <c r="X110" i="11"/>
  <c r="Y110" i="11"/>
  <c r="Z110" i="11"/>
  <c r="AA110" i="11"/>
  <c r="AB110" i="11"/>
  <c r="AC110" i="11"/>
  <c r="AD110" i="11"/>
  <c r="AE110" i="11"/>
  <c r="AF110" i="11"/>
  <c r="AG110" i="11"/>
  <c r="AH110" i="11"/>
  <c r="AI110" i="11"/>
  <c r="B111" i="11"/>
  <c r="C111" i="11"/>
  <c r="F111" i="11"/>
  <c r="H111" i="11"/>
  <c r="L111" i="11"/>
  <c r="M111" i="11"/>
  <c r="N111" i="11"/>
  <c r="O111" i="11"/>
  <c r="P111" i="11"/>
  <c r="R111" i="11"/>
  <c r="S111" i="11"/>
  <c r="T111" i="11"/>
  <c r="U111" i="11"/>
  <c r="V111" i="11"/>
  <c r="W111" i="11"/>
  <c r="X111" i="11"/>
  <c r="Y111" i="11"/>
  <c r="Z111" i="11"/>
  <c r="AA111" i="11"/>
  <c r="AB111" i="11"/>
  <c r="AC111" i="11"/>
  <c r="AD111" i="11"/>
  <c r="AE111" i="11"/>
  <c r="AF111" i="11"/>
  <c r="AG111" i="11"/>
  <c r="AH111" i="11"/>
  <c r="AI111" i="11"/>
  <c r="B112" i="11"/>
  <c r="C112" i="11"/>
  <c r="F112" i="11"/>
  <c r="H112" i="11"/>
  <c r="J112" i="11"/>
  <c r="L112" i="11"/>
  <c r="M112" i="11"/>
  <c r="N112" i="11"/>
  <c r="O112" i="11"/>
  <c r="P112" i="11"/>
  <c r="R112" i="11"/>
  <c r="S112" i="11"/>
  <c r="T112" i="11"/>
  <c r="U112" i="11"/>
  <c r="V112" i="11"/>
  <c r="W112" i="11"/>
  <c r="X112" i="11"/>
  <c r="Y112" i="11"/>
  <c r="Z112" i="11"/>
  <c r="AA112" i="11"/>
  <c r="AB112" i="11"/>
  <c r="AC112" i="11"/>
  <c r="AD112" i="11"/>
  <c r="AE112" i="11"/>
  <c r="AF112" i="11"/>
  <c r="AG112" i="11"/>
  <c r="AH112" i="11"/>
  <c r="B113" i="11"/>
  <c r="C113" i="11"/>
  <c r="F113" i="11"/>
  <c r="H113" i="11"/>
  <c r="L113" i="11"/>
  <c r="M113" i="11"/>
  <c r="N113" i="11"/>
  <c r="O113" i="11"/>
  <c r="P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107" i="11"/>
  <c r="A108" i="11"/>
  <c r="A109" i="11"/>
  <c r="A110" i="11"/>
  <c r="A111" i="11"/>
  <c r="A112" i="11"/>
  <c r="A113" i="11"/>
  <c r="A106" i="11"/>
  <c r="K105" i="11"/>
  <c r="B77" i="11"/>
  <c r="C77" i="11"/>
  <c r="F77" i="11"/>
  <c r="H77" i="11"/>
  <c r="L77" i="11"/>
  <c r="M77" i="11"/>
  <c r="N77" i="11"/>
  <c r="O77" i="11"/>
  <c r="P77" i="11"/>
  <c r="R77" i="11"/>
  <c r="S77" i="11"/>
  <c r="T77" i="11"/>
  <c r="U77" i="11"/>
  <c r="V77" i="11"/>
  <c r="W77" i="11"/>
  <c r="X77" i="11"/>
  <c r="Y77" i="11"/>
  <c r="Z77" i="11"/>
  <c r="AA77" i="11"/>
  <c r="AB77" i="11"/>
  <c r="AC77" i="11"/>
  <c r="AD77" i="11"/>
  <c r="AE77" i="11"/>
  <c r="AF77" i="11"/>
  <c r="AG77" i="11"/>
  <c r="AH77" i="11"/>
  <c r="AI77" i="11"/>
  <c r="B78" i="11"/>
  <c r="C78" i="11"/>
  <c r="F78" i="11"/>
  <c r="H78" i="11"/>
  <c r="L78" i="11"/>
  <c r="M78" i="11"/>
  <c r="N78" i="11"/>
  <c r="O78" i="11"/>
  <c r="P78" i="11"/>
  <c r="R78" i="11"/>
  <c r="S78" i="11"/>
  <c r="T78" i="11"/>
  <c r="U78" i="11"/>
  <c r="V78" i="11"/>
  <c r="W78" i="11"/>
  <c r="X78" i="11"/>
  <c r="Y78" i="11"/>
  <c r="Z78" i="11"/>
  <c r="AA78" i="11"/>
  <c r="AB78" i="11"/>
  <c r="AC78" i="11"/>
  <c r="AD78" i="11"/>
  <c r="AE78" i="11"/>
  <c r="AF78" i="11"/>
  <c r="AG78" i="11"/>
  <c r="AH78" i="11"/>
  <c r="B79" i="11"/>
  <c r="C79" i="11"/>
  <c r="F79" i="11"/>
  <c r="H79" i="11"/>
  <c r="L79" i="11"/>
  <c r="M79" i="11"/>
  <c r="N79" i="11"/>
  <c r="O79" i="11"/>
  <c r="P79" i="11"/>
  <c r="R79" i="11"/>
  <c r="S79" i="11"/>
  <c r="T79" i="11"/>
  <c r="U79" i="11"/>
  <c r="V79" i="11"/>
  <c r="W79" i="11"/>
  <c r="X79" i="11"/>
  <c r="Y79" i="11"/>
  <c r="Z79" i="11"/>
  <c r="AA79" i="11"/>
  <c r="AB79" i="11"/>
  <c r="AC79" i="11"/>
  <c r="AD79" i="11"/>
  <c r="AE79" i="11"/>
  <c r="AF79" i="11"/>
  <c r="AG79" i="11"/>
  <c r="AH79" i="11"/>
  <c r="B80" i="11"/>
  <c r="C80" i="11"/>
  <c r="F80" i="11"/>
  <c r="H80" i="11"/>
  <c r="L80" i="11"/>
  <c r="M80" i="11"/>
  <c r="N80" i="11"/>
  <c r="O80" i="11"/>
  <c r="P80" i="11"/>
  <c r="R80" i="11"/>
  <c r="S80" i="11"/>
  <c r="T80" i="11"/>
  <c r="V80" i="11"/>
  <c r="W80" i="11"/>
  <c r="X80" i="11"/>
  <c r="Y80" i="11"/>
  <c r="Z80" i="11"/>
  <c r="AA80" i="11"/>
  <c r="AB80" i="11"/>
  <c r="AC80" i="11"/>
  <c r="AD80" i="11"/>
  <c r="AE80" i="11"/>
  <c r="AF80" i="11"/>
  <c r="AG80" i="11"/>
  <c r="AH80" i="11"/>
  <c r="B81" i="11"/>
  <c r="C81" i="11"/>
  <c r="F81" i="11"/>
  <c r="H81" i="11"/>
  <c r="I81" i="11"/>
  <c r="L81" i="11"/>
  <c r="M81" i="11"/>
  <c r="N81" i="11"/>
  <c r="O81" i="11"/>
  <c r="P81" i="11"/>
  <c r="R81" i="11"/>
  <c r="S81" i="11"/>
  <c r="T81" i="11"/>
  <c r="U81" i="11"/>
  <c r="V81" i="11"/>
  <c r="W81" i="11"/>
  <c r="X81" i="11"/>
  <c r="Y81" i="11"/>
  <c r="Z81" i="11"/>
  <c r="AA81" i="11"/>
  <c r="AB81" i="11"/>
  <c r="AC81" i="11"/>
  <c r="AD81" i="11"/>
  <c r="AE81" i="11"/>
  <c r="AF81" i="11"/>
  <c r="AG81" i="11"/>
  <c r="AH81" i="11"/>
  <c r="B82" i="11"/>
  <c r="C82" i="11"/>
  <c r="F82" i="11"/>
  <c r="H82" i="11"/>
  <c r="L82" i="11"/>
  <c r="M82" i="11"/>
  <c r="N82" i="11"/>
  <c r="O82" i="11"/>
  <c r="P82" i="11"/>
  <c r="R82" i="11"/>
  <c r="S82" i="11"/>
  <c r="T82" i="11"/>
  <c r="U82" i="11"/>
  <c r="V82" i="11"/>
  <c r="W82" i="11"/>
  <c r="X82" i="11"/>
  <c r="Y82" i="11"/>
  <c r="Z82" i="11"/>
  <c r="AA82" i="11"/>
  <c r="AB82" i="11"/>
  <c r="AC82" i="11"/>
  <c r="AD82" i="11"/>
  <c r="AE82" i="11"/>
  <c r="AF82" i="11"/>
  <c r="AG82" i="11"/>
  <c r="AH82" i="11"/>
  <c r="B83" i="11"/>
  <c r="C83" i="11"/>
  <c r="F83" i="11"/>
  <c r="H83" i="11"/>
  <c r="J83" i="11"/>
  <c r="L83" i="11"/>
  <c r="M83" i="11"/>
  <c r="N83" i="11"/>
  <c r="O83" i="11"/>
  <c r="P83" i="11"/>
  <c r="R83" i="11"/>
  <c r="S83" i="11"/>
  <c r="T83" i="11"/>
  <c r="U83" i="11"/>
  <c r="V83" i="11"/>
  <c r="W83" i="11"/>
  <c r="X83" i="11"/>
  <c r="Y83" i="11"/>
  <c r="Z83" i="11"/>
  <c r="AA83" i="11"/>
  <c r="AB83" i="11"/>
  <c r="AC83" i="11"/>
  <c r="AD83" i="11"/>
  <c r="AE83" i="11"/>
  <c r="AF83" i="11"/>
  <c r="AG83" i="11"/>
  <c r="AH83" i="11"/>
  <c r="AI83" i="11"/>
  <c r="B84" i="11"/>
  <c r="C84" i="11"/>
  <c r="F84" i="11"/>
  <c r="H84" i="11"/>
  <c r="J84" i="11"/>
  <c r="L84" i="11"/>
  <c r="M84" i="11"/>
  <c r="N84" i="11"/>
  <c r="O84" i="11"/>
  <c r="P84" i="11"/>
  <c r="R84" i="11"/>
  <c r="S84" i="11"/>
  <c r="T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B85" i="11"/>
  <c r="C85" i="11"/>
  <c r="F85" i="11"/>
  <c r="G85" i="11"/>
  <c r="H85" i="11"/>
  <c r="J85" i="11"/>
  <c r="L85" i="11"/>
  <c r="M85" i="11"/>
  <c r="N85" i="11"/>
  <c r="O85" i="11"/>
  <c r="P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85" i="11"/>
  <c r="B86" i="11"/>
  <c r="C86" i="11"/>
  <c r="F86" i="11"/>
  <c r="H86" i="11"/>
  <c r="L86" i="11"/>
  <c r="M86" i="11"/>
  <c r="N86" i="11"/>
  <c r="O86" i="11"/>
  <c r="P86" i="11"/>
  <c r="R86" i="11"/>
  <c r="S86" i="11"/>
  <c r="T86" i="11"/>
  <c r="V86" i="11"/>
  <c r="W86" i="11"/>
  <c r="X86" i="11"/>
  <c r="Y86" i="11"/>
  <c r="Z86" i="11"/>
  <c r="AA86" i="11"/>
  <c r="AB86" i="11"/>
  <c r="AC86" i="11"/>
  <c r="AD86" i="11"/>
  <c r="AE86" i="11"/>
  <c r="AF86" i="11"/>
  <c r="AG86" i="11"/>
  <c r="AH86" i="11"/>
  <c r="B87" i="11"/>
  <c r="C87" i="11"/>
  <c r="F87" i="11"/>
  <c r="H87" i="11"/>
  <c r="J87" i="11"/>
  <c r="L87" i="11"/>
  <c r="M87" i="11"/>
  <c r="N87" i="11"/>
  <c r="O87" i="11"/>
  <c r="P87" i="11"/>
  <c r="R87" i="11"/>
  <c r="S87" i="11"/>
  <c r="T87" i="11"/>
  <c r="U87" i="11"/>
  <c r="V87" i="11"/>
  <c r="W87" i="11"/>
  <c r="X87" i="11"/>
  <c r="Y87" i="11"/>
  <c r="Z87" i="11"/>
  <c r="AA87" i="11"/>
  <c r="AB87" i="11"/>
  <c r="AC87" i="11"/>
  <c r="AD87" i="11"/>
  <c r="AE87" i="11"/>
  <c r="AF87" i="11"/>
  <c r="AG87" i="11"/>
  <c r="AH87" i="11"/>
  <c r="AI87" i="11"/>
  <c r="B88" i="11"/>
  <c r="C88" i="11"/>
  <c r="F88" i="11"/>
  <c r="H88" i="11"/>
  <c r="J88" i="11"/>
  <c r="L88" i="11"/>
  <c r="M88" i="11"/>
  <c r="N88" i="11"/>
  <c r="O88" i="11"/>
  <c r="P88" i="11"/>
  <c r="R88" i="11"/>
  <c r="S88" i="11"/>
  <c r="T88" i="11"/>
  <c r="U88" i="11"/>
  <c r="V88" i="11"/>
  <c r="W88" i="11"/>
  <c r="X88" i="11"/>
  <c r="Y88" i="11"/>
  <c r="Z88" i="11"/>
  <c r="AA88" i="11"/>
  <c r="AB88" i="11"/>
  <c r="AC88" i="11"/>
  <c r="AD88" i="11"/>
  <c r="AE88" i="11"/>
  <c r="AF88" i="11"/>
  <c r="AG88" i="11"/>
  <c r="AH88" i="11"/>
  <c r="AI88" i="11"/>
  <c r="B89" i="11"/>
  <c r="C89" i="11"/>
  <c r="F89" i="11"/>
  <c r="H89" i="11"/>
  <c r="L89" i="11"/>
  <c r="M89" i="11"/>
  <c r="N89" i="11"/>
  <c r="O89" i="11"/>
  <c r="P89" i="11"/>
  <c r="R89" i="11"/>
  <c r="S89" i="11"/>
  <c r="T89" i="11"/>
  <c r="U89" i="11"/>
  <c r="V89" i="11"/>
  <c r="W89" i="11"/>
  <c r="X89" i="11"/>
  <c r="Y89" i="11"/>
  <c r="Z89" i="11"/>
  <c r="AA89" i="11"/>
  <c r="AB89" i="11"/>
  <c r="AC89" i="11"/>
  <c r="AD89" i="11"/>
  <c r="AE89" i="11"/>
  <c r="AF89" i="11"/>
  <c r="AG89" i="11"/>
  <c r="AH89" i="11"/>
  <c r="B90" i="11"/>
  <c r="C90" i="11"/>
  <c r="F90" i="11"/>
  <c r="H90" i="11"/>
  <c r="L90" i="11"/>
  <c r="M90" i="11"/>
  <c r="N90" i="11"/>
  <c r="O90" i="11"/>
  <c r="P90" i="11"/>
  <c r="R90" i="11"/>
  <c r="S90" i="11"/>
  <c r="T90" i="11"/>
  <c r="U90" i="11"/>
  <c r="V90" i="11"/>
  <c r="W90" i="11"/>
  <c r="X90" i="11"/>
  <c r="Y90" i="11"/>
  <c r="Z90" i="11"/>
  <c r="AA90" i="11"/>
  <c r="AB90" i="11"/>
  <c r="AC90" i="11"/>
  <c r="AD90" i="11"/>
  <c r="AE90" i="11"/>
  <c r="AF90" i="11"/>
  <c r="AG90" i="11"/>
  <c r="AH90" i="11"/>
  <c r="B91" i="11"/>
  <c r="C91" i="11"/>
  <c r="F91" i="11"/>
  <c r="H91" i="11"/>
  <c r="L91" i="11"/>
  <c r="M91" i="11"/>
  <c r="N91" i="11"/>
  <c r="O91" i="11"/>
  <c r="P91" i="11"/>
  <c r="R91" i="11"/>
  <c r="S91" i="11"/>
  <c r="T91" i="11"/>
  <c r="U91" i="11"/>
  <c r="V91" i="11"/>
  <c r="W91" i="11"/>
  <c r="X91" i="11"/>
  <c r="Y91" i="11"/>
  <c r="Z91" i="11"/>
  <c r="AA91" i="11"/>
  <c r="AB91" i="11"/>
  <c r="AC91" i="11"/>
  <c r="AD91" i="11"/>
  <c r="AE91" i="11"/>
  <c r="AF91" i="11"/>
  <c r="AG91" i="11"/>
  <c r="AH91" i="11"/>
  <c r="B92" i="11"/>
  <c r="C92" i="11"/>
  <c r="F92" i="11"/>
  <c r="H92" i="11"/>
  <c r="K92" i="11"/>
  <c r="L92" i="11"/>
  <c r="N92" i="11"/>
  <c r="O92" i="11"/>
  <c r="P92" i="11"/>
  <c r="R92" i="11"/>
  <c r="S92" i="11"/>
  <c r="T92" i="11"/>
  <c r="U92" i="11"/>
  <c r="V92" i="11"/>
  <c r="W92" i="11"/>
  <c r="X92" i="11"/>
  <c r="Y92" i="11"/>
  <c r="Z92" i="11"/>
  <c r="AA92" i="11"/>
  <c r="AB92" i="11"/>
  <c r="AC92" i="11"/>
  <c r="AD92" i="11"/>
  <c r="AE92" i="11"/>
  <c r="AF92" i="11"/>
  <c r="AG92" i="11"/>
  <c r="AH92" i="11"/>
  <c r="B93" i="11"/>
  <c r="C93" i="11"/>
  <c r="F93" i="11"/>
  <c r="H93" i="11"/>
  <c r="L93" i="11"/>
  <c r="M93" i="11"/>
  <c r="N93" i="11"/>
  <c r="O93" i="11"/>
  <c r="P93" i="11"/>
  <c r="R93" i="11"/>
  <c r="S93" i="11"/>
  <c r="T93" i="11"/>
  <c r="U93" i="11"/>
  <c r="V93" i="11"/>
  <c r="W93" i="11"/>
  <c r="X93" i="11"/>
  <c r="Y93" i="11"/>
  <c r="Z93" i="11"/>
  <c r="AA93" i="11"/>
  <c r="AB93" i="11"/>
  <c r="AC93" i="11"/>
  <c r="AD93" i="11"/>
  <c r="AE93" i="11"/>
  <c r="AF93" i="11"/>
  <c r="AG93" i="11"/>
  <c r="AH93" i="11"/>
  <c r="AI93" i="11"/>
  <c r="B94" i="11"/>
  <c r="C94" i="11"/>
  <c r="F94" i="11"/>
  <c r="G94" i="11"/>
  <c r="H94" i="11"/>
  <c r="I94" i="11"/>
  <c r="J94" i="11"/>
  <c r="K94" i="11"/>
  <c r="L94" i="11"/>
  <c r="M94" i="11"/>
  <c r="N94" i="11"/>
  <c r="O94" i="11"/>
  <c r="P94" i="11"/>
  <c r="R94" i="11"/>
  <c r="S94" i="11"/>
  <c r="U94" i="11"/>
  <c r="V94" i="11"/>
  <c r="W94" i="11"/>
  <c r="X94" i="11"/>
  <c r="Y94" i="11"/>
  <c r="Z94" i="11"/>
  <c r="AA94" i="11"/>
  <c r="AB94" i="11"/>
  <c r="AC94" i="11"/>
  <c r="AD94" i="11"/>
  <c r="AE94" i="11"/>
  <c r="AF94" i="11"/>
  <c r="AG94" i="11"/>
  <c r="AH94" i="11"/>
  <c r="AI94" i="11"/>
  <c r="B95" i="11"/>
  <c r="C95" i="11"/>
  <c r="F95" i="11"/>
  <c r="H95" i="11"/>
  <c r="K95" i="11"/>
  <c r="L95" i="11"/>
  <c r="N95" i="11"/>
  <c r="O95" i="11"/>
  <c r="P95" i="11"/>
  <c r="R95" i="11"/>
  <c r="S95" i="11"/>
  <c r="T95" i="11"/>
  <c r="U95" i="11"/>
  <c r="V95" i="11"/>
  <c r="W95" i="11"/>
  <c r="X95" i="11"/>
  <c r="Y95" i="11"/>
  <c r="Z95" i="11"/>
  <c r="AA95" i="11"/>
  <c r="AB95" i="11"/>
  <c r="AC95" i="11"/>
  <c r="AD95" i="11"/>
  <c r="AE95" i="11"/>
  <c r="AF95" i="11"/>
  <c r="AG95" i="11"/>
  <c r="AH95" i="11"/>
  <c r="B96" i="11"/>
  <c r="C96" i="11"/>
  <c r="F96" i="11"/>
  <c r="H96" i="11"/>
  <c r="J96" i="11"/>
  <c r="K96" i="11"/>
  <c r="L96" i="11"/>
  <c r="N96" i="11"/>
  <c r="O96" i="11"/>
  <c r="P96" i="11"/>
  <c r="R96" i="11"/>
  <c r="S96" i="11"/>
  <c r="T96" i="11"/>
  <c r="U96" i="11"/>
  <c r="V96" i="11"/>
  <c r="W96" i="11"/>
  <c r="X96" i="11"/>
  <c r="Y96" i="11"/>
  <c r="Z96" i="11"/>
  <c r="AA96" i="11"/>
  <c r="AB96" i="11"/>
  <c r="AC96" i="11"/>
  <c r="AD96" i="11"/>
  <c r="AE96" i="11"/>
  <c r="AF96" i="11"/>
  <c r="AG96" i="11"/>
  <c r="AH96" i="11"/>
  <c r="AI96" i="11"/>
  <c r="B97" i="11"/>
  <c r="C97" i="11"/>
  <c r="F97" i="11"/>
  <c r="H97" i="11"/>
  <c r="J97" i="11"/>
  <c r="K97" i="11"/>
  <c r="L97" i="11"/>
  <c r="N97" i="11"/>
  <c r="O97" i="11"/>
  <c r="P97" i="11"/>
  <c r="R97" i="11"/>
  <c r="S97" i="11"/>
  <c r="T97" i="11"/>
  <c r="U97" i="11"/>
  <c r="W97" i="11"/>
  <c r="X97" i="11"/>
  <c r="Y97" i="11"/>
  <c r="Z97" i="11"/>
  <c r="AA97" i="11"/>
  <c r="AB97" i="11"/>
  <c r="AC97" i="11"/>
  <c r="AD97" i="11"/>
  <c r="AE97" i="11"/>
  <c r="AF97" i="11"/>
  <c r="AG97" i="11"/>
  <c r="AH97" i="11"/>
  <c r="B98" i="11"/>
  <c r="C98" i="11"/>
  <c r="F98" i="11"/>
  <c r="H98" i="11"/>
  <c r="L98" i="11"/>
  <c r="M98" i="11"/>
  <c r="N98" i="11"/>
  <c r="O98" i="11"/>
  <c r="P98" i="11"/>
  <c r="R98" i="11"/>
  <c r="S98" i="11"/>
  <c r="T98" i="11"/>
  <c r="U98" i="11"/>
  <c r="V98" i="11"/>
  <c r="W98" i="11"/>
  <c r="X98" i="11"/>
  <c r="Y98" i="11"/>
  <c r="Z98" i="11"/>
  <c r="AA98" i="11"/>
  <c r="AB98" i="11"/>
  <c r="AC98" i="11"/>
  <c r="AD98" i="11"/>
  <c r="AE98" i="11"/>
  <c r="AF98" i="11"/>
  <c r="AG98" i="11"/>
  <c r="AH98" i="11"/>
  <c r="B99" i="11"/>
  <c r="C99" i="11"/>
  <c r="F99" i="11"/>
  <c r="H99" i="11"/>
  <c r="L99" i="11"/>
  <c r="M99" i="11"/>
  <c r="N99" i="11"/>
  <c r="O99" i="11"/>
  <c r="P99" i="11"/>
  <c r="R99" i="11"/>
  <c r="S99" i="11"/>
  <c r="T99" i="11"/>
  <c r="U99" i="11"/>
  <c r="V99" i="11"/>
  <c r="W99" i="11"/>
  <c r="X99" i="11"/>
  <c r="Y99" i="11"/>
  <c r="Z99" i="11"/>
  <c r="AA99" i="11"/>
  <c r="AB99" i="11"/>
  <c r="AC99" i="11"/>
  <c r="AD99" i="11"/>
  <c r="AE99" i="11"/>
  <c r="AF99" i="11"/>
  <c r="AG99" i="11"/>
  <c r="AH99" i="11"/>
  <c r="AI99" i="11"/>
  <c r="B100" i="11"/>
  <c r="C100" i="11"/>
  <c r="F100" i="11"/>
  <c r="H100" i="11"/>
  <c r="L100" i="11"/>
  <c r="M100" i="11"/>
  <c r="N100" i="11"/>
  <c r="O100" i="11"/>
  <c r="P100" i="11"/>
  <c r="R100" i="11"/>
  <c r="S100" i="11"/>
  <c r="T100" i="11"/>
  <c r="U100" i="11"/>
  <c r="V100" i="11"/>
  <c r="W100" i="11"/>
  <c r="X100" i="11"/>
  <c r="Y100" i="11"/>
  <c r="Z100" i="11"/>
  <c r="AA100" i="11"/>
  <c r="AB100" i="11"/>
  <c r="AC100" i="11"/>
  <c r="AD100" i="11"/>
  <c r="AE100" i="11"/>
  <c r="AF100" i="11"/>
  <c r="AG100" i="11"/>
  <c r="AH100" i="11"/>
  <c r="AI100" i="11"/>
  <c r="B101" i="11"/>
  <c r="C101" i="11"/>
  <c r="F101" i="11"/>
  <c r="G101" i="11"/>
  <c r="H101" i="11"/>
  <c r="I101" i="11"/>
  <c r="J101" i="11"/>
  <c r="K101" i="11"/>
  <c r="L101" i="11"/>
  <c r="M101" i="11"/>
  <c r="N101" i="11"/>
  <c r="O101" i="11"/>
  <c r="P101" i="11"/>
  <c r="R101" i="11"/>
  <c r="S101" i="11"/>
  <c r="U101" i="11"/>
  <c r="V101" i="11"/>
  <c r="W101" i="11"/>
  <c r="X101" i="11"/>
  <c r="Y101" i="11"/>
  <c r="Z101" i="11"/>
  <c r="AA101" i="11"/>
  <c r="AB101" i="11"/>
  <c r="AC101" i="11"/>
  <c r="AD101" i="11"/>
  <c r="AE101" i="11"/>
  <c r="AF101" i="11"/>
  <c r="AG101" i="11"/>
  <c r="AH101" i="11"/>
  <c r="AI101" i="11"/>
  <c r="B102" i="11"/>
  <c r="C102" i="11"/>
  <c r="F102" i="11"/>
  <c r="G102" i="11"/>
  <c r="H102" i="11"/>
  <c r="I102" i="11"/>
  <c r="J102" i="11"/>
  <c r="K102" i="11"/>
  <c r="L102" i="11"/>
  <c r="M102" i="11"/>
  <c r="N102" i="11"/>
  <c r="O102" i="11"/>
  <c r="P102" i="11"/>
  <c r="R102" i="11"/>
  <c r="S102" i="11"/>
  <c r="U102" i="11"/>
  <c r="V102" i="11"/>
  <c r="W102" i="11"/>
  <c r="X102" i="11"/>
  <c r="Y102" i="11"/>
  <c r="Z102" i="11"/>
  <c r="AA102" i="11"/>
  <c r="AB102" i="11"/>
  <c r="AC102" i="11"/>
  <c r="AD102" i="11"/>
  <c r="AE102" i="11"/>
  <c r="AF102" i="11"/>
  <c r="AG102" i="11"/>
  <c r="AH102" i="11"/>
  <c r="AI102" i="11"/>
  <c r="B103" i="11"/>
  <c r="C103" i="11"/>
  <c r="F103" i="11"/>
  <c r="G103" i="11"/>
  <c r="H103" i="11"/>
  <c r="I103" i="11"/>
  <c r="J103" i="11"/>
  <c r="K103" i="11"/>
  <c r="L103" i="11"/>
  <c r="M103" i="11"/>
  <c r="N103" i="11"/>
  <c r="O103" i="11"/>
  <c r="P103" i="11"/>
  <c r="R103" i="11"/>
  <c r="S103" i="11"/>
  <c r="T103" i="11"/>
  <c r="U103" i="11"/>
  <c r="V103" i="11"/>
  <c r="X103" i="11"/>
  <c r="Y103" i="11"/>
  <c r="Z103" i="11"/>
  <c r="AA103" i="11"/>
  <c r="AB103" i="11"/>
  <c r="AC103" i="11"/>
  <c r="AD103" i="11"/>
  <c r="AE103" i="11"/>
  <c r="AF103" i="11"/>
  <c r="AG103" i="11"/>
  <c r="AH103" i="11"/>
  <c r="AI103" i="11"/>
  <c r="B104" i="11"/>
  <c r="C104" i="11"/>
  <c r="F104" i="11"/>
  <c r="G104" i="11"/>
  <c r="H104" i="11"/>
  <c r="I104" i="11"/>
  <c r="J104" i="11"/>
  <c r="K104" i="11"/>
  <c r="L104" i="11"/>
  <c r="M104" i="11"/>
  <c r="N104" i="11"/>
  <c r="O104" i="11"/>
  <c r="P104" i="11"/>
  <c r="R104" i="11"/>
  <c r="S104" i="11"/>
  <c r="T104" i="11"/>
  <c r="U104" i="11"/>
  <c r="V104" i="11"/>
  <c r="W104" i="11"/>
  <c r="X104" i="11"/>
  <c r="Y104" i="11"/>
  <c r="Z104" i="11"/>
  <c r="AA104" i="11"/>
  <c r="AC104" i="11"/>
  <c r="AD104" i="11"/>
  <c r="AE104" i="11"/>
  <c r="AF104" i="11"/>
  <c r="AG104" i="11"/>
  <c r="AH104" i="11"/>
  <c r="AI104" i="11"/>
  <c r="A104" i="11"/>
  <c r="A100" i="11"/>
  <c r="A101" i="11"/>
  <c r="A102" i="11"/>
  <c r="A103" i="11"/>
  <c r="A99" i="11"/>
  <c r="A96" i="11"/>
  <c r="A97" i="11"/>
  <c r="A98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82" i="11"/>
  <c r="A81" i="11"/>
  <c r="A78" i="11"/>
  <c r="A79" i="11"/>
  <c r="A80" i="11"/>
  <c r="A77" i="11"/>
  <c r="J76" i="11"/>
  <c r="J75" i="11"/>
  <c r="AJ75" i="11" s="1"/>
  <c r="L74" i="11"/>
  <c r="B110" i="10"/>
  <c r="C110" i="10"/>
  <c r="F110" i="10"/>
  <c r="H110" i="10"/>
  <c r="L110" i="10"/>
  <c r="N110" i="10"/>
  <c r="O110" i="10"/>
  <c r="P110" i="10"/>
  <c r="R110" i="10"/>
  <c r="S110" i="10"/>
  <c r="T110" i="10"/>
  <c r="U110" i="10"/>
  <c r="V110" i="10"/>
  <c r="W110" i="10"/>
  <c r="X110" i="10"/>
  <c r="Y110" i="10"/>
  <c r="Z110" i="10"/>
  <c r="AA110" i="10"/>
  <c r="AB110" i="10"/>
  <c r="AC110" i="10"/>
  <c r="AD110" i="10"/>
  <c r="AE110" i="10"/>
  <c r="AF110" i="10"/>
  <c r="AG110" i="10"/>
  <c r="AH110" i="10"/>
  <c r="AI110" i="10"/>
  <c r="B105" i="10"/>
  <c r="C105" i="10"/>
  <c r="F105" i="10"/>
  <c r="G105" i="10"/>
  <c r="H105" i="10"/>
  <c r="J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E105" i="10"/>
  <c r="AF105" i="10"/>
  <c r="AG105" i="10"/>
  <c r="AH105" i="10"/>
  <c r="AI105" i="10"/>
  <c r="B106" i="10"/>
  <c r="C106" i="10"/>
  <c r="F106" i="10"/>
  <c r="H106" i="10"/>
  <c r="L106" i="10"/>
  <c r="M106" i="10"/>
  <c r="N106" i="10"/>
  <c r="O106" i="10"/>
  <c r="P106" i="10"/>
  <c r="R106" i="10"/>
  <c r="S106" i="10"/>
  <c r="T106" i="10"/>
  <c r="U106" i="10"/>
  <c r="V106" i="10"/>
  <c r="W106" i="10"/>
  <c r="X106" i="10"/>
  <c r="Y106" i="10"/>
  <c r="Z106" i="10"/>
  <c r="AA106" i="10"/>
  <c r="AB106" i="10"/>
  <c r="AC106" i="10"/>
  <c r="AD106" i="10"/>
  <c r="AE106" i="10"/>
  <c r="AF106" i="10"/>
  <c r="AG106" i="10"/>
  <c r="AH106" i="10"/>
  <c r="B107" i="10"/>
  <c r="C107" i="10"/>
  <c r="F107" i="10"/>
  <c r="H107" i="10"/>
  <c r="K107" i="10"/>
  <c r="L107" i="10"/>
  <c r="N107" i="10"/>
  <c r="O107" i="10"/>
  <c r="P107" i="10"/>
  <c r="R107" i="10"/>
  <c r="S107" i="10"/>
  <c r="T107" i="10"/>
  <c r="U107" i="10"/>
  <c r="V107" i="10"/>
  <c r="W107" i="10"/>
  <c r="X107" i="10"/>
  <c r="Y107" i="10"/>
  <c r="Z107" i="10"/>
  <c r="AA107" i="10"/>
  <c r="AB107" i="10"/>
  <c r="AC107" i="10"/>
  <c r="AD107" i="10"/>
  <c r="AE107" i="10"/>
  <c r="AF107" i="10"/>
  <c r="AG107" i="10"/>
  <c r="AH107" i="10"/>
  <c r="AI107" i="10"/>
  <c r="B108" i="10"/>
  <c r="C108" i="10"/>
  <c r="F108" i="10"/>
  <c r="G108" i="10"/>
  <c r="H108" i="10"/>
  <c r="L108" i="10"/>
  <c r="M108" i="10"/>
  <c r="N108" i="10"/>
  <c r="O108" i="10"/>
  <c r="P108" i="10"/>
  <c r="R108" i="10"/>
  <c r="S108" i="10"/>
  <c r="T108" i="10"/>
  <c r="U108" i="10"/>
  <c r="V108" i="10"/>
  <c r="W108" i="10"/>
  <c r="X108" i="10"/>
  <c r="Y108" i="10"/>
  <c r="Z108" i="10"/>
  <c r="AA108" i="10"/>
  <c r="AB108" i="10"/>
  <c r="AC108" i="10"/>
  <c r="AD108" i="10"/>
  <c r="AE108" i="10"/>
  <c r="AF108" i="10"/>
  <c r="AG108" i="10"/>
  <c r="AH108" i="10"/>
  <c r="AI108" i="10"/>
  <c r="A110" i="10"/>
  <c r="J109" i="10"/>
  <c r="A108" i="10"/>
  <c r="A107" i="10"/>
  <c r="A106" i="10"/>
  <c r="A105" i="10"/>
  <c r="J104" i="10"/>
  <c r="J103" i="10"/>
  <c r="J102" i="10"/>
  <c r="B108" i="5"/>
  <c r="C108" i="5"/>
  <c r="F108" i="5"/>
  <c r="G108" i="5"/>
  <c r="H108" i="5"/>
  <c r="L108" i="5"/>
  <c r="M108" i="5"/>
  <c r="N108" i="5"/>
  <c r="O108" i="5"/>
  <c r="P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B109" i="5"/>
  <c r="C109" i="5"/>
  <c r="F109" i="5"/>
  <c r="G109" i="5"/>
  <c r="H109" i="5"/>
  <c r="K109" i="5"/>
  <c r="L109" i="5"/>
  <c r="N109" i="5"/>
  <c r="O109" i="5"/>
  <c r="P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B110" i="5"/>
  <c r="C110" i="5"/>
  <c r="F110" i="5"/>
  <c r="G110" i="5"/>
  <c r="H110" i="5"/>
  <c r="J110" i="5"/>
  <c r="L110" i="5"/>
  <c r="M110" i="5"/>
  <c r="N110" i="5"/>
  <c r="O110" i="5"/>
  <c r="P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B111" i="5"/>
  <c r="C111" i="5"/>
  <c r="F111" i="5"/>
  <c r="G111" i="5"/>
  <c r="H111" i="5"/>
  <c r="K111" i="5"/>
  <c r="L111" i="5"/>
  <c r="N111" i="5"/>
  <c r="O111" i="5"/>
  <c r="P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B112" i="5"/>
  <c r="C112" i="5"/>
  <c r="F112" i="5"/>
  <c r="G112" i="5"/>
  <c r="H112" i="5"/>
  <c r="K112" i="5"/>
  <c r="L112" i="5"/>
  <c r="N112" i="5"/>
  <c r="O112" i="5"/>
  <c r="P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112" i="5"/>
  <c r="A111" i="5"/>
  <c r="A110" i="5"/>
  <c r="A109" i="5"/>
  <c r="A108" i="5"/>
  <c r="K107" i="5"/>
  <c r="K106" i="5"/>
  <c r="L105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4" i="5"/>
  <c r="AI95" i="5"/>
  <c r="AI96" i="5"/>
  <c r="AI97" i="5"/>
  <c r="AI98" i="5"/>
  <c r="AI99" i="5"/>
  <c r="AI100" i="5"/>
  <c r="AI101" i="5"/>
  <c r="AI102" i="5"/>
  <c r="B94" i="12"/>
  <c r="C94" i="12"/>
  <c r="F94" i="12"/>
  <c r="G94" i="12"/>
  <c r="H94" i="12"/>
  <c r="J94" i="12"/>
  <c r="K94" i="12"/>
  <c r="L94" i="12"/>
  <c r="N94" i="12"/>
  <c r="O94" i="12"/>
  <c r="P94" i="12"/>
  <c r="R94" i="12"/>
  <c r="S94" i="12"/>
  <c r="T94" i="12"/>
  <c r="V94" i="12"/>
  <c r="W94" i="12"/>
  <c r="X94" i="12"/>
  <c r="Y94" i="12"/>
  <c r="Z94" i="12"/>
  <c r="AA94" i="12"/>
  <c r="AB94" i="12"/>
  <c r="AC94" i="12"/>
  <c r="AD94" i="12"/>
  <c r="AE94" i="12"/>
  <c r="AF94" i="12"/>
  <c r="AG94" i="12"/>
  <c r="AH94" i="12"/>
  <c r="B95" i="12"/>
  <c r="C95" i="12"/>
  <c r="F95" i="12"/>
  <c r="G95" i="12"/>
  <c r="H95" i="12"/>
  <c r="J95" i="12"/>
  <c r="K95" i="12"/>
  <c r="L95" i="12"/>
  <c r="N95" i="12"/>
  <c r="O95" i="12"/>
  <c r="P95" i="12"/>
  <c r="R95" i="12"/>
  <c r="S95" i="12"/>
  <c r="T95" i="12"/>
  <c r="V95" i="12"/>
  <c r="W95" i="12"/>
  <c r="X95" i="12"/>
  <c r="Y95" i="12"/>
  <c r="Z95" i="12"/>
  <c r="AA95" i="12"/>
  <c r="AB95" i="12"/>
  <c r="AC95" i="12"/>
  <c r="AD95" i="12"/>
  <c r="AE95" i="12"/>
  <c r="AF95" i="12"/>
  <c r="AG95" i="12"/>
  <c r="AH95" i="12"/>
  <c r="B96" i="12"/>
  <c r="C96" i="12"/>
  <c r="F96" i="12"/>
  <c r="G96" i="12"/>
  <c r="H96" i="12"/>
  <c r="J96" i="12"/>
  <c r="K96" i="12"/>
  <c r="L96" i="12"/>
  <c r="N96" i="12"/>
  <c r="O96" i="12"/>
  <c r="P96" i="12"/>
  <c r="R96" i="12"/>
  <c r="S96" i="12"/>
  <c r="T96" i="12"/>
  <c r="V96" i="12"/>
  <c r="W96" i="12"/>
  <c r="X96" i="12"/>
  <c r="Y96" i="12"/>
  <c r="Z96" i="12"/>
  <c r="AA96" i="12"/>
  <c r="AB96" i="12"/>
  <c r="AC96" i="12"/>
  <c r="AD96" i="12"/>
  <c r="AE96" i="12"/>
  <c r="AF96" i="12"/>
  <c r="AG96" i="12"/>
  <c r="AH96" i="12"/>
  <c r="B97" i="12"/>
  <c r="C97" i="12"/>
  <c r="F97" i="12"/>
  <c r="G97" i="12"/>
  <c r="H97" i="12"/>
  <c r="J97" i="12"/>
  <c r="K97" i="12"/>
  <c r="L97" i="12"/>
  <c r="N97" i="12"/>
  <c r="O97" i="12"/>
  <c r="P97" i="12"/>
  <c r="R97" i="12"/>
  <c r="S97" i="12"/>
  <c r="T97" i="12"/>
  <c r="V97" i="12"/>
  <c r="W97" i="12"/>
  <c r="X97" i="12"/>
  <c r="Y97" i="12"/>
  <c r="Z97" i="12"/>
  <c r="AA97" i="12"/>
  <c r="AB97" i="12"/>
  <c r="AC97" i="12"/>
  <c r="AD97" i="12"/>
  <c r="AE97" i="12"/>
  <c r="AF97" i="12"/>
  <c r="AG97" i="12"/>
  <c r="AH97" i="12"/>
  <c r="B98" i="12"/>
  <c r="C98" i="12"/>
  <c r="F98" i="12"/>
  <c r="G98" i="12"/>
  <c r="H98" i="12"/>
  <c r="J98" i="12"/>
  <c r="K98" i="12"/>
  <c r="L98" i="12"/>
  <c r="N98" i="12"/>
  <c r="O98" i="12"/>
  <c r="P98" i="12"/>
  <c r="R98" i="12"/>
  <c r="S98" i="12"/>
  <c r="T98" i="12"/>
  <c r="V98" i="12"/>
  <c r="W98" i="12"/>
  <c r="X98" i="12"/>
  <c r="Y98" i="12"/>
  <c r="Z98" i="12"/>
  <c r="AA98" i="12"/>
  <c r="AB98" i="12"/>
  <c r="AC98" i="12"/>
  <c r="AD98" i="12"/>
  <c r="AE98" i="12"/>
  <c r="AF98" i="12"/>
  <c r="AG98" i="12"/>
  <c r="AH98" i="12"/>
  <c r="B99" i="12"/>
  <c r="C99" i="12"/>
  <c r="F99" i="12"/>
  <c r="G99" i="12"/>
  <c r="H99" i="12"/>
  <c r="I99" i="12"/>
  <c r="J99" i="12"/>
  <c r="L99" i="12"/>
  <c r="M99" i="12"/>
  <c r="N99" i="12"/>
  <c r="O99" i="12"/>
  <c r="P99" i="12"/>
  <c r="R99" i="12"/>
  <c r="S99" i="12"/>
  <c r="T99" i="12"/>
  <c r="V99" i="12"/>
  <c r="W99" i="12"/>
  <c r="X99" i="12"/>
  <c r="Y99" i="12"/>
  <c r="Z99" i="12"/>
  <c r="AA99" i="12"/>
  <c r="AB99" i="12"/>
  <c r="AC99" i="12"/>
  <c r="AD99" i="12"/>
  <c r="AE99" i="12"/>
  <c r="AF99" i="12"/>
  <c r="AG99" i="12"/>
  <c r="AH99" i="12"/>
  <c r="AI99" i="12"/>
  <c r="B100" i="12"/>
  <c r="C100" i="12"/>
  <c r="F100" i="12"/>
  <c r="G100" i="12"/>
  <c r="H100" i="12"/>
  <c r="I100" i="12"/>
  <c r="J100" i="12"/>
  <c r="K100" i="12"/>
  <c r="L100" i="12"/>
  <c r="N100" i="12"/>
  <c r="O100" i="12"/>
  <c r="P100" i="12"/>
  <c r="R100" i="12"/>
  <c r="S100" i="12"/>
  <c r="T100" i="12"/>
  <c r="U100" i="12"/>
  <c r="V100" i="12"/>
  <c r="W100" i="12"/>
  <c r="X100" i="12"/>
  <c r="Y100" i="12"/>
  <c r="Z100" i="12"/>
  <c r="AA100" i="12"/>
  <c r="AB100" i="12"/>
  <c r="AC100" i="12"/>
  <c r="AD100" i="12"/>
  <c r="AE100" i="12"/>
  <c r="AF100" i="12"/>
  <c r="AG100" i="12"/>
  <c r="AH100" i="12"/>
  <c r="AI100" i="12"/>
  <c r="B101" i="12"/>
  <c r="C101" i="12"/>
  <c r="F101" i="12"/>
  <c r="G101" i="12"/>
  <c r="H101" i="12"/>
  <c r="J101" i="12"/>
  <c r="K101" i="12"/>
  <c r="L101" i="12"/>
  <c r="N101" i="12"/>
  <c r="O101" i="12"/>
  <c r="P101" i="12"/>
  <c r="R101" i="12"/>
  <c r="S101" i="12"/>
  <c r="T101" i="12"/>
  <c r="V101" i="12"/>
  <c r="W101" i="12"/>
  <c r="X101" i="12"/>
  <c r="Y101" i="12"/>
  <c r="Z101" i="12"/>
  <c r="AA101" i="12"/>
  <c r="AB101" i="12"/>
  <c r="AC101" i="12"/>
  <c r="AD101" i="12"/>
  <c r="AE101" i="12"/>
  <c r="AF101" i="12"/>
  <c r="AG101" i="12"/>
  <c r="AH101" i="12"/>
  <c r="B102" i="12"/>
  <c r="C102" i="12"/>
  <c r="F102" i="12"/>
  <c r="G102" i="12"/>
  <c r="H102" i="12"/>
  <c r="J102" i="12"/>
  <c r="K102" i="12"/>
  <c r="L102" i="12"/>
  <c r="N102" i="12"/>
  <c r="O102" i="12"/>
  <c r="P102" i="12"/>
  <c r="R102" i="12"/>
  <c r="S102" i="12"/>
  <c r="T102" i="12"/>
  <c r="V102" i="12"/>
  <c r="W102" i="12"/>
  <c r="X102" i="12"/>
  <c r="Y102" i="12"/>
  <c r="Z102" i="12"/>
  <c r="AA102" i="12"/>
  <c r="AB102" i="12"/>
  <c r="AC102" i="12"/>
  <c r="AD102" i="12"/>
  <c r="AE102" i="12"/>
  <c r="AF102" i="12"/>
  <c r="AG102" i="12"/>
  <c r="AH102" i="12"/>
  <c r="AI102" i="12"/>
  <c r="B103" i="12"/>
  <c r="C103" i="12"/>
  <c r="F103" i="12"/>
  <c r="G103" i="12"/>
  <c r="H103" i="12"/>
  <c r="J103" i="12"/>
  <c r="K103" i="12"/>
  <c r="L103" i="12"/>
  <c r="N103" i="12"/>
  <c r="O103" i="12"/>
  <c r="P103" i="12"/>
  <c r="R103" i="12"/>
  <c r="S103" i="12"/>
  <c r="T103" i="12"/>
  <c r="U103" i="12"/>
  <c r="V103" i="12"/>
  <c r="W103" i="12"/>
  <c r="X103" i="12"/>
  <c r="Y103" i="12"/>
  <c r="Z103" i="12"/>
  <c r="AA103" i="12"/>
  <c r="AB103" i="12"/>
  <c r="AC103" i="12"/>
  <c r="AD103" i="12"/>
  <c r="AE103" i="12"/>
  <c r="AF103" i="12"/>
  <c r="AG103" i="12"/>
  <c r="AH103" i="12"/>
  <c r="AI103" i="12"/>
  <c r="A103" i="12"/>
  <c r="A102" i="12"/>
  <c r="A101" i="12"/>
  <c r="A100" i="12"/>
  <c r="A98" i="12"/>
  <c r="A99" i="12"/>
  <c r="A97" i="12"/>
  <c r="A95" i="12"/>
  <c r="A96" i="12"/>
  <c r="A94" i="12"/>
  <c r="J93" i="12"/>
  <c r="J92" i="12"/>
  <c r="B96" i="10"/>
  <c r="C96" i="10"/>
  <c r="A96" i="10"/>
  <c r="B89" i="10"/>
  <c r="C89" i="10"/>
  <c r="F89" i="10"/>
  <c r="G89" i="10"/>
  <c r="H89" i="10"/>
  <c r="L89" i="10"/>
  <c r="M89" i="10"/>
  <c r="N89" i="10"/>
  <c r="O89" i="10"/>
  <c r="P89" i="10"/>
  <c r="R89" i="10"/>
  <c r="S89" i="10"/>
  <c r="T89" i="10"/>
  <c r="U89" i="10"/>
  <c r="V89" i="10"/>
  <c r="W89" i="10"/>
  <c r="X89" i="10"/>
  <c r="Y89" i="10"/>
  <c r="Z89" i="10"/>
  <c r="AA89" i="10"/>
  <c r="AB89" i="10"/>
  <c r="AC89" i="10"/>
  <c r="AD89" i="10"/>
  <c r="AE89" i="10"/>
  <c r="AF89" i="10"/>
  <c r="AG89" i="10"/>
  <c r="AH89" i="10"/>
  <c r="AI89" i="10"/>
  <c r="B90" i="10"/>
  <c r="C90" i="10"/>
  <c r="F90" i="10"/>
  <c r="G90" i="10"/>
  <c r="H90" i="10"/>
  <c r="K90" i="10"/>
  <c r="L90" i="10"/>
  <c r="N90" i="10"/>
  <c r="O90" i="10"/>
  <c r="P90" i="10"/>
  <c r="R90" i="10"/>
  <c r="S90" i="10"/>
  <c r="T90" i="10"/>
  <c r="U90" i="10"/>
  <c r="V90" i="10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AI90" i="10"/>
  <c r="B91" i="10"/>
  <c r="C91" i="10"/>
  <c r="F91" i="10"/>
  <c r="H91" i="10"/>
  <c r="L91" i="10"/>
  <c r="N91" i="10"/>
  <c r="O91" i="10"/>
  <c r="P91" i="10"/>
  <c r="R91" i="10"/>
  <c r="S91" i="10"/>
  <c r="T91" i="10"/>
  <c r="U91" i="10"/>
  <c r="V91" i="10"/>
  <c r="W91" i="10"/>
  <c r="X91" i="10"/>
  <c r="Y91" i="10"/>
  <c r="Z91" i="10"/>
  <c r="AA91" i="10"/>
  <c r="AB91" i="10"/>
  <c r="AC91" i="10"/>
  <c r="AD91" i="10"/>
  <c r="AE91" i="10"/>
  <c r="AF91" i="10"/>
  <c r="AG91" i="10"/>
  <c r="AH91" i="10"/>
  <c r="AI91" i="10"/>
  <c r="B92" i="10"/>
  <c r="C92" i="10"/>
  <c r="F92" i="10"/>
  <c r="H92" i="10"/>
  <c r="L92" i="10"/>
  <c r="M92" i="10"/>
  <c r="N92" i="10"/>
  <c r="O92" i="10"/>
  <c r="P92" i="10"/>
  <c r="R92" i="10"/>
  <c r="S92" i="10"/>
  <c r="T92" i="10"/>
  <c r="U92" i="10"/>
  <c r="V92" i="10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AI92" i="10"/>
  <c r="B93" i="10"/>
  <c r="C93" i="10"/>
  <c r="F93" i="10"/>
  <c r="H93" i="10"/>
  <c r="L93" i="10"/>
  <c r="M93" i="10"/>
  <c r="N93" i="10"/>
  <c r="O93" i="10"/>
  <c r="P93" i="10"/>
  <c r="R93" i="10"/>
  <c r="S93" i="10"/>
  <c r="T93" i="10"/>
  <c r="U93" i="10"/>
  <c r="V93" i="10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AI93" i="10"/>
  <c r="B94" i="10"/>
  <c r="C94" i="10"/>
  <c r="F94" i="10"/>
  <c r="G94" i="10"/>
  <c r="H94" i="10"/>
  <c r="L94" i="10"/>
  <c r="M94" i="10"/>
  <c r="N94" i="10"/>
  <c r="O94" i="10"/>
  <c r="P94" i="10"/>
  <c r="R94" i="10"/>
  <c r="S94" i="10"/>
  <c r="T94" i="10"/>
  <c r="U94" i="10"/>
  <c r="V94" i="10"/>
  <c r="W94" i="10"/>
  <c r="X94" i="10"/>
  <c r="Y94" i="10"/>
  <c r="Z94" i="10"/>
  <c r="AA94" i="10"/>
  <c r="AB94" i="10"/>
  <c r="AC94" i="10"/>
  <c r="AD94" i="10"/>
  <c r="AE94" i="10"/>
  <c r="AF94" i="10"/>
  <c r="AG94" i="10"/>
  <c r="AH94" i="10"/>
  <c r="AI94" i="10"/>
  <c r="B95" i="10"/>
  <c r="C95" i="10"/>
  <c r="F95" i="10"/>
  <c r="H95" i="10"/>
  <c r="K95" i="10"/>
  <c r="L95" i="10"/>
  <c r="N95" i="10"/>
  <c r="O95" i="10"/>
  <c r="P95" i="10"/>
  <c r="R95" i="10"/>
  <c r="S95" i="10"/>
  <c r="T95" i="10"/>
  <c r="U95" i="10"/>
  <c r="V95" i="10"/>
  <c r="W95" i="10"/>
  <c r="X95" i="10"/>
  <c r="Y95" i="10"/>
  <c r="Z95" i="10"/>
  <c r="AA95" i="10"/>
  <c r="AB95" i="10"/>
  <c r="AC95" i="10"/>
  <c r="AD95" i="10"/>
  <c r="AE95" i="10"/>
  <c r="AF95" i="10"/>
  <c r="AG95" i="10"/>
  <c r="AH95" i="10"/>
  <c r="AI95" i="10"/>
  <c r="A94" i="10"/>
  <c r="A95" i="10"/>
  <c r="A93" i="10"/>
  <c r="A92" i="10"/>
  <c r="A91" i="10"/>
  <c r="A90" i="10"/>
  <c r="A89" i="10"/>
  <c r="B87" i="10"/>
  <c r="C87" i="10"/>
  <c r="F87" i="10"/>
  <c r="H87" i="10"/>
  <c r="L87" i="10"/>
  <c r="M87" i="10"/>
  <c r="N87" i="10"/>
  <c r="O87" i="10"/>
  <c r="P87" i="10"/>
  <c r="R87" i="10"/>
  <c r="S87" i="10"/>
  <c r="T87" i="10"/>
  <c r="U87" i="10"/>
  <c r="V87" i="10"/>
  <c r="W87" i="10"/>
  <c r="X87" i="10"/>
  <c r="Y87" i="10"/>
  <c r="Z87" i="10"/>
  <c r="AA87" i="10"/>
  <c r="AB87" i="10"/>
  <c r="AC87" i="10"/>
  <c r="AD87" i="10"/>
  <c r="AE87" i="10"/>
  <c r="AF87" i="10"/>
  <c r="AG87" i="10"/>
  <c r="AH87" i="10"/>
  <c r="AI87" i="10"/>
  <c r="B88" i="10"/>
  <c r="C88" i="10"/>
  <c r="F88" i="10"/>
  <c r="G88" i="10"/>
  <c r="H88" i="10"/>
  <c r="L88" i="10"/>
  <c r="M88" i="10"/>
  <c r="N88" i="10"/>
  <c r="O88" i="10"/>
  <c r="P88" i="10"/>
  <c r="R88" i="10"/>
  <c r="S88" i="10"/>
  <c r="T88" i="10"/>
  <c r="U88" i="10"/>
  <c r="V88" i="10"/>
  <c r="W88" i="10"/>
  <c r="X88" i="10"/>
  <c r="Y88" i="10"/>
  <c r="Z88" i="10"/>
  <c r="AA88" i="10"/>
  <c r="AB88" i="10"/>
  <c r="AC88" i="10"/>
  <c r="AD88" i="10"/>
  <c r="AE88" i="10"/>
  <c r="AF88" i="10"/>
  <c r="AG88" i="10"/>
  <c r="AH88" i="10"/>
  <c r="AI88" i="10"/>
  <c r="A88" i="10"/>
  <c r="A87" i="10"/>
  <c r="B85" i="10"/>
  <c r="C85" i="10"/>
  <c r="F85" i="10"/>
  <c r="G85" i="10"/>
  <c r="H85" i="10"/>
  <c r="J85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Y85" i="10"/>
  <c r="Z85" i="10"/>
  <c r="AA85" i="10"/>
  <c r="AB85" i="10"/>
  <c r="AC85" i="10"/>
  <c r="AD85" i="10"/>
  <c r="AE85" i="10"/>
  <c r="AF85" i="10"/>
  <c r="AG85" i="10"/>
  <c r="AH85" i="10"/>
  <c r="AI85" i="10"/>
  <c r="B86" i="10"/>
  <c r="C86" i="10"/>
  <c r="H86" i="10"/>
  <c r="A86" i="10"/>
  <c r="A85" i="10"/>
  <c r="J84" i="10"/>
  <c r="J83" i="10"/>
  <c r="B99" i="5"/>
  <c r="C99" i="5"/>
  <c r="F99" i="5"/>
  <c r="G99" i="5"/>
  <c r="H99" i="5"/>
  <c r="J99" i="5"/>
  <c r="K99" i="5"/>
  <c r="L99" i="5"/>
  <c r="M99" i="5"/>
  <c r="N99" i="5"/>
  <c r="O99" i="5"/>
  <c r="P99" i="5"/>
  <c r="R99" i="5"/>
  <c r="S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B100" i="5"/>
  <c r="C100" i="5"/>
  <c r="F100" i="5"/>
  <c r="G100" i="5"/>
  <c r="H100" i="5"/>
  <c r="I100" i="5"/>
  <c r="J100" i="5"/>
  <c r="K100" i="5"/>
  <c r="L100" i="5"/>
  <c r="M100" i="5"/>
  <c r="N100" i="5"/>
  <c r="O100" i="5"/>
  <c r="P100" i="5"/>
  <c r="R100" i="5"/>
  <c r="S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B101" i="5"/>
  <c r="C101" i="5"/>
  <c r="F101" i="5"/>
  <c r="G101" i="5"/>
  <c r="H101" i="5"/>
  <c r="I101" i="5"/>
  <c r="J101" i="5"/>
  <c r="K101" i="5"/>
  <c r="L101" i="5"/>
  <c r="M101" i="5"/>
  <c r="N101" i="5"/>
  <c r="O101" i="5"/>
  <c r="P101" i="5"/>
  <c r="R101" i="5"/>
  <c r="S101" i="5"/>
  <c r="T101" i="5"/>
  <c r="U101" i="5"/>
  <c r="V101" i="5"/>
  <c r="X101" i="5"/>
  <c r="Y101" i="5"/>
  <c r="Z101" i="5"/>
  <c r="AA101" i="5"/>
  <c r="AB101" i="5"/>
  <c r="AC101" i="5"/>
  <c r="AD101" i="5"/>
  <c r="AE101" i="5"/>
  <c r="AF101" i="5"/>
  <c r="AG101" i="5"/>
  <c r="AH101" i="5"/>
  <c r="B102" i="5"/>
  <c r="C102" i="5"/>
  <c r="F102" i="5"/>
  <c r="G102" i="5"/>
  <c r="H102" i="5"/>
  <c r="I102" i="5"/>
  <c r="J102" i="5"/>
  <c r="K102" i="5"/>
  <c r="L102" i="5"/>
  <c r="M102" i="5"/>
  <c r="N102" i="5"/>
  <c r="O102" i="5"/>
  <c r="P102" i="5"/>
  <c r="R102" i="5"/>
  <c r="S102" i="5"/>
  <c r="T102" i="5"/>
  <c r="U102" i="5"/>
  <c r="V102" i="5"/>
  <c r="X102" i="5"/>
  <c r="Y102" i="5"/>
  <c r="Z102" i="5"/>
  <c r="AA102" i="5"/>
  <c r="AC102" i="5"/>
  <c r="AD102" i="5"/>
  <c r="AE102" i="5"/>
  <c r="AF102" i="5"/>
  <c r="AG102" i="5"/>
  <c r="AH102" i="5"/>
  <c r="A99" i="5"/>
  <c r="A100" i="5"/>
  <c r="A101" i="5"/>
  <c r="A102" i="5"/>
  <c r="B93" i="5"/>
  <c r="C93" i="5"/>
  <c r="F93" i="5"/>
  <c r="H93" i="5"/>
  <c r="J93" i="5"/>
  <c r="K93" i="5"/>
  <c r="L93" i="5"/>
  <c r="N93" i="5"/>
  <c r="O93" i="5"/>
  <c r="P93" i="5"/>
  <c r="R93" i="5"/>
  <c r="S93" i="5"/>
  <c r="T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B94" i="5"/>
  <c r="C94" i="5"/>
  <c r="F94" i="5"/>
  <c r="H94" i="5"/>
  <c r="J94" i="5"/>
  <c r="L94" i="5"/>
  <c r="M94" i="5"/>
  <c r="N94" i="5"/>
  <c r="O94" i="5"/>
  <c r="P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B95" i="5"/>
  <c r="C95" i="5"/>
  <c r="F95" i="5"/>
  <c r="H95" i="5"/>
  <c r="J95" i="5"/>
  <c r="L95" i="5"/>
  <c r="M95" i="5"/>
  <c r="N95" i="5"/>
  <c r="O95" i="5"/>
  <c r="P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B96" i="5"/>
  <c r="C96" i="5"/>
  <c r="F96" i="5"/>
  <c r="H96" i="5"/>
  <c r="J96" i="5"/>
  <c r="L96" i="5"/>
  <c r="M96" i="5"/>
  <c r="N96" i="5"/>
  <c r="O96" i="5"/>
  <c r="P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B97" i="5"/>
  <c r="C97" i="5"/>
  <c r="F97" i="5"/>
  <c r="H97" i="5"/>
  <c r="L97" i="5"/>
  <c r="M97" i="5"/>
  <c r="N97" i="5"/>
  <c r="O97" i="5"/>
  <c r="P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B98" i="5"/>
  <c r="C98" i="5"/>
  <c r="F98" i="5"/>
  <c r="H98" i="5"/>
  <c r="J98" i="5"/>
  <c r="K98" i="5"/>
  <c r="L98" i="5"/>
  <c r="N98" i="5"/>
  <c r="O98" i="5"/>
  <c r="P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98" i="5"/>
  <c r="A94" i="5"/>
  <c r="A95" i="5"/>
  <c r="A96" i="5"/>
  <c r="A97" i="5"/>
  <c r="A93" i="5"/>
  <c r="B88" i="5"/>
  <c r="C88" i="5"/>
  <c r="F88" i="5"/>
  <c r="H88" i="5"/>
  <c r="L88" i="5"/>
  <c r="M88" i="5"/>
  <c r="N88" i="5"/>
  <c r="O88" i="5"/>
  <c r="P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B89" i="5"/>
  <c r="C89" i="5"/>
  <c r="F89" i="5"/>
  <c r="H89" i="5"/>
  <c r="J89" i="5"/>
  <c r="L89" i="5"/>
  <c r="M89" i="5"/>
  <c r="N89" i="5"/>
  <c r="O89" i="5"/>
  <c r="P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B90" i="5"/>
  <c r="C90" i="5"/>
  <c r="F90" i="5"/>
  <c r="G90" i="5"/>
  <c r="H90" i="5"/>
  <c r="J90" i="5"/>
  <c r="K90" i="5"/>
  <c r="L90" i="5"/>
  <c r="M90" i="5"/>
  <c r="N90" i="5"/>
  <c r="O90" i="5"/>
  <c r="P90" i="5"/>
  <c r="R90" i="5"/>
  <c r="S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B91" i="5"/>
  <c r="C91" i="5"/>
  <c r="F91" i="5"/>
  <c r="H91" i="5"/>
  <c r="J91" i="5"/>
  <c r="K91" i="5"/>
  <c r="L91" i="5"/>
  <c r="N91" i="5"/>
  <c r="O91" i="5"/>
  <c r="P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B92" i="5"/>
  <c r="C92" i="5"/>
  <c r="F92" i="5"/>
  <c r="H92" i="5"/>
  <c r="J92" i="5"/>
  <c r="L92" i="5"/>
  <c r="M92" i="5"/>
  <c r="N92" i="5"/>
  <c r="O92" i="5"/>
  <c r="P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92" i="5"/>
  <c r="A91" i="5"/>
  <c r="A90" i="5"/>
  <c r="A89" i="5"/>
  <c r="A88" i="5"/>
  <c r="B81" i="5"/>
  <c r="C81" i="5"/>
  <c r="F81" i="5"/>
  <c r="H81" i="5"/>
  <c r="J81" i="5"/>
  <c r="L81" i="5"/>
  <c r="M81" i="5"/>
  <c r="N81" i="5"/>
  <c r="O81" i="5"/>
  <c r="P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B82" i="5"/>
  <c r="C82" i="5"/>
  <c r="F82" i="5"/>
  <c r="H82" i="5"/>
  <c r="J82" i="5"/>
  <c r="L82" i="5"/>
  <c r="M82" i="5"/>
  <c r="N82" i="5"/>
  <c r="O82" i="5"/>
  <c r="P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B83" i="5"/>
  <c r="C83" i="5"/>
  <c r="F83" i="5"/>
  <c r="H83" i="5"/>
  <c r="J83" i="5"/>
  <c r="L83" i="5"/>
  <c r="M83" i="5"/>
  <c r="N83" i="5"/>
  <c r="O83" i="5"/>
  <c r="P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B84" i="5"/>
  <c r="C84" i="5"/>
  <c r="F84" i="5"/>
  <c r="H84" i="5"/>
  <c r="J84" i="5"/>
  <c r="K84" i="5"/>
  <c r="L84" i="5"/>
  <c r="N84" i="5"/>
  <c r="O84" i="5"/>
  <c r="P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B85" i="5"/>
  <c r="C85" i="5"/>
  <c r="F85" i="5"/>
  <c r="H85" i="5"/>
  <c r="J85" i="5"/>
  <c r="L85" i="5"/>
  <c r="M85" i="5"/>
  <c r="N85" i="5"/>
  <c r="O85" i="5"/>
  <c r="P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B86" i="5"/>
  <c r="C86" i="5"/>
  <c r="F86" i="5"/>
  <c r="H86" i="5"/>
  <c r="L86" i="5"/>
  <c r="M86" i="5"/>
  <c r="N86" i="5"/>
  <c r="O86" i="5"/>
  <c r="P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B87" i="5"/>
  <c r="C87" i="5"/>
  <c r="F87" i="5"/>
  <c r="H87" i="5"/>
  <c r="L87" i="5"/>
  <c r="M87" i="5"/>
  <c r="N87" i="5"/>
  <c r="O87" i="5"/>
  <c r="P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83" i="5"/>
  <c r="A84" i="5"/>
  <c r="A85" i="5"/>
  <c r="A86" i="5"/>
  <c r="A87" i="5"/>
  <c r="A82" i="5"/>
  <c r="A81" i="5"/>
  <c r="B80" i="5"/>
  <c r="C80" i="5"/>
  <c r="F80" i="5"/>
  <c r="H80" i="5"/>
  <c r="J80" i="5"/>
  <c r="L80" i="5"/>
  <c r="M80" i="5"/>
  <c r="N80" i="5"/>
  <c r="O80" i="5"/>
  <c r="P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80" i="5"/>
  <c r="B79" i="5"/>
  <c r="C79" i="5"/>
  <c r="F79" i="5"/>
  <c r="H79" i="5"/>
  <c r="K79" i="5"/>
  <c r="L79" i="5"/>
  <c r="N79" i="5"/>
  <c r="O79" i="5"/>
  <c r="P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79" i="5"/>
  <c r="B77" i="5"/>
  <c r="C77" i="5"/>
  <c r="F77" i="5"/>
  <c r="H77" i="5"/>
  <c r="K77" i="5"/>
  <c r="L77" i="5"/>
  <c r="N77" i="5"/>
  <c r="O77" i="5"/>
  <c r="P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B78" i="5"/>
  <c r="C78" i="5"/>
  <c r="F78" i="5"/>
  <c r="H78" i="5"/>
  <c r="K78" i="5"/>
  <c r="L78" i="5"/>
  <c r="N78" i="5"/>
  <c r="O78" i="5"/>
  <c r="P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78" i="5"/>
  <c r="A77" i="5"/>
  <c r="B74" i="5"/>
  <c r="C74" i="5"/>
  <c r="F74" i="5"/>
  <c r="H74" i="5"/>
  <c r="L74" i="5"/>
  <c r="M74" i="5"/>
  <c r="N74" i="5"/>
  <c r="O74" i="5"/>
  <c r="P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B75" i="5"/>
  <c r="C75" i="5"/>
  <c r="F75" i="5"/>
  <c r="H75" i="5"/>
  <c r="J75" i="5"/>
  <c r="L75" i="5"/>
  <c r="M75" i="5"/>
  <c r="N75" i="5"/>
  <c r="O75" i="5"/>
  <c r="P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B76" i="5"/>
  <c r="C76" i="5"/>
  <c r="F76" i="5"/>
  <c r="H76" i="5"/>
  <c r="J76" i="5"/>
  <c r="L76" i="5"/>
  <c r="M76" i="5"/>
  <c r="N76" i="5"/>
  <c r="O76" i="5"/>
  <c r="P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75" i="5"/>
  <c r="A76" i="5"/>
  <c r="A74" i="5"/>
  <c r="B73" i="5"/>
  <c r="C73" i="5"/>
  <c r="F73" i="5"/>
  <c r="H73" i="5"/>
  <c r="L73" i="5"/>
  <c r="M73" i="5"/>
  <c r="N73" i="5"/>
  <c r="O73" i="5"/>
  <c r="P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73" i="5"/>
  <c r="B71" i="5"/>
  <c r="C71" i="5"/>
  <c r="F71" i="5"/>
  <c r="H71" i="5"/>
  <c r="L71" i="5"/>
  <c r="M71" i="5"/>
  <c r="N71" i="5"/>
  <c r="O71" i="5"/>
  <c r="P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B72" i="5"/>
  <c r="C72" i="5"/>
  <c r="F72" i="5"/>
  <c r="G72" i="5"/>
  <c r="K72" i="5"/>
  <c r="L72" i="5"/>
  <c r="N72" i="5"/>
  <c r="O72" i="5"/>
  <c r="P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72" i="5"/>
  <c r="A71" i="5"/>
  <c r="J69" i="5"/>
  <c r="J70" i="5"/>
  <c r="B51" i="5"/>
  <c r="C51" i="5"/>
  <c r="F51" i="5"/>
  <c r="G51" i="5"/>
  <c r="H51" i="5"/>
  <c r="J51" i="5"/>
  <c r="K51" i="5"/>
  <c r="L51" i="5"/>
  <c r="M51" i="5"/>
  <c r="N51" i="5"/>
  <c r="O51" i="5"/>
  <c r="P51" i="5"/>
  <c r="R51" i="5"/>
  <c r="S51" i="5"/>
  <c r="T51" i="5"/>
  <c r="U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B52" i="5"/>
  <c r="C52" i="5"/>
  <c r="F52" i="5"/>
  <c r="H52" i="5"/>
  <c r="J52" i="5"/>
  <c r="K52" i="5"/>
  <c r="L52" i="5"/>
  <c r="N52" i="5"/>
  <c r="O52" i="5"/>
  <c r="P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B53" i="5"/>
  <c r="C53" i="5"/>
  <c r="F53" i="5"/>
  <c r="H53" i="5"/>
  <c r="L53" i="5"/>
  <c r="M53" i="5"/>
  <c r="N53" i="5"/>
  <c r="O53" i="5"/>
  <c r="P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B54" i="5"/>
  <c r="C54" i="5"/>
  <c r="F54" i="5"/>
  <c r="H54" i="5"/>
  <c r="J54" i="5"/>
  <c r="L54" i="5"/>
  <c r="M54" i="5"/>
  <c r="N54" i="5"/>
  <c r="O54" i="5"/>
  <c r="P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B55" i="5"/>
  <c r="C55" i="5"/>
  <c r="F55" i="5"/>
  <c r="H55" i="5"/>
  <c r="J55" i="5"/>
  <c r="L55" i="5"/>
  <c r="M55" i="5"/>
  <c r="N55" i="5"/>
  <c r="O55" i="5"/>
  <c r="P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B56" i="5"/>
  <c r="C56" i="5"/>
  <c r="F56" i="5"/>
  <c r="G56" i="5"/>
  <c r="H56" i="5"/>
  <c r="I56" i="5"/>
  <c r="J56" i="5"/>
  <c r="K56" i="5"/>
  <c r="L56" i="5"/>
  <c r="M56" i="5"/>
  <c r="N56" i="5"/>
  <c r="O56" i="5"/>
  <c r="P56" i="5"/>
  <c r="R56" i="5"/>
  <c r="S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B57" i="5"/>
  <c r="C57" i="5"/>
  <c r="F57" i="5"/>
  <c r="G57" i="5"/>
  <c r="H57" i="5"/>
  <c r="I57" i="5"/>
  <c r="J57" i="5"/>
  <c r="K57" i="5"/>
  <c r="L57" i="5"/>
  <c r="M57" i="5"/>
  <c r="N57" i="5"/>
  <c r="O57" i="5"/>
  <c r="P57" i="5"/>
  <c r="R57" i="5"/>
  <c r="S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B58" i="5"/>
  <c r="C58" i="5"/>
  <c r="F58" i="5"/>
  <c r="H58" i="5"/>
  <c r="L58" i="5"/>
  <c r="M58" i="5"/>
  <c r="N58" i="5"/>
  <c r="O58" i="5"/>
  <c r="P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B59" i="5"/>
  <c r="C59" i="5"/>
  <c r="F59" i="5"/>
  <c r="H59" i="5"/>
  <c r="J59" i="5"/>
  <c r="K59" i="5"/>
  <c r="L59" i="5"/>
  <c r="N59" i="5"/>
  <c r="O59" i="5"/>
  <c r="P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B60" i="5"/>
  <c r="C60" i="5"/>
  <c r="F60" i="5"/>
  <c r="H60" i="5"/>
  <c r="J60" i="5"/>
  <c r="K60" i="5"/>
  <c r="L60" i="5"/>
  <c r="N60" i="5"/>
  <c r="O60" i="5"/>
  <c r="P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B61" i="5"/>
  <c r="C61" i="5"/>
  <c r="F61" i="5"/>
  <c r="H61" i="5"/>
  <c r="J61" i="5"/>
  <c r="K61" i="5"/>
  <c r="L61" i="5"/>
  <c r="N61" i="5"/>
  <c r="O61" i="5"/>
  <c r="P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B62" i="5"/>
  <c r="C62" i="5"/>
  <c r="F62" i="5"/>
  <c r="H62" i="5"/>
  <c r="J62" i="5"/>
  <c r="L62" i="5"/>
  <c r="M62" i="5"/>
  <c r="N62" i="5"/>
  <c r="O62" i="5"/>
  <c r="P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B63" i="5"/>
  <c r="C63" i="5"/>
  <c r="F63" i="5"/>
  <c r="H63" i="5"/>
  <c r="L63" i="5"/>
  <c r="M63" i="5"/>
  <c r="N63" i="5"/>
  <c r="O63" i="5"/>
  <c r="P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B64" i="5"/>
  <c r="C64" i="5"/>
  <c r="F64" i="5"/>
  <c r="H64" i="5"/>
  <c r="J64" i="5"/>
  <c r="K64" i="5"/>
  <c r="L64" i="5"/>
  <c r="N64" i="5"/>
  <c r="O64" i="5"/>
  <c r="P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B65" i="5"/>
  <c r="C65" i="5"/>
  <c r="F65" i="5"/>
  <c r="H65" i="5"/>
  <c r="J65" i="5"/>
  <c r="K65" i="5"/>
  <c r="L65" i="5"/>
  <c r="M65" i="5"/>
  <c r="N65" i="5"/>
  <c r="O65" i="5"/>
  <c r="P65" i="5"/>
  <c r="R65" i="5"/>
  <c r="S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B66" i="5"/>
  <c r="C66" i="5"/>
  <c r="F66" i="5"/>
  <c r="G66" i="5"/>
  <c r="H66" i="5"/>
  <c r="I66" i="5"/>
  <c r="J66" i="5"/>
  <c r="K66" i="5"/>
  <c r="L66" i="5"/>
  <c r="M66" i="5"/>
  <c r="N66" i="5"/>
  <c r="O66" i="5"/>
  <c r="P66" i="5"/>
  <c r="R66" i="5"/>
  <c r="S66" i="5"/>
  <c r="T66" i="5"/>
  <c r="U66" i="5"/>
  <c r="V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63" i="5"/>
  <c r="A64" i="5"/>
  <c r="A65" i="5"/>
  <c r="A66" i="5"/>
  <c r="A59" i="5"/>
  <c r="A60" i="5"/>
  <c r="A61" i="5"/>
  <c r="A62" i="5"/>
  <c r="A58" i="5"/>
  <c r="A57" i="5"/>
  <c r="A52" i="5"/>
  <c r="A53" i="5"/>
  <c r="A54" i="5"/>
  <c r="A55" i="5"/>
  <c r="A56" i="5"/>
  <c r="J50" i="5"/>
  <c r="A51" i="5"/>
  <c r="B43" i="5"/>
  <c r="C43" i="5"/>
  <c r="F43" i="5"/>
  <c r="G43" i="5"/>
  <c r="H43" i="5"/>
  <c r="I43" i="5"/>
  <c r="K43" i="5"/>
  <c r="L43" i="5"/>
  <c r="N43" i="5"/>
  <c r="O43" i="5"/>
  <c r="P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B47" i="5"/>
  <c r="C47" i="5"/>
  <c r="F47" i="5"/>
  <c r="G47" i="5"/>
  <c r="H47" i="5"/>
  <c r="K47" i="5"/>
  <c r="L47" i="5"/>
  <c r="N47" i="5"/>
  <c r="O47" i="5"/>
  <c r="P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B48" i="5"/>
  <c r="C48" i="5"/>
  <c r="F48" i="5"/>
  <c r="G48" i="5"/>
  <c r="H48" i="5"/>
  <c r="K48" i="5"/>
  <c r="L48" i="5"/>
  <c r="N48" i="5"/>
  <c r="O48" i="5"/>
  <c r="P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B49" i="5"/>
  <c r="C49" i="5"/>
  <c r="F49" i="5"/>
  <c r="G49" i="5"/>
  <c r="H49" i="5"/>
  <c r="I49" i="5"/>
  <c r="J49" i="5"/>
  <c r="K49" i="5"/>
  <c r="L49" i="5"/>
  <c r="M49" i="5"/>
  <c r="N49" i="5"/>
  <c r="O49" i="5"/>
  <c r="P49" i="5"/>
  <c r="R49" i="5"/>
  <c r="S49" i="5"/>
  <c r="T49" i="5"/>
  <c r="U49" i="5"/>
  <c r="V49" i="5"/>
  <c r="W49" i="5"/>
  <c r="X49" i="5"/>
  <c r="Y49" i="5"/>
  <c r="Z49" i="5"/>
  <c r="AA49" i="5"/>
  <c r="AC49" i="5"/>
  <c r="AD49" i="5"/>
  <c r="AE49" i="5"/>
  <c r="AF49" i="5"/>
  <c r="AG49" i="5"/>
  <c r="AH49" i="5"/>
  <c r="AI49" i="5"/>
  <c r="A49" i="5"/>
  <c r="A48" i="5"/>
  <c r="A47" i="5"/>
  <c r="A43" i="5"/>
  <c r="B42" i="5"/>
  <c r="C42" i="5"/>
  <c r="F42" i="5"/>
  <c r="G42" i="5"/>
  <c r="H42" i="5"/>
  <c r="I42" i="5"/>
  <c r="K42" i="5"/>
  <c r="L42" i="5"/>
  <c r="N42" i="5"/>
  <c r="O42" i="5"/>
  <c r="P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42" i="5"/>
  <c r="B37" i="5"/>
  <c r="C37" i="5"/>
  <c r="F37" i="5"/>
  <c r="G37" i="5"/>
  <c r="H37" i="5"/>
  <c r="K37" i="5"/>
  <c r="L37" i="5"/>
  <c r="N37" i="5"/>
  <c r="O37" i="5"/>
  <c r="P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B38" i="5"/>
  <c r="C38" i="5"/>
  <c r="F38" i="5"/>
  <c r="G38" i="5"/>
  <c r="H38" i="5"/>
  <c r="K38" i="5"/>
  <c r="L38" i="5"/>
  <c r="N38" i="5"/>
  <c r="O38" i="5"/>
  <c r="P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38" i="5"/>
  <c r="A37" i="5"/>
  <c r="B62" i="10"/>
  <c r="C62" i="10"/>
  <c r="F62" i="10"/>
  <c r="G62" i="10"/>
  <c r="H62" i="10"/>
  <c r="J62" i="10"/>
  <c r="K62" i="10"/>
  <c r="L62" i="10"/>
  <c r="M62" i="10"/>
  <c r="N62" i="10"/>
  <c r="O62" i="10"/>
  <c r="P62" i="10"/>
  <c r="R62" i="10"/>
  <c r="S62" i="10"/>
  <c r="T62" i="10"/>
  <c r="U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B63" i="10"/>
  <c r="C63" i="10"/>
  <c r="F63" i="10"/>
  <c r="H63" i="10"/>
  <c r="J63" i="10"/>
  <c r="L63" i="10"/>
  <c r="M63" i="10"/>
  <c r="N63" i="10"/>
  <c r="O63" i="10"/>
  <c r="P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B64" i="10"/>
  <c r="C64" i="10"/>
  <c r="F64" i="10"/>
  <c r="H64" i="10"/>
  <c r="L64" i="10"/>
  <c r="M64" i="10"/>
  <c r="N64" i="10"/>
  <c r="O64" i="10"/>
  <c r="P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B68" i="10"/>
  <c r="C68" i="10"/>
  <c r="F68" i="10"/>
  <c r="G68" i="10"/>
  <c r="H68" i="10"/>
  <c r="I68" i="10"/>
  <c r="J68" i="10"/>
  <c r="K68" i="10"/>
  <c r="L68" i="10"/>
  <c r="M68" i="10"/>
  <c r="N68" i="10"/>
  <c r="O68" i="10"/>
  <c r="P68" i="10"/>
  <c r="R68" i="10"/>
  <c r="S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AI68" i="10"/>
  <c r="B69" i="10"/>
  <c r="C69" i="10"/>
  <c r="F69" i="10"/>
  <c r="G69" i="10"/>
  <c r="H69" i="10"/>
  <c r="I69" i="10"/>
  <c r="J69" i="10"/>
  <c r="K69" i="10"/>
  <c r="L69" i="10"/>
  <c r="M69" i="10"/>
  <c r="N69" i="10"/>
  <c r="O69" i="10"/>
  <c r="P69" i="10"/>
  <c r="R69" i="10"/>
  <c r="S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B71" i="10"/>
  <c r="C71" i="10"/>
  <c r="F71" i="10"/>
  <c r="H71" i="10"/>
  <c r="J71" i="10"/>
  <c r="L71" i="10"/>
  <c r="M71" i="10"/>
  <c r="N71" i="10"/>
  <c r="O71" i="10"/>
  <c r="P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E71" i="10"/>
  <c r="AF71" i="10"/>
  <c r="AG71" i="10"/>
  <c r="AH71" i="10"/>
  <c r="AI71" i="10"/>
  <c r="B72" i="10"/>
  <c r="C72" i="10"/>
  <c r="F72" i="10"/>
  <c r="H72" i="10"/>
  <c r="J72" i="10"/>
  <c r="L72" i="10"/>
  <c r="M72" i="10"/>
  <c r="N72" i="10"/>
  <c r="O72" i="10"/>
  <c r="P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AF72" i="10"/>
  <c r="AG72" i="10"/>
  <c r="AH72" i="10"/>
  <c r="B73" i="10"/>
  <c r="C73" i="10"/>
  <c r="F73" i="10"/>
  <c r="H73" i="10"/>
  <c r="J73" i="10"/>
  <c r="L73" i="10"/>
  <c r="M73" i="10"/>
  <c r="N73" i="10"/>
  <c r="O73" i="10"/>
  <c r="P73" i="10"/>
  <c r="R73" i="10"/>
  <c r="S73" i="10"/>
  <c r="T73" i="10"/>
  <c r="U73" i="10"/>
  <c r="V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AI73" i="10"/>
  <c r="B74" i="10"/>
  <c r="C74" i="10"/>
  <c r="F74" i="10"/>
  <c r="H74" i="10"/>
  <c r="J74" i="10"/>
  <c r="K74" i="10"/>
  <c r="L74" i="10"/>
  <c r="N74" i="10"/>
  <c r="O74" i="10"/>
  <c r="P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B75" i="10"/>
  <c r="C75" i="10"/>
  <c r="F75" i="10"/>
  <c r="H75" i="10"/>
  <c r="J75" i="10"/>
  <c r="L75" i="10"/>
  <c r="M75" i="10"/>
  <c r="N75" i="10"/>
  <c r="O75" i="10"/>
  <c r="P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B76" i="10"/>
  <c r="C76" i="10"/>
  <c r="F76" i="10"/>
  <c r="H76" i="10"/>
  <c r="J76" i="10"/>
  <c r="K76" i="10"/>
  <c r="L76" i="10"/>
  <c r="M76" i="10"/>
  <c r="N76" i="10"/>
  <c r="O76" i="10"/>
  <c r="P76" i="10"/>
  <c r="R76" i="10"/>
  <c r="S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AG76" i="10"/>
  <c r="AH76" i="10"/>
  <c r="B77" i="10"/>
  <c r="C77" i="10"/>
  <c r="F77" i="10"/>
  <c r="G77" i="10"/>
  <c r="H77" i="10"/>
  <c r="I77" i="10"/>
  <c r="J77" i="10"/>
  <c r="K77" i="10"/>
  <c r="L77" i="10"/>
  <c r="M77" i="10"/>
  <c r="N77" i="10"/>
  <c r="O77" i="10"/>
  <c r="P77" i="10"/>
  <c r="R77" i="10"/>
  <c r="S77" i="10"/>
  <c r="T77" i="10"/>
  <c r="U77" i="10"/>
  <c r="V77" i="10"/>
  <c r="X77" i="10"/>
  <c r="Y77" i="10"/>
  <c r="Z77" i="10"/>
  <c r="AA77" i="10"/>
  <c r="AB77" i="10"/>
  <c r="AC77" i="10"/>
  <c r="AD77" i="10"/>
  <c r="AE77" i="10"/>
  <c r="AF77" i="10"/>
  <c r="AG77" i="10"/>
  <c r="AH77" i="10"/>
  <c r="AI77" i="10"/>
  <c r="A77" i="10"/>
  <c r="A68" i="10"/>
  <c r="A69" i="10"/>
  <c r="A71" i="10"/>
  <c r="A72" i="10"/>
  <c r="A73" i="10"/>
  <c r="A74" i="10"/>
  <c r="A75" i="10"/>
  <c r="A76" i="10"/>
  <c r="A63" i="10"/>
  <c r="A64" i="10"/>
  <c r="A62" i="10"/>
  <c r="J61" i="10"/>
  <c r="B43" i="10"/>
  <c r="C43" i="10"/>
  <c r="F43" i="10"/>
  <c r="H43" i="10"/>
  <c r="L43" i="10"/>
  <c r="M43" i="10"/>
  <c r="N43" i="10"/>
  <c r="O43" i="10"/>
  <c r="P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B44" i="10"/>
  <c r="C44" i="10"/>
  <c r="F44" i="10"/>
  <c r="H44" i="10"/>
  <c r="L44" i="10"/>
  <c r="M44" i="10"/>
  <c r="N44" i="10"/>
  <c r="O44" i="10"/>
  <c r="P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B45" i="10"/>
  <c r="C45" i="10"/>
  <c r="F45" i="10"/>
  <c r="H45" i="10"/>
  <c r="J45" i="10"/>
  <c r="K45" i="10"/>
  <c r="L45" i="10"/>
  <c r="M45" i="10"/>
  <c r="N45" i="10"/>
  <c r="O45" i="10"/>
  <c r="P45" i="10"/>
  <c r="R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B46" i="10"/>
  <c r="C46" i="10"/>
  <c r="F46" i="10"/>
  <c r="H46" i="10"/>
  <c r="L46" i="10"/>
  <c r="M46" i="10"/>
  <c r="N46" i="10"/>
  <c r="O46" i="10"/>
  <c r="P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B53" i="10"/>
  <c r="C53" i="10"/>
  <c r="F53" i="10"/>
  <c r="H53" i="10"/>
  <c r="J53" i="10"/>
  <c r="L53" i="10"/>
  <c r="M53" i="10"/>
  <c r="N53" i="10"/>
  <c r="O53" i="10"/>
  <c r="P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B54" i="10"/>
  <c r="C54" i="10"/>
  <c r="F54" i="10"/>
  <c r="G54" i="10"/>
  <c r="H54" i="10"/>
  <c r="L54" i="10"/>
  <c r="M54" i="10"/>
  <c r="N54" i="10"/>
  <c r="O54" i="10"/>
  <c r="P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B36" i="10"/>
  <c r="C36" i="10"/>
  <c r="F36" i="10"/>
  <c r="G36" i="10"/>
  <c r="H36" i="10"/>
  <c r="J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B37" i="10"/>
  <c r="C37" i="10"/>
  <c r="F37" i="10"/>
  <c r="H37" i="10"/>
  <c r="L37" i="10"/>
  <c r="M37" i="10"/>
  <c r="N37" i="10"/>
  <c r="O37" i="10"/>
  <c r="P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AI37" i="10"/>
  <c r="B38" i="10"/>
  <c r="C38" i="10"/>
  <c r="F38" i="10"/>
  <c r="H38" i="10"/>
  <c r="J38" i="10"/>
  <c r="L38" i="10"/>
  <c r="M38" i="10"/>
  <c r="N38" i="10"/>
  <c r="O38" i="10"/>
  <c r="P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B60" i="10"/>
  <c r="C60" i="10"/>
  <c r="F60" i="10"/>
  <c r="G60" i="10"/>
  <c r="H60" i="10"/>
  <c r="I60" i="10"/>
  <c r="J60" i="10"/>
  <c r="K60" i="10"/>
  <c r="L60" i="10"/>
  <c r="M60" i="10"/>
  <c r="N60" i="10"/>
  <c r="O60" i="10"/>
  <c r="P60" i="10"/>
  <c r="R60" i="10"/>
  <c r="S60" i="10"/>
  <c r="T60" i="10"/>
  <c r="U60" i="10"/>
  <c r="V60" i="10"/>
  <c r="W60" i="10"/>
  <c r="X60" i="10"/>
  <c r="Y60" i="10"/>
  <c r="Z60" i="10"/>
  <c r="AA60" i="10"/>
  <c r="AC60" i="10"/>
  <c r="AD60" i="10"/>
  <c r="AE60" i="10"/>
  <c r="AF60" i="10"/>
  <c r="AG60" i="10"/>
  <c r="AH60" i="10"/>
  <c r="AI60" i="10"/>
  <c r="A60" i="10"/>
  <c r="A54" i="10"/>
  <c r="A53" i="10"/>
  <c r="A46" i="10"/>
  <c r="A45" i="10"/>
  <c r="A44" i="10"/>
  <c r="A43" i="10"/>
  <c r="B42" i="10"/>
  <c r="C42" i="10"/>
  <c r="A38" i="10"/>
  <c r="A42" i="10"/>
  <c r="A37" i="10"/>
  <c r="A36" i="10"/>
  <c r="B71" i="11"/>
  <c r="C71" i="11"/>
  <c r="F71" i="11"/>
  <c r="H71" i="11"/>
  <c r="L71" i="11"/>
  <c r="M71" i="11"/>
  <c r="N71" i="11"/>
  <c r="O71" i="11"/>
  <c r="P71" i="11"/>
  <c r="R71" i="11"/>
  <c r="S71" i="11"/>
  <c r="T71" i="11"/>
  <c r="U71" i="11"/>
  <c r="V71" i="11"/>
  <c r="W71" i="11"/>
  <c r="X71" i="11"/>
  <c r="Y71" i="11"/>
  <c r="Z71" i="11"/>
  <c r="AA71" i="11"/>
  <c r="AB71" i="11"/>
  <c r="AC71" i="11"/>
  <c r="AD71" i="11"/>
  <c r="AE71" i="11"/>
  <c r="AF71" i="11"/>
  <c r="AG71" i="11"/>
  <c r="AH71" i="11"/>
  <c r="AI71" i="11"/>
  <c r="A71" i="11"/>
  <c r="J70" i="11"/>
  <c r="J69" i="11"/>
  <c r="B66" i="12"/>
  <c r="C66" i="12"/>
  <c r="F66" i="12"/>
  <c r="G66" i="12"/>
  <c r="H66" i="12"/>
  <c r="J66" i="12"/>
  <c r="K66" i="12"/>
  <c r="L66" i="12"/>
  <c r="M66" i="12"/>
  <c r="N66" i="12"/>
  <c r="O66" i="12"/>
  <c r="P66" i="12"/>
  <c r="R66" i="12"/>
  <c r="S66" i="12"/>
  <c r="T66" i="12"/>
  <c r="U66" i="12"/>
  <c r="W66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B67" i="12"/>
  <c r="C67" i="12"/>
  <c r="F67" i="12"/>
  <c r="H67" i="12"/>
  <c r="J67" i="12"/>
  <c r="L67" i="12"/>
  <c r="M67" i="12"/>
  <c r="N67" i="12"/>
  <c r="O67" i="12"/>
  <c r="P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AF67" i="12"/>
  <c r="AG67" i="12"/>
  <c r="AH67" i="12"/>
  <c r="B68" i="12"/>
  <c r="C68" i="12"/>
  <c r="F68" i="12"/>
  <c r="H68" i="12"/>
  <c r="K68" i="12"/>
  <c r="L68" i="12"/>
  <c r="M68" i="12"/>
  <c r="N68" i="12"/>
  <c r="O68" i="12"/>
  <c r="P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B69" i="12"/>
  <c r="C69" i="12"/>
  <c r="F69" i="12"/>
  <c r="H69" i="12"/>
  <c r="L69" i="12"/>
  <c r="M69" i="12"/>
  <c r="N69" i="12"/>
  <c r="O69" i="12"/>
  <c r="P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AF69" i="12"/>
  <c r="AG69" i="12"/>
  <c r="AH69" i="12"/>
  <c r="AI69" i="12"/>
  <c r="B70" i="12"/>
  <c r="C70" i="12"/>
  <c r="F70" i="12"/>
  <c r="H70" i="12"/>
  <c r="J70" i="12"/>
  <c r="L70" i="12"/>
  <c r="M70" i="12"/>
  <c r="N70" i="12"/>
  <c r="O70" i="12"/>
  <c r="P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AF70" i="12"/>
  <c r="AG70" i="12"/>
  <c r="AH70" i="12"/>
  <c r="B71" i="12"/>
  <c r="C71" i="12"/>
  <c r="F71" i="12"/>
  <c r="H71" i="12"/>
  <c r="J71" i="12"/>
  <c r="K71" i="12"/>
  <c r="L71" i="12"/>
  <c r="N71" i="12"/>
  <c r="O71" i="12"/>
  <c r="P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AF71" i="12"/>
  <c r="AG71" i="12"/>
  <c r="AH71" i="12"/>
  <c r="B72" i="12"/>
  <c r="C72" i="12"/>
  <c r="F72" i="12"/>
  <c r="H72" i="12"/>
  <c r="J72" i="12"/>
  <c r="L72" i="12"/>
  <c r="M72" i="12"/>
  <c r="N72" i="12"/>
  <c r="O72" i="12"/>
  <c r="P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AF72" i="12"/>
  <c r="AG72" i="12"/>
  <c r="AH72" i="12"/>
  <c r="B73" i="12"/>
  <c r="C73" i="12"/>
  <c r="F73" i="12"/>
  <c r="H73" i="12"/>
  <c r="J73" i="12"/>
  <c r="L73" i="12"/>
  <c r="M73" i="12"/>
  <c r="N73" i="12"/>
  <c r="O73" i="12"/>
  <c r="P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AF73" i="12"/>
  <c r="AG73" i="12"/>
  <c r="AH73" i="12"/>
  <c r="B74" i="12"/>
  <c r="C74" i="12"/>
  <c r="F74" i="12"/>
  <c r="H74" i="12"/>
  <c r="J74" i="12"/>
  <c r="L74" i="12"/>
  <c r="M74" i="12"/>
  <c r="N74" i="12"/>
  <c r="O74" i="12"/>
  <c r="P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AF74" i="12"/>
  <c r="AG74" i="12"/>
  <c r="AH74" i="12"/>
  <c r="B75" i="12"/>
  <c r="C75" i="12"/>
  <c r="F75" i="12"/>
  <c r="H75" i="12"/>
  <c r="J75" i="12"/>
  <c r="L75" i="12"/>
  <c r="M75" i="12"/>
  <c r="N75" i="12"/>
  <c r="O75" i="12"/>
  <c r="P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B76" i="12"/>
  <c r="C76" i="12"/>
  <c r="F76" i="12"/>
  <c r="G76" i="12"/>
  <c r="H76" i="12"/>
  <c r="I76" i="12"/>
  <c r="J76" i="12"/>
  <c r="K76" i="12"/>
  <c r="L76" i="12"/>
  <c r="M76" i="12"/>
  <c r="N76" i="12"/>
  <c r="O76" i="12"/>
  <c r="P76" i="12"/>
  <c r="R76" i="12"/>
  <c r="S76" i="12"/>
  <c r="U76" i="12"/>
  <c r="V76" i="12"/>
  <c r="W76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B77" i="12"/>
  <c r="C77" i="12"/>
  <c r="F77" i="12"/>
  <c r="G77" i="12"/>
  <c r="H77" i="12"/>
  <c r="I77" i="12"/>
  <c r="J77" i="12"/>
  <c r="K77" i="12"/>
  <c r="L77" i="12"/>
  <c r="M77" i="12"/>
  <c r="N77" i="12"/>
  <c r="O77" i="12"/>
  <c r="P77" i="12"/>
  <c r="R77" i="12"/>
  <c r="S77" i="12"/>
  <c r="U77" i="12"/>
  <c r="V77" i="12"/>
  <c r="W77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B78" i="12"/>
  <c r="C78" i="12"/>
  <c r="F78" i="12"/>
  <c r="H78" i="12"/>
  <c r="L78" i="12"/>
  <c r="M78" i="12"/>
  <c r="N78" i="12"/>
  <c r="O78" i="12"/>
  <c r="P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B81" i="12"/>
  <c r="C81" i="12"/>
  <c r="F81" i="12"/>
  <c r="H81" i="12"/>
  <c r="J81" i="12"/>
  <c r="K81" i="12"/>
  <c r="L81" i="12"/>
  <c r="N81" i="12"/>
  <c r="O81" i="12"/>
  <c r="P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B82" i="12"/>
  <c r="C82" i="12"/>
  <c r="F82" i="12"/>
  <c r="H82" i="12"/>
  <c r="J82" i="12"/>
  <c r="L82" i="12"/>
  <c r="M82" i="12"/>
  <c r="N82" i="12"/>
  <c r="O82" i="12"/>
  <c r="P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AF82" i="12"/>
  <c r="AG82" i="12"/>
  <c r="AH82" i="12"/>
  <c r="B83" i="12"/>
  <c r="C83" i="12"/>
  <c r="F83" i="12"/>
  <c r="H83" i="12"/>
  <c r="J83" i="12"/>
  <c r="L83" i="12"/>
  <c r="M83" i="12"/>
  <c r="N83" i="12"/>
  <c r="O83" i="12"/>
  <c r="P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AF83" i="12"/>
  <c r="AG83" i="12"/>
  <c r="AH83" i="12"/>
  <c r="AI83" i="12"/>
  <c r="B84" i="12"/>
  <c r="C84" i="12"/>
  <c r="F84" i="12"/>
  <c r="H84" i="12"/>
  <c r="J84" i="12"/>
  <c r="L84" i="12"/>
  <c r="M84" i="12"/>
  <c r="N84" i="12"/>
  <c r="O84" i="12"/>
  <c r="P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AF84" i="12"/>
  <c r="AG84" i="12"/>
  <c r="AH84" i="12"/>
  <c r="AI84" i="12"/>
  <c r="B85" i="12"/>
  <c r="C85" i="12"/>
  <c r="F85" i="12"/>
  <c r="H85" i="12"/>
  <c r="J85" i="12"/>
  <c r="L85" i="12"/>
  <c r="M85" i="12"/>
  <c r="N85" i="12"/>
  <c r="O85" i="12"/>
  <c r="P85" i="12"/>
  <c r="R85" i="12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AF85" i="12"/>
  <c r="AG85" i="12"/>
  <c r="AH85" i="12"/>
  <c r="AI85" i="12"/>
  <c r="B86" i="12"/>
  <c r="C86" i="12"/>
  <c r="F86" i="12"/>
  <c r="H86" i="12"/>
  <c r="J86" i="12"/>
  <c r="L86" i="12"/>
  <c r="M86" i="12"/>
  <c r="N86" i="12"/>
  <c r="O86" i="12"/>
  <c r="P86" i="12"/>
  <c r="R86" i="12"/>
  <c r="S86" i="12"/>
  <c r="T86" i="12"/>
  <c r="U86" i="12"/>
  <c r="V86" i="12"/>
  <c r="W86" i="12"/>
  <c r="X86" i="12"/>
  <c r="Y86" i="12"/>
  <c r="Z86" i="12"/>
  <c r="AA86" i="12"/>
  <c r="AB86" i="12"/>
  <c r="AC86" i="12"/>
  <c r="AD86" i="12"/>
  <c r="AE86" i="12"/>
  <c r="AF86" i="12"/>
  <c r="AG86" i="12"/>
  <c r="AH86" i="12"/>
  <c r="AI86" i="12"/>
  <c r="B88" i="12"/>
  <c r="C88" i="12"/>
  <c r="F88" i="12"/>
  <c r="H88" i="12"/>
  <c r="J88" i="12"/>
  <c r="K88" i="12"/>
  <c r="L88" i="12"/>
  <c r="M88" i="12"/>
  <c r="N88" i="12"/>
  <c r="O88" i="12"/>
  <c r="P88" i="12"/>
  <c r="R88" i="12"/>
  <c r="S88" i="12"/>
  <c r="U88" i="12"/>
  <c r="V88" i="12"/>
  <c r="W88" i="12"/>
  <c r="X88" i="12"/>
  <c r="Y88" i="12"/>
  <c r="Z88" i="12"/>
  <c r="AA88" i="12"/>
  <c r="AB88" i="12"/>
  <c r="AC88" i="12"/>
  <c r="AD88" i="12"/>
  <c r="AE88" i="12"/>
  <c r="AF88" i="12"/>
  <c r="AG88" i="12"/>
  <c r="AH88" i="12"/>
  <c r="B89" i="12"/>
  <c r="C89" i="12"/>
  <c r="F89" i="12"/>
  <c r="G89" i="12"/>
  <c r="H89" i="12"/>
  <c r="I89" i="12"/>
  <c r="J89" i="12"/>
  <c r="K89" i="12"/>
  <c r="L89" i="12"/>
  <c r="M89" i="12"/>
  <c r="N89" i="12"/>
  <c r="O89" i="12"/>
  <c r="P89" i="12"/>
  <c r="R89" i="12"/>
  <c r="S89" i="12"/>
  <c r="T89" i="12"/>
  <c r="U89" i="12"/>
  <c r="V89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88" i="12"/>
  <c r="A89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81" i="12"/>
  <c r="A82" i="12"/>
  <c r="A83" i="12"/>
  <c r="A84" i="12"/>
  <c r="A85" i="12"/>
  <c r="A86" i="12"/>
  <c r="A66" i="12"/>
  <c r="J65" i="12"/>
  <c r="AJ65" i="12" s="1"/>
  <c r="B41" i="12"/>
  <c r="C41" i="12"/>
  <c r="F41" i="12"/>
  <c r="G41" i="12"/>
  <c r="H41" i="12"/>
  <c r="J41" i="12"/>
  <c r="L41" i="12"/>
  <c r="M41" i="12"/>
  <c r="N41" i="12"/>
  <c r="O41" i="12"/>
  <c r="P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B42" i="12"/>
  <c r="C42" i="12"/>
  <c r="F42" i="12"/>
  <c r="H42" i="12"/>
  <c r="J42" i="12"/>
  <c r="K42" i="12"/>
  <c r="L42" i="12"/>
  <c r="N42" i="12"/>
  <c r="O42" i="12"/>
  <c r="P42" i="12"/>
  <c r="R42" i="12"/>
  <c r="S42" i="12"/>
  <c r="T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B43" i="12"/>
  <c r="C43" i="12"/>
  <c r="F43" i="12"/>
  <c r="H43" i="12"/>
  <c r="J43" i="12"/>
  <c r="K43" i="12"/>
  <c r="L43" i="12"/>
  <c r="N43" i="12"/>
  <c r="O43" i="12"/>
  <c r="P43" i="12"/>
  <c r="R43" i="12"/>
  <c r="S43" i="12"/>
  <c r="T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B44" i="12"/>
  <c r="C44" i="12"/>
  <c r="F44" i="12"/>
  <c r="H44" i="12"/>
  <c r="J44" i="12"/>
  <c r="K44" i="12"/>
  <c r="L44" i="12"/>
  <c r="N44" i="12"/>
  <c r="O44" i="12"/>
  <c r="P44" i="12"/>
  <c r="R44" i="12"/>
  <c r="S44" i="12"/>
  <c r="T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B45" i="12"/>
  <c r="C45" i="12"/>
  <c r="F45" i="12"/>
  <c r="H45" i="12"/>
  <c r="J45" i="12"/>
  <c r="K45" i="12"/>
  <c r="L45" i="12"/>
  <c r="N45" i="12"/>
  <c r="O45" i="12"/>
  <c r="P45" i="12"/>
  <c r="R45" i="12"/>
  <c r="S45" i="12"/>
  <c r="T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B49" i="12"/>
  <c r="C49" i="12"/>
  <c r="F49" i="12"/>
  <c r="H49" i="12"/>
  <c r="J49" i="12"/>
  <c r="K49" i="12"/>
  <c r="L49" i="12"/>
  <c r="N49" i="12"/>
  <c r="O49" i="12"/>
  <c r="P49" i="12"/>
  <c r="R49" i="12"/>
  <c r="S49" i="12"/>
  <c r="T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B50" i="12"/>
  <c r="C50" i="12"/>
  <c r="F50" i="12"/>
  <c r="G50" i="12"/>
  <c r="H50" i="12"/>
  <c r="I50" i="12"/>
  <c r="J50" i="12"/>
  <c r="K50" i="12"/>
  <c r="L50" i="12"/>
  <c r="N50" i="12"/>
  <c r="O50" i="12"/>
  <c r="P50" i="12"/>
  <c r="R50" i="12"/>
  <c r="S50" i="12"/>
  <c r="T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B51" i="12"/>
  <c r="C51" i="12"/>
  <c r="F51" i="12"/>
  <c r="H51" i="12"/>
  <c r="J51" i="12"/>
  <c r="K51" i="12"/>
  <c r="L51" i="12"/>
  <c r="N51" i="12"/>
  <c r="O51" i="12"/>
  <c r="P51" i="12"/>
  <c r="R51" i="12"/>
  <c r="S51" i="12"/>
  <c r="T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B52" i="12"/>
  <c r="C52" i="12"/>
  <c r="F52" i="12"/>
  <c r="G52" i="12"/>
  <c r="H52" i="12"/>
  <c r="I52" i="12"/>
  <c r="J52" i="12"/>
  <c r="K52" i="12"/>
  <c r="L52" i="12"/>
  <c r="N52" i="12"/>
  <c r="O52" i="12"/>
  <c r="P52" i="12"/>
  <c r="R52" i="12"/>
  <c r="S52" i="12"/>
  <c r="T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B53" i="12"/>
  <c r="C53" i="12"/>
  <c r="F53" i="12"/>
  <c r="H53" i="12"/>
  <c r="J53" i="12"/>
  <c r="K53" i="12"/>
  <c r="L53" i="12"/>
  <c r="N53" i="12"/>
  <c r="O53" i="12"/>
  <c r="P53" i="12"/>
  <c r="R53" i="12"/>
  <c r="S53" i="12"/>
  <c r="T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B57" i="12"/>
  <c r="C57" i="12"/>
  <c r="F57" i="12"/>
  <c r="H57" i="12"/>
  <c r="J57" i="12"/>
  <c r="K57" i="12"/>
  <c r="L57" i="12"/>
  <c r="N57" i="12"/>
  <c r="O57" i="12"/>
  <c r="P57" i="12"/>
  <c r="R57" i="12"/>
  <c r="S57" i="12"/>
  <c r="T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B58" i="12"/>
  <c r="C58" i="12"/>
  <c r="F58" i="12"/>
  <c r="H58" i="12"/>
  <c r="J58" i="12"/>
  <c r="K58" i="12"/>
  <c r="L58" i="12"/>
  <c r="N58" i="12"/>
  <c r="O58" i="12"/>
  <c r="P58" i="12"/>
  <c r="R58" i="12"/>
  <c r="S58" i="12"/>
  <c r="T58" i="12"/>
  <c r="V58" i="12"/>
  <c r="W58" i="12"/>
  <c r="X58" i="12"/>
  <c r="Y58" i="12"/>
  <c r="Z58" i="12"/>
  <c r="AA58" i="12"/>
  <c r="AB58" i="12"/>
  <c r="AC58" i="12"/>
  <c r="AD58" i="12"/>
  <c r="AE58" i="12"/>
  <c r="AF58" i="12"/>
  <c r="AG58" i="12"/>
  <c r="AH58" i="12"/>
  <c r="B59" i="12"/>
  <c r="C59" i="12"/>
  <c r="F59" i="12"/>
  <c r="H59" i="12"/>
  <c r="J59" i="12"/>
  <c r="K59" i="12"/>
  <c r="L59" i="12"/>
  <c r="N59" i="12"/>
  <c r="O59" i="12"/>
  <c r="P59" i="12"/>
  <c r="R59" i="12"/>
  <c r="S59" i="12"/>
  <c r="T59" i="12"/>
  <c r="V59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B60" i="12"/>
  <c r="C60" i="12"/>
  <c r="F60" i="12"/>
  <c r="H60" i="12"/>
  <c r="J60" i="12"/>
  <c r="K60" i="12"/>
  <c r="L60" i="12"/>
  <c r="N60" i="12"/>
  <c r="O60" i="12"/>
  <c r="P60" i="12"/>
  <c r="R60" i="12"/>
  <c r="S60" i="12"/>
  <c r="T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B61" i="12"/>
  <c r="C61" i="12"/>
  <c r="F61" i="12"/>
  <c r="G61" i="12"/>
  <c r="H61" i="12"/>
  <c r="I61" i="12"/>
  <c r="J61" i="12"/>
  <c r="K61" i="12"/>
  <c r="L61" i="12"/>
  <c r="M61" i="12"/>
  <c r="N61" i="12"/>
  <c r="O61" i="12"/>
  <c r="P61" i="12"/>
  <c r="R61" i="12"/>
  <c r="S61" i="12"/>
  <c r="T61" i="12"/>
  <c r="U61" i="12"/>
  <c r="V61" i="12"/>
  <c r="W61" i="12"/>
  <c r="X61" i="12"/>
  <c r="Y61" i="12"/>
  <c r="Z61" i="12"/>
  <c r="AA61" i="12"/>
  <c r="AC61" i="12"/>
  <c r="AD61" i="12"/>
  <c r="AE61" i="12"/>
  <c r="AF61" i="12"/>
  <c r="AG61" i="12"/>
  <c r="AH61" i="12"/>
  <c r="AI61" i="12"/>
  <c r="A61" i="12"/>
  <c r="A60" i="12"/>
  <c r="A58" i="12"/>
  <c r="A59" i="12"/>
  <c r="A57" i="12"/>
  <c r="A53" i="12"/>
  <c r="A52" i="12"/>
  <c r="A50" i="12"/>
  <c r="A51" i="12"/>
  <c r="A49" i="12"/>
  <c r="A43" i="12"/>
  <c r="A44" i="12"/>
  <c r="A45" i="12"/>
  <c r="A42" i="12"/>
  <c r="A41" i="12"/>
  <c r="E156" i="1"/>
  <c r="E77" i="10" s="1"/>
  <c r="D156" i="1"/>
  <c r="W156" i="1" s="1"/>
  <c r="W77" i="10" s="1"/>
  <c r="E155" i="1"/>
  <c r="AI155" i="1" s="1"/>
  <c r="AI76" i="10" s="1"/>
  <c r="D155" i="1"/>
  <c r="D76" i="10" s="1"/>
  <c r="E175" i="1"/>
  <c r="E66" i="5" s="1"/>
  <c r="D175" i="1"/>
  <c r="E174" i="1"/>
  <c r="AI174" i="1" s="1"/>
  <c r="AI65" i="5" s="1"/>
  <c r="D174" i="1"/>
  <c r="T174" i="1" s="1"/>
  <c r="T65" i="5" s="1"/>
  <c r="E200" i="1"/>
  <c r="E89" i="12" s="1"/>
  <c r="D200" i="1"/>
  <c r="D89" i="12" s="1"/>
  <c r="E199" i="1"/>
  <c r="AI199" i="1" s="1"/>
  <c r="AI88" i="12" s="1"/>
  <c r="D199" i="1"/>
  <c r="T199" i="1" s="1"/>
  <c r="T88" i="12" s="1"/>
  <c r="Q200" i="1"/>
  <c r="Q89" i="12" s="1"/>
  <c r="Q199" i="1"/>
  <c r="Q88" i="12" s="1"/>
  <c r="G199" i="1"/>
  <c r="G88" i="12" s="1"/>
  <c r="Q175" i="1"/>
  <c r="Q66" i="5" s="1"/>
  <c r="Q174" i="1"/>
  <c r="Q65" i="5" s="1"/>
  <c r="G174" i="1"/>
  <c r="G65" i="5" s="1"/>
  <c r="Q156" i="1"/>
  <c r="Q77" i="10" s="1"/>
  <c r="Q155" i="1"/>
  <c r="Q76" i="10" s="1"/>
  <c r="G155" i="1"/>
  <c r="G76" i="10" s="1"/>
  <c r="H201" i="1"/>
  <c r="L201" i="1"/>
  <c r="N201" i="1"/>
  <c r="O201" i="1"/>
  <c r="P201" i="1"/>
  <c r="R201" i="1"/>
  <c r="X201" i="1"/>
  <c r="Y201" i="1"/>
  <c r="Z201" i="1"/>
  <c r="AA201" i="1"/>
  <c r="AC201" i="1"/>
  <c r="AD201" i="1"/>
  <c r="AE201" i="1"/>
  <c r="AF201" i="1"/>
  <c r="AG201" i="1"/>
  <c r="AH201" i="1"/>
  <c r="F201" i="1"/>
  <c r="E188" i="1"/>
  <c r="E77" i="12" s="1"/>
  <c r="D188" i="1"/>
  <c r="T188" i="1" s="1"/>
  <c r="T77" i="12" s="1"/>
  <c r="E187" i="1"/>
  <c r="E76" i="12" s="1"/>
  <c r="D187" i="1"/>
  <c r="T187" i="1" s="1"/>
  <c r="T76" i="12" s="1"/>
  <c r="E165" i="1"/>
  <c r="E57" i="5" s="1"/>
  <c r="D165" i="1"/>
  <c r="T165" i="1" s="1"/>
  <c r="T57" i="5" s="1"/>
  <c r="E164" i="1"/>
  <c r="E56" i="5" s="1"/>
  <c r="D164" i="1"/>
  <c r="D56" i="5" s="1"/>
  <c r="Q188" i="1"/>
  <c r="Q77" i="12" s="1"/>
  <c r="Q187" i="1"/>
  <c r="Q76" i="12" s="1"/>
  <c r="Q165" i="1"/>
  <c r="Q57" i="5" s="1"/>
  <c r="Q164" i="1"/>
  <c r="Q56" i="5" s="1"/>
  <c r="E146" i="1"/>
  <c r="E69" i="10" s="1"/>
  <c r="D146" i="1"/>
  <c r="T146" i="1" s="1"/>
  <c r="T69" i="10" s="1"/>
  <c r="E145" i="1"/>
  <c r="E68" i="10" s="1"/>
  <c r="D145" i="1"/>
  <c r="T145" i="1" s="1"/>
  <c r="T68" i="10" s="1"/>
  <c r="Q146" i="1"/>
  <c r="Q69" i="10" s="1"/>
  <c r="Q145" i="1"/>
  <c r="Q68" i="10" s="1"/>
  <c r="D177" i="1"/>
  <c r="V177" i="1" s="1"/>
  <c r="V66" i="12" s="1"/>
  <c r="Q177" i="1"/>
  <c r="Q66" i="12" s="1"/>
  <c r="E177" i="1"/>
  <c r="I177" i="1" s="1"/>
  <c r="I66" i="12" s="1"/>
  <c r="D158" i="1"/>
  <c r="V158" i="1" s="1"/>
  <c r="Q158" i="1"/>
  <c r="Q51" i="5" s="1"/>
  <c r="E158" i="1"/>
  <c r="I158" i="1" s="1"/>
  <c r="I51" i="5" s="1"/>
  <c r="E138" i="1"/>
  <c r="I138" i="1" s="1"/>
  <c r="I62" i="10" s="1"/>
  <c r="D138" i="1"/>
  <c r="V138" i="1" s="1"/>
  <c r="V62" i="10" s="1"/>
  <c r="Q138" i="1"/>
  <c r="Q62" i="10" s="1"/>
  <c r="J40" i="12"/>
  <c r="AJ40" i="12" s="1"/>
  <c r="J39" i="12"/>
  <c r="AJ39" i="12" s="1"/>
  <c r="J35" i="10"/>
  <c r="J34" i="10"/>
  <c r="J33" i="10"/>
  <c r="J36" i="5"/>
  <c r="AJ36" i="5" s="1"/>
  <c r="J35" i="5"/>
  <c r="AJ35" i="5" s="1"/>
  <c r="J34" i="5"/>
  <c r="AJ34" i="5" s="1"/>
  <c r="B65" i="11"/>
  <c r="C65" i="11"/>
  <c r="F65" i="11"/>
  <c r="H65" i="11"/>
  <c r="L65" i="11"/>
  <c r="M65" i="11"/>
  <c r="N65" i="11"/>
  <c r="O65" i="11"/>
  <c r="P65" i="11"/>
  <c r="R65" i="11"/>
  <c r="S65" i="11"/>
  <c r="T65" i="11"/>
  <c r="U65" i="11"/>
  <c r="V65" i="11"/>
  <c r="W65" i="11"/>
  <c r="X65" i="11"/>
  <c r="Y65" i="11"/>
  <c r="Z65" i="11"/>
  <c r="AA65" i="11"/>
  <c r="AB65" i="11"/>
  <c r="AC65" i="11"/>
  <c r="AD65" i="11"/>
  <c r="AE65" i="11"/>
  <c r="AF65" i="11"/>
  <c r="AG65" i="11"/>
  <c r="AH65" i="11"/>
  <c r="B66" i="11"/>
  <c r="C66" i="11"/>
  <c r="F66" i="11"/>
  <c r="H66" i="11"/>
  <c r="L66" i="11"/>
  <c r="M66" i="11"/>
  <c r="N66" i="11"/>
  <c r="O66" i="11"/>
  <c r="P66" i="11"/>
  <c r="R66" i="11"/>
  <c r="S66" i="11"/>
  <c r="T66" i="11"/>
  <c r="U66" i="11"/>
  <c r="V66" i="11"/>
  <c r="W66" i="11"/>
  <c r="X66" i="11"/>
  <c r="Y66" i="11"/>
  <c r="Z66" i="11"/>
  <c r="AA66" i="11"/>
  <c r="AB66" i="11"/>
  <c r="AC66" i="11"/>
  <c r="AD66" i="11"/>
  <c r="AE66" i="11"/>
  <c r="AF66" i="11"/>
  <c r="AG66" i="11"/>
  <c r="AH66" i="11"/>
  <c r="A66" i="11"/>
  <c r="A65" i="11"/>
  <c r="B62" i="11"/>
  <c r="C62" i="11"/>
  <c r="F62" i="11"/>
  <c r="H62" i="11"/>
  <c r="J62" i="11"/>
  <c r="L62" i="11"/>
  <c r="M62" i="11"/>
  <c r="N62" i="11"/>
  <c r="O62" i="11"/>
  <c r="P62" i="11"/>
  <c r="R62" i="11"/>
  <c r="S62" i="11"/>
  <c r="T62" i="11"/>
  <c r="U62" i="11"/>
  <c r="V62" i="11"/>
  <c r="W62" i="11"/>
  <c r="X62" i="11"/>
  <c r="Y62" i="11"/>
  <c r="Z62" i="11"/>
  <c r="AA62" i="11"/>
  <c r="AB62" i="11"/>
  <c r="AC62" i="11"/>
  <c r="AD62" i="11"/>
  <c r="AE62" i="11"/>
  <c r="AF62" i="11"/>
  <c r="AG62" i="11"/>
  <c r="AH62" i="11"/>
  <c r="B63" i="11"/>
  <c r="C63" i="11"/>
  <c r="F63" i="11"/>
  <c r="H63" i="11"/>
  <c r="L63" i="11"/>
  <c r="M63" i="11"/>
  <c r="N63" i="11"/>
  <c r="O63" i="11"/>
  <c r="P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63" i="11"/>
  <c r="A62" i="11"/>
  <c r="B59" i="11"/>
  <c r="C59" i="11"/>
  <c r="F59" i="11"/>
  <c r="G59" i="11"/>
  <c r="H59" i="11"/>
  <c r="I59" i="11"/>
  <c r="J59" i="11"/>
  <c r="K59" i="11"/>
  <c r="L59" i="11"/>
  <c r="M59" i="11"/>
  <c r="N59" i="11"/>
  <c r="O59" i="11"/>
  <c r="P59" i="11"/>
  <c r="R59" i="11"/>
  <c r="S59" i="11"/>
  <c r="T59" i="11"/>
  <c r="U59" i="11"/>
  <c r="V59" i="11"/>
  <c r="X59" i="11"/>
  <c r="Y59" i="11"/>
  <c r="Z59" i="11"/>
  <c r="AA59" i="11"/>
  <c r="AB59" i="11"/>
  <c r="AC59" i="11"/>
  <c r="AD59" i="11"/>
  <c r="AE59" i="11"/>
  <c r="AF59" i="11"/>
  <c r="AG59" i="11"/>
  <c r="AH59" i="11"/>
  <c r="AI59" i="11"/>
  <c r="B60" i="11"/>
  <c r="C60" i="11"/>
  <c r="F60" i="11"/>
  <c r="G60" i="11"/>
  <c r="H60" i="11"/>
  <c r="I60" i="11"/>
  <c r="J60" i="11"/>
  <c r="K60" i="11"/>
  <c r="L60" i="11"/>
  <c r="M60" i="11"/>
  <c r="N60" i="11"/>
  <c r="O60" i="11"/>
  <c r="P60" i="11"/>
  <c r="R60" i="11"/>
  <c r="S60" i="11"/>
  <c r="T60" i="11"/>
  <c r="U60" i="11"/>
  <c r="V60" i="11"/>
  <c r="W60" i="11"/>
  <c r="X60" i="11"/>
  <c r="Y60" i="11"/>
  <c r="Z60" i="11"/>
  <c r="AA60" i="11"/>
  <c r="AC60" i="11"/>
  <c r="AD60" i="11"/>
  <c r="AE60" i="11"/>
  <c r="AF60" i="11"/>
  <c r="AG60" i="11"/>
  <c r="AH60" i="11"/>
  <c r="AI60" i="11"/>
  <c r="A60" i="11"/>
  <c r="B51" i="11"/>
  <c r="C51" i="11"/>
  <c r="F51" i="11"/>
  <c r="H51" i="11"/>
  <c r="J51" i="11"/>
  <c r="L51" i="11"/>
  <c r="M51" i="11"/>
  <c r="N51" i="11"/>
  <c r="O51" i="11"/>
  <c r="P51" i="11"/>
  <c r="R51" i="11"/>
  <c r="S51" i="11"/>
  <c r="T51" i="11"/>
  <c r="U51" i="11"/>
  <c r="V51" i="11"/>
  <c r="W51" i="11"/>
  <c r="X51" i="11"/>
  <c r="Y51" i="11"/>
  <c r="Z51" i="11"/>
  <c r="AA51" i="11"/>
  <c r="AB51" i="11"/>
  <c r="AC51" i="11"/>
  <c r="AD51" i="11"/>
  <c r="AE51" i="11"/>
  <c r="AF51" i="11"/>
  <c r="AG51" i="11"/>
  <c r="AH51" i="11"/>
  <c r="AI51" i="11"/>
  <c r="B52" i="11"/>
  <c r="C52" i="11"/>
  <c r="F52" i="11"/>
  <c r="H52" i="11"/>
  <c r="J52" i="11"/>
  <c r="L52" i="11"/>
  <c r="M52" i="11"/>
  <c r="N52" i="11"/>
  <c r="O52" i="11"/>
  <c r="P52" i="11"/>
  <c r="R52" i="11"/>
  <c r="S52" i="11"/>
  <c r="T52" i="11"/>
  <c r="U52" i="11"/>
  <c r="V52" i="11"/>
  <c r="W52" i="11"/>
  <c r="X52" i="11"/>
  <c r="Y52" i="11"/>
  <c r="Z52" i="11"/>
  <c r="AA52" i="11"/>
  <c r="AB52" i="11"/>
  <c r="AC52" i="11"/>
  <c r="AD52" i="11"/>
  <c r="AE52" i="11"/>
  <c r="AF52" i="11"/>
  <c r="AG52" i="11"/>
  <c r="AH52" i="11"/>
  <c r="AI52" i="11"/>
  <c r="B53" i="11"/>
  <c r="C53" i="11"/>
  <c r="F53" i="11"/>
  <c r="H53" i="11"/>
  <c r="K53" i="11"/>
  <c r="L53" i="11"/>
  <c r="N53" i="11"/>
  <c r="O53" i="11"/>
  <c r="P53" i="11"/>
  <c r="R53" i="11"/>
  <c r="S53" i="11"/>
  <c r="T53" i="11"/>
  <c r="U53" i="11"/>
  <c r="V53" i="11"/>
  <c r="W53" i="11"/>
  <c r="X53" i="11"/>
  <c r="Y53" i="11"/>
  <c r="Z53" i="11"/>
  <c r="AA53" i="11"/>
  <c r="AB53" i="11"/>
  <c r="AC53" i="11"/>
  <c r="AD53" i="11"/>
  <c r="AE53" i="11"/>
  <c r="AF53" i="11"/>
  <c r="AG53" i="11"/>
  <c r="AH53" i="11"/>
  <c r="AI53" i="11"/>
  <c r="B54" i="11"/>
  <c r="C54" i="11"/>
  <c r="F54" i="11"/>
  <c r="H54" i="11"/>
  <c r="K54" i="11"/>
  <c r="L54" i="11"/>
  <c r="N54" i="11"/>
  <c r="O54" i="11"/>
  <c r="P54" i="11"/>
  <c r="R54" i="11"/>
  <c r="S54" i="11"/>
  <c r="T54" i="11"/>
  <c r="U54" i="11"/>
  <c r="V54" i="11"/>
  <c r="W54" i="11"/>
  <c r="X54" i="11"/>
  <c r="Y54" i="11"/>
  <c r="Z54" i="11"/>
  <c r="AA54" i="11"/>
  <c r="AB54" i="11"/>
  <c r="AC54" i="11"/>
  <c r="AD54" i="11"/>
  <c r="AE54" i="11"/>
  <c r="AF54" i="11"/>
  <c r="AG54" i="11"/>
  <c r="AH54" i="11"/>
  <c r="AI54" i="11"/>
  <c r="B55" i="11"/>
  <c r="C55" i="11"/>
  <c r="F55" i="11"/>
  <c r="H55" i="11"/>
  <c r="K55" i="11"/>
  <c r="L55" i="11"/>
  <c r="N55" i="11"/>
  <c r="O55" i="11"/>
  <c r="P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B56" i="11"/>
  <c r="C56" i="11"/>
  <c r="F56" i="11"/>
  <c r="H56" i="11"/>
  <c r="K56" i="11"/>
  <c r="L56" i="11"/>
  <c r="N56" i="11"/>
  <c r="O56" i="11"/>
  <c r="P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AF56" i="11"/>
  <c r="AG56" i="11"/>
  <c r="AH56" i="11"/>
  <c r="AI56" i="11"/>
  <c r="B57" i="11"/>
  <c r="C57" i="11"/>
  <c r="F57" i="11"/>
  <c r="H57" i="11"/>
  <c r="L57" i="11"/>
  <c r="M57" i="11"/>
  <c r="N57" i="11"/>
  <c r="O57" i="11"/>
  <c r="P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57" i="11"/>
  <c r="B58" i="11"/>
  <c r="C58" i="11"/>
  <c r="F58" i="11"/>
  <c r="G58" i="11"/>
  <c r="H58" i="11"/>
  <c r="I58" i="11"/>
  <c r="J58" i="11"/>
  <c r="K58" i="11"/>
  <c r="L58" i="11"/>
  <c r="M58" i="11"/>
  <c r="N58" i="11"/>
  <c r="O58" i="11"/>
  <c r="P58" i="11"/>
  <c r="R58" i="11"/>
  <c r="S58" i="11"/>
  <c r="U58" i="11"/>
  <c r="V58" i="11"/>
  <c r="W58" i="11"/>
  <c r="X58" i="11"/>
  <c r="Y58" i="11"/>
  <c r="Z58" i="11"/>
  <c r="AA58" i="11"/>
  <c r="AB58" i="11"/>
  <c r="AC58" i="11"/>
  <c r="AD58" i="11"/>
  <c r="AE58" i="11"/>
  <c r="AF58" i="11"/>
  <c r="AG58" i="11"/>
  <c r="AH58" i="11"/>
  <c r="AI58" i="11"/>
  <c r="A52" i="11"/>
  <c r="A53" i="11"/>
  <c r="A54" i="11"/>
  <c r="A55" i="11"/>
  <c r="A56" i="11"/>
  <c r="A57" i="11"/>
  <c r="A58" i="11"/>
  <c r="A59" i="11"/>
  <c r="A51" i="11"/>
  <c r="B35" i="11"/>
  <c r="C35" i="11"/>
  <c r="F35" i="11"/>
  <c r="H35" i="11"/>
  <c r="L35" i="11"/>
  <c r="M35" i="11"/>
  <c r="N35" i="11"/>
  <c r="O35" i="11"/>
  <c r="P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B36" i="11"/>
  <c r="C36" i="11"/>
  <c r="F36" i="11"/>
  <c r="H36" i="11"/>
  <c r="J36" i="11"/>
  <c r="L36" i="11"/>
  <c r="M36" i="11"/>
  <c r="N36" i="11"/>
  <c r="O36" i="11"/>
  <c r="P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B37" i="11"/>
  <c r="C37" i="11"/>
  <c r="F37" i="11"/>
  <c r="H37" i="11"/>
  <c r="J37" i="11"/>
  <c r="K37" i="11"/>
  <c r="L37" i="11"/>
  <c r="N37" i="11"/>
  <c r="O37" i="11"/>
  <c r="P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AH37" i="11"/>
  <c r="AI37" i="11"/>
  <c r="B38" i="11"/>
  <c r="C38" i="11"/>
  <c r="F38" i="11"/>
  <c r="H38" i="11"/>
  <c r="L38" i="11"/>
  <c r="M38" i="11"/>
  <c r="N38" i="11"/>
  <c r="O38" i="11"/>
  <c r="P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AG38" i="11"/>
  <c r="AH38" i="11"/>
  <c r="AI38" i="11"/>
  <c r="B39" i="11"/>
  <c r="C39" i="11"/>
  <c r="F39" i="11"/>
  <c r="H39" i="11"/>
  <c r="L39" i="11"/>
  <c r="M39" i="11"/>
  <c r="N39" i="11"/>
  <c r="O39" i="11"/>
  <c r="P39" i="11"/>
  <c r="R39" i="11"/>
  <c r="S39" i="11"/>
  <c r="T39" i="11"/>
  <c r="U39" i="11"/>
  <c r="V39" i="11"/>
  <c r="W39" i="11"/>
  <c r="X39" i="11"/>
  <c r="Y39" i="11"/>
  <c r="Z39" i="11"/>
  <c r="AA39" i="11"/>
  <c r="AB39" i="11"/>
  <c r="AC39" i="11"/>
  <c r="AD39" i="11"/>
  <c r="AE39" i="11"/>
  <c r="AF39" i="11"/>
  <c r="AG39" i="11"/>
  <c r="AH39" i="11"/>
  <c r="AI39" i="11"/>
  <c r="B40" i="11"/>
  <c r="C40" i="11"/>
  <c r="F40" i="11"/>
  <c r="H40" i="11"/>
  <c r="L40" i="11"/>
  <c r="M40" i="11"/>
  <c r="N40" i="11"/>
  <c r="O40" i="11"/>
  <c r="P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B41" i="11"/>
  <c r="C41" i="11"/>
  <c r="F41" i="11"/>
  <c r="H41" i="11"/>
  <c r="J41" i="11"/>
  <c r="L41" i="11"/>
  <c r="M41" i="11"/>
  <c r="N41" i="11"/>
  <c r="O41" i="11"/>
  <c r="P41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AG41" i="11"/>
  <c r="AH41" i="11"/>
  <c r="AI41" i="11"/>
  <c r="B42" i="11"/>
  <c r="C42" i="11"/>
  <c r="F42" i="11"/>
  <c r="H42" i="11"/>
  <c r="L42" i="11"/>
  <c r="M42" i="11"/>
  <c r="N42" i="11"/>
  <c r="O42" i="11"/>
  <c r="P42" i="11"/>
  <c r="R42" i="11"/>
  <c r="S42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AF42" i="11"/>
  <c r="AG42" i="11"/>
  <c r="AH42" i="11"/>
  <c r="AI42" i="11"/>
  <c r="B43" i="11"/>
  <c r="C43" i="11"/>
  <c r="F43" i="11"/>
  <c r="H43" i="11"/>
  <c r="L43" i="11"/>
  <c r="M43" i="11"/>
  <c r="N43" i="11"/>
  <c r="O43" i="11"/>
  <c r="P43" i="11"/>
  <c r="R43" i="11"/>
  <c r="S43" i="11"/>
  <c r="T43" i="11"/>
  <c r="U43" i="11"/>
  <c r="V43" i="11"/>
  <c r="W43" i="11"/>
  <c r="X43" i="11"/>
  <c r="Y43" i="11"/>
  <c r="Z43" i="11"/>
  <c r="AA43" i="11"/>
  <c r="AB43" i="11"/>
  <c r="AC43" i="11"/>
  <c r="AD43" i="11"/>
  <c r="AE43" i="11"/>
  <c r="AF43" i="11"/>
  <c r="AG43" i="11"/>
  <c r="AH43" i="11"/>
  <c r="AI43" i="11"/>
  <c r="B44" i="11"/>
  <c r="C44" i="11"/>
  <c r="F44" i="11"/>
  <c r="H44" i="11"/>
  <c r="L44" i="11"/>
  <c r="M44" i="11"/>
  <c r="N44" i="11"/>
  <c r="O44" i="11"/>
  <c r="P44" i="11"/>
  <c r="R44" i="11"/>
  <c r="S44" i="11"/>
  <c r="T44" i="11"/>
  <c r="U44" i="11"/>
  <c r="V44" i="11"/>
  <c r="W44" i="11"/>
  <c r="X44" i="11"/>
  <c r="Y44" i="11"/>
  <c r="Z44" i="11"/>
  <c r="AA44" i="11"/>
  <c r="AB44" i="11"/>
  <c r="AC44" i="11"/>
  <c r="AD44" i="11"/>
  <c r="AE44" i="11"/>
  <c r="AF44" i="11"/>
  <c r="AG44" i="11"/>
  <c r="AH44" i="11"/>
  <c r="AI44" i="11"/>
  <c r="B45" i="11"/>
  <c r="C45" i="11"/>
  <c r="F45" i="11"/>
  <c r="H45" i="11"/>
  <c r="J45" i="11"/>
  <c r="K45" i="11"/>
  <c r="L45" i="11"/>
  <c r="M45" i="11"/>
  <c r="N45" i="11"/>
  <c r="O45" i="11"/>
  <c r="P45" i="11"/>
  <c r="R45" i="11"/>
  <c r="S45" i="11"/>
  <c r="U45" i="11"/>
  <c r="V45" i="11"/>
  <c r="W45" i="11"/>
  <c r="X45" i="11"/>
  <c r="Y45" i="11"/>
  <c r="Z45" i="11"/>
  <c r="AA45" i="11"/>
  <c r="AB45" i="11"/>
  <c r="AC45" i="11"/>
  <c r="AD45" i="11"/>
  <c r="AE45" i="11"/>
  <c r="AF45" i="11"/>
  <c r="AG45" i="11"/>
  <c r="AH45" i="11"/>
  <c r="AI45" i="11"/>
  <c r="B46" i="11"/>
  <c r="C46" i="11"/>
  <c r="F46" i="11"/>
  <c r="H46" i="11"/>
  <c r="J46" i="11"/>
  <c r="K46" i="11"/>
  <c r="L46" i="11"/>
  <c r="M46" i="11"/>
  <c r="N46" i="11"/>
  <c r="O46" i="11"/>
  <c r="P46" i="11"/>
  <c r="R46" i="11"/>
  <c r="S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AG46" i="11"/>
  <c r="AH46" i="11"/>
  <c r="AI46" i="11"/>
  <c r="B47" i="11"/>
  <c r="C47" i="11"/>
  <c r="F47" i="11"/>
  <c r="H47" i="11"/>
  <c r="J47" i="11"/>
  <c r="K47" i="11"/>
  <c r="L47" i="11"/>
  <c r="M47" i="11"/>
  <c r="N47" i="11"/>
  <c r="O47" i="11"/>
  <c r="P47" i="11"/>
  <c r="R47" i="11"/>
  <c r="S47" i="11"/>
  <c r="U47" i="11"/>
  <c r="V47" i="11"/>
  <c r="W47" i="11"/>
  <c r="X47" i="11"/>
  <c r="Y47" i="11"/>
  <c r="Z47" i="11"/>
  <c r="AA47" i="11"/>
  <c r="AB47" i="11"/>
  <c r="AC47" i="11"/>
  <c r="AD47" i="11"/>
  <c r="AE47" i="11"/>
  <c r="AF47" i="11"/>
  <c r="AG47" i="11"/>
  <c r="AH47" i="11"/>
  <c r="AI47" i="11"/>
  <c r="B48" i="11"/>
  <c r="C48" i="11"/>
  <c r="F48" i="11"/>
  <c r="H48" i="11"/>
  <c r="L48" i="11"/>
  <c r="M48" i="11"/>
  <c r="N48" i="11"/>
  <c r="O48" i="11"/>
  <c r="P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AG48" i="11"/>
  <c r="AH48" i="11"/>
  <c r="AI48" i="11"/>
  <c r="B49" i="11"/>
  <c r="C49" i="11"/>
  <c r="F49" i="11"/>
  <c r="H49" i="11"/>
  <c r="L49" i="11"/>
  <c r="M49" i="11"/>
  <c r="N49" i="11"/>
  <c r="O49" i="11"/>
  <c r="P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49" i="11"/>
  <c r="AF49" i="11"/>
  <c r="AG49" i="11"/>
  <c r="AH49" i="11"/>
  <c r="AI49" i="11"/>
  <c r="B50" i="11"/>
  <c r="C50" i="11"/>
  <c r="F50" i="11"/>
  <c r="H50" i="11"/>
  <c r="L50" i="11"/>
  <c r="M50" i="11"/>
  <c r="N50" i="11"/>
  <c r="O50" i="11"/>
  <c r="P50" i="11"/>
  <c r="R50" i="11"/>
  <c r="S50" i="11"/>
  <c r="T50" i="11"/>
  <c r="U50" i="11"/>
  <c r="V50" i="11"/>
  <c r="W50" i="11"/>
  <c r="X50" i="11"/>
  <c r="Y50" i="11"/>
  <c r="Z50" i="11"/>
  <c r="AA50" i="11"/>
  <c r="AB50" i="11"/>
  <c r="AC50" i="11"/>
  <c r="AD50" i="11"/>
  <c r="AE50" i="11"/>
  <c r="AF50" i="11"/>
  <c r="AG50" i="11"/>
  <c r="AH50" i="11"/>
  <c r="AI50" i="11"/>
  <c r="A50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35" i="11"/>
  <c r="B31" i="11"/>
  <c r="C31" i="11"/>
  <c r="F31" i="11"/>
  <c r="H31" i="11"/>
  <c r="L31" i="11"/>
  <c r="M31" i="11"/>
  <c r="N31" i="11"/>
  <c r="O31" i="11"/>
  <c r="P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AE31" i="11"/>
  <c r="AF31" i="11"/>
  <c r="AG31" i="11"/>
  <c r="AH31" i="11"/>
  <c r="AI31" i="11"/>
  <c r="B32" i="11"/>
  <c r="C32" i="11"/>
  <c r="F32" i="11"/>
  <c r="H32" i="11"/>
  <c r="L32" i="11"/>
  <c r="M32" i="11"/>
  <c r="N32" i="11"/>
  <c r="O32" i="11"/>
  <c r="P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B33" i="11"/>
  <c r="C33" i="11"/>
  <c r="F33" i="11"/>
  <c r="H33" i="11"/>
  <c r="L33" i="11"/>
  <c r="M33" i="11"/>
  <c r="N33" i="11"/>
  <c r="O33" i="11"/>
  <c r="P33" i="11"/>
  <c r="R33" i="11"/>
  <c r="S33" i="11"/>
  <c r="T33" i="11"/>
  <c r="U33" i="11"/>
  <c r="V33" i="11"/>
  <c r="W33" i="11"/>
  <c r="X33" i="11"/>
  <c r="Y33" i="11"/>
  <c r="Z33" i="11"/>
  <c r="AA33" i="11"/>
  <c r="AB33" i="11"/>
  <c r="AC33" i="11"/>
  <c r="AD33" i="11"/>
  <c r="AE33" i="11"/>
  <c r="AF33" i="11"/>
  <c r="AG33" i="11"/>
  <c r="AH33" i="11"/>
  <c r="AI33" i="11"/>
  <c r="B34" i="11"/>
  <c r="C34" i="11"/>
  <c r="F34" i="11"/>
  <c r="H34" i="11"/>
  <c r="J34" i="11"/>
  <c r="K34" i="11"/>
  <c r="L34" i="11"/>
  <c r="M34" i="11"/>
  <c r="N34" i="11"/>
  <c r="O34" i="11"/>
  <c r="P34" i="11"/>
  <c r="R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32" i="11"/>
  <c r="A33" i="11"/>
  <c r="A34" i="11"/>
  <c r="A31" i="11"/>
  <c r="B29" i="11"/>
  <c r="C29" i="11"/>
  <c r="F29" i="11"/>
  <c r="H29" i="11"/>
  <c r="L29" i="11"/>
  <c r="M29" i="11"/>
  <c r="N29" i="11"/>
  <c r="O29" i="11"/>
  <c r="P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29" i="11"/>
  <c r="B30" i="11"/>
  <c r="C30" i="11"/>
  <c r="F30" i="11"/>
  <c r="H30" i="11"/>
  <c r="J30" i="11"/>
  <c r="L30" i="11"/>
  <c r="M30" i="11"/>
  <c r="N30" i="11"/>
  <c r="O30" i="11"/>
  <c r="P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30" i="11"/>
  <c r="A29" i="11"/>
  <c r="B23" i="11"/>
  <c r="C23" i="11"/>
  <c r="F23" i="11"/>
  <c r="H23" i="11"/>
  <c r="L23" i="11"/>
  <c r="M23" i="11"/>
  <c r="N23" i="11"/>
  <c r="O23" i="11"/>
  <c r="P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AI23" i="11"/>
  <c r="B24" i="11"/>
  <c r="C24" i="11"/>
  <c r="F24" i="11"/>
  <c r="H24" i="11"/>
  <c r="L24" i="11"/>
  <c r="M24" i="11"/>
  <c r="N24" i="11"/>
  <c r="O24" i="11"/>
  <c r="P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AI24" i="11"/>
  <c r="B25" i="11"/>
  <c r="C25" i="11"/>
  <c r="F25" i="11"/>
  <c r="H25" i="11"/>
  <c r="L25" i="11"/>
  <c r="M25" i="11"/>
  <c r="N25" i="11"/>
  <c r="O25" i="11"/>
  <c r="P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AI25" i="11"/>
  <c r="B26" i="11"/>
  <c r="C26" i="11"/>
  <c r="F26" i="11"/>
  <c r="H26" i="11"/>
  <c r="L26" i="11"/>
  <c r="M26" i="11"/>
  <c r="N26" i="11"/>
  <c r="O26" i="11"/>
  <c r="P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AI26" i="11"/>
  <c r="A24" i="11"/>
  <c r="A25" i="11"/>
  <c r="A26" i="11"/>
  <c r="A23" i="11"/>
  <c r="J22" i="11"/>
  <c r="AJ22" i="11" s="1"/>
  <c r="J21" i="11"/>
  <c r="AJ21" i="11" s="1"/>
  <c r="B33" i="12"/>
  <c r="C33" i="12"/>
  <c r="F33" i="12"/>
  <c r="H33" i="12"/>
  <c r="J33" i="12"/>
  <c r="L33" i="12"/>
  <c r="M33" i="12"/>
  <c r="N33" i="12"/>
  <c r="O33" i="12"/>
  <c r="P33" i="12"/>
  <c r="R33" i="12"/>
  <c r="S33" i="12"/>
  <c r="T33" i="12"/>
  <c r="U33" i="12"/>
  <c r="V33" i="12"/>
  <c r="W33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B34" i="12"/>
  <c r="C34" i="12"/>
  <c r="F34" i="12"/>
  <c r="H34" i="12"/>
  <c r="J34" i="12"/>
  <c r="K34" i="12"/>
  <c r="L34" i="12"/>
  <c r="N34" i="12"/>
  <c r="O34" i="12"/>
  <c r="P34" i="12"/>
  <c r="R34" i="12"/>
  <c r="S34" i="12"/>
  <c r="T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B35" i="12"/>
  <c r="C35" i="12"/>
  <c r="F35" i="12"/>
  <c r="H35" i="12"/>
  <c r="J35" i="12"/>
  <c r="K35" i="12"/>
  <c r="L35" i="12"/>
  <c r="N35" i="12"/>
  <c r="O35" i="12"/>
  <c r="P35" i="12"/>
  <c r="R35" i="12"/>
  <c r="S35" i="12"/>
  <c r="T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A35" i="12"/>
  <c r="A34" i="12"/>
  <c r="A33" i="12"/>
  <c r="B28" i="12"/>
  <c r="C28" i="12"/>
  <c r="F28" i="12"/>
  <c r="H28" i="12"/>
  <c r="J28" i="12"/>
  <c r="K28" i="12"/>
  <c r="L28" i="12"/>
  <c r="N28" i="12"/>
  <c r="O28" i="12"/>
  <c r="P28" i="12"/>
  <c r="R28" i="12"/>
  <c r="S28" i="12"/>
  <c r="T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B29" i="12"/>
  <c r="C29" i="12"/>
  <c r="F29" i="12"/>
  <c r="H29" i="12"/>
  <c r="J29" i="12"/>
  <c r="L29" i="12"/>
  <c r="M29" i="12"/>
  <c r="N29" i="12"/>
  <c r="O29" i="12"/>
  <c r="P29" i="12"/>
  <c r="R29" i="12"/>
  <c r="S29" i="12"/>
  <c r="T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B30" i="12"/>
  <c r="C30" i="12"/>
  <c r="F30" i="12"/>
  <c r="H30" i="12"/>
  <c r="J30" i="12"/>
  <c r="K30" i="12"/>
  <c r="L30" i="12"/>
  <c r="N30" i="12"/>
  <c r="O30" i="12"/>
  <c r="P30" i="12"/>
  <c r="R30" i="12"/>
  <c r="S30" i="12"/>
  <c r="T30" i="12"/>
  <c r="V30" i="12"/>
  <c r="W30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B31" i="12"/>
  <c r="C31" i="12"/>
  <c r="F31" i="12"/>
  <c r="H31" i="12"/>
  <c r="J31" i="12"/>
  <c r="L31" i="12"/>
  <c r="M31" i="12"/>
  <c r="N31" i="12"/>
  <c r="O31" i="12"/>
  <c r="P31" i="12"/>
  <c r="R31" i="12"/>
  <c r="S31" i="12"/>
  <c r="T31" i="12"/>
  <c r="V31" i="12"/>
  <c r="W31" i="12"/>
  <c r="X31" i="12"/>
  <c r="Y31" i="12"/>
  <c r="Z31" i="12"/>
  <c r="AA31" i="12"/>
  <c r="AB31" i="12"/>
  <c r="AC31" i="12"/>
  <c r="AD31" i="12"/>
  <c r="AE31" i="12"/>
  <c r="AF31" i="12"/>
  <c r="AG31" i="12"/>
  <c r="AH31" i="12"/>
  <c r="B32" i="12"/>
  <c r="C32" i="12"/>
  <c r="F32" i="12"/>
  <c r="H32" i="12"/>
  <c r="J32" i="12"/>
  <c r="L32" i="12"/>
  <c r="M32" i="12"/>
  <c r="N32" i="12"/>
  <c r="O32" i="12"/>
  <c r="P32" i="12"/>
  <c r="R32" i="12"/>
  <c r="S32" i="12"/>
  <c r="T32" i="12"/>
  <c r="V32" i="12"/>
  <c r="W32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29" i="12"/>
  <c r="A30" i="12"/>
  <c r="A31" i="12"/>
  <c r="A32" i="12"/>
  <c r="A28" i="12"/>
  <c r="B23" i="12"/>
  <c r="C23" i="12"/>
  <c r="F23" i="12"/>
  <c r="H23" i="12"/>
  <c r="J23" i="12"/>
  <c r="K23" i="12"/>
  <c r="L23" i="12"/>
  <c r="N23" i="12"/>
  <c r="O23" i="12"/>
  <c r="P23" i="12"/>
  <c r="R23" i="12"/>
  <c r="S23" i="12"/>
  <c r="T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B24" i="12"/>
  <c r="C24" i="12"/>
  <c r="F24" i="12"/>
  <c r="H24" i="12"/>
  <c r="J24" i="12"/>
  <c r="K24" i="12"/>
  <c r="L24" i="12"/>
  <c r="N24" i="12"/>
  <c r="O24" i="12"/>
  <c r="P24" i="12"/>
  <c r="R24" i="12"/>
  <c r="S24" i="12"/>
  <c r="T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B25" i="12"/>
  <c r="C25" i="12"/>
  <c r="F25" i="12"/>
  <c r="H25" i="12"/>
  <c r="J25" i="12"/>
  <c r="L25" i="12"/>
  <c r="M25" i="12"/>
  <c r="N25" i="12"/>
  <c r="O25" i="12"/>
  <c r="P25" i="12"/>
  <c r="R25" i="12"/>
  <c r="S25" i="12"/>
  <c r="T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24" i="12"/>
  <c r="A25" i="12"/>
  <c r="A23" i="12"/>
  <c r="J22" i="12"/>
  <c r="AJ22" i="12" s="1"/>
  <c r="J21" i="12"/>
  <c r="AJ21" i="12" s="1"/>
  <c r="B30" i="5"/>
  <c r="C30" i="5"/>
  <c r="F30" i="5"/>
  <c r="H30" i="5"/>
  <c r="K30" i="5"/>
  <c r="L30" i="5"/>
  <c r="N30" i="5"/>
  <c r="O30" i="5"/>
  <c r="P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B31" i="5"/>
  <c r="C31" i="5"/>
  <c r="F31" i="5"/>
  <c r="H31" i="5"/>
  <c r="L31" i="5"/>
  <c r="N31" i="5"/>
  <c r="O31" i="5"/>
  <c r="P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31" i="5"/>
  <c r="A30" i="5"/>
  <c r="B28" i="5"/>
  <c r="C28" i="5"/>
  <c r="F28" i="5"/>
  <c r="H28" i="5"/>
  <c r="K28" i="5"/>
  <c r="L28" i="5"/>
  <c r="N28" i="5"/>
  <c r="O28" i="5"/>
  <c r="P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B29" i="5"/>
  <c r="C29" i="5"/>
  <c r="F29" i="5"/>
  <c r="H29" i="5"/>
  <c r="L29" i="5"/>
  <c r="M29" i="5"/>
  <c r="N29" i="5"/>
  <c r="O29" i="5"/>
  <c r="P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29" i="5"/>
  <c r="A28" i="5"/>
  <c r="B25" i="5"/>
  <c r="C25" i="5"/>
  <c r="F25" i="5"/>
  <c r="H25" i="5"/>
  <c r="K25" i="5"/>
  <c r="L25" i="5"/>
  <c r="N25" i="5"/>
  <c r="O25" i="5"/>
  <c r="P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25" i="5"/>
  <c r="B24" i="5"/>
  <c r="C24" i="5"/>
  <c r="F24" i="5"/>
  <c r="L24" i="5"/>
  <c r="M24" i="5"/>
  <c r="N24" i="5"/>
  <c r="O24" i="5"/>
  <c r="P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24" i="5"/>
  <c r="K10" i="12"/>
  <c r="K10" i="11"/>
  <c r="K10" i="10"/>
  <c r="K10" i="5"/>
  <c r="J23" i="5"/>
  <c r="AJ23" i="5" s="1"/>
  <c r="J22" i="5"/>
  <c r="B30" i="10"/>
  <c r="C30" i="10"/>
  <c r="A30" i="10"/>
  <c r="B29" i="10"/>
  <c r="C29" i="10"/>
  <c r="F29" i="10"/>
  <c r="H29" i="10"/>
  <c r="L29" i="10"/>
  <c r="M29" i="10"/>
  <c r="N29" i="10"/>
  <c r="O29" i="10"/>
  <c r="P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AI29" i="10"/>
  <c r="A29" i="10"/>
  <c r="B26" i="10"/>
  <c r="C26" i="10"/>
  <c r="H26" i="10"/>
  <c r="A26" i="10"/>
  <c r="B25" i="10"/>
  <c r="C25" i="10"/>
  <c r="F25" i="10"/>
  <c r="G25" i="10"/>
  <c r="H25" i="10"/>
  <c r="J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25" i="10"/>
  <c r="K24" i="10"/>
  <c r="L23" i="10"/>
  <c r="AJ37" i="12"/>
  <c r="AJ91" i="12"/>
  <c r="AJ105" i="12"/>
  <c r="AJ113" i="12"/>
  <c r="AJ123" i="12"/>
  <c r="AJ68" i="11"/>
  <c r="AJ73" i="11"/>
  <c r="AJ143" i="11"/>
  <c r="AJ164" i="11"/>
  <c r="AJ68" i="5"/>
  <c r="AJ104" i="5"/>
  <c r="AJ114" i="5"/>
  <c r="AJ124" i="5"/>
  <c r="AJ168" i="5"/>
  <c r="AJ105" i="11"/>
  <c r="Z81" i="10" l="1"/>
  <c r="N81" i="10"/>
  <c r="AG81" i="10"/>
  <c r="U81" i="10"/>
  <c r="AF81" i="10"/>
  <c r="F81" i="10"/>
  <c r="AE81" i="10"/>
  <c r="AD81" i="10"/>
  <c r="R81" i="10"/>
  <c r="AC81" i="10"/>
  <c r="P81" i="10"/>
  <c r="AA81" i="10"/>
  <c r="O81" i="10"/>
  <c r="Y81" i="10"/>
  <c r="X81" i="10"/>
  <c r="L81" i="10"/>
  <c r="W81" i="10"/>
  <c r="AH81" i="10"/>
  <c r="V81" i="10"/>
  <c r="H81" i="10"/>
  <c r="AJ66" i="12"/>
  <c r="F90" i="12"/>
  <c r="AH100" i="10"/>
  <c r="V100" i="10"/>
  <c r="F100" i="10"/>
  <c r="AE100" i="10"/>
  <c r="S100" i="10"/>
  <c r="Z100" i="10"/>
  <c r="Y100" i="10"/>
  <c r="H100" i="10"/>
  <c r="AG100" i="10"/>
  <c r="U100" i="10"/>
  <c r="AF100" i="10"/>
  <c r="T100" i="10"/>
  <c r="AD100" i="10"/>
  <c r="R100" i="10"/>
  <c r="AC100" i="10"/>
  <c r="AB100" i="10"/>
  <c r="P100" i="10"/>
  <c r="AA100" i="10"/>
  <c r="O100" i="10"/>
  <c r="N100" i="10"/>
  <c r="X100" i="10"/>
  <c r="L100" i="10"/>
  <c r="AI100" i="10"/>
  <c r="W100" i="10"/>
  <c r="K16" i="40"/>
  <c r="K20" i="40" s="1"/>
  <c r="K21" i="40" s="1"/>
  <c r="M73" i="40"/>
  <c r="M21" i="40" s="1"/>
  <c r="AJ56" i="40"/>
  <c r="AJ59" i="40" s="1"/>
  <c r="AI73" i="40"/>
  <c r="AI21" i="40" s="1"/>
  <c r="D66" i="5"/>
  <c r="W175" i="1"/>
  <c r="W66" i="5" s="1"/>
  <c r="AJ66" i="5" s="1"/>
  <c r="T155" i="1"/>
  <c r="T76" i="10" s="1"/>
  <c r="T81" i="10" s="1"/>
  <c r="W21" i="40"/>
  <c r="G21" i="40"/>
  <c r="U21" i="40"/>
  <c r="Q16" i="40"/>
  <c r="Q20" i="40" s="1"/>
  <c r="Q73" i="40"/>
  <c r="J16" i="40"/>
  <c r="J20" i="40" s="1"/>
  <c r="J73" i="40"/>
  <c r="I16" i="40"/>
  <c r="I20" i="40" s="1"/>
  <c r="I73" i="40"/>
  <c r="S21" i="40"/>
  <c r="F111" i="10"/>
  <c r="Z123" i="11"/>
  <c r="N123" i="11"/>
  <c r="Y123" i="11"/>
  <c r="X123" i="11"/>
  <c r="L123" i="11"/>
  <c r="AH123" i="11"/>
  <c r="AG123" i="11"/>
  <c r="AD123" i="11"/>
  <c r="R123" i="11"/>
  <c r="AF123" i="11"/>
  <c r="H123" i="11"/>
  <c r="AA123" i="11"/>
  <c r="AC123" i="11"/>
  <c r="AE123" i="11"/>
  <c r="S123" i="11"/>
  <c r="F123" i="11"/>
  <c r="O123" i="11"/>
  <c r="P123" i="11"/>
  <c r="AC90" i="12"/>
  <c r="O90" i="12"/>
  <c r="AH90" i="12"/>
  <c r="V90" i="12"/>
  <c r="AA90" i="12"/>
  <c r="N90" i="12"/>
  <c r="P90" i="12"/>
  <c r="Z90" i="12"/>
  <c r="Y90" i="12"/>
  <c r="L90" i="12"/>
  <c r="V201" i="1"/>
  <c r="X90" i="12"/>
  <c r="H90" i="12"/>
  <c r="AG90" i="12"/>
  <c r="AF90" i="12"/>
  <c r="AE90" i="12"/>
  <c r="S90" i="12"/>
  <c r="AD90" i="12"/>
  <c r="R90" i="12"/>
  <c r="T90" i="12"/>
  <c r="D69" i="10"/>
  <c r="V51" i="5"/>
  <c r="AJ51" i="5" s="1"/>
  <c r="D76" i="12"/>
  <c r="AJ77" i="10"/>
  <c r="E76" i="10"/>
  <c r="D77" i="12"/>
  <c r="T164" i="1"/>
  <c r="T56" i="5" s="1"/>
  <c r="AJ56" i="5" s="1"/>
  <c r="E66" i="12"/>
  <c r="D77" i="10"/>
  <c r="D66" i="12"/>
  <c r="E51" i="5"/>
  <c r="E88" i="12"/>
  <c r="D57" i="5"/>
  <c r="D51" i="5"/>
  <c r="W200" i="1"/>
  <c r="W89" i="12" s="1"/>
  <c r="AJ89" i="12" s="1"/>
  <c r="D88" i="12"/>
  <c r="AJ68" i="10"/>
  <c r="AJ69" i="10"/>
  <c r="E62" i="10"/>
  <c r="E65" i="5"/>
  <c r="D68" i="10"/>
  <c r="D62" i="10"/>
  <c r="D65" i="5"/>
  <c r="AJ57" i="5"/>
  <c r="AJ62" i="10"/>
  <c r="AJ77" i="12"/>
  <c r="AJ76" i="12"/>
  <c r="AJ156" i="1"/>
  <c r="I199" i="1"/>
  <c r="I174" i="1"/>
  <c r="I65" i="5" s="1"/>
  <c r="AJ65" i="5" s="1"/>
  <c r="I155" i="1"/>
  <c r="I76" i="10" s="1"/>
  <c r="AI31" i="10"/>
  <c r="W31" i="10"/>
  <c r="F31" i="10"/>
  <c r="AJ187" i="1"/>
  <c r="AJ165" i="1"/>
  <c r="AJ188" i="1"/>
  <c r="AJ146" i="1"/>
  <c r="AJ145" i="1"/>
  <c r="AD31" i="10"/>
  <c r="R31" i="10"/>
  <c r="F32" i="5"/>
  <c r="AJ177" i="1"/>
  <c r="AC31" i="10"/>
  <c r="P31" i="10"/>
  <c r="AB31" i="10"/>
  <c r="AB32" i="5"/>
  <c r="Y31" i="10"/>
  <c r="M31" i="10"/>
  <c r="F67" i="11"/>
  <c r="AJ158" i="1"/>
  <c r="AH67" i="11"/>
  <c r="V67" i="11"/>
  <c r="AG67" i="11"/>
  <c r="U67" i="11"/>
  <c r="AH31" i="10"/>
  <c r="V31" i="10"/>
  <c r="AE67" i="11"/>
  <c r="AF31" i="10"/>
  <c r="T31" i="10"/>
  <c r="AF32" i="5"/>
  <c r="T32" i="5"/>
  <c r="H67" i="11"/>
  <c r="AD67" i="11"/>
  <c r="R67" i="11"/>
  <c r="AC67" i="11"/>
  <c r="P67" i="11"/>
  <c r="O67" i="11"/>
  <c r="P32" i="5"/>
  <c r="AA67" i="11"/>
  <c r="N67" i="11"/>
  <c r="AF67" i="11"/>
  <c r="Z67" i="11"/>
  <c r="Y67" i="11"/>
  <c r="L67" i="11"/>
  <c r="Z31" i="10"/>
  <c r="N31" i="10"/>
  <c r="X67" i="11"/>
  <c r="AJ138" i="1"/>
  <c r="X31" i="10"/>
  <c r="L31" i="10"/>
  <c r="AE31" i="10"/>
  <c r="S31" i="10"/>
  <c r="H31" i="10"/>
  <c r="AC32" i="5"/>
  <c r="AG31" i="10"/>
  <c r="U31" i="10"/>
  <c r="O32" i="5"/>
  <c r="AA32" i="5"/>
  <c r="Z32" i="5"/>
  <c r="N32" i="5"/>
  <c r="Y32" i="5"/>
  <c r="L32" i="5"/>
  <c r="X32" i="5"/>
  <c r="W32" i="5"/>
  <c r="H32" i="5"/>
  <c r="AA31" i="10"/>
  <c r="O31" i="10"/>
  <c r="AH32" i="5"/>
  <c r="V32" i="5"/>
  <c r="AE32" i="5"/>
  <c r="S32" i="5"/>
  <c r="AA36" i="12"/>
  <c r="O36" i="12"/>
  <c r="AG32" i="5"/>
  <c r="U32" i="5"/>
  <c r="AD32" i="5"/>
  <c r="R32" i="5"/>
  <c r="AB36" i="12"/>
  <c r="P36" i="12"/>
  <c r="AC36" i="12"/>
  <c r="N36" i="12"/>
  <c r="Y36" i="12"/>
  <c r="Z36" i="12"/>
  <c r="X36" i="12"/>
  <c r="L36" i="12"/>
  <c r="W36" i="12"/>
  <c r="AH36" i="12"/>
  <c r="V36" i="12"/>
  <c r="J36" i="12"/>
  <c r="AF36" i="12"/>
  <c r="T36" i="12"/>
  <c r="H36" i="12"/>
  <c r="AE36" i="12"/>
  <c r="AG36" i="12"/>
  <c r="S36" i="12"/>
  <c r="AD36" i="12"/>
  <c r="R36" i="12"/>
  <c r="F36" i="12"/>
  <c r="H450" i="1"/>
  <c r="J450" i="1"/>
  <c r="L450" i="1"/>
  <c r="N450" i="1"/>
  <c r="O450" i="1"/>
  <c r="P450" i="1"/>
  <c r="R450" i="1"/>
  <c r="S450" i="1"/>
  <c r="T450" i="1"/>
  <c r="U450" i="1"/>
  <c r="V450" i="1"/>
  <c r="W450" i="1"/>
  <c r="X450" i="1"/>
  <c r="Y450" i="1"/>
  <c r="Z450" i="1"/>
  <c r="AA450" i="1"/>
  <c r="AB450" i="1"/>
  <c r="AC450" i="1"/>
  <c r="AD450" i="1"/>
  <c r="AE450" i="1"/>
  <c r="AF450" i="1"/>
  <c r="AG450" i="1"/>
  <c r="AH450" i="1"/>
  <c r="F450" i="1"/>
  <c r="H431" i="1"/>
  <c r="J431" i="1"/>
  <c r="L431" i="1"/>
  <c r="N431" i="1"/>
  <c r="O431" i="1"/>
  <c r="P431" i="1"/>
  <c r="R431" i="1"/>
  <c r="U431" i="1"/>
  <c r="V431" i="1"/>
  <c r="Y431" i="1"/>
  <c r="Z431" i="1"/>
  <c r="AA431" i="1"/>
  <c r="AC431" i="1"/>
  <c r="AD431" i="1"/>
  <c r="AE431" i="1"/>
  <c r="AF431" i="1"/>
  <c r="AG431" i="1"/>
  <c r="AH431" i="1"/>
  <c r="F431" i="1"/>
  <c r="H385" i="1"/>
  <c r="J385" i="1"/>
  <c r="L385" i="1"/>
  <c r="N385" i="1"/>
  <c r="O385" i="1"/>
  <c r="P385" i="1"/>
  <c r="R385" i="1"/>
  <c r="U385" i="1"/>
  <c r="V385" i="1"/>
  <c r="Y385" i="1"/>
  <c r="Z385" i="1"/>
  <c r="AA385" i="1"/>
  <c r="AC385" i="1"/>
  <c r="AD385" i="1"/>
  <c r="AE385" i="1"/>
  <c r="AF385" i="1"/>
  <c r="AG385" i="1"/>
  <c r="AH385" i="1"/>
  <c r="F385" i="1"/>
  <c r="H361" i="1"/>
  <c r="L361" i="1"/>
  <c r="N361" i="1"/>
  <c r="O361" i="1"/>
  <c r="P361" i="1"/>
  <c r="R361" i="1"/>
  <c r="S361" i="1"/>
  <c r="T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F361" i="1"/>
  <c r="H337" i="1"/>
  <c r="L337" i="1"/>
  <c r="N337" i="1"/>
  <c r="O337" i="1"/>
  <c r="P337" i="1"/>
  <c r="R337" i="1"/>
  <c r="S337" i="1"/>
  <c r="U337" i="1"/>
  <c r="V337" i="1"/>
  <c r="X337" i="1"/>
  <c r="Y337" i="1"/>
  <c r="Z337" i="1"/>
  <c r="AA337" i="1"/>
  <c r="AC337" i="1"/>
  <c r="AD337" i="1"/>
  <c r="AE337" i="1"/>
  <c r="AF337" i="1"/>
  <c r="AG337" i="1"/>
  <c r="AH337" i="1"/>
  <c r="AI337" i="1"/>
  <c r="F337" i="1"/>
  <c r="H321" i="1"/>
  <c r="L321" i="1"/>
  <c r="N321" i="1"/>
  <c r="O321" i="1"/>
  <c r="P321" i="1"/>
  <c r="R321" i="1"/>
  <c r="S321" i="1"/>
  <c r="X321" i="1"/>
  <c r="Y321" i="1"/>
  <c r="Z321" i="1"/>
  <c r="AA321" i="1"/>
  <c r="AC321" i="1"/>
  <c r="AD321" i="1"/>
  <c r="AE321" i="1"/>
  <c r="AF321" i="1"/>
  <c r="AG321" i="1"/>
  <c r="AH321" i="1"/>
  <c r="F321" i="1"/>
  <c r="H257" i="1"/>
  <c r="L257" i="1"/>
  <c r="N257" i="1"/>
  <c r="O257" i="1"/>
  <c r="P257" i="1"/>
  <c r="R257" i="1"/>
  <c r="S257" i="1"/>
  <c r="V257" i="1"/>
  <c r="X257" i="1"/>
  <c r="Y257" i="1"/>
  <c r="Z257" i="1"/>
  <c r="AA257" i="1"/>
  <c r="AC257" i="1"/>
  <c r="AD257" i="1"/>
  <c r="AE257" i="1"/>
  <c r="AF257" i="1"/>
  <c r="AG257" i="1"/>
  <c r="AH257" i="1"/>
  <c r="F257" i="1"/>
  <c r="H88" i="1"/>
  <c r="L88" i="1"/>
  <c r="N88" i="1"/>
  <c r="O88" i="1"/>
  <c r="P88" i="1"/>
  <c r="R88" i="1"/>
  <c r="V88" i="1"/>
  <c r="X88" i="1"/>
  <c r="Y88" i="1"/>
  <c r="Z88" i="1"/>
  <c r="AA88" i="1"/>
  <c r="AC88" i="1"/>
  <c r="AD88" i="1"/>
  <c r="AE88" i="1"/>
  <c r="AF88" i="1"/>
  <c r="AG88" i="1"/>
  <c r="AH88" i="1"/>
  <c r="F88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G449" i="1"/>
  <c r="G181" i="5" s="1"/>
  <c r="G448" i="1"/>
  <c r="G180" i="5" s="1"/>
  <c r="G447" i="1"/>
  <c r="G159" i="10" s="1"/>
  <c r="G446" i="1"/>
  <c r="G179" i="5" s="1"/>
  <c r="G445" i="1"/>
  <c r="G178" i="5" s="1"/>
  <c r="G444" i="1"/>
  <c r="G158" i="10" s="1"/>
  <c r="G443" i="1"/>
  <c r="G177" i="5" s="1"/>
  <c r="G442" i="1"/>
  <c r="G176" i="5" s="1"/>
  <c r="G441" i="1"/>
  <c r="G175" i="5" s="1"/>
  <c r="G440" i="1"/>
  <c r="G174" i="5" s="1"/>
  <c r="G439" i="1"/>
  <c r="G173" i="5" s="1"/>
  <c r="G160" i="10" l="1"/>
  <c r="AJ200" i="1"/>
  <c r="AJ76" i="10"/>
  <c r="AJ164" i="1"/>
  <c r="T201" i="1"/>
  <c r="K448" i="1"/>
  <c r="K180" i="5" s="1"/>
  <c r="D180" i="5"/>
  <c r="I442" i="1"/>
  <c r="I176" i="5" s="1"/>
  <c r="E176" i="5"/>
  <c r="I448" i="1"/>
  <c r="I180" i="5" s="1"/>
  <c r="E180" i="5"/>
  <c r="I443" i="1"/>
  <c r="I177" i="5" s="1"/>
  <c r="E177" i="5"/>
  <c r="I449" i="1"/>
  <c r="I181" i="5" s="1"/>
  <c r="E181" i="5"/>
  <c r="AJ175" i="1"/>
  <c r="K444" i="1"/>
  <c r="K158" i="10" s="1"/>
  <c r="D158" i="10"/>
  <c r="I439" i="1"/>
  <c r="I173" i="5" s="1"/>
  <c r="E173" i="5"/>
  <c r="I447" i="1"/>
  <c r="I159" i="10" s="1"/>
  <c r="E159" i="10"/>
  <c r="I444" i="1"/>
  <c r="I158" i="10" s="1"/>
  <c r="E158" i="10"/>
  <c r="K439" i="1"/>
  <c r="K173" i="5" s="1"/>
  <c r="D173" i="5"/>
  <c r="M440" i="1"/>
  <c r="M174" i="5" s="1"/>
  <c r="D174" i="5"/>
  <c r="I440" i="1"/>
  <c r="I174" i="5" s="1"/>
  <c r="E174" i="5"/>
  <c r="I446" i="1"/>
  <c r="I179" i="5" s="1"/>
  <c r="E179" i="5"/>
  <c r="I441" i="1"/>
  <c r="I175" i="5" s="1"/>
  <c r="E175" i="5"/>
  <c r="M442" i="1"/>
  <c r="M176" i="5" s="1"/>
  <c r="D176" i="5"/>
  <c r="K445" i="1"/>
  <c r="D178" i="5"/>
  <c r="I445" i="1"/>
  <c r="I178" i="5" s="1"/>
  <c r="E178" i="5"/>
  <c r="K446" i="1"/>
  <c r="K179" i="5" s="1"/>
  <c r="D179" i="5"/>
  <c r="M441" i="1"/>
  <c r="M175" i="5" s="1"/>
  <c r="D175" i="5"/>
  <c r="K447" i="1"/>
  <c r="K159" i="10" s="1"/>
  <c r="D159" i="10"/>
  <c r="M443" i="1"/>
  <c r="M177" i="5" s="1"/>
  <c r="D177" i="5"/>
  <c r="K449" i="1"/>
  <c r="K181" i="5" s="1"/>
  <c r="D181" i="5"/>
  <c r="J21" i="40"/>
  <c r="Q21" i="40"/>
  <c r="I21" i="40"/>
  <c r="AJ16" i="40"/>
  <c r="AJ20" i="40" s="1"/>
  <c r="AJ73" i="40"/>
  <c r="W90" i="12"/>
  <c r="W201" i="1"/>
  <c r="AJ199" i="1"/>
  <c r="I88" i="12"/>
  <c r="AJ88" i="12" s="1"/>
  <c r="AJ174" i="1"/>
  <c r="AJ155" i="1"/>
  <c r="I160" i="10" l="1"/>
  <c r="Q442" i="1"/>
  <c r="Q176" i="5" s="1"/>
  <c r="AJ176" i="5" s="1"/>
  <c r="Q449" i="1"/>
  <c r="AJ449" i="1" s="1"/>
  <c r="Q447" i="1"/>
  <c r="Q159" i="10" s="1"/>
  <c r="AJ159" i="10" s="1"/>
  <c r="K160" i="10"/>
  <c r="Q446" i="1"/>
  <c r="AJ446" i="1" s="1"/>
  <c r="AJ439" i="1"/>
  <c r="AJ173" i="5"/>
  <c r="Q443" i="1"/>
  <c r="AJ443" i="1" s="1"/>
  <c r="Q445" i="1"/>
  <c r="K178" i="5"/>
  <c r="Q440" i="1"/>
  <c r="Q448" i="1"/>
  <c r="Q444" i="1"/>
  <c r="Q441" i="1"/>
  <c r="AJ21" i="40"/>
  <c r="AJ74" i="40"/>
  <c r="E438" i="1"/>
  <c r="E172" i="5" s="1"/>
  <c r="D438" i="1"/>
  <c r="D172" i="5" s="1"/>
  <c r="E437" i="1"/>
  <c r="D437" i="1"/>
  <c r="G437" i="1"/>
  <c r="G171" i="5" s="1"/>
  <c r="E436" i="1"/>
  <c r="E170" i="5" s="1"/>
  <c r="D436" i="1"/>
  <c r="E430" i="1"/>
  <c r="E153" i="10" s="1"/>
  <c r="D430" i="1"/>
  <c r="D153" i="10" s="1"/>
  <c r="E429" i="1"/>
  <c r="D429" i="1"/>
  <c r="E428" i="1"/>
  <c r="E151" i="10" s="1"/>
  <c r="D428" i="1"/>
  <c r="D151" i="10" s="1"/>
  <c r="E427" i="1"/>
  <c r="E150" i="10" s="1"/>
  <c r="D427" i="1"/>
  <c r="E426" i="1"/>
  <c r="E149" i="10" s="1"/>
  <c r="D426" i="1"/>
  <c r="D149" i="10" s="1"/>
  <c r="E425" i="1"/>
  <c r="E131" i="12" s="1"/>
  <c r="D425" i="1"/>
  <c r="D131" i="12" s="1"/>
  <c r="E424" i="1"/>
  <c r="E148" i="10" s="1"/>
  <c r="D424" i="1"/>
  <c r="D148" i="10" s="1"/>
  <c r="E423" i="1"/>
  <c r="E130" i="12" s="1"/>
  <c r="D423" i="1"/>
  <c r="D130" i="12" s="1"/>
  <c r="E422" i="1"/>
  <c r="E147" i="10" s="1"/>
  <c r="D422" i="1"/>
  <c r="D147" i="10" s="1"/>
  <c r="E399" i="1"/>
  <c r="E151" i="5" s="1"/>
  <c r="D399" i="1"/>
  <c r="E398" i="1"/>
  <c r="D398" i="1"/>
  <c r="Q399" i="1"/>
  <c r="Q151" i="5" s="1"/>
  <c r="Q398" i="1"/>
  <c r="D136" i="10" l="1"/>
  <c r="D126" i="12"/>
  <c r="E150" i="5"/>
  <c r="E136" i="10"/>
  <c r="E126" i="12"/>
  <c r="Q150" i="5"/>
  <c r="Q136" i="10"/>
  <c r="Q126" i="12"/>
  <c r="AJ442" i="1"/>
  <c r="AJ447" i="1"/>
  <c r="Q177" i="5"/>
  <c r="AJ177" i="5" s="1"/>
  <c r="Q181" i="5"/>
  <c r="AJ181" i="5" s="1"/>
  <c r="Q179" i="5"/>
  <c r="AJ179" i="5" s="1"/>
  <c r="AB398" i="1"/>
  <c r="D150" i="5"/>
  <c r="AJ440" i="1"/>
  <c r="Q174" i="5"/>
  <c r="AJ174" i="5" s="1"/>
  <c r="E152" i="10"/>
  <c r="E163" i="5"/>
  <c r="E132" i="12"/>
  <c r="AJ448" i="1"/>
  <c r="Q180" i="5"/>
  <c r="AJ180" i="5" s="1"/>
  <c r="D152" i="10"/>
  <c r="D163" i="5"/>
  <c r="D132" i="12"/>
  <c r="K436" i="1"/>
  <c r="K170" i="5" s="1"/>
  <c r="D170" i="5"/>
  <c r="AJ441" i="1"/>
  <c r="Q175" i="5"/>
  <c r="AJ175" i="5" s="1"/>
  <c r="Q178" i="5"/>
  <c r="AJ178" i="5" s="1"/>
  <c r="AJ445" i="1"/>
  <c r="AJ444" i="1"/>
  <c r="Q158" i="10"/>
  <c r="Q160" i="10" s="1"/>
  <c r="K437" i="1"/>
  <c r="K171" i="5" s="1"/>
  <c r="D171" i="5"/>
  <c r="X399" i="1"/>
  <c r="X151" i="5" s="1"/>
  <c r="X164" i="5" s="1"/>
  <c r="D151" i="5"/>
  <c r="T427" i="1"/>
  <c r="T150" i="10" s="1"/>
  <c r="D150" i="10"/>
  <c r="I437" i="1"/>
  <c r="I171" i="5" s="1"/>
  <c r="E171" i="5"/>
  <c r="W399" i="1"/>
  <c r="W151" i="5" s="1"/>
  <c r="W164" i="5" s="1"/>
  <c r="E397" i="1"/>
  <c r="E149" i="5" s="1"/>
  <c r="D397" i="1"/>
  <c r="E396" i="1"/>
  <c r="E148" i="5" s="1"/>
  <c r="D396" i="1"/>
  <c r="E395" i="1"/>
  <c r="E147" i="5" s="1"/>
  <c r="D395" i="1"/>
  <c r="D147" i="5" s="1"/>
  <c r="E394" i="1"/>
  <c r="E146" i="5" s="1"/>
  <c r="D394" i="1"/>
  <c r="E393" i="1"/>
  <c r="E145" i="5" s="1"/>
  <c r="D393" i="1"/>
  <c r="E392" i="1"/>
  <c r="E135" i="10" s="1"/>
  <c r="D392" i="1"/>
  <c r="D135" i="10" s="1"/>
  <c r="G415" i="1"/>
  <c r="G128" i="12" s="1"/>
  <c r="E415" i="1"/>
  <c r="E128" i="12" s="1"/>
  <c r="D415" i="1"/>
  <c r="D128" i="12" s="1"/>
  <c r="G414" i="1"/>
  <c r="G141" i="10" s="1"/>
  <c r="E420" i="1"/>
  <c r="E145" i="10" s="1"/>
  <c r="D420" i="1"/>
  <c r="D145" i="10" s="1"/>
  <c r="E419" i="1"/>
  <c r="E144" i="10" s="1"/>
  <c r="D419" i="1"/>
  <c r="E418" i="1"/>
  <c r="E143" i="10" s="1"/>
  <c r="D418" i="1"/>
  <c r="D143" i="10" s="1"/>
  <c r="E417" i="1"/>
  <c r="E129" i="12" s="1"/>
  <c r="D417" i="1"/>
  <c r="D129" i="12" s="1"/>
  <c r="E416" i="1"/>
  <c r="E142" i="10" s="1"/>
  <c r="D416" i="1"/>
  <c r="D142" i="10" s="1"/>
  <c r="E414" i="1"/>
  <c r="E141" i="10" s="1"/>
  <c r="D414" i="1"/>
  <c r="D141" i="10" s="1"/>
  <c r="E413" i="1"/>
  <c r="E140" i="10" s="1"/>
  <c r="D413" i="1"/>
  <c r="D140" i="10" s="1"/>
  <c r="E412" i="1"/>
  <c r="D412" i="1"/>
  <c r="E411" i="1"/>
  <c r="D411" i="1"/>
  <c r="G411" i="1"/>
  <c r="G138" i="10" s="1"/>
  <c r="G412" i="1"/>
  <c r="G139" i="10" s="1"/>
  <c r="AB150" i="5" l="1"/>
  <c r="AJ150" i="5" s="1"/>
  <c r="AB136" i="10"/>
  <c r="AJ136" i="10" s="1"/>
  <c r="AB126" i="12"/>
  <c r="AJ126" i="12" s="1"/>
  <c r="Q437" i="1"/>
  <c r="AJ437" i="1" s="1"/>
  <c r="AJ398" i="1"/>
  <c r="K411" i="1"/>
  <c r="K138" i="10" s="1"/>
  <c r="D138" i="10"/>
  <c r="K393" i="1"/>
  <c r="K145" i="5" s="1"/>
  <c r="D145" i="5"/>
  <c r="Q436" i="1"/>
  <c r="Q170" i="5" s="1"/>
  <c r="AJ170" i="5" s="1"/>
  <c r="AJ158" i="10"/>
  <c r="AJ160" i="10" s="1"/>
  <c r="I411" i="1"/>
  <c r="I138" i="10" s="1"/>
  <c r="E138" i="10"/>
  <c r="T397" i="1"/>
  <c r="T149" i="5" s="1"/>
  <c r="D149" i="5"/>
  <c r="M412" i="1"/>
  <c r="M139" i="10" s="1"/>
  <c r="D139" i="10"/>
  <c r="AJ151" i="5"/>
  <c r="I412" i="1"/>
  <c r="I139" i="10" s="1"/>
  <c r="E139" i="10"/>
  <c r="K450" i="1"/>
  <c r="M394" i="1"/>
  <c r="M146" i="5" s="1"/>
  <c r="D146" i="5"/>
  <c r="S396" i="1"/>
  <c r="S148" i="5" s="1"/>
  <c r="D148" i="5"/>
  <c r="I415" i="1"/>
  <c r="I128" i="12" s="1"/>
  <c r="S419" i="1"/>
  <c r="S144" i="10" s="1"/>
  <c r="D144" i="10"/>
  <c r="K415" i="1"/>
  <c r="K128" i="12" s="1"/>
  <c r="AJ399" i="1"/>
  <c r="G406" i="1"/>
  <c r="G158" i="5" s="1"/>
  <c r="E406" i="1"/>
  <c r="D406" i="1"/>
  <c r="G408" i="1"/>
  <c r="G160" i="5" s="1"/>
  <c r="G407" i="1"/>
  <c r="G159" i="5" s="1"/>
  <c r="G405" i="1"/>
  <c r="G157" i="5" s="1"/>
  <c r="G404" i="1"/>
  <c r="G156" i="5" s="1"/>
  <c r="G403" i="1"/>
  <c r="G155" i="5" s="1"/>
  <c r="Q408" i="1"/>
  <c r="Q160" i="5" s="1"/>
  <c r="Q407" i="1"/>
  <c r="Q159" i="5" s="1"/>
  <c r="G402" i="1"/>
  <c r="G154" i="5" s="1"/>
  <c r="E408" i="1"/>
  <c r="D408" i="1"/>
  <c r="E407" i="1"/>
  <c r="D407" i="1"/>
  <c r="E405" i="1"/>
  <c r="D405" i="1"/>
  <c r="E404" i="1"/>
  <c r="D404" i="1"/>
  <c r="E403" i="1"/>
  <c r="D403" i="1"/>
  <c r="E402" i="1"/>
  <c r="D402" i="1"/>
  <c r="E401" i="1"/>
  <c r="E153" i="5" s="1"/>
  <c r="D401" i="1"/>
  <c r="E389" i="1"/>
  <c r="E133" i="10" s="1"/>
  <c r="D389" i="1"/>
  <c r="E388" i="1"/>
  <c r="E142" i="5" s="1"/>
  <c r="D388" i="1"/>
  <c r="D142" i="5" s="1"/>
  <c r="E384" i="1"/>
  <c r="D384" i="1"/>
  <c r="E383" i="1"/>
  <c r="E161" i="11" s="1"/>
  <c r="D383" i="1"/>
  <c r="D161" i="11" s="1"/>
  <c r="E382" i="1"/>
  <c r="D382" i="1"/>
  <c r="E381" i="1"/>
  <c r="D381" i="1"/>
  <c r="E380" i="1"/>
  <c r="E129" i="10" s="1"/>
  <c r="D380" i="1"/>
  <c r="D129" i="10" s="1"/>
  <c r="E379" i="1"/>
  <c r="E128" i="10" s="1"/>
  <c r="D379" i="1"/>
  <c r="D128" i="10" s="1"/>
  <c r="E378" i="1"/>
  <c r="E158" i="11" s="1"/>
  <c r="D378" i="1"/>
  <c r="D158" i="11" s="1"/>
  <c r="E377" i="1"/>
  <c r="E157" i="11" s="1"/>
  <c r="D377" i="1"/>
  <c r="D157" i="11" s="1"/>
  <c r="E375" i="1"/>
  <c r="E155" i="11" s="1"/>
  <c r="D375" i="1"/>
  <c r="E374" i="1"/>
  <c r="E154" i="11" s="1"/>
  <c r="D374" i="1"/>
  <c r="D154" i="11" s="1"/>
  <c r="E373" i="1"/>
  <c r="E153" i="11" s="1"/>
  <c r="D373" i="1"/>
  <c r="D153" i="11" s="1"/>
  <c r="E372" i="1"/>
  <c r="E152" i="11" s="1"/>
  <c r="D372" i="1"/>
  <c r="D152" i="11" s="1"/>
  <c r="E371" i="1"/>
  <c r="E151" i="11" s="1"/>
  <c r="D371" i="1"/>
  <c r="D151" i="11" s="1"/>
  <c r="E370" i="1"/>
  <c r="E150" i="11" s="1"/>
  <c r="D370" i="1"/>
  <c r="D150" i="11" s="1"/>
  <c r="E369" i="1"/>
  <c r="E149" i="11" s="1"/>
  <c r="D369" i="1"/>
  <c r="D149" i="11" s="1"/>
  <c r="E368" i="1"/>
  <c r="E148" i="11" s="1"/>
  <c r="D368" i="1"/>
  <c r="D148" i="11" s="1"/>
  <c r="E367" i="1"/>
  <c r="E147" i="11" s="1"/>
  <c r="D367" i="1"/>
  <c r="D147" i="11" s="1"/>
  <c r="E366" i="1"/>
  <c r="E146" i="11" s="1"/>
  <c r="D366" i="1"/>
  <c r="D146" i="11" s="1"/>
  <c r="E365" i="1"/>
  <c r="E135" i="5" s="1"/>
  <c r="D365" i="1"/>
  <c r="D135" i="5" s="1"/>
  <c r="E359" i="1"/>
  <c r="D359" i="1"/>
  <c r="E358" i="1"/>
  <c r="D358" i="1"/>
  <c r="G357" i="1"/>
  <c r="G139" i="11" s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60" i="1"/>
  <c r="E141" i="11" s="1"/>
  <c r="D360" i="1"/>
  <c r="E357" i="1"/>
  <c r="D357" i="1"/>
  <c r="E350" i="1"/>
  <c r="D350" i="1"/>
  <c r="E349" i="1"/>
  <c r="E135" i="11" s="1"/>
  <c r="D349" i="1"/>
  <c r="D135" i="11" s="1"/>
  <c r="E348" i="1"/>
  <c r="E134" i="11" s="1"/>
  <c r="D348" i="1"/>
  <c r="D134" i="11" s="1"/>
  <c r="E347" i="1"/>
  <c r="E133" i="11" s="1"/>
  <c r="D347" i="1"/>
  <c r="D133" i="11" s="1"/>
  <c r="E346" i="1"/>
  <c r="E128" i="5" s="1"/>
  <c r="D346" i="1"/>
  <c r="D128" i="5" s="1"/>
  <c r="E345" i="1"/>
  <c r="E118" i="12" s="1"/>
  <c r="D345" i="1"/>
  <c r="D118" i="12" s="1"/>
  <c r="E344" i="1"/>
  <c r="E117" i="12" s="1"/>
  <c r="D344" i="1"/>
  <c r="D117" i="12" s="1"/>
  <c r="E343" i="1"/>
  <c r="E116" i="12" s="1"/>
  <c r="D343" i="1"/>
  <c r="D116" i="12" s="1"/>
  <c r="E342" i="1"/>
  <c r="E123" i="10" s="1"/>
  <c r="D342" i="1"/>
  <c r="D123" i="10" s="1"/>
  <c r="E341" i="1"/>
  <c r="E127" i="5" s="1"/>
  <c r="D341" i="1"/>
  <c r="D127" i="5" s="1"/>
  <c r="E256" i="1"/>
  <c r="E102" i="5" s="1"/>
  <c r="D256" i="1"/>
  <c r="D102" i="5" s="1"/>
  <c r="E255" i="1"/>
  <c r="E101" i="5" s="1"/>
  <c r="D255" i="1"/>
  <c r="W255" i="1" s="1"/>
  <c r="E254" i="1"/>
  <c r="E100" i="5" s="1"/>
  <c r="D254" i="1"/>
  <c r="T254" i="1" s="1"/>
  <c r="E253" i="1"/>
  <c r="E99" i="5" s="1"/>
  <c r="D253" i="1"/>
  <c r="E252" i="1"/>
  <c r="E98" i="5" s="1"/>
  <c r="D252" i="1"/>
  <c r="D98" i="5" s="1"/>
  <c r="E251" i="1"/>
  <c r="D251" i="1"/>
  <c r="E250" i="1"/>
  <c r="E96" i="5" s="1"/>
  <c r="D250" i="1"/>
  <c r="D96" i="5" s="1"/>
  <c r="E249" i="1"/>
  <c r="E95" i="5" s="1"/>
  <c r="D249" i="1"/>
  <c r="D95" i="5" s="1"/>
  <c r="E248" i="1"/>
  <c r="E94" i="5" s="1"/>
  <c r="D248" i="1"/>
  <c r="D94" i="5" s="1"/>
  <c r="E247" i="1"/>
  <c r="E93" i="5" s="1"/>
  <c r="D247" i="1"/>
  <c r="D93" i="5" s="1"/>
  <c r="E246" i="1"/>
  <c r="E95" i="10" s="1"/>
  <c r="D246" i="1"/>
  <c r="D95" i="10" s="1"/>
  <c r="E245" i="1"/>
  <c r="E94" i="10" s="1"/>
  <c r="D245" i="1"/>
  <c r="D94" i="10" s="1"/>
  <c r="E244" i="1"/>
  <c r="E93" i="10" s="1"/>
  <c r="D244" i="1"/>
  <c r="D93" i="10" s="1"/>
  <c r="E242" i="1"/>
  <c r="E91" i="5" s="1"/>
  <c r="D242" i="1"/>
  <c r="D91" i="5" s="1"/>
  <c r="E243" i="1"/>
  <c r="E92" i="5" s="1"/>
  <c r="D243" i="1"/>
  <c r="D92" i="5" s="1"/>
  <c r="E241" i="1"/>
  <c r="E92" i="10" s="1"/>
  <c r="D241" i="1"/>
  <c r="D92" i="10" s="1"/>
  <c r="E240" i="1"/>
  <c r="E90" i="5" s="1"/>
  <c r="D240" i="1"/>
  <c r="E239" i="1"/>
  <c r="E89" i="5" s="1"/>
  <c r="D239" i="1"/>
  <c r="D89" i="5" s="1"/>
  <c r="E238" i="1"/>
  <c r="E88" i="5" s="1"/>
  <c r="D238" i="1"/>
  <c r="D88" i="5" s="1"/>
  <c r="E237" i="1"/>
  <c r="E103" i="12" s="1"/>
  <c r="D237" i="1"/>
  <c r="D103" i="12" s="1"/>
  <c r="E236" i="1"/>
  <c r="E87" i="5" s="1"/>
  <c r="D236" i="1"/>
  <c r="D87" i="5" s="1"/>
  <c r="E235" i="1"/>
  <c r="E86" i="5" s="1"/>
  <c r="D235" i="1"/>
  <c r="D86" i="5" s="1"/>
  <c r="E234" i="1"/>
  <c r="E85" i="5" s="1"/>
  <c r="D234" i="1"/>
  <c r="D85" i="5" s="1"/>
  <c r="E233" i="1"/>
  <c r="E84" i="5" s="1"/>
  <c r="D233" i="1"/>
  <c r="D84" i="5" s="1"/>
  <c r="E232" i="1"/>
  <c r="E83" i="5" s="1"/>
  <c r="D232" i="1"/>
  <c r="D83" i="5" s="1"/>
  <c r="E231" i="1"/>
  <c r="E82" i="5" s="1"/>
  <c r="D231" i="1"/>
  <c r="D82" i="5" s="1"/>
  <c r="E230" i="1"/>
  <c r="E91" i="10" s="1"/>
  <c r="D230" i="1"/>
  <c r="E229" i="1"/>
  <c r="E102" i="12" s="1"/>
  <c r="D229" i="1"/>
  <c r="D102" i="12" s="1"/>
  <c r="E228" i="1"/>
  <c r="E81" i="5" s="1"/>
  <c r="D228" i="1"/>
  <c r="D81" i="5" s="1"/>
  <c r="E227" i="1"/>
  <c r="E101" i="12" s="1"/>
  <c r="D227" i="1"/>
  <c r="D101" i="12" s="1"/>
  <c r="E226" i="1"/>
  <c r="E80" i="5" s="1"/>
  <c r="D226" i="1"/>
  <c r="D80" i="5" s="1"/>
  <c r="E225" i="1"/>
  <c r="E90" i="10" s="1"/>
  <c r="D225" i="1"/>
  <c r="D90" i="10" s="1"/>
  <c r="E224" i="1"/>
  <c r="E79" i="5" s="1"/>
  <c r="D224" i="1"/>
  <c r="D79" i="5" s="1"/>
  <c r="E223" i="1"/>
  <c r="E89" i="10" s="1"/>
  <c r="D223" i="1"/>
  <c r="D89" i="10" s="1"/>
  <c r="E222" i="1"/>
  <c r="E100" i="12" s="1"/>
  <c r="D222" i="1"/>
  <c r="D100" i="12" s="1"/>
  <c r="E221" i="1"/>
  <c r="E78" i="5" s="1"/>
  <c r="D221" i="1"/>
  <c r="D78" i="5" s="1"/>
  <c r="E220" i="1"/>
  <c r="E77" i="5" s="1"/>
  <c r="D220" i="1"/>
  <c r="D77" i="5" s="1"/>
  <c r="E219" i="1"/>
  <c r="E99" i="12" s="1"/>
  <c r="D219" i="1"/>
  <c r="D99" i="12" s="1"/>
  <c r="E218" i="1"/>
  <c r="E98" i="12" s="1"/>
  <c r="D218" i="1"/>
  <c r="D98" i="12" s="1"/>
  <c r="E217" i="1"/>
  <c r="E97" i="12" s="1"/>
  <c r="D217" i="1"/>
  <c r="D97" i="12" s="1"/>
  <c r="E216" i="1"/>
  <c r="E76" i="5" s="1"/>
  <c r="D216" i="1"/>
  <c r="D76" i="5" s="1"/>
  <c r="E215" i="1"/>
  <c r="E75" i="5" s="1"/>
  <c r="D215" i="1"/>
  <c r="E214" i="1"/>
  <c r="E74" i="5" s="1"/>
  <c r="D214" i="1"/>
  <c r="E213" i="1"/>
  <c r="E88" i="10" s="1"/>
  <c r="D213" i="1"/>
  <c r="E212" i="1"/>
  <c r="E87" i="10" s="1"/>
  <c r="D212" i="1"/>
  <c r="E211" i="1"/>
  <c r="E73" i="5" s="1"/>
  <c r="D211" i="1"/>
  <c r="E210" i="1"/>
  <c r="D210" i="1"/>
  <c r="E209" i="1"/>
  <c r="E96" i="12" s="1"/>
  <c r="D209" i="1"/>
  <c r="D96" i="12" s="1"/>
  <c r="E208" i="1"/>
  <c r="E95" i="12" s="1"/>
  <c r="D208" i="1"/>
  <c r="D95" i="12" s="1"/>
  <c r="E207" i="1"/>
  <c r="E94" i="12" s="1"/>
  <c r="D207" i="1"/>
  <c r="D94" i="12" s="1"/>
  <c r="E206" i="1"/>
  <c r="E71" i="5" s="1"/>
  <c r="D206" i="1"/>
  <c r="E205" i="1"/>
  <c r="E85" i="10" s="1"/>
  <c r="D205" i="1"/>
  <c r="D85" i="10" s="1"/>
  <c r="Q171" i="5" l="1"/>
  <c r="AJ171" i="5" s="1"/>
  <c r="AJ436" i="1"/>
  <c r="D91" i="10"/>
  <c r="K230" i="1"/>
  <c r="K91" i="10" s="1"/>
  <c r="Q415" i="1"/>
  <c r="Q411" i="1"/>
  <c r="Q138" i="10" s="1"/>
  <c r="AJ138" i="10" s="1"/>
  <c r="J211" i="1"/>
  <c r="J73" i="5" s="1"/>
  <c r="D73" i="5"/>
  <c r="M353" i="1"/>
  <c r="M130" i="5" s="1"/>
  <c r="D130" i="5"/>
  <c r="I359" i="1"/>
  <c r="I140" i="11" s="1"/>
  <c r="E140" i="11"/>
  <c r="I403" i="1"/>
  <c r="I155" i="5" s="1"/>
  <c r="E155" i="5"/>
  <c r="T240" i="1"/>
  <c r="T90" i="5" s="1"/>
  <c r="D90" i="5"/>
  <c r="I358" i="1"/>
  <c r="I121" i="12" s="1"/>
  <c r="E121" i="12"/>
  <c r="U350" i="1"/>
  <c r="U119" i="12" s="1"/>
  <c r="D119" i="12"/>
  <c r="J354" i="1"/>
  <c r="J136" i="11" s="1"/>
  <c r="D136" i="11"/>
  <c r="I404" i="1"/>
  <c r="I156" i="5" s="1"/>
  <c r="E156" i="5"/>
  <c r="J210" i="1"/>
  <c r="J72" i="5" s="1"/>
  <c r="D72" i="5"/>
  <c r="D86" i="10"/>
  <c r="J206" i="1"/>
  <c r="J71" i="5" s="1"/>
  <c r="D71" i="5"/>
  <c r="AI350" i="1"/>
  <c r="AI119" i="12" s="1"/>
  <c r="E119" i="12"/>
  <c r="I354" i="1"/>
  <c r="I136" i="11" s="1"/>
  <c r="E136" i="11"/>
  <c r="K405" i="1"/>
  <c r="K157" i="5" s="1"/>
  <c r="D157" i="5"/>
  <c r="J213" i="1"/>
  <c r="J88" i="10" s="1"/>
  <c r="D88" i="10"/>
  <c r="K357" i="1"/>
  <c r="K139" i="11" s="1"/>
  <c r="D139" i="11"/>
  <c r="J355" i="1"/>
  <c r="J137" i="11" s="1"/>
  <c r="D137" i="11"/>
  <c r="I405" i="1"/>
  <c r="I157" i="5" s="1"/>
  <c r="E157" i="5"/>
  <c r="I357" i="1"/>
  <c r="I139" i="11" s="1"/>
  <c r="E139" i="11"/>
  <c r="I355" i="1"/>
  <c r="I137" i="11" s="1"/>
  <c r="E137" i="11"/>
  <c r="K389" i="1"/>
  <c r="K133" i="10" s="1"/>
  <c r="D133" i="10"/>
  <c r="S407" i="1"/>
  <c r="D159" i="5"/>
  <c r="M406" i="1"/>
  <c r="M158" i="5" s="1"/>
  <c r="D158" i="5"/>
  <c r="J212" i="1"/>
  <c r="J87" i="10" s="1"/>
  <c r="D87" i="10"/>
  <c r="J214" i="1"/>
  <c r="J74" i="5" s="1"/>
  <c r="D74" i="5"/>
  <c r="J360" i="1"/>
  <c r="J141" i="11" s="1"/>
  <c r="D141" i="11"/>
  <c r="J356" i="1"/>
  <c r="J138" i="11" s="1"/>
  <c r="D138" i="11"/>
  <c r="I407" i="1"/>
  <c r="I159" i="5" s="1"/>
  <c r="E159" i="5"/>
  <c r="I406" i="1"/>
  <c r="I158" i="5" s="1"/>
  <c r="E158" i="5"/>
  <c r="I353" i="1"/>
  <c r="I130" i="5" s="1"/>
  <c r="E130" i="5"/>
  <c r="M404" i="1"/>
  <c r="M156" i="5" s="1"/>
  <c r="D156" i="5"/>
  <c r="I356" i="1"/>
  <c r="I138" i="11" s="1"/>
  <c r="E138" i="11"/>
  <c r="T381" i="1"/>
  <c r="K401" i="1"/>
  <c r="K153" i="5" s="1"/>
  <c r="D153" i="5"/>
  <c r="T408" i="1"/>
  <c r="T160" i="5" s="1"/>
  <c r="T164" i="5" s="1"/>
  <c r="D160" i="5"/>
  <c r="K215" i="1"/>
  <c r="K75" i="5" s="1"/>
  <c r="D75" i="5"/>
  <c r="D96" i="10"/>
  <c r="D97" i="5"/>
  <c r="M351" i="1"/>
  <c r="M120" i="12" s="1"/>
  <c r="D120" i="12"/>
  <c r="I408" i="1"/>
  <c r="I160" i="5" s="1"/>
  <c r="E160" i="5"/>
  <c r="Q412" i="1"/>
  <c r="S154" i="10"/>
  <c r="AJ144" i="10"/>
  <c r="I402" i="1"/>
  <c r="I154" i="5" s="1"/>
  <c r="E154" i="5"/>
  <c r="E96" i="10"/>
  <c r="E97" i="5"/>
  <c r="AI351" i="1"/>
  <c r="AI120" i="12" s="1"/>
  <c r="E120" i="12"/>
  <c r="U358" i="1"/>
  <c r="U121" i="12" s="1"/>
  <c r="D121" i="12"/>
  <c r="S375" i="1"/>
  <c r="D155" i="11"/>
  <c r="K402" i="1"/>
  <c r="K154" i="5" s="1"/>
  <c r="D154" i="5"/>
  <c r="M352" i="1"/>
  <c r="M129" i="5" s="1"/>
  <c r="D129" i="5"/>
  <c r="E72" i="5"/>
  <c r="E86" i="10"/>
  <c r="AI352" i="1"/>
  <c r="AI129" i="5" s="1"/>
  <c r="E129" i="5"/>
  <c r="J359" i="1"/>
  <c r="J140" i="11" s="1"/>
  <c r="D140" i="11"/>
  <c r="K403" i="1"/>
  <c r="K155" i="5" s="1"/>
  <c r="D155" i="5"/>
  <c r="K356" i="1"/>
  <c r="AI353" i="1"/>
  <c r="AI130" i="5" s="1"/>
  <c r="M358" i="1"/>
  <c r="K359" i="1"/>
  <c r="M350" i="1"/>
  <c r="I351" i="1"/>
  <c r="I120" i="12" s="1"/>
  <c r="M354" i="1"/>
  <c r="Q120" i="12"/>
  <c r="K355" i="1"/>
  <c r="U351" i="1"/>
  <c r="U120" i="12" s="1"/>
  <c r="K360" i="1"/>
  <c r="J357" i="1"/>
  <c r="J139" i="11" s="1"/>
  <c r="J353" i="1"/>
  <c r="J130" i="5" s="1"/>
  <c r="I352" i="1"/>
  <c r="I129" i="5" s="1"/>
  <c r="J352" i="1"/>
  <c r="J129" i="5" s="1"/>
  <c r="I350" i="1"/>
  <c r="I119" i="12" s="1"/>
  <c r="E197" i="1"/>
  <c r="E86" i="12" s="1"/>
  <c r="D197" i="1"/>
  <c r="D86" i="12" s="1"/>
  <c r="E85" i="12"/>
  <c r="D85" i="12"/>
  <c r="E84" i="12"/>
  <c r="D84" i="12"/>
  <c r="E83" i="12"/>
  <c r="D83" i="12"/>
  <c r="E82" i="12"/>
  <c r="D82" i="12"/>
  <c r="E81" i="12"/>
  <c r="D81" i="12"/>
  <c r="E189" i="1"/>
  <c r="E78" i="12" s="1"/>
  <c r="D189" i="1"/>
  <c r="D78" i="12" s="1"/>
  <c r="E173" i="1"/>
  <c r="E64" i="5" s="1"/>
  <c r="D173" i="1"/>
  <c r="D64" i="5" s="1"/>
  <c r="E172" i="1"/>
  <c r="E63" i="5" s="1"/>
  <c r="D172" i="1"/>
  <c r="E171" i="1"/>
  <c r="E62" i="5" s="1"/>
  <c r="D171" i="1"/>
  <c r="D62" i="5" s="1"/>
  <c r="E170" i="1"/>
  <c r="E61" i="5" s="1"/>
  <c r="D170" i="1"/>
  <c r="D61" i="5" s="1"/>
  <c r="E169" i="1"/>
  <c r="E60" i="5" s="1"/>
  <c r="D169" i="1"/>
  <c r="D60" i="5" s="1"/>
  <c r="E168" i="1"/>
  <c r="E59" i="5" s="1"/>
  <c r="D168" i="1"/>
  <c r="D59" i="5" s="1"/>
  <c r="E167" i="1"/>
  <c r="E58" i="5" s="1"/>
  <c r="D167" i="1"/>
  <c r="D58" i="5" s="1"/>
  <c r="E166" i="1"/>
  <c r="E80" i="10" s="1"/>
  <c r="D166" i="1"/>
  <c r="D80" i="10" s="1"/>
  <c r="E154" i="1"/>
  <c r="E75" i="10" s="1"/>
  <c r="D154" i="1"/>
  <c r="D75" i="10" s="1"/>
  <c r="E153" i="1"/>
  <c r="E74" i="10" s="1"/>
  <c r="D153" i="1"/>
  <c r="D74" i="10" s="1"/>
  <c r="D72" i="10"/>
  <c r="D147" i="1"/>
  <c r="D70" i="10" s="1"/>
  <c r="G152" i="1"/>
  <c r="G64" i="12" s="1"/>
  <c r="E152" i="1"/>
  <c r="E64" i="12" s="1"/>
  <c r="G151" i="1"/>
  <c r="G63" i="12" s="1"/>
  <c r="E151" i="1"/>
  <c r="E63" i="12" s="1"/>
  <c r="G150" i="1"/>
  <c r="G73" i="10" s="1"/>
  <c r="E150" i="1"/>
  <c r="E136" i="1"/>
  <c r="D136" i="1"/>
  <c r="E131" i="1"/>
  <c r="E60" i="12" s="1"/>
  <c r="D131" i="1"/>
  <c r="D60" i="12" s="1"/>
  <c r="E129" i="1"/>
  <c r="E54" i="10" s="1"/>
  <c r="D129" i="1"/>
  <c r="D54" i="10" s="1"/>
  <c r="E128" i="1"/>
  <c r="E53" i="10" s="1"/>
  <c r="D128" i="1"/>
  <c r="D53" i="10" s="1"/>
  <c r="E186" i="1"/>
  <c r="E75" i="12" s="1"/>
  <c r="D186" i="1"/>
  <c r="D75" i="12" s="1"/>
  <c r="E185" i="1"/>
  <c r="E74" i="12" s="1"/>
  <c r="D185" i="1"/>
  <c r="D74" i="12" s="1"/>
  <c r="E184" i="1"/>
  <c r="E73" i="12" s="1"/>
  <c r="D184" i="1"/>
  <c r="D73" i="12" s="1"/>
  <c r="E183" i="1"/>
  <c r="E72" i="12" s="1"/>
  <c r="D183" i="1"/>
  <c r="D72" i="12" s="1"/>
  <c r="E182" i="1"/>
  <c r="E71" i="12" s="1"/>
  <c r="D182" i="1"/>
  <c r="D71" i="12" s="1"/>
  <c r="E181" i="1"/>
  <c r="E70" i="12" s="1"/>
  <c r="D181" i="1"/>
  <c r="D70" i="12" s="1"/>
  <c r="E180" i="1"/>
  <c r="E69" i="12" s="1"/>
  <c r="D180" i="1"/>
  <c r="D69" i="12" s="1"/>
  <c r="E179" i="1"/>
  <c r="E68" i="12" s="1"/>
  <c r="E160" i="1"/>
  <c r="E52" i="5" s="1"/>
  <c r="D179" i="1"/>
  <c r="D68" i="12" s="1"/>
  <c r="E163" i="1"/>
  <c r="E55" i="5" s="1"/>
  <c r="D163" i="1"/>
  <c r="D55" i="5" s="1"/>
  <c r="E162" i="1"/>
  <c r="E54" i="5" s="1"/>
  <c r="D162" i="1"/>
  <c r="D54" i="5" s="1"/>
  <c r="E161" i="1"/>
  <c r="E53" i="5" s="1"/>
  <c r="D161" i="1"/>
  <c r="D53" i="5" s="1"/>
  <c r="D160" i="1"/>
  <c r="D52" i="5" s="1"/>
  <c r="E144" i="1"/>
  <c r="E67" i="10" s="1"/>
  <c r="D144" i="1"/>
  <c r="D67" i="10" s="1"/>
  <c r="E143" i="1"/>
  <c r="E71" i="11" s="1"/>
  <c r="D143" i="1"/>
  <c r="D71" i="11" s="1"/>
  <c r="E142" i="1"/>
  <c r="E66" i="10" s="1"/>
  <c r="E141" i="1"/>
  <c r="E65" i="10" s="1"/>
  <c r="D141" i="1"/>
  <c r="D65" i="10" s="1"/>
  <c r="E140" i="1"/>
  <c r="E64" i="10" s="1"/>
  <c r="D140" i="1"/>
  <c r="D64" i="10" s="1"/>
  <c r="E124" i="1"/>
  <c r="E59" i="12" s="1"/>
  <c r="D124" i="1"/>
  <c r="D59" i="12" s="1"/>
  <c r="E123" i="1"/>
  <c r="E58" i="12" s="1"/>
  <c r="D123" i="1"/>
  <c r="D58" i="12" s="1"/>
  <c r="E122" i="1"/>
  <c r="E57" i="12" s="1"/>
  <c r="D122" i="1"/>
  <c r="D57" i="12" s="1"/>
  <c r="E121" i="1"/>
  <c r="E48" i="5" s="1"/>
  <c r="D121" i="1"/>
  <c r="D48" i="5" s="1"/>
  <c r="E120" i="1"/>
  <c r="E47" i="5" s="1"/>
  <c r="D120" i="1"/>
  <c r="D47" i="5" s="1"/>
  <c r="E178" i="1"/>
  <c r="E67" i="12" s="1"/>
  <c r="D178" i="1"/>
  <c r="D67" i="12" s="1"/>
  <c r="E139" i="1"/>
  <c r="E63" i="10" s="1"/>
  <c r="D139" i="1"/>
  <c r="D63" i="10" s="1"/>
  <c r="G111" i="1"/>
  <c r="G43" i="10" s="1"/>
  <c r="E111" i="1"/>
  <c r="D111" i="1"/>
  <c r="E116" i="1"/>
  <c r="E46" i="10" s="1"/>
  <c r="D116" i="1"/>
  <c r="D46" i="10" s="1"/>
  <c r="E115" i="1"/>
  <c r="E45" i="10" s="1"/>
  <c r="D115" i="1"/>
  <c r="D45" i="10" s="1"/>
  <c r="E114" i="1"/>
  <c r="E53" i="12" s="1"/>
  <c r="D114" i="1"/>
  <c r="D53" i="12" s="1"/>
  <c r="E113" i="1"/>
  <c r="E52" i="12" s="1"/>
  <c r="D113" i="1"/>
  <c r="D52" i="12" s="1"/>
  <c r="E112" i="1"/>
  <c r="E44" i="10" s="1"/>
  <c r="D112" i="1"/>
  <c r="D44" i="10" s="1"/>
  <c r="E110" i="1"/>
  <c r="E51" i="12" s="1"/>
  <c r="D110" i="1"/>
  <c r="D51" i="12" s="1"/>
  <c r="E109" i="1"/>
  <c r="E50" i="12" s="1"/>
  <c r="D109" i="1"/>
  <c r="D50" i="12" s="1"/>
  <c r="E108" i="1"/>
  <c r="E49" i="12" s="1"/>
  <c r="D108" i="1"/>
  <c r="D49" i="12" s="1"/>
  <c r="E107" i="1"/>
  <c r="E43" i="5" s="1"/>
  <c r="D107" i="1"/>
  <c r="E106" i="1"/>
  <c r="D106" i="1"/>
  <c r="E102" i="1"/>
  <c r="E38" i="10" s="1"/>
  <c r="D102" i="1"/>
  <c r="D38" i="10" s="1"/>
  <c r="E101" i="1"/>
  <c r="E37" i="10" s="1"/>
  <c r="D101" i="1"/>
  <c r="D37" i="10" s="1"/>
  <c r="E100" i="1"/>
  <c r="E45" i="12" s="1"/>
  <c r="D100" i="1"/>
  <c r="D45" i="12" s="1"/>
  <c r="E99" i="1"/>
  <c r="E44" i="12" s="1"/>
  <c r="D99" i="1"/>
  <c r="D44" i="12" s="1"/>
  <c r="E98" i="1"/>
  <c r="E43" i="12" s="1"/>
  <c r="D98" i="1"/>
  <c r="D43" i="12" s="1"/>
  <c r="E97" i="1"/>
  <c r="E42" i="12" s="1"/>
  <c r="D97" i="1"/>
  <c r="D42" i="12" s="1"/>
  <c r="E96" i="1"/>
  <c r="D96" i="1"/>
  <c r="D38" i="5" s="1"/>
  <c r="E95" i="1"/>
  <c r="D95" i="1"/>
  <c r="D37" i="5" s="1"/>
  <c r="E94" i="1"/>
  <c r="D94" i="1"/>
  <c r="D36" i="10" s="1"/>
  <c r="E93" i="1"/>
  <c r="E41" i="12" s="1"/>
  <c r="D93" i="1"/>
  <c r="D41" i="12" s="1"/>
  <c r="E87" i="1"/>
  <c r="E66" i="11" s="1"/>
  <c r="D87" i="1"/>
  <c r="D66" i="11" s="1"/>
  <c r="E86" i="1"/>
  <c r="E65" i="11" s="1"/>
  <c r="D86" i="1"/>
  <c r="E84" i="1"/>
  <c r="E63" i="11" s="1"/>
  <c r="D84" i="1"/>
  <c r="D63" i="11" s="1"/>
  <c r="E83" i="1"/>
  <c r="E62" i="11" s="1"/>
  <c r="D83" i="1"/>
  <c r="D62" i="11" s="1"/>
  <c r="E81" i="1"/>
  <c r="E60" i="11" s="1"/>
  <c r="D81" i="1"/>
  <c r="E80" i="1"/>
  <c r="E59" i="11" s="1"/>
  <c r="D80" i="1"/>
  <c r="D59" i="11" s="1"/>
  <c r="E79" i="1"/>
  <c r="E58" i="11" s="1"/>
  <c r="D79" i="1"/>
  <c r="E78" i="1"/>
  <c r="D78" i="1"/>
  <c r="E77" i="1"/>
  <c r="E56" i="11" s="1"/>
  <c r="D77" i="1"/>
  <c r="D56" i="11" s="1"/>
  <c r="E76" i="1"/>
  <c r="E55" i="11" s="1"/>
  <c r="D76" i="1"/>
  <c r="D55" i="11" s="1"/>
  <c r="E75" i="1"/>
  <c r="E54" i="11" s="1"/>
  <c r="D75" i="1"/>
  <c r="D54" i="11" s="1"/>
  <c r="E74" i="1"/>
  <c r="E53" i="11" s="1"/>
  <c r="D74" i="1"/>
  <c r="D53" i="11" s="1"/>
  <c r="E73" i="1"/>
  <c r="E52" i="11" s="1"/>
  <c r="D73" i="1"/>
  <c r="D52" i="11" s="1"/>
  <c r="E72" i="1"/>
  <c r="E51" i="11" s="1"/>
  <c r="D72" i="1"/>
  <c r="D51" i="11" s="1"/>
  <c r="E71" i="1"/>
  <c r="E29" i="10" s="1"/>
  <c r="D71" i="1"/>
  <c r="D29" i="10" s="1"/>
  <c r="E70" i="1"/>
  <c r="E50" i="11" s="1"/>
  <c r="D70" i="1"/>
  <c r="D50" i="11" s="1"/>
  <c r="E69" i="1"/>
  <c r="E49" i="11" s="1"/>
  <c r="D69" i="1"/>
  <c r="D49" i="11" s="1"/>
  <c r="E68" i="1"/>
  <c r="D68" i="1"/>
  <c r="G68" i="1"/>
  <c r="G48" i="11" s="1"/>
  <c r="E67" i="1"/>
  <c r="E47" i="11" s="1"/>
  <c r="D67" i="1"/>
  <c r="E66" i="1"/>
  <c r="E46" i="11" s="1"/>
  <c r="D66" i="1"/>
  <c r="E65" i="1"/>
  <c r="E45" i="11" s="1"/>
  <c r="D65" i="1"/>
  <c r="E64" i="1"/>
  <c r="E44" i="11" s="1"/>
  <c r="D64" i="1"/>
  <c r="E63" i="1"/>
  <c r="E43" i="11" s="1"/>
  <c r="D63" i="1"/>
  <c r="D43" i="11" s="1"/>
  <c r="E62" i="1"/>
  <c r="E42" i="11" s="1"/>
  <c r="D62" i="1"/>
  <c r="D42" i="11" s="1"/>
  <c r="E61" i="1"/>
  <c r="E41" i="11" s="1"/>
  <c r="D61" i="1"/>
  <c r="D41" i="11" s="1"/>
  <c r="E60" i="1"/>
  <c r="E40" i="11" s="1"/>
  <c r="D60" i="1"/>
  <c r="E59" i="1"/>
  <c r="E39" i="11" s="1"/>
  <c r="D59" i="1"/>
  <c r="D39" i="11" s="1"/>
  <c r="E58" i="1"/>
  <c r="E38" i="11" s="1"/>
  <c r="D58" i="1"/>
  <c r="D38" i="11" s="1"/>
  <c r="E57" i="1"/>
  <c r="E37" i="11" s="1"/>
  <c r="D57" i="1"/>
  <c r="D37" i="11" s="1"/>
  <c r="E56" i="1"/>
  <c r="E36" i="11" s="1"/>
  <c r="D56" i="1"/>
  <c r="E55" i="1"/>
  <c r="E35" i="11" s="1"/>
  <c r="D55" i="1"/>
  <c r="D35" i="11" s="1"/>
  <c r="E54" i="1"/>
  <c r="E35" i="12" s="1"/>
  <c r="D54" i="1"/>
  <c r="D35" i="12" s="1"/>
  <c r="E53" i="1"/>
  <c r="E34" i="12" s="1"/>
  <c r="D53" i="1"/>
  <c r="D34" i="12" s="1"/>
  <c r="E52" i="1"/>
  <c r="E31" i="5" s="1"/>
  <c r="D52" i="1"/>
  <c r="E51" i="1"/>
  <c r="E30" i="5" s="1"/>
  <c r="D51" i="1"/>
  <c r="D30" i="5" s="1"/>
  <c r="Q357" i="1" l="1"/>
  <c r="Q139" i="11" s="1"/>
  <c r="AJ139" i="11" s="1"/>
  <c r="D31" i="5"/>
  <c r="K52" i="1"/>
  <c r="K31" i="5" s="1"/>
  <c r="AJ415" i="1"/>
  <c r="Q128" i="12"/>
  <c r="AJ411" i="1"/>
  <c r="Q129" i="5"/>
  <c r="AJ129" i="5" s="1"/>
  <c r="Q406" i="1"/>
  <c r="AJ406" i="1" s="1"/>
  <c r="T159" i="11"/>
  <c r="T136" i="5"/>
  <c r="Q401" i="1"/>
  <c r="AJ401" i="1" s="1"/>
  <c r="Q403" i="1"/>
  <c r="AJ403" i="1" s="1"/>
  <c r="Q402" i="1"/>
  <c r="AJ402" i="1" s="1"/>
  <c r="AJ160" i="5"/>
  <c r="S431" i="1"/>
  <c r="S159" i="5"/>
  <c r="S164" i="5" s="1"/>
  <c r="AJ408" i="1"/>
  <c r="Q359" i="1"/>
  <c r="Q140" i="11" s="1"/>
  <c r="K140" i="11"/>
  <c r="Q130" i="5"/>
  <c r="AJ130" i="5" s="1"/>
  <c r="M121" i="12"/>
  <c r="AJ360" i="1"/>
  <c r="K141" i="11"/>
  <c r="AJ141" i="11" s="1"/>
  <c r="AJ412" i="1"/>
  <c r="Q139" i="10"/>
  <c r="AJ139" i="10" s="1"/>
  <c r="Q355" i="1"/>
  <c r="Q137" i="11" s="1"/>
  <c r="K137" i="11"/>
  <c r="Q356" i="1"/>
  <c r="Q138" i="11" s="1"/>
  <c r="K138" i="11"/>
  <c r="S385" i="1"/>
  <c r="S155" i="11"/>
  <c r="AJ155" i="11" s="1"/>
  <c r="AJ120" i="12"/>
  <c r="Q405" i="1"/>
  <c r="Q119" i="12"/>
  <c r="M119" i="12"/>
  <c r="Q404" i="1"/>
  <c r="M136" i="11"/>
  <c r="AJ407" i="1"/>
  <c r="M151" i="1"/>
  <c r="M63" i="12" s="1"/>
  <c r="J166" i="1"/>
  <c r="J80" i="10" s="1"/>
  <c r="K172" i="1"/>
  <c r="K63" i="5" s="1"/>
  <c r="D63" i="5"/>
  <c r="E42" i="10"/>
  <c r="E42" i="5"/>
  <c r="J111" i="1"/>
  <c r="J43" i="10" s="1"/>
  <c r="D43" i="10"/>
  <c r="K150" i="1"/>
  <c r="K73" i="10" s="1"/>
  <c r="D73" i="10"/>
  <c r="M152" i="1"/>
  <c r="M64" i="12" s="1"/>
  <c r="I94" i="1"/>
  <c r="I36" i="10" s="1"/>
  <c r="E36" i="10"/>
  <c r="I95" i="1"/>
  <c r="I37" i="5" s="1"/>
  <c r="E37" i="5"/>
  <c r="I111" i="1"/>
  <c r="I43" i="10" s="1"/>
  <c r="E43" i="10"/>
  <c r="I150" i="1"/>
  <c r="I73" i="10" s="1"/>
  <c r="E73" i="10"/>
  <c r="I96" i="1"/>
  <c r="I38" i="5" s="1"/>
  <c r="E38" i="5"/>
  <c r="J106" i="1"/>
  <c r="J42" i="10" s="1"/>
  <c r="AJ42" i="10" s="1"/>
  <c r="D42" i="10"/>
  <c r="D42" i="5"/>
  <c r="K148" i="1"/>
  <c r="K71" i="10" s="1"/>
  <c r="D71" i="10"/>
  <c r="D60" i="10"/>
  <c r="D61" i="12"/>
  <c r="D49" i="5"/>
  <c r="J107" i="1"/>
  <c r="J43" i="5" s="1"/>
  <c r="D43" i="5"/>
  <c r="E60" i="10"/>
  <c r="E61" i="12"/>
  <c r="E49" i="5"/>
  <c r="K56" i="1"/>
  <c r="K36" i="11" s="1"/>
  <c r="D36" i="11"/>
  <c r="K68" i="1"/>
  <c r="K48" i="11" s="1"/>
  <c r="D48" i="11"/>
  <c r="AB81" i="1"/>
  <c r="D60" i="11"/>
  <c r="K64" i="1"/>
  <c r="K44" i="11" s="1"/>
  <c r="D44" i="11"/>
  <c r="I68" i="1"/>
  <c r="I48" i="11" s="1"/>
  <c r="E48" i="11"/>
  <c r="T66" i="1"/>
  <c r="T46" i="11" s="1"/>
  <c r="D46" i="11"/>
  <c r="D30" i="10"/>
  <c r="D57" i="11"/>
  <c r="J86" i="1"/>
  <c r="J65" i="11" s="1"/>
  <c r="D65" i="11"/>
  <c r="T65" i="1"/>
  <c r="D45" i="11"/>
  <c r="K60" i="1"/>
  <c r="K40" i="11" s="1"/>
  <c r="D40" i="11"/>
  <c r="T67" i="1"/>
  <c r="T47" i="11" s="1"/>
  <c r="D47" i="11"/>
  <c r="E30" i="10"/>
  <c r="E57" i="11"/>
  <c r="T79" i="1"/>
  <c r="T58" i="11" s="1"/>
  <c r="D58" i="11"/>
  <c r="AJ351" i="1"/>
  <c r="K111" i="1"/>
  <c r="AI111" i="1"/>
  <c r="AI43" i="10" s="1"/>
  <c r="J68" i="1"/>
  <c r="J48" i="11" s="1"/>
  <c r="E50" i="1"/>
  <c r="E34" i="11" s="1"/>
  <c r="D50" i="1"/>
  <c r="D34" i="11" s="1"/>
  <c r="E49" i="1"/>
  <c r="E33" i="11" s="1"/>
  <c r="D49" i="1"/>
  <c r="D33" i="11" s="1"/>
  <c r="E48" i="1"/>
  <c r="E32" i="11" s="1"/>
  <c r="D48" i="1"/>
  <c r="D32" i="11" s="1"/>
  <c r="E47" i="1"/>
  <c r="E31" i="11" s="1"/>
  <c r="D47" i="1"/>
  <c r="D31" i="11" s="1"/>
  <c r="E46" i="1"/>
  <c r="E33" i="12" s="1"/>
  <c r="D46" i="1"/>
  <c r="D33" i="12" s="1"/>
  <c r="E45" i="1"/>
  <c r="E30" i="11" s="1"/>
  <c r="D45" i="1"/>
  <c r="D30" i="11" s="1"/>
  <c r="E44" i="1"/>
  <c r="E29" i="11" s="1"/>
  <c r="D44" i="1"/>
  <c r="D29" i="11" s="1"/>
  <c r="E43" i="1"/>
  <c r="E32" i="12" s="1"/>
  <c r="D43" i="1"/>
  <c r="D32" i="12" s="1"/>
  <c r="E42" i="1"/>
  <c r="E31" i="12" s="1"/>
  <c r="D42" i="1"/>
  <c r="D31" i="12" s="1"/>
  <c r="E41" i="1"/>
  <c r="E30" i="12" s="1"/>
  <c r="D41" i="1"/>
  <c r="D30" i="12" s="1"/>
  <c r="E40" i="1"/>
  <c r="E29" i="12" s="1"/>
  <c r="D40" i="1"/>
  <c r="D29" i="12" s="1"/>
  <c r="E39" i="1"/>
  <c r="E28" i="12" s="1"/>
  <c r="D39" i="1"/>
  <c r="D28" i="12" s="1"/>
  <c r="E38" i="1"/>
  <c r="E29" i="5" s="1"/>
  <c r="D38" i="1"/>
  <c r="D29" i="5" s="1"/>
  <c r="E37" i="1"/>
  <c r="E28" i="5" s="1"/>
  <c r="D37" i="1"/>
  <c r="D28" i="5" s="1"/>
  <c r="E34" i="1"/>
  <c r="E26" i="11" s="1"/>
  <c r="D34" i="1"/>
  <c r="D26" i="11" s="1"/>
  <c r="E33" i="1"/>
  <c r="E25" i="11" s="1"/>
  <c r="D33" i="1"/>
  <c r="D25" i="11" s="1"/>
  <c r="E32" i="1"/>
  <c r="E24" i="11" s="1"/>
  <c r="D32" i="1"/>
  <c r="D24" i="11" s="1"/>
  <c r="E31" i="1"/>
  <c r="E23" i="11" s="1"/>
  <c r="D31" i="1"/>
  <c r="D23" i="11" s="1"/>
  <c r="E30" i="1"/>
  <c r="E25" i="12" s="1"/>
  <c r="D30" i="1"/>
  <c r="D25" i="12" s="1"/>
  <c r="E29" i="1"/>
  <c r="E24" i="12" s="1"/>
  <c r="D29" i="1"/>
  <c r="D24" i="12" s="1"/>
  <c r="E28" i="1"/>
  <c r="E23" i="12" s="1"/>
  <c r="D28" i="1"/>
  <c r="D23" i="12" s="1"/>
  <c r="E27" i="1"/>
  <c r="E25" i="5" s="1"/>
  <c r="D27" i="1"/>
  <c r="D25" i="5" s="1"/>
  <c r="E26" i="1"/>
  <c r="D26" i="1"/>
  <c r="E25" i="1"/>
  <c r="E25" i="10" s="1"/>
  <c r="D25" i="1"/>
  <c r="D25" i="10" s="1"/>
  <c r="Q154" i="5" l="1"/>
  <c r="AJ154" i="5" s="1"/>
  <c r="AJ357" i="1"/>
  <c r="AJ128" i="12"/>
  <c r="AJ352" i="1"/>
  <c r="AJ359" i="1"/>
  <c r="AJ140" i="11"/>
  <c r="AJ137" i="11"/>
  <c r="AJ138" i="11"/>
  <c r="AJ353" i="1"/>
  <c r="Q158" i="5"/>
  <c r="AJ158" i="5" s="1"/>
  <c r="Q155" i="5"/>
  <c r="AJ155" i="5" s="1"/>
  <c r="AJ119" i="12"/>
  <c r="AJ356" i="1"/>
  <c r="AJ350" i="1"/>
  <c r="Q153" i="5"/>
  <c r="AJ153" i="5" s="1"/>
  <c r="AJ405" i="1"/>
  <c r="Q157" i="5"/>
  <c r="AJ157" i="5" s="1"/>
  <c r="AJ355" i="1"/>
  <c r="AJ354" i="1"/>
  <c r="Q136" i="11"/>
  <c r="AJ136" i="11" s="1"/>
  <c r="AJ404" i="1"/>
  <c r="Q156" i="5"/>
  <c r="AJ156" i="5" s="1"/>
  <c r="AJ358" i="1"/>
  <c r="Q121" i="12"/>
  <c r="AJ121" i="12" s="1"/>
  <c r="AJ159" i="5"/>
  <c r="Q152" i="1"/>
  <c r="Q151" i="1"/>
  <c r="Q63" i="12" s="1"/>
  <c r="AJ63" i="12" s="1"/>
  <c r="Q150" i="1"/>
  <c r="Q73" i="10" s="1"/>
  <c r="AJ73" i="10" s="1"/>
  <c r="Q111" i="1"/>
  <c r="Q43" i="10" s="1"/>
  <c r="K43" i="10"/>
  <c r="Q68" i="1"/>
  <c r="Q48" i="11" s="1"/>
  <c r="AJ48" i="11" s="1"/>
  <c r="D26" i="10"/>
  <c r="D24" i="5"/>
  <c r="E26" i="10"/>
  <c r="E24" i="5"/>
  <c r="T45" i="11"/>
  <c r="T67" i="11" s="1"/>
  <c r="T88" i="1"/>
  <c r="AB60" i="11"/>
  <c r="AB67" i="11" s="1"/>
  <c r="AB88" i="1"/>
  <c r="E336" i="1"/>
  <c r="E122" i="5" s="1"/>
  <c r="D336" i="1"/>
  <c r="E335" i="1"/>
  <c r="E121" i="5" s="1"/>
  <c r="D335" i="1"/>
  <c r="E334" i="1"/>
  <c r="E120" i="5" s="1"/>
  <c r="D334" i="1"/>
  <c r="Q336" i="1"/>
  <c r="Q122" i="5" s="1"/>
  <c r="Q335" i="1"/>
  <c r="Q121" i="5" s="1"/>
  <c r="Q334" i="1"/>
  <c r="Q120" i="5" s="1"/>
  <c r="G332" i="1"/>
  <c r="G118" i="5" s="1"/>
  <c r="E332" i="1"/>
  <c r="D332" i="1"/>
  <c r="G330" i="1"/>
  <c r="E333" i="1"/>
  <c r="E119" i="5" s="1"/>
  <c r="D333" i="1"/>
  <c r="E331" i="1"/>
  <c r="E118" i="10" s="1"/>
  <c r="D331" i="1"/>
  <c r="D118" i="10" s="1"/>
  <c r="E330" i="1"/>
  <c r="D330" i="1"/>
  <c r="E329" i="1"/>
  <c r="E116" i="10" s="1"/>
  <c r="D329" i="1"/>
  <c r="E328" i="1"/>
  <c r="E128" i="11" s="1"/>
  <c r="D328" i="1"/>
  <c r="E327" i="1"/>
  <c r="E115" i="10" s="1"/>
  <c r="D327" i="1"/>
  <c r="E326" i="1"/>
  <c r="E127" i="11" s="1"/>
  <c r="D326" i="1"/>
  <c r="E325" i="1"/>
  <c r="E117" i="5" s="1"/>
  <c r="D325" i="1"/>
  <c r="D117" i="5" s="1"/>
  <c r="AI320" i="1"/>
  <c r="AI122" i="11" s="1"/>
  <c r="G320" i="1"/>
  <c r="G122" i="11" s="1"/>
  <c r="D320" i="1"/>
  <c r="D122" i="11" s="1"/>
  <c r="D319" i="1"/>
  <c r="D121" i="11" s="1"/>
  <c r="D318" i="1"/>
  <c r="G309" i="1"/>
  <c r="G112" i="11" s="1"/>
  <c r="E309" i="1"/>
  <c r="D309" i="1"/>
  <c r="E310" i="1"/>
  <c r="D310" i="1"/>
  <c r="D113" i="11" s="1"/>
  <c r="E308" i="1"/>
  <c r="E111" i="11" s="1"/>
  <c r="D308" i="1"/>
  <c r="D111" i="11" s="1"/>
  <c r="G294" i="1"/>
  <c r="G98" i="11" s="1"/>
  <c r="E294" i="1"/>
  <c r="D294" i="1"/>
  <c r="E301" i="1"/>
  <c r="E104" i="11" s="1"/>
  <c r="D301" i="1"/>
  <c r="E300" i="1"/>
  <c r="E103" i="11" s="1"/>
  <c r="D300" i="1"/>
  <c r="E299" i="1"/>
  <c r="E102" i="11" s="1"/>
  <c r="D299" i="1"/>
  <c r="D102" i="11" s="1"/>
  <c r="E298" i="1"/>
  <c r="E101" i="11" s="1"/>
  <c r="D298" i="1"/>
  <c r="E297" i="1"/>
  <c r="E100" i="11" s="1"/>
  <c r="D297" i="1"/>
  <c r="E296" i="1"/>
  <c r="E99" i="11" s="1"/>
  <c r="D296" i="1"/>
  <c r="E295" i="1"/>
  <c r="E108" i="10" s="1"/>
  <c r="D295" i="1"/>
  <c r="D108" i="10" s="1"/>
  <c r="E293" i="1"/>
  <c r="D293" i="1"/>
  <c r="E292" i="1"/>
  <c r="E96" i="11" s="1"/>
  <c r="D292" i="1"/>
  <c r="D96" i="11" s="1"/>
  <c r="E291" i="1"/>
  <c r="D291" i="1"/>
  <c r="G317" i="1"/>
  <c r="G119" i="11" s="1"/>
  <c r="E317" i="1"/>
  <c r="D317" i="1"/>
  <c r="G316" i="1"/>
  <c r="G118" i="11" s="1"/>
  <c r="G313" i="1"/>
  <c r="G116" i="11" s="1"/>
  <c r="E313" i="1"/>
  <c r="E116" i="11" s="1"/>
  <c r="D313" i="1"/>
  <c r="E316" i="1"/>
  <c r="E118" i="11" s="1"/>
  <c r="D316" i="1"/>
  <c r="E315" i="1"/>
  <c r="E110" i="10" s="1"/>
  <c r="D315" i="1"/>
  <c r="E314" i="1"/>
  <c r="E117" i="11" s="1"/>
  <c r="D314" i="1"/>
  <c r="E307" i="1"/>
  <c r="E110" i="11" s="1"/>
  <c r="D307" i="1"/>
  <c r="E306" i="1"/>
  <c r="E109" i="11" s="1"/>
  <c r="D306" i="1"/>
  <c r="D109" i="11" s="1"/>
  <c r="E305" i="1"/>
  <c r="E108" i="11" s="1"/>
  <c r="D305" i="1"/>
  <c r="E304" i="1"/>
  <c r="E107" i="11" s="1"/>
  <c r="D304" i="1"/>
  <c r="D107" i="11" s="1"/>
  <c r="G287" i="1"/>
  <c r="G91" i="11" s="1"/>
  <c r="E287" i="1"/>
  <c r="D287" i="1"/>
  <c r="G286" i="1"/>
  <c r="G90" i="11" s="1"/>
  <c r="E286" i="1"/>
  <c r="D286" i="1"/>
  <c r="E290" i="1"/>
  <c r="E94" i="11" s="1"/>
  <c r="D290" i="1"/>
  <c r="E289" i="1"/>
  <c r="E93" i="11" s="1"/>
  <c r="D289" i="1"/>
  <c r="D93" i="11" s="1"/>
  <c r="E288" i="1"/>
  <c r="E92" i="11" s="1"/>
  <c r="D288" i="1"/>
  <c r="D92" i="11" s="1"/>
  <c r="E285" i="1"/>
  <c r="E89" i="11" s="1"/>
  <c r="D285" i="1"/>
  <c r="D89" i="11" s="1"/>
  <c r="E284" i="1"/>
  <c r="E88" i="11" s="1"/>
  <c r="D284" i="1"/>
  <c r="D88" i="11" s="1"/>
  <c r="E283" i="1"/>
  <c r="E87" i="11" s="1"/>
  <c r="D283" i="1"/>
  <c r="D87" i="11" s="1"/>
  <c r="E282" i="1"/>
  <c r="E86" i="11" s="1"/>
  <c r="D282" i="1"/>
  <c r="D86" i="11" s="1"/>
  <c r="E312" i="1"/>
  <c r="E115" i="11" s="1"/>
  <c r="D312" i="1"/>
  <c r="D115" i="11" s="1"/>
  <c r="E303" i="1"/>
  <c r="E106" i="11" s="1"/>
  <c r="D303" i="1"/>
  <c r="D106" i="11" s="1"/>
  <c r="E281" i="1"/>
  <c r="E85" i="11" s="1"/>
  <c r="D281" i="1"/>
  <c r="D85" i="11" s="1"/>
  <c r="E280" i="1"/>
  <c r="E84" i="11" s="1"/>
  <c r="D280" i="1"/>
  <c r="D84" i="11" s="1"/>
  <c r="E279" i="1"/>
  <c r="E83" i="11" s="1"/>
  <c r="D279" i="1"/>
  <c r="D83" i="11" s="1"/>
  <c r="E278" i="1"/>
  <c r="E82" i="11" s="1"/>
  <c r="D278" i="1"/>
  <c r="D82" i="11" s="1"/>
  <c r="E277" i="1"/>
  <c r="E107" i="10" s="1"/>
  <c r="D277" i="1"/>
  <c r="D107" i="10" s="1"/>
  <c r="E276" i="1"/>
  <c r="E81" i="11" s="1"/>
  <c r="D276" i="1"/>
  <c r="D81" i="11" s="1"/>
  <c r="E275" i="1"/>
  <c r="E112" i="5" s="1"/>
  <c r="D275" i="1"/>
  <c r="D112" i="5" s="1"/>
  <c r="E274" i="1"/>
  <c r="E111" i="5" s="1"/>
  <c r="D274" i="1"/>
  <c r="D111" i="5" s="1"/>
  <c r="E273" i="1"/>
  <c r="E111" i="12" s="1"/>
  <c r="D273" i="1"/>
  <c r="D111" i="12" s="1"/>
  <c r="E272" i="1"/>
  <c r="E110" i="5" s="1"/>
  <c r="D272" i="1"/>
  <c r="D110" i="5" s="1"/>
  <c r="E271" i="1"/>
  <c r="E106" i="10" s="1"/>
  <c r="D271" i="1"/>
  <c r="D106" i="10" s="1"/>
  <c r="E270" i="1"/>
  <c r="E80" i="11" s="1"/>
  <c r="D270" i="1"/>
  <c r="D80" i="11" s="1"/>
  <c r="E269" i="1"/>
  <c r="E79" i="11" s="1"/>
  <c r="D269" i="1"/>
  <c r="E268" i="1"/>
  <c r="E78" i="11" s="1"/>
  <c r="D268" i="1"/>
  <c r="D78" i="11" s="1"/>
  <c r="E267" i="1"/>
  <c r="E77" i="11" s="1"/>
  <c r="D267" i="1"/>
  <c r="D77" i="11" s="1"/>
  <c r="E266" i="1"/>
  <c r="E109" i="5" s="1"/>
  <c r="D266" i="1"/>
  <c r="D109" i="5" s="1"/>
  <c r="E265" i="1"/>
  <c r="E110" i="12" s="1"/>
  <c r="D265" i="1"/>
  <c r="D110" i="12" s="1"/>
  <c r="E264" i="1"/>
  <c r="E109" i="12" s="1"/>
  <c r="D264" i="1"/>
  <c r="D109" i="12" s="1"/>
  <c r="E263" i="1"/>
  <c r="E108" i="5" s="1"/>
  <c r="D263" i="1"/>
  <c r="D108" i="5" s="1"/>
  <c r="E262" i="1"/>
  <c r="E105" i="10" s="1"/>
  <c r="D262" i="1"/>
  <c r="D105" i="10" s="1"/>
  <c r="K315" i="1" l="1"/>
  <c r="K110" i="10" s="1"/>
  <c r="AJ152" i="1"/>
  <c r="Q64" i="12"/>
  <c r="AJ64" i="12" s="1"/>
  <c r="AJ151" i="1"/>
  <c r="AJ111" i="1"/>
  <c r="J118" i="11"/>
  <c r="D118" i="11"/>
  <c r="K309" i="1"/>
  <c r="K112" i="11" s="1"/>
  <c r="D112" i="11"/>
  <c r="K327" i="1"/>
  <c r="K115" i="10" s="1"/>
  <c r="D115" i="10"/>
  <c r="V293" i="1"/>
  <c r="D97" i="11"/>
  <c r="W300" i="1"/>
  <c r="D103" i="11"/>
  <c r="AI309" i="1"/>
  <c r="AI112" i="11" s="1"/>
  <c r="E112" i="11"/>
  <c r="K332" i="1"/>
  <c r="K118" i="5" s="1"/>
  <c r="D118" i="5"/>
  <c r="AB336" i="1"/>
  <c r="AJ336" i="1" s="1"/>
  <c r="D122" i="5"/>
  <c r="J305" i="1"/>
  <c r="J108" i="11" s="1"/>
  <c r="D108" i="11"/>
  <c r="M313" i="1"/>
  <c r="M116" i="11" s="1"/>
  <c r="D116" i="11"/>
  <c r="AI293" i="1"/>
  <c r="AI97" i="11" s="1"/>
  <c r="E97" i="11"/>
  <c r="J328" i="1"/>
  <c r="J128" i="11" s="1"/>
  <c r="D128" i="11"/>
  <c r="I332" i="1"/>
  <c r="I118" i="5" s="1"/>
  <c r="E118" i="5"/>
  <c r="AB301" i="1"/>
  <c r="D104" i="11"/>
  <c r="J318" i="1"/>
  <c r="J120" i="11" s="1"/>
  <c r="D120" i="11"/>
  <c r="K329" i="1"/>
  <c r="K116" i="10" s="1"/>
  <c r="D116" i="10"/>
  <c r="K296" i="1"/>
  <c r="K99" i="11" s="1"/>
  <c r="D99" i="11"/>
  <c r="K294" i="1"/>
  <c r="K98" i="11" s="1"/>
  <c r="D98" i="11"/>
  <c r="T290" i="1"/>
  <c r="T94" i="11" s="1"/>
  <c r="D94" i="11"/>
  <c r="K286" i="1"/>
  <c r="K90" i="11" s="1"/>
  <c r="D90" i="11"/>
  <c r="K317" i="1"/>
  <c r="K119" i="11" s="1"/>
  <c r="D119" i="11"/>
  <c r="I294" i="1"/>
  <c r="I98" i="11" s="1"/>
  <c r="E98" i="11"/>
  <c r="M330" i="1"/>
  <c r="AI286" i="1"/>
  <c r="AI90" i="11" s="1"/>
  <c r="E90" i="11"/>
  <c r="I317" i="1"/>
  <c r="I119" i="11" s="1"/>
  <c r="E119" i="11"/>
  <c r="K297" i="1"/>
  <c r="K100" i="11" s="1"/>
  <c r="D100" i="11"/>
  <c r="I330" i="1"/>
  <c r="T334" i="1"/>
  <c r="D120" i="5"/>
  <c r="AI310" i="1"/>
  <c r="AI113" i="11" s="1"/>
  <c r="E113" i="11"/>
  <c r="J307" i="1"/>
  <c r="J110" i="11" s="1"/>
  <c r="D110" i="11"/>
  <c r="J117" i="11"/>
  <c r="D117" i="11"/>
  <c r="K287" i="1"/>
  <c r="K91" i="11" s="1"/>
  <c r="D91" i="11"/>
  <c r="J291" i="1"/>
  <c r="J95" i="11" s="1"/>
  <c r="D95" i="11"/>
  <c r="T298" i="1"/>
  <c r="T101" i="11" s="1"/>
  <c r="D101" i="11"/>
  <c r="W335" i="1"/>
  <c r="D121" i="5"/>
  <c r="J269" i="1"/>
  <c r="J79" i="11" s="1"/>
  <c r="D79" i="11"/>
  <c r="I287" i="1"/>
  <c r="I91" i="11" s="1"/>
  <c r="E91" i="11"/>
  <c r="J315" i="1"/>
  <c r="J110" i="10" s="1"/>
  <c r="D110" i="10"/>
  <c r="AI291" i="1"/>
  <c r="AI95" i="11" s="1"/>
  <c r="E95" i="11"/>
  <c r="M326" i="1"/>
  <c r="M127" i="11" s="1"/>
  <c r="M129" i="11" s="1"/>
  <c r="D127" i="11"/>
  <c r="K333" i="1"/>
  <c r="K119" i="5" s="1"/>
  <c r="D119" i="5"/>
  <c r="AJ43" i="10"/>
  <c r="AJ150" i="1"/>
  <c r="AJ68" i="1"/>
  <c r="K328" i="1"/>
  <c r="K128" i="11" s="1"/>
  <c r="K129" i="11" s="1"/>
  <c r="K318" i="1"/>
  <c r="K120" i="11" s="1"/>
  <c r="J326" i="1"/>
  <c r="I309" i="1"/>
  <c r="I112" i="11" s="1"/>
  <c r="J294" i="1"/>
  <c r="J98" i="11" s="1"/>
  <c r="AI294" i="1"/>
  <c r="AI98" i="11" s="1"/>
  <c r="J116" i="11"/>
  <c r="M293" i="1"/>
  <c r="M97" i="11" s="1"/>
  <c r="J119" i="11"/>
  <c r="I313" i="1"/>
  <c r="I116" i="11" s="1"/>
  <c r="AI287" i="1"/>
  <c r="AI91" i="11" s="1"/>
  <c r="J287" i="1"/>
  <c r="J91" i="11" s="1"/>
  <c r="J286" i="1"/>
  <c r="J90" i="11" s="1"/>
  <c r="I286" i="1"/>
  <c r="I90" i="11" s="1"/>
  <c r="K31" i="30"/>
  <c r="H31" i="30"/>
  <c r="E31" i="30"/>
  <c r="K30" i="30"/>
  <c r="E30" i="30"/>
  <c r="O29" i="30"/>
  <c r="K29" i="30"/>
  <c r="E29" i="30"/>
  <c r="O28" i="30"/>
  <c r="E28" i="30"/>
  <c r="J12" i="30"/>
  <c r="I12" i="30"/>
  <c r="H12" i="30"/>
  <c r="G12" i="30"/>
  <c r="F12" i="30"/>
  <c r="E12" i="30"/>
  <c r="D12" i="30"/>
  <c r="C12" i="30"/>
  <c r="B12" i="30"/>
  <c r="K31" i="3"/>
  <c r="H31" i="3"/>
  <c r="E31" i="3"/>
  <c r="K30" i="3"/>
  <c r="E30" i="3"/>
  <c r="O29" i="3"/>
  <c r="K29" i="3"/>
  <c r="E29" i="3"/>
  <c r="O28" i="3"/>
  <c r="E28" i="3"/>
  <c r="J12" i="3"/>
  <c r="I12" i="3"/>
  <c r="H12" i="3"/>
  <c r="G12" i="3"/>
  <c r="F12" i="3"/>
  <c r="E12" i="3"/>
  <c r="D12" i="3"/>
  <c r="C12" i="3"/>
  <c r="B12" i="3"/>
  <c r="Q309" i="1" l="1"/>
  <c r="Q112" i="11" s="1"/>
  <c r="K12" i="30"/>
  <c r="K12" i="3"/>
  <c r="Q287" i="1"/>
  <c r="Q91" i="11" s="1"/>
  <c r="AJ91" i="11" s="1"/>
  <c r="Q332" i="1"/>
  <c r="AJ332" i="1" s="1"/>
  <c r="Q286" i="1"/>
  <c r="Q90" i="11" s="1"/>
  <c r="AJ90" i="11" s="1"/>
  <c r="Q317" i="1"/>
  <c r="Q119" i="11" s="1"/>
  <c r="AJ119" i="11" s="1"/>
  <c r="Q313" i="1"/>
  <c r="Q116" i="11" s="1"/>
  <c r="AJ116" i="11" s="1"/>
  <c r="M337" i="1"/>
  <c r="Q294" i="1"/>
  <c r="Q98" i="11" s="1"/>
  <c r="AJ98" i="11" s="1"/>
  <c r="AJ112" i="11"/>
  <c r="W337" i="1"/>
  <c r="W121" i="5"/>
  <c r="AJ121" i="5" s="1"/>
  <c r="W321" i="1"/>
  <c r="W103" i="11"/>
  <c r="W123" i="11" s="1"/>
  <c r="V321" i="1"/>
  <c r="V97" i="11"/>
  <c r="V123" i="11" s="1"/>
  <c r="J337" i="1"/>
  <c r="J127" i="11"/>
  <c r="J129" i="11" s="1"/>
  <c r="T337" i="1"/>
  <c r="T120" i="5"/>
  <c r="AJ120" i="5" s="1"/>
  <c r="AB321" i="1"/>
  <c r="AB104" i="11"/>
  <c r="AB123" i="11" s="1"/>
  <c r="AB337" i="1"/>
  <c r="AB122" i="5"/>
  <c r="AJ122" i="5" s="1"/>
  <c r="AJ334" i="1"/>
  <c r="AJ335" i="1"/>
  <c r="AJ309" i="1"/>
  <c r="Q118" i="5" l="1"/>
  <c r="AJ118" i="5" s="1"/>
  <c r="AJ286" i="1"/>
  <c r="AJ287" i="1"/>
  <c r="AJ317" i="1"/>
  <c r="AJ313" i="1"/>
  <c r="AJ294" i="1"/>
  <c r="AJ491" i="1"/>
  <c r="AJ475" i="1"/>
  <c r="AJ474" i="1"/>
  <c r="H42" i="41" l="1"/>
  <c r="AJ23" i="41"/>
  <c r="AJ22" i="41"/>
  <c r="F32" i="44"/>
  <c r="H32" i="44"/>
  <c r="J32" i="44"/>
  <c r="K32" i="44"/>
  <c r="L32" i="44"/>
  <c r="N32" i="44"/>
  <c r="O32" i="44"/>
  <c r="P32" i="44"/>
  <c r="R32" i="44"/>
  <c r="S32" i="44"/>
  <c r="T32" i="44"/>
  <c r="V32" i="44"/>
  <c r="W32" i="44"/>
  <c r="X32" i="44"/>
  <c r="Y32" i="44"/>
  <c r="Z32" i="44"/>
  <c r="AA32" i="44"/>
  <c r="AB32" i="44"/>
  <c r="AC32" i="44"/>
  <c r="AD32" i="44"/>
  <c r="AE32" i="44"/>
  <c r="AF32" i="44"/>
  <c r="AG32" i="44"/>
  <c r="AH32" i="44"/>
  <c r="AI32" i="44"/>
  <c r="H44" i="41" l="1"/>
  <c r="AC42" i="41"/>
  <c r="AC44" i="41" s="1"/>
  <c r="P42" i="41"/>
  <c r="P44" i="41" s="1"/>
  <c r="X42" i="41"/>
  <c r="X44" i="41" s="1"/>
  <c r="AG42" i="41"/>
  <c r="AG44" i="41" s="1"/>
  <c r="U42" i="41"/>
  <c r="U44" i="41" s="1"/>
  <c r="AD42" i="41"/>
  <c r="AD44" i="41" s="1"/>
  <c r="R42" i="41"/>
  <c r="R44" i="41" s="1"/>
  <c r="AB42" i="41"/>
  <c r="AB44" i="41" s="1"/>
  <c r="O42" i="41"/>
  <c r="O44" i="41" s="1"/>
  <c r="J42" i="41"/>
  <c r="J44" i="41" s="1"/>
  <c r="AA42" i="41"/>
  <c r="AA44" i="41" s="1"/>
  <c r="N42" i="41"/>
  <c r="N44" i="41" s="1"/>
  <c r="Z42" i="41"/>
  <c r="Z44" i="41" s="1"/>
  <c r="Y42" i="41"/>
  <c r="Y44" i="41" s="1"/>
  <c r="M42" i="41"/>
  <c r="M44" i="41" s="1"/>
  <c r="AH42" i="41"/>
  <c r="AH44" i="41" s="1"/>
  <c r="V42" i="41"/>
  <c r="V44" i="41" s="1"/>
  <c r="L42" i="41"/>
  <c r="L44" i="41" s="1"/>
  <c r="AF42" i="41"/>
  <c r="AF44" i="41" s="1"/>
  <c r="F42" i="41"/>
  <c r="F44" i="41" s="1"/>
  <c r="AE42" i="41"/>
  <c r="AE44" i="41" s="1"/>
  <c r="S42" i="41"/>
  <c r="S44" i="41" s="1"/>
  <c r="AI42" i="41"/>
  <c r="AI44" i="41" s="1"/>
  <c r="W42" i="41"/>
  <c r="W44" i="41" s="1"/>
  <c r="G42" i="41"/>
  <c r="G44" i="41" s="1"/>
  <c r="U32" i="44"/>
  <c r="G32" i="44"/>
  <c r="AJ27" i="43"/>
  <c r="AJ39" i="41" l="1"/>
  <c r="K42" i="41"/>
  <c r="K44" i="41" s="1"/>
  <c r="AJ41" i="41"/>
  <c r="I42" i="41"/>
  <c r="I44" i="41" s="1"/>
  <c r="AJ30" i="43"/>
  <c r="T42" i="41"/>
  <c r="T44" i="41" s="1"/>
  <c r="AJ40" i="41"/>
  <c r="Q42" i="41"/>
  <c r="Q44" i="41" s="1"/>
  <c r="AJ26" i="43"/>
  <c r="M32" i="44"/>
  <c r="AJ25" i="43" l="1"/>
  <c r="Q32" i="44"/>
  <c r="AJ28" i="43"/>
  <c r="I32" i="44"/>
  <c r="AJ42" i="41"/>
  <c r="AJ24" i="41"/>
  <c r="AJ34" i="41" l="1"/>
  <c r="AJ44" i="41" s="1"/>
  <c r="AJ31" i="44"/>
  <c r="AJ32" i="44" s="1"/>
  <c r="AJ162" i="5" l="1"/>
  <c r="AI175" i="10" l="1"/>
  <c r="AH175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B175" i="10"/>
  <c r="A175" i="10"/>
  <c r="J174" i="10"/>
  <c r="AJ174" i="10" s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U464" i="1"/>
  <c r="V464" i="1"/>
  <c r="W464" i="1"/>
  <c r="X464" i="1"/>
  <c r="Y464" i="1"/>
  <c r="Z464" i="1"/>
  <c r="AA464" i="1"/>
  <c r="AB464" i="1"/>
  <c r="AC464" i="1"/>
  <c r="AD464" i="1"/>
  <c r="AE464" i="1"/>
  <c r="AF464" i="1"/>
  <c r="AG464" i="1"/>
  <c r="AH464" i="1"/>
  <c r="AI464" i="1"/>
  <c r="AJ464" i="1" l="1"/>
  <c r="AJ175" i="10"/>
  <c r="H487" i="1" l="1"/>
  <c r="I487" i="1"/>
  <c r="J487" i="1"/>
  <c r="L487" i="1"/>
  <c r="M487" i="1"/>
  <c r="N487" i="1"/>
  <c r="O487" i="1"/>
  <c r="P487" i="1"/>
  <c r="R487" i="1"/>
  <c r="S487" i="1"/>
  <c r="T487" i="1"/>
  <c r="U487" i="1"/>
  <c r="V487" i="1"/>
  <c r="W487" i="1"/>
  <c r="X487" i="1"/>
  <c r="Y487" i="1"/>
  <c r="Z487" i="1"/>
  <c r="AA487" i="1"/>
  <c r="AB487" i="1"/>
  <c r="AC487" i="1"/>
  <c r="AD487" i="1"/>
  <c r="AE487" i="1"/>
  <c r="AF487" i="1"/>
  <c r="AG487" i="1"/>
  <c r="AH487" i="1"/>
  <c r="F487" i="1"/>
  <c r="Q487" i="1"/>
  <c r="AI487" i="1" l="1"/>
  <c r="K487" i="1"/>
  <c r="G487" i="1"/>
  <c r="AJ497" i="1"/>
  <c r="AJ495" i="1"/>
  <c r="AJ493" i="1"/>
  <c r="G498" i="1" l="1"/>
  <c r="H498" i="1"/>
  <c r="I498" i="1"/>
  <c r="J498" i="1"/>
  <c r="K498" i="1"/>
  <c r="L498" i="1"/>
  <c r="M498" i="1"/>
  <c r="N498" i="1"/>
  <c r="O498" i="1"/>
  <c r="P498" i="1"/>
  <c r="Q498" i="1"/>
  <c r="R498" i="1"/>
  <c r="S498" i="1"/>
  <c r="T498" i="1"/>
  <c r="U498" i="1"/>
  <c r="V498" i="1"/>
  <c r="W498" i="1"/>
  <c r="X498" i="1"/>
  <c r="Y498" i="1"/>
  <c r="Z498" i="1"/>
  <c r="AA498" i="1"/>
  <c r="AB498" i="1"/>
  <c r="AC498" i="1"/>
  <c r="AD498" i="1"/>
  <c r="AE498" i="1"/>
  <c r="AF498" i="1"/>
  <c r="AG498" i="1"/>
  <c r="AH498" i="1"/>
  <c r="AI498" i="1"/>
  <c r="AJ498" i="1"/>
  <c r="F498" i="1"/>
  <c r="AJ29" i="43" l="1"/>
  <c r="AJ31" i="43" l="1"/>
  <c r="AJ33" i="43" s="1"/>
  <c r="G297" i="1"/>
  <c r="G100" i="11" s="1"/>
  <c r="J100" i="11"/>
  <c r="I297" i="1" l="1"/>
  <c r="I100" i="11" s="1"/>
  <c r="AJ483" i="1"/>
  <c r="Q297" i="1" l="1"/>
  <c r="Q100" i="11" s="1"/>
  <c r="AJ100" i="11" s="1"/>
  <c r="AJ297" i="1" l="1"/>
  <c r="AJ23" i="43"/>
  <c r="AJ22" i="43"/>
  <c r="F25" i="42"/>
  <c r="N31" i="42" l="1"/>
  <c r="AC26" i="44"/>
  <c r="AC34" i="44" s="1"/>
  <c r="O26" i="44"/>
  <c r="O34" i="44" s="1"/>
  <c r="AA31" i="42"/>
  <c r="Z31" i="42"/>
  <c r="M31" i="42"/>
  <c r="Y31" i="42"/>
  <c r="L31" i="42"/>
  <c r="Z26" i="44"/>
  <c r="Z34" i="44" s="1"/>
  <c r="K26" i="44"/>
  <c r="K34" i="44" s="1"/>
  <c r="X31" i="42"/>
  <c r="J31" i="42"/>
  <c r="W31" i="42"/>
  <c r="H31" i="42"/>
  <c r="AH31" i="42"/>
  <c r="G31" i="42"/>
  <c r="AG31" i="42"/>
  <c r="U31" i="42"/>
  <c r="F31" i="42"/>
  <c r="F33" i="42" s="1"/>
  <c r="AF31" i="42"/>
  <c r="T31" i="42"/>
  <c r="AE31" i="42"/>
  <c r="AD31" i="42"/>
  <c r="R31" i="42"/>
  <c r="AC31" i="42"/>
  <c r="P31" i="42"/>
  <c r="AB31" i="42"/>
  <c r="O31" i="42"/>
  <c r="AB26" i="44"/>
  <c r="AB34" i="44" s="1"/>
  <c r="N26" i="44"/>
  <c r="N34" i="44" s="1"/>
  <c r="AA26" i="44"/>
  <c r="AA34" i="44" s="1"/>
  <c r="L26" i="44"/>
  <c r="L34" i="44" s="1"/>
  <c r="Y26" i="44"/>
  <c r="Y34" i="44" s="1"/>
  <c r="J26" i="44"/>
  <c r="J34" i="44" s="1"/>
  <c r="X26" i="44"/>
  <c r="X34" i="44" s="1"/>
  <c r="H26" i="44"/>
  <c r="H34" i="44" s="1"/>
  <c r="W26" i="44"/>
  <c r="W34" i="44" s="1"/>
  <c r="G26" i="44"/>
  <c r="G34" i="44" s="1"/>
  <c r="AH26" i="44"/>
  <c r="AH34" i="44" s="1"/>
  <c r="V26" i="44"/>
  <c r="V34" i="44" s="1"/>
  <c r="F26" i="44"/>
  <c r="F34" i="44" s="1"/>
  <c r="AG26" i="44"/>
  <c r="AG34" i="44" s="1"/>
  <c r="T26" i="44"/>
  <c r="T34" i="44" s="1"/>
  <c r="AE26" i="44"/>
  <c r="AE34" i="44" s="1"/>
  <c r="R26" i="44"/>
  <c r="R34" i="44" s="1"/>
  <c r="AF26" i="44"/>
  <c r="AF34" i="44" s="1"/>
  <c r="S26" i="44"/>
  <c r="S34" i="44" s="1"/>
  <c r="AD26" i="44"/>
  <c r="AD34" i="44" s="1"/>
  <c r="P26" i="44"/>
  <c r="P34" i="44" s="1"/>
  <c r="F46" i="42" l="1"/>
  <c r="AI31" i="42" l="1"/>
  <c r="S31" i="42" l="1"/>
  <c r="AJ477" i="1"/>
  <c r="AJ476" i="1"/>
  <c r="AJ473" i="1"/>
  <c r="AJ469" i="1"/>
  <c r="AI26" i="44" l="1"/>
  <c r="AI34" i="44" s="1"/>
  <c r="I26" i="44"/>
  <c r="I34" i="44" s="1"/>
  <c r="I31" i="42"/>
  <c r="AJ24" i="42"/>
  <c r="K31" i="42"/>
  <c r="V31" i="42"/>
  <c r="AJ478" i="1"/>
  <c r="AJ471" i="1"/>
  <c r="A195" i="10"/>
  <c r="B195" i="10"/>
  <c r="C195" i="10"/>
  <c r="D195" i="10"/>
  <c r="E195" i="10"/>
  <c r="F195" i="10"/>
  <c r="G195" i="10"/>
  <c r="H195" i="10"/>
  <c r="I195" i="10"/>
  <c r="J195" i="10"/>
  <c r="K195" i="10"/>
  <c r="L195" i="10"/>
  <c r="M195" i="10"/>
  <c r="N195" i="10"/>
  <c r="O195" i="10"/>
  <c r="P195" i="10"/>
  <c r="Q195" i="10"/>
  <c r="R195" i="10"/>
  <c r="S195" i="10"/>
  <c r="T195" i="10"/>
  <c r="U195" i="10"/>
  <c r="V195" i="10"/>
  <c r="W195" i="10"/>
  <c r="X195" i="10"/>
  <c r="Y195" i="10"/>
  <c r="Z195" i="10"/>
  <c r="AA195" i="10"/>
  <c r="AB195" i="10"/>
  <c r="AC195" i="10"/>
  <c r="AD195" i="10"/>
  <c r="AE195" i="10"/>
  <c r="AF195" i="10"/>
  <c r="AG195" i="10"/>
  <c r="AH195" i="10"/>
  <c r="AI195" i="10"/>
  <c r="AJ486" i="1"/>
  <c r="AJ485" i="1"/>
  <c r="AJ484" i="1"/>
  <c r="AJ482" i="1"/>
  <c r="U26" i="44" l="1"/>
  <c r="U34" i="44" s="1"/>
  <c r="AJ25" i="44"/>
  <c r="AJ30" i="42"/>
  <c r="AJ24" i="44"/>
  <c r="M26" i="44"/>
  <c r="M34" i="44" s="1"/>
  <c r="AJ23" i="44"/>
  <c r="AJ487" i="1"/>
  <c r="Q26" i="44"/>
  <c r="Q34" i="44" s="1"/>
  <c r="AJ195" i="10"/>
  <c r="AJ132" i="11"/>
  <c r="AJ131" i="11"/>
  <c r="AJ133" i="5"/>
  <c r="AJ134" i="5"/>
  <c r="AJ126" i="5"/>
  <c r="AJ125" i="5"/>
  <c r="AJ134" i="10"/>
  <c r="F124" i="10"/>
  <c r="H124" i="10"/>
  <c r="J124" i="10"/>
  <c r="L124" i="10"/>
  <c r="M124" i="10"/>
  <c r="N124" i="10"/>
  <c r="O124" i="10"/>
  <c r="P124" i="10"/>
  <c r="R124" i="10"/>
  <c r="S124" i="10"/>
  <c r="T124" i="10"/>
  <c r="U124" i="10"/>
  <c r="V124" i="10"/>
  <c r="W124" i="10"/>
  <c r="X124" i="10"/>
  <c r="Y124" i="10"/>
  <c r="Z124" i="10"/>
  <c r="AA124" i="10"/>
  <c r="AB124" i="10"/>
  <c r="AC124" i="10"/>
  <c r="AD124" i="10"/>
  <c r="AE124" i="10"/>
  <c r="AF124" i="10"/>
  <c r="AG124" i="10"/>
  <c r="AH124" i="10"/>
  <c r="AI124" i="10"/>
  <c r="AJ114" i="10"/>
  <c r="AJ115" i="12"/>
  <c r="AJ114" i="12"/>
  <c r="G206" i="1"/>
  <c r="G71" i="5" s="1"/>
  <c r="AA119" i="10" l="1"/>
  <c r="N119" i="10"/>
  <c r="AJ31" i="42"/>
  <c r="Q31" i="42"/>
  <c r="AJ26" i="44"/>
  <c r="AJ34" i="44" s="1"/>
  <c r="Z119" i="10"/>
  <c r="Y119" i="10"/>
  <c r="L119" i="10"/>
  <c r="X119" i="10"/>
  <c r="AI119" i="10"/>
  <c r="W119" i="10"/>
  <c r="H119" i="10"/>
  <c r="AH119" i="10"/>
  <c r="V119" i="10"/>
  <c r="AG119" i="10"/>
  <c r="U119" i="10"/>
  <c r="AF119" i="10"/>
  <c r="AE119" i="10"/>
  <c r="S119" i="10"/>
  <c r="AD119" i="10"/>
  <c r="R119" i="10"/>
  <c r="AC119" i="10"/>
  <c r="P119" i="10"/>
  <c r="AB119" i="10"/>
  <c r="O119" i="10"/>
  <c r="Y131" i="5"/>
  <c r="H131" i="5"/>
  <c r="X122" i="12"/>
  <c r="AG122" i="12"/>
  <c r="T122" i="12"/>
  <c r="Z122" i="12"/>
  <c r="AC122" i="12"/>
  <c r="H122" i="12"/>
  <c r="O122" i="12"/>
  <c r="AF122" i="12"/>
  <c r="S122" i="12"/>
  <c r="N122" i="12"/>
  <c r="AE122" i="12"/>
  <c r="R122" i="12"/>
  <c r="AA122" i="12"/>
  <c r="AD122" i="12"/>
  <c r="P122" i="12"/>
  <c r="AG131" i="5"/>
  <c r="U131" i="5"/>
  <c r="AF131" i="5"/>
  <c r="T131" i="5"/>
  <c r="AB122" i="12"/>
  <c r="L122" i="12"/>
  <c r="K122" i="12"/>
  <c r="Y122" i="12"/>
  <c r="J122" i="12"/>
  <c r="W122" i="12"/>
  <c r="G122" i="12"/>
  <c r="AH122" i="12"/>
  <c r="V122" i="12"/>
  <c r="AI142" i="11"/>
  <c r="AG142" i="11"/>
  <c r="U142" i="11"/>
  <c r="AC131" i="5"/>
  <c r="W142" i="11"/>
  <c r="L142" i="11"/>
  <c r="Z131" i="5"/>
  <c r="N131" i="5"/>
  <c r="X131" i="5"/>
  <c r="L131" i="5"/>
  <c r="AE142" i="11"/>
  <c r="AH142" i="11"/>
  <c r="V142" i="11"/>
  <c r="AH131" i="5"/>
  <c r="V131" i="5"/>
  <c r="AI131" i="5"/>
  <c r="W131" i="5"/>
  <c r="AE131" i="5"/>
  <c r="S131" i="5"/>
  <c r="G131" i="5"/>
  <c r="AD131" i="5"/>
  <c r="R131" i="5"/>
  <c r="AB131" i="5"/>
  <c r="P131" i="5"/>
  <c r="AA131" i="5"/>
  <c r="O131" i="5"/>
  <c r="P142" i="11"/>
  <c r="AA142" i="11"/>
  <c r="X142" i="11"/>
  <c r="AF142" i="11"/>
  <c r="T142" i="11"/>
  <c r="H142" i="11"/>
  <c r="S142" i="11"/>
  <c r="O142" i="11"/>
  <c r="Y142" i="11"/>
  <c r="M142" i="11"/>
  <c r="AD142" i="11"/>
  <c r="R142" i="11"/>
  <c r="AB142" i="11"/>
  <c r="Z142" i="11"/>
  <c r="N142" i="11"/>
  <c r="AC142" i="11"/>
  <c r="T382" i="1"/>
  <c r="G424" i="1"/>
  <c r="G148" i="10" s="1"/>
  <c r="AI391" i="1"/>
  <c r="AI144" i="5" s="1"/>
  <c r="Q391" i="1"/>
  <c r="Q144" i="5" s="1"/>
  <c r="I391" i="1"/>
  <c r="I144" i="5" s="1"/>
  <c r="G391" i="1"/>
  <c r="G144" i="5" s="1"/>
  <c r="G395" i="1"/>
  <c r="G147" i="5" s="1"/>
  <c r="Q397" i="1"/>
  <c r="Q149" i="5" s="1"/>
  <c r="G397" i="1"/>
  <c r="G149" i="5" s="1"/>
  <c r="G394" i="1"/>
  <c r="G146" i="5" s="1"/>
  <c r="G393" i="1"/>
  <c r="G145" i="5" s="1"/>
  <c r="G392" i="1"/>
  <c r="G135" i="10" s="1"/>
  <c r="I374" i="1"/>
  <c r="I154" i="11" s="1"/>
  <c r="K374" i="1"/>
  <c r="K154" i="11" s="1"/>
  <c r="I373" i="1"/>
  <c r="I153" i="11" s="1"/>
  <c r="M373" i="1"/>
  <c r="M153" i="11" s="1"/>
  <c r="I372" i="1"/>
  <c r="I152" i="11" s="1"/>
  <c r="M372" i="1"/>
  <c r="M152" i="11" s="1"/>
  <c r="I371" i="1"/>
  <c r="I151" i="11" s="1"/>
  <c r="K371" i="1"/>
  <c r="K151" i="11" s="1"/>
  <c r="AI370" i="1"/>
  <c r="AI150" i="11" s="1"/>
  <c r="M370" i="1"/>
  <c r="M150" i="11" s="1"/>
  <c r="AI369" i="1"/>
  <c r="AI149" i="11" s="1"/>
  <c r="M369" i="1"/>
  <c r="M149" i="11" s="1"/>
  <c r="I368" i="1"/>
  <c r="AI367" i="1"/>
  <c r="AI147" i="11" s="1"/>
  <c r="M367" i="1"/>
  <c r="M147" i="11" s="1"/>
  <c r="AI366" i="1"/>
  <c r="AI146" i="11" s="1"/>
  <c r="K366" i="1"/>
  <c r="K146" i="11" s="1"/>
  <c r="K341" i="1"/>
  <c r="K127" i="5" s="1"/>
  <c r="G349" i="1"/>
  <c r="G342" i="1"/>
  <c r="G123" i="10" s="1"/>
  <c r="G365" i="1"/>
  <c r="G135" i="5" s="1"/>
  <c r="G139" i="5" s="1"/>
  <c r="G366" i="1"/>
  <c r="G146" i="11" s="1"/>
  <c r="G367" i="1"/>
  <c r="G147" i="11" s="1"/>
  <c r="G368" i="1"/>
  <c r="G148" i="11" s="1"/>
  <c r="G369" i="1"/>
  <c r="G149" i="11" s="1"/>
  <c r="G370" i="1"/>
  <c r="G150" i="11" s="1"/>
  <c r="G371" i="1"/>
  <c r="G151" i="11" s="1"/>
  <c r="G372" i="1"/>
  <c r="G152" i="11" s="1"/>
  <c r="G373" i="1"/>
  <c r="G153" i="11" s="1"/>
  <c r="G374" i="1"/>
  <c r="G154" i="11" s="1"/>
  <c r="G327" i="1"/>
  <c r="G115" i="10" s="1"/>
  <c r="G326" i="1"/>
  <c r="G127" i="11" s="1"/>
  <c r="I327" i="1"/>
  <c r="I115" i="10" s="1"/>
  <c r="Q298" i="1"/>
  <c r="Q101" i="11" s="1"/>
  <c r="AJ101" i="11" s="1"/>
  <c r="AJ144" i="5" l="1"/>
  <c r="T137" i="5"/>
  <c r="T139" i="5" s="1"/>
  <c r="T160" i="11"/>
  <c r="K368" i="1"/>
  <c r="K148" i="11" s="1"/>
  <c r="I148" i="11"/>
  <c r="T385" i="1"/>
  <c r="G129" i="11"/>
  <c r="G135" i="11"/>
  <c r="G361" i="1"/>
  <c r="G124" i="10"/>
  <c r="K131" i="5"/>
  <c r="K392" i="1"/>
  <c r="K135" i="10" s="1"/>
  <c r="M346" i="1"/>
  <c r="M128" i="5" s="1"/>
  <c r="M344" i="1"/>
  <c r="M117" i="12" s="1"/>
  <c r="AJ375" i="1"/>
  <c r="M343" i="1"/>
  <c r="M116" i="12" s="1"/>
  <c r="I392" i="1"/>
  <c r="I135" i="10" s="1"/>
  <c r="I346" i="1"/>
  <c r="I128" i="5" s="1"/>
  <c r="I344" i="1"/>
  <c r="I117" i="12" s="1"/>
  <c r="K365" i="1"/>
  <c r="K135" i="5" s="1"/>
  <c r="K139" i="5" s="1"/>
  <c r="I325" i="1"/>
  <c r="I117" i="5" s="1"/>
  <c r="U345" i="1"/>
  <c r="U118" i="12" s="1"/>
  <c r="I365" i="1"/>
  <c r="I135" i="5" s="1"/>
  <c r="I139" i="5" s="1"/>
  <c r="I397" i="1"/>
  <c r="I149" i="5" s="1"/>
  <c r="AJ149" i="5" s="1"/>
  <c r="I342" i="1"/>
  <c r="I123" i="10" s="1"/>
  <c r="I395" i="1"/>
  <c r="I147" i="5" s="1"/>
  <c r="I343" i="1"/>
  <c r="I116" i="12" s="1"/>
  <c r="AI345" i="1"/>
  <c r="AI118" i="12" s="1"/>
  <c r="K424" i="1"/>
  <c r="K148" i="10" s="1"/>
  <c r="J349" i="1"/>
  <c r="J135" i="11" s="1"/>
  <c r="K347" i="1"/>
  <c r="K133" i="11" s="1"/>
  <c r="I424" i="1"/>
  <c r="I148" i="10" s="1"/>
  <c r="K342" i="1"/>
  <c r="I394" i="1"/>
  <c r="I146" i="5" s="1"/>
  <c r="J119" i="10"/>
  <c r="M395" i="1"/>
  <c r="M147" i="5" s="1"/>
  <c r="M164" i="5" s="1"/>
  <c r="I329" i="1"/>
  <c r="I116" i="10" s="1"/>
  <c r="K348" i="1"/>
  <c r="K134" i="11" s="1"/>
  <c r="I393" i="1"/>
  <c r="I145" i="5" s="1"/>
  <c r="I341" i="1"/>
  <c r="I127" i="5" s="1"/>
  <c r="I348" i="1"/>
  <c r="I134" i="11" s="1"/>
  <c r="AJ391" i="1"/>
  <c r="J346" i="1"/>
  <c r="J128" i="5" s="1"/>
  <c r="J348" i="1"/>
  <c r="J134" i="11" s="1"/>
  <c r="I370" i="1"/>
  <c r="I150" i="11" s="1"/>
  <c r="M345" i="1"/>
  <c r="M118" i="12" s="1"/>
  <c r="U344" i="1"/>
  <c r="U117" i="12" s="1"/>
  <c r="Q327" i="1"/>
  <c r="Q115" i="10" s="1"/>
  <c r="AJ115" i="10" s="1"/>
  <c r="AI344" i="1"/>
  <c r="AI117" i="12" s="1"/>
  <c r="Q373" i="1"/>
  <c r="Q153" i="11" s="1"/>
  <c r="Q366" i="1"/>
  <c r="Q146" i="11" s="1"/>
  <c r="I345" i="1"/>
  <c r="I118" i="12" s="1"/>
  <c r="Q371" i="1"/>
  <c r="Q151" i="11" s="1"/>
  <c r="I367" i="1"/>
  <c r="I147" i="11" s="1"/>
  <c r="Q367" i="1"/>
  <c r="Q147" i="11" s="1"/>
  <c r="AI343" i="1"/>
  <c r="K349" i="1"/>
  <c r="K135" i="11" s="1"/>
  <c r="J341" i="1"/>
  <c r="J127" i="5" s="1"/>
  <c r="I366" i="1"/>
  <c r="I146" i="11" s="1"/>
  <c r="U343" i="1"/>
  <c r="U116" i="12" s="1"/>
  <c r="Q370" i="1"/>
  <c r="Q150" i="11" s="1"/>
  <c r="Q374" i="1"/>
  <c r="Q369" i="1"/>
  <c r="Q149" i="11" s="1"/>
  <c r="Q372" i="1"/>
  <c r="I349" i="1"/>
  <c r="I135" i="11" s="1"/>
  <c r="J347" i="1"/>
  <c r="J133" i="11" s="1"/>
  <c r="AI373" i="1"/>
  <c r="AI153" i="11" s="1"/>
  <c r="I369" i="1"/>
  <c r="I149" i="11" s="1"/>
  <c r="AI371" i="1"/>
  <c r="AI151" i="11" s="1"/>
  <c r="G303" i="1"/>
  <c r="G106" i="11" s="1"/>
  <c r="G244" i="1"/>
  <c r="G93" i="10" s="1"/>
  <c r="G243" i="1"/>
  <c r="G92" i="5" s="1"/>
  <c r="AJ149" i="11" l="1"/>
  <c r="AJ150" i="11"/>
  <c r="AJ147" i="11"/>
  <c r="AJ151" i="11"/>
  <c r="AJ146" i="11"/>
  <c r="AJ153" i="11"/>
  <c r="G142" i="11"/>
  <c r="AJ372" i="1"/>
  <c r="Q152" i="11"/>
  <c r="AJ152" i="11" s="1"/>
  <c r="AJ374" i="1"/>
  <c r="Q154" i="11"/>
  <c r="AJ154" i="11" s="1"/>
  <c r="Q368" i="1"/>
  <c r="K123" i="10"/>
  <c r="AI361" i="1"/>
  <c r="AI116" i="12"/>
  <c r="AI122" i="12" s="1"/>
  <c r="M361" i="1"/>
  <c r="I361" i="1"/>
  <c r="U361" i="1"/>
  <c r="K361" i="1"/>
  <c r="J361" i="1"/>
  <c r="J131" i="5"/>
  <c r="I131" i="5"/>
  <c r="Q395" i="1"/>
  <c r="Q147" i="5" s="1"/>
  <c r="AJ147" i="5" s="1"/>
  <c r="Q128" i="5"/>
  <c r="AJ128" i="5" s="1"/>
  <c r="Q365" i="1"/>
  <c r="Q135" i="5" s="1"/>
  <c r="Q393" i="1"/>
  <c r="Q145" i="5" s="1"/>
  <c r="Q392" i="1"/>
  <c r="Q328" i="1"/>
  <c r="Q128" i="11" s="1"/>
  <c r="AJ128" i="11" s="1"/>
  <c r="M131" i="5"/>
  <c r="I245" i="1"/>
  <c r="I94" i="10" s="1"/>
  <c r="Q342" i="1"/>
  <c r="Q123" i="10" s="1"/>
  <c r="Q424" i="1"/>
  <c r="Q148" i="10" s="1"/>
  <c r="AJ148" i="10" s="1"/>
  <c r="U273" i="1"/>
  <c r="U111" i="12" s="1"/>
  <c r="AI273" i="1"/>
  <c r="AI111" i="12" s="1"/>
  <c r="AJ397" i="1"/>
  <c r="Q117" i="12"/>
  <c r="AJ117" i="12" s="1"/>
  <c r="K243" i="1"/>
  <c r="K92" i="5" s="1"/>
  <c r="Q118" i="12"/>
  <c r="AJ118" i="12" s="1"/>
  <c r="Q394" i="1"/>
  <c r="Q146" i="5" s="1"/>
  <c r="AJ146" i="5" s="1"/>
  <c r="I124" i="10"/>
  <c r="I244" i="1"/>
  <c r="I93" i="10" s="1"/>
  <c r="Q347" i="1"/>
  <c r="Q133" i="11" s="1"/>
  <c r="AJ133" i="11" s="1"/>
  <c r="K245" i="1"/>
  <c r="K94" i="10" s="1"/>
  <c r="Q349" i="1"/>
  <c r="Q135" i="11" s="1"/>
  <c r="AJ135" i="11" s="1"/>
  <c r="I122" i="12"/>
  <c r="U122" i="12"/>
  <c r="I243" i="1"/>
  <c r="I92" i="5" s="1"/>
  <c r="I142" i="11"/>
  <c r="Q341" i="1"/>
  <c r="Q127" i="5" s="1"/>
  <c r="AJ127" i="5" s="1"/>
  <c r="Q348" i="1"/>
  <c r="Q134" i="11" s="1"/>
  <c r="AJ134" i="11" s="1"/>
  <c r="K244" i="1"/>
  <c r="K93" i="10" s="1"/>
  <c r="AJ298" i="1"/>
  <c r="Q116" i="12"/>
  <c r="Q396" i="1"/>
  <c r="Q148" i="5" s="1"/>
  <c r="AJ148" i="5" s="1"/>
  <c r="AJ370" i="1"/>
  <c r="AJ371" i="1"/>
  <c r="AJ366" i="1"/>
  <c r="AJ367" i="1"/>
  <c r="AJ373" i="1"/>
  <c r="AJ369" i="1"/>
  <c r="M273" i="1"/>
  <c r="M111" i="12" s="1"/>
  <c r="I273" i="1"/>
  <c r="I111" i="12" s="1"/>
  <c r="J245" i="1"/>
  <c r="J94" i="10" s="1"/>
  <c r="J244" i="1"/>
  <c r="J93" i="10" s="1"/>
  <c r="G197" i="1"/>
  <c r="G86" i="12" s="1"/>
  <c r="G196" i="1"/>
  <c r="G85" i="12" s="1"/>
  <c r="AJ116" i="12" l="1"/>
  <c r="AJ123" i="10"/>
  <c r="AJ135" i="5"/>
  <c r="AJ131" i="5"/>
  <c r="AJ142" i="11"/>
  <c r="K124" i="10"/>
  <c r="AJ368" i="1"/>
  <c r="Q148" i="11"/>
  <c r="AJ148" i="11" s="1"/>
  <c r="AJ392" i="1"/>
  <c r="Q135" i="10"/>
  <c r="AJ145" i="5"/>
  <c r="Q361" i="1"/>
  <c r="Q131" i="5"/>
  <c r="T119" i="10"/>
  <c r="AJ346" i="1"/>
  <c r="AJ395" i="1"/>
  <c r="AJ393" i="1"/>
  <c r="AJ365" i="1"/>
  <c r="AJ344" i="1"/>
  <c r="AJ345" i="1"/>
  <c r="Q122" i="12"/>
  <c r="AJ343" i="1"/>
  <c r="Q243" i="1"/>
  <c r="AJ341" i="1"/>
  <c r="I196" i="1"/>
  <c r="I85" i="12" s="1"/>
  <c r="K142" i="11"/>
  <c r="K196" i="1"/>
  <c r="K85" i="12" s="1"/>
  <c r="Q244" i="1"/>
  <c r="Q93" i="10" s="1"/>
  <c r="AJ93" i="10" s="1"/>
  <c r="Q142" i="11"/>
  <c r="K197" i="1"/>
  <c r="K86" i="12" s="1"/>
  <c r="Q111" i="12"/>
  <c r="AJ111" i="12" s="1"/>
  <c r="AJ348" i="1"/>
  <c r="AJ424" i="1"/>
  <c r="I197" i="1"/>
  <c r="I86" i="12" s="1"/>
  <c r="AJ342" i="1"/>
  <c r="AJ396" i="1"/>
  <c r="M122" i="12"/>
  <c r="AJ347" i="1"/>
  <c r="AJ394" i="1"/>
  <c r="AJ349" i="1"/>
  <c r="Q245" i="1"/>
  <c r="Q94" i="10" s="1"/>
  <c r="AJ94" i="10" s="1"/>
  <c r="J142" i="11"/>
  <c r="AJ243" i="1" l="1"/>
  <c r="Q92" i="5"/>
  <c r="AJ92" i="5" s="1"/>
  <c r="AJ135" i="10"/>
  <c r="AJ361" i="1"/>
  <c r="AL361" i="1" s="1"/>
  <c r="AJ122" i="12"/>
  <c r="Q197" i="1"/>
  <c r="Q86" i="12" s="1"/>
  <c r="AJ86" i="12" s="1"/>
  <c r="AJ245" i="1"/>
  <c r="Q124" i="10"/>
  <c r="AJ124" i="10"/>
  <c r="K129" i="1"/>
  <c r="K54" i="10" s="1"/>
  <c r="I129" i="1"/>
  <c r="I54" i="10" s="1"/>
  <c r="Q196" i="1"/>
  <c r="Q85" i="12" s="1"/>
  <c r="AJ85" i="12" s="1"/>
  <c r="M96" i="1"/>
  <c r="M38" i="5" s="1"/>
  <c r="AJ244" i="1"/>
  <c r="AJ273" i="1"/>
  <c r="J129" i="1"/>
  <c r="J54" i="10" s="1"/>
  <c r="J96" i="1"/>
  <c r="J38" i="5" s="1"/>
  <c r="G70" i="1"/>
  <c r="G50" i="11" s="1"/>
  <c r="J70" i="1" l="1"/>
  <c r="J50" i="11" s="1"/>
  <c r="AJ197" i="1"/>
  <c r="Q38" i="5"/>
  <c r="AJ38" i="5" s="1"/>
  <c r="I70" i="1"/>
  <c r="I50" i="11" s="1"/>
  <c r="AJ196" i="1"/>
  <c r="Q129" i="1"/>
  <c r="Q54" i="10" s="1"/>
  <c r="AJ54" i="10" s="1"/>
  <c r="K70" i="1"/>
  <c r="K50" i="11" s="1"/>
  <c r="Q66" i="1"/>
  <c r="Q46" i="11" s="1"/>
  <c r="G66" i="1"/>
  <c r="G46" i="11" s="1"/>
  <c r="G63" i="1"/>
  <c r="G43" i="11" s="1"/>
  <c r="AJ129" i="1" l="1"/>
  <c r="AJ96" i="1"/>
  <c r="I66" i="1"/>
  <c r="I46" i="11" s="1"/>
  <c r="AJ46" i="11" s="1"/>
  <c r="K63" i="1"/>
  <c r="K43" i="11" s="1"/>
  <c r="Q70" i="1"/>
  <c r="Q50" i="11" s="1"/>
  <c r="AJ50" i="11" s="1"/>
  <c r="I63" i="1"/>
  <c r="I43" i="11" s="1"/>
  <c r="J63" i="1"/>
  <c r="J43" i="11" s="1"/>
  <c r="G27" i="1"/>
  <c r="G25" i="5" s="1"/>
  <c r="AJ70" i="1" l="1"/>
  <c r="AJ66" i="1"/>
  <c r="Q63" i="1"/>
  <c r="Q43" i="11" s="1"/>
  <c r="AJ43" i="11" s="1"/>
  <c r="M27" i="1"/>
  <c r="Q27" i="1" s="1"/>
  <c r="Q25" i="5" s="1"/>
  <c r="I27" i="1"/>
  <c r="I25" i="5" s="1"/>
  <c r="J27" i="1"/>
  <c r="J25" i="5" s="1"/>
  <c r="M25" i="5" l="1"/>
  <c r="AJ25" i="5" s="1"/>
  <c r="AJ63" i="1"/>
  <c r="AJ27" i="1"/>
  <c r="T253" i="1" l="1"/>
  <c r="G417" i="1" l="1"/>
  <c r="G129" i="12" s="1"/>
  <c r="G331" i="1"/>
  <c r="G118" i="10" s="1"/>
  <c r="I331" i="1"/>
  <c r="I118" i="10" s="1"/>
  <c r="I119" i="10" s="1"/>
  <c r="AI417" i="1" l="1"/>
  <c r="AI129" i="12" s="1"/>
  <c r="AI133" i="12" s="1"/>
  <c r="K331" i="1"/>
  <c r="M417" i="1"/>
  <c r="M129" i="12" s="1"/>
  <c r="M133" i="12" s="1"/>
  <c r="I417" i="1"/>
  <c r="I129" i="12" s="1"/>
  <c r="B187" i="10"/>
  <c r="C187" i="10"/>
  <c r="D187" i="10"/>
  <c r="E187" i="10"/>
  <c r="F187" i="10"/>
  <c r="G187" i="10"/>
  <c r="H187" i="10"/>
  <c r="I187" i="10"/>
  <c r="J187" i="10"/>
  <c r="K187" i="10"/>
  <c r="L187" i="10"/>
  <c r="M187" i="10"/>
  <c r="N187" i="10"/>
  <c r="O187" i="10"/>
  <c r="P187" i="10"/>
  <c r="Q187" i="10"/>
  <c r="R187" i="10"/>
  <c r="S187" i="10"/>
  <c r="T187" i="10"/>
  <c r="U187" i="10"/>
  <c r="V187" i="10"/>
  <c r="W187" i="10"/>
  <c r="X187" i="10"/>
  <c r="Y187" i="10"/>
  <c r="Z187" i="10"/>
  <c r="AA187" i="10"/>
  <c r="AB187" i="10"/>
  <c r="AC187" i="10"/>
  <c r="AD187" i="10"/>
  <c r="AE187" i="10"/>
  <c r="AF187" i="10"/>
  <c r="AG187" i="10"/>
  <c r="AH187" i="10"/>
  <c r="AI187" i="10"/>
  <c r="B188" i="10"/>
  <c r="C188" i="10"/>
  <c r="D188" i="10"/>
  <c r="E188" i="10"/>
  <c r="F188" i="10"/>
  <c r="G188" i="10"/>
  <c r="H188" i="10"/>
  <c r="I188" i="10"/>
  <c r="J188" i="10"/>
  <c r="K188" i="10"/>
  <c r="L188" i="10"/>
  <c r="M188" i="10"/>
  <c r="N188" i="10"/>
  <c r="O188" i="10"/>
  <c r="P188" i="10"/>
  <c r="Q188" i="10"/>
  <c r="R188" i="10"/>
  <c r="S188" i="10"/>
  <c r="T188" i="10"/>
  <c r="U188" i="10"/>
  <c r="V188" i="10"/>
  <c r="W188" i="10"/>
  <c r="X188" i="10"/>
  <c r="Y188" i="10"/>
  <c r="Z188" i="10"/>
  <c r="AA188" i="10"/>
  <c r="AB188" i="10"/>
  <c r="AC188" i="10"/>
  <c r="AD188" i="10"/>
  <c r="AE188" i="10"/>
  <c r="AF188" i="10"/>
  <c r="AG188" i="10"/>
  <c r="AH188" i="10"/>
  <c r="AI188" i="10"/>
  <c r="A188" i="10"/>
  <c r="A187" i="10"/>
  <c r="G186" i="10"/>
  <c r="Q331" i="1" l="1"/>
  <c r="Q118" i="10" s="1"/>
  <c r="K118" i="10"/>
  <c r="AJ187" i="10"/>
  <c r="AJ188" i="10"/>
  <c r="Q417" i="1"/>
  <c r="Q129" i="12" s="1"/>
  <c r="B200" i="10"/>
  <c r="C200" i="10"/>
  <c r="D200" i="10"/>
  <c r="E200" i="10"/>
  <c r="F200" i="10"/>
  <c r="G200" i="10"/>
  <c r="H200" i="10"/>
  <c r="I200" i="10"/>
  <c r="J200" i="10"/>
  <c r="K200" i="10"/>
  <c r="L200" i="10"/>
  <c r="M200" i="10"/>
  <c r="N200" i="10"/>
  <c r="O200" i="10"/>
  <c r="P200" i="10"/>
  <c r="Q200" i="10"/>
  <c r="R200" i="10"/>
  <c r="S200" i="10"/>
  <c r="T200" i="10"/>
  <c r="U200" i="10"/>
  <c r="V200" i="10"/>
  <c r="W200" i="10"/>
  <c r="X200" i="10"/>
  <c r="Y200" i="10"/>
  <c r="Z200" i="10"/>
  <c r="AA200" i="10"/>
  <c r="AB200" i="10"/>
  <c r="AC200" i="10"/>
  <c r="AD200" i="10"/>
  <c r="AE200" i="10"/>
  <c r="AF200" i="10"/>
  <c r="AG200" i="10"/>
  <c r="AH200" i="10"/>
  <c r="AI200" i="10"/>
  <c r="A200" i="10"/>
  <c r="G199" i="10"/>
  <c r="I205" i="1"/>
  <c r="I85" i="10" s="1"/>
  <c r="K205" i="1"/>
  <c r="K85" i="10" s="1"/>
  <c r="K94" i="1"/>
  <c r="K36" i="10" s="1"/>
  <c r="I25" i="1"/>
  <c r="K25" i="1"/>
  <c r="AJ29" i="44"/>
  <c r="AJ28" i="42"/>
  <c r="AJ27" i="42"/>
  <c r="AI25" i="42"/>
  <c r="AI33" i="42" s="1"/>
  <c r="AH25" i="42"/>
  <c r="AH33" i="42" s="1"/>
  <c r="AG25" i="42"/>
  <c r="AG33" i="42" s="1"/>
  <c r="AF25" i="42"/>
  <c r="AF33" i="42" s="1"/>
  <c r="AE25" i="42"/>
  <c r="AE33" i="42" s="1"/>
  <c r="AD25" i="42"/>
  <c r="AD33" i="42" s="1"/>
  <c r="AC25" i="42"/>
  <c r="AC33" i="42" s="1"/>
  <c r="AB25" i="42"/>
  <c r="AB33" i="42" s="1"/>
  <c r="AA25" i="42"/>
  <c r="AA33" i="42" s="1"/>
  <c r="Z25" i="42"/>
  <c r="Z33" i="42" s="1"/>
  <c r="Y25" i="42"/>
  <c r="Y33" i="42" s="1"/>
  <c r="X25" i="42"/>
  <c r="X33" i="42" s="1"/>
  <c r="W25" i="42"/>
  <c r="W33" i="42" s="1"/>
  <c r="V25" i="42"/>
  <c r="V33" i="42" s="1"/>
  <c r="U25" i="42"/>
  <c r="U33" i="42" s="1"/>
  <c r="T25" i="42"/>
  <c r="T33" i="42" s="1"/>
  <c r="S25" i="42"/>
  <c r="S33" i="42" s="1"/>
  <c r="R25" i="42"/>
  <c r="R33" i="42" s="1"/>
  <c r="P25" i="42"/>
  <c r="P33" i="42" s="1"/>
  <c r="O25" i="42"/>
  <c r="O33" i="42" s="1"/>
  <c r="N25" i="42"/>
  <c r="N33" i="42" s="1"/>
  <c r="M25" i="42"/>
  <c r="M33" i="42" s="1"/>
  <c r="G25" i="42"/>
  <c r="G33" i="42" s="1"/>
  <c r="AJ38" i="44"/>
  <c r="AJ18" i="44" s="1"/>
  <c r="AI38" i="44"/>
  <c r="AI18" i="44" s="1"/>
  <c r="AH38" i="44"/>
  <c r="AH18" i="44" s="1"/>
  <c r="AG38" i="44"/>
  <c r="AG18" i="44" s="1"/>
  <c r="AF38" i="44"/>
  <c r="AF18" i="44" s="1"/>
  <c r="AE38" i="44"/>
  <c r="AE18" i="44" s="1"/>
  <c r="AD38" i="44"/>
  <c r="AD18" i="44" s="1"/>
  <c r="AC38" i="44"/>
  <c r="AC18" i="44" s="1"/>
  <c r="AB38" i="44"/>
  <c r="AB18" i="44" s="1"/>
  <c r="AA38" i="44"/>
  <c r="AA18" i="44" s="1"/>
  <c r="Z38" i="44"/>
  <c r="Z18" i="44" s="1"/>
  <c r="Y38" i="44"/>
  <c r="Y18" i="44" s="1"/>
  <c r="X38" i="44"/>
  <c r="X18" i="44" s="1"/>
  <c r="W38" i="44"/>
  <c r="W18" i="44" s="1"/>
  <c r="V38" i="44"/>
  <c r="V18" i="44" s="1"/>
  <c r="U38" i="44"/>
  <c r="U18" i="44" s="1"/>
  <c r="T38" i="44"/>
  <c r="T18" i="44" s="1"/>
  <c r="S38" i="44"/>
  <c r="S18" i="44" s="1"/>
  <c r="R38" i="44"/>
  <c r="R18" i="44" s="1"/>
  <c r="Q38" i="44"/>
  <c r="Q18" i="44" s="1"/>
  <c r="P38" i="44"/>
  <c r="P18" i="44" s="1"/>
  <c r="O38" i="44"/>
  <c r="O18" i="44" s="1"/>
  <c r="N38" i="44"/>
  <c r="N18" i="44" s="1"/>
  <c r="M38" i="44"/>
  <c r="M18" i="44" s="1"/>
  <c r="L38" i="44"/>
  <c r="L18" i="44" s="1"/>
  <c r="K38" i="44"/>
  <c r="K18" i="44" s="1"/>
  <c r="J38" i="44"/>
  <c r="J18" i="44" s="1"/>
  <c r="I38" i="44"/>
  <c r="I18" i="44" s="1"/>
  <c r="H38" i="44"/>
  <c r="H18" i="44" s="1"/>
  <c r="G38" i="44"/>
  <c r="G18" i="44" s="1"/>
  <c r="F18" i="44" s="1"/>
  <c r="F38" i="44"/>
  <c r="AJ26" i="42"/>
  <c r="AJ48" i="41"/>
  <c r="AJ18" i="41" s="1"/>
  <c r="AI48" i="41"/>
  <c r="AI18" i="41" s="1"/>
  <c r="AH48" i="41"/>
  <c r="AH18" i="41" s="1"/>
  <c r="AG48" i="41"/>
  <c r="AG18" i="41" s="1"/>
  <c r="AF48" i="41"/>
  <c r="AF18" i="41" s="1"/>
  <c r="AE48" i="41"/>
  <c r="AE18" i="41" s="1"/>
  <c r="AD48" i="41"/>
  <c r="AD18" i="41" s="1"/>
  <c r="AC48" i="41"/>
  <c r="AC18" i="41" s="1"/>
  <c r="AB48" i="41"/>
  <c r="AB18" i="41" s="1"/>
  <c r="AA48" i="41"/>
  <c r="AA18" i="41" s="1"/>
  <c r="Z48" i="41"/>
  <c r="Z18" i="41" s="1"/>
  <c r="Y48" i="41"/>
  <c r="Y18" i="41" s="1"/>
  <c r="X48" i="41"/>
  <c r="X18" i="41" s="1"/>
  <c r="W48" i="41"/>
  <c r="W18" i="41" s="1"/>
  <c r="V48" i="41"/>
  <c r="V18" i="41" s="1"/>
  <c r="U48" i="41"/>
  <c r="U18" i="41" s="1"/>
  <c r="T48" i="41"/>
  <c r="T18" i="41" s="1"/>
  <c r="S48" i="41"/>
  <c r="S18" i="41" s="1"/>
  <c r="R48" i="41"/>
  <c r="R18" i="41" s="1"/>
  <c r="Q48" i="41"/>
  <c r="Q18" i="41" s="1"/>
  <c r="P48" i="41"/>
  <c r="P18" i="41" s="1"/>
  <c r="O48" i="41"/>
  <c r="O18" i="41" s="1"/>
  <c r="N48" i="41"/>
  <c r="N18" i="41" s="1"/>
  <c r="M48" i="41"/>
  <c r="M18" i="41" s="1"/>
  <c r="L48" i="41"/>
  <c r="L18" i="41" s="1"/>
  <c r="K48" i="41"/>
  <c r="K18" i="41" s="1"/>
  <c r="J48" i="41"/>
  <c r="J18" i="41" s="1"/>
  <c r="I48" i="41"/>
  <c r="I18" i="41" s="1"/>
  <c r="H48" i="41"/>
  <c r="H18" i="41" s="1"/>
  <c r="G48" i="41"/>
  <c r="G18" i="41" s="1"/>
  <c r="F48" i="41"/>
  <c r="F18" i="41" s="1"/>
  <c r="AJ331" i="1" l="1"/>
  <c r="AJ129" i="12"/>
  <c r="AJ118" i="10"/>
  <c r="AJ85" i="10"/>
  <c r="AJ36" i="10"/>
  <c r="K25" i="10"/>
  <c r="I25" i="10"/>
  <c r="AJ200" i="10"/>
  <c r="AJ417" i="1"/>
  <c r="AJ205" i="1"/>
  <c r="T18" i="43"/>
  <c r="K262" i="1"/>
  <c r="K105" i="10" s="1"/>
  <c r="I262" i="1"/>
  <c r="I105" i="10" s="1"/>
  <c r="AB18" i="43"/>
  <c r="Z18" i="43"/>
  <c r="L25" i="42"/>
  <c r="L33" i="42" s="1"/>
  <c r="AH18" i="43"/>
  <c r="J18" i="43"/>
  <c r="AJ18" i="43"/>
  <c r="L18" i="43"/>
  <c r="AJ94" i="1"/>
  <c r="AJ25" i="1"/>
  <c r="AA18" i="43"/>
  <c r="J25" i="42"/>
  <c r="J33" i="42" s="1"/>
  <c r="S18" i="43"/>
  <c r="G18" i="43"/>
  <c r="AI18" i="43"/>
  <c r="P18" i="43"/>
  <c r="R18" i="43"/>
  <c r="U18" i="43"/>
  <c r="AC18" i="43"/>
  <c r="M18" i="43"/>
  <c r="AE18" i="43"/>
  <c r="W18" i="43"/>
  <c r="O18" i="43"/>
  <c r="AF18" i="43"/>
  <c r="X18" i="43"/>
  <c r="H18" i="43"/>
  <c r="AG18" i="43"/>
  <c r="Y18" i="43"/>
  <c r="Q18" i="43"/>
  <c r="I18" i="43"/>
  <c r="H25" i="42"/>
  <c r="H33" i="42" s="1"/>
  <c r="AI435" i="1"/>
  <c r="Q435" i="1"/>
  <c r="Q169" i="5" s="1"/>
  <c r="I435" i="1"/>
  <c r="G435" i="1"/>
  <c r="G169" i="5" s="1"/>
  <c r="I416" i="1"/>
  <c r="I142" i="10" s="1"/>
  <c r="K416" i="1"/>
  <c r="K142" i="10" s="1"/>
  <c r="K414" i="1"/>
  <c r="K141" i="10" s="1"/>
  <c r="I413" i="1"/>
  <c r="I140" i="10" s="1"/>
  <c r="M413" i="1"/>
  <c r="AJ410" i="1"/>
  <c r="Q421" i="1"/>
  <c r="Q146" i="10" s="1"/>
  <c r="G418" i="1"/>
  <c r="G143" i="10" s="1"/>
  <c r="G416" i="1"/>
  <c r="G142" i="10" s="1"/>
  <c r="G413" i="1"/>
  <c r="G140" i="10" s="1"/>
  <c r="G389" i="1"/>
  <c r="G133" i="10" s="1"/>
  <c r="I389" i="1"/>
  <c r="I133" i="10" s="1"/>
  <c r="AJ105" i="10" l="1"/>
  <c r="I450" i="1"/>
  <c r="I169" i="5"/>
  <c r="M431" i="1"/>
  <c r="M140" i="10"/>
  <c r="M154" i="10" s="1"/>
  <c r="AI450" i="1"/>
  <c r="AI169" i="5"/>
  <c r="AJ169" i="5" s="1"/>
  <c r="AJ25" i="10"/>
  <c r="N16" i="42"/>
  <c r="Y16" i="42"/>
  <c r="O16" i="42"/>
  <c r="P16" i="42"/>
  <c r="H16" i="42"/>
  <c r="L16" i="42"/>
  <c r="AG16" i="42"/>
  <c r="AH16" i="42"/>
  <c r="U16" i="42"/>
  <c r="Z16" i="42"/>
  <c r="R16" i="42"/>
  <c r="AD16" i="42"/>
  <c r="AF16" i="42"/>
  <c r="AC16" i="42"/>
  <c r="X16" i="42"/>
  <c r="AA16" i="42"/>
  <c r="G16" i="42"/>
  <c r="U50" i="41"/>
  <c r="AF15" i="41"/>
  <c r="AD15" i="43"/>
  <c r="AA15" i="41"/>
  <c r="O50" i="41"/>
  <c r="AH15" i="43"/>
  <c r="AH19" i="43" s="1"/>
  <c r="AH9" i="9" s="1"/>
  <c r="N15" i="43"/>
  <c r="Z15" i="43"/>
  <c r="Z19" i="43" s="1"/>
  <c r="Z9" i="9" s="1"/>
  <c r="Y15" i="41"/>
  <c r="AD15" i="41"/>
  <c r="Z50" i="41"/>
  <c r="AF39" i="43"/>
  <c r="AE15" i="43"/>
  <c r="AE19" i="43" s="1"/>
  <c r="AE9" i="9" s="1"/>
  <c r="F50" i="41"/>
  <c r="F15" i="41" s="1"/>
  <c r="F19" i="41" s="1"/>
  <c r="F16" i="42"/>
  <c r="H15" i="43"/>
  <c r="H19" i="43" s="1"/>
  <c r="L50" i="41"/>
  <c r="P15" i="41"/>
  <c r="N15" i="41"/>
  <c r="G15" i="43"/>
  <c r="G19" i="43" s="1"/>
  <c r="G9" i="9" s="1"/>
  <c r="AC50" i="41"/>
  <c r="T420" i="1"/>
  <c r="T145" i="10" s="1"/>
  <c r="AI418" i="1"/>
  <c r="AI143" i="10" s="1"/>
  <c r="L19" i="42"/>
  <c r="X19" i="42"/>
  <c r="AD40" i="44"/>
  <c r="O15" i="44"/>
  <c r="O19" i="44" s="1"/>
  <c r="O10" i="9" s="1"/>
  <c r="F19" i="42"/>
  <c r="P19" i="42"/>
  <c r="AD19" i="42"/>
  <c r="S19" i="42"/>
  <c r="H19" i="42"/>
  <c r="W19" i="42"/>
  <c r="M19" i="42"/>
  <c r="AA19" i="42"/>
  <c r="AH19" i="42"/>
  <c r="R19" i="42"/>
  <c r="R15" i="44"/>
  <c r="R19" i="44" s="1"/>
  <c r="R10" i="9" s="1"/>
  <c r="Z15" i="44"/>
  <c r="Z19" i="44" s="1"/>
  <c r="Z10" i="9" s="1"/>
  <c r="H15" i="44"/>
  <c r="H19" i="44" s="1"/>
  <c r="X15" i="44"/>
  <c r="X19" i="44" s="1"/>
  <c r="X10" i="9" s="1"/>
  <c r="N15" i="44"/>
  <c r="N19" i="44" s="1"/>
  <c r="N10" i="9" s="1"/>
  <c r="AC15" i="44"/>
  <c r="AC19" i="44" s="1"/>
  <c r="AC10" i="9" s="1"/>
  <c r="F40" i="44"/>
  <c r="F15" i="44" s="1"/>
  <c r="F19" i="44" s="1"/>
  <c r="P40" i="44"/>
  <c r="AE15" i="44"/>
  <c r="AE19" i="44" s="1"/>
  <c r="AE10" i="9" s="1"/>
  <c r="AH40" i="44"/>
  <c r="AB19" i="42"/>
  <c r="AF15" i="44"/>
  <c r="AF19" i="44" s="1"/>
  <c r="AF10" i="9" s="1"/>
  <c r="AG15" i="44"/>
  <c r="AG19" i="44" s="1"/>
  <c r="AG10" i="9" s="1"/>
  <c r="J15" i="44"/>
  <c r="J19" i="44" s="1"/>
  <c r="J10" i="9" s="1"/>
  <c r="S15" i="44"/>
  <c r="S19" i="44" s="1"/>
  <c r="S10" i="9" s="1"/>
  <c r="AI19" i="42"/>
  <c r="Y40" i="44"/>
  <c r="AA15" i="44"/>
  <c r="AA19" i="44" s="1"/>
  <c r="AA10" i="9" s="1"/>
  <c r="T19" i="42"/>
  <c r="V19" i="42"/>
  <c r="AF19" i="42"/>
  <c r="U19" i="42"/>
  <c r="AJ262" i="1"/>
  <c r="K418" i="1"/>
  <c r="K143" i="10" s="1"/>
  <c r="I418" i="1"/>
  <c r="I143" i="10" s="1"/>
  <c r="J19" i="42"/>
  <c r="G19" i="42"/>
  <c r="Z19" i="42"/>
  <c r="F39" i="43"/>
  <c r="H50" i="41"/>
  <c r="O39" i="43"/>
  <c r="AC15" i="43"/>
  <c r="AC19" i="43" s="1"/>
  <c r="AC9" i="9" s="1"/>
  <c r="R39" i="43"/>
  <c r="AG15" i="41"/>
  <c r="AG15" i="43"/>
  <c r="AG19" i="43" s="1"/>
  <c r="AG9" i="9" s="1"/>
  <c r="L39" i="43"/>
  <c r="Y15" i="43"/>
  <c r="Y19" i="43" s="1"/>
  <c r="Y9" i="9" s="1"/>
  <c r="AA15" i="43"/>
  <c r="AA19" i="43" s="1"/>
  <c r="AA9" i="9" s="1"/>
  <c r="G40" i="44"/>
  <c r="AJ419" i="1"/>
  <c r="Q416" i="1"/>
  <c r="Q142" i="10" s="1"/>
  <c r="AJ142" i="10" s="1"/>
  <c r="AJ435" i="1"/>
  <c r="AE16" i="42"/>
  <c r="AH50" i="41"/>
  <c r="AE50" i="41"/>
  <c r="R15" i="41"/>
  <c r="AD18" i="43"/>
  <c r="K18" i="43"/>
  <c r="V18" i="43"/>
  <c r="N18" i="43"/>
  <c r="F18" i="43"/>
  <c r="Q413" i="1"/>
  <c r="Q140" i="10" s="1"/>
  <c r="Q414" i="1"/>
  <c r="Q141" i="10" s="1"/>
  <c r="AJ141" i="10" s="1"/>
  <c r="AJ145" i="10" l="1"/>
  <c r="AJ140" i="10"/>
  <c r="V39" i="43"/>
  <c r="AD15" i="44"/>
  <c r="AD19" i="44" s="1"/>
  <c r="AD10" i="9" s="1"/>
  <c r="AH15" i="44"/>
  <c r="AH19" i="44" s="1"/>
  <c r="AH10" i="9" s="1"/>
  <c r="H15" i="41"/>
  <c r="H19" i="41" s="1"/>
  <c r="AC39" i="43"/>
  <c r="AH46" i="42"/>
  <c r="Y50" i="41"/>
  <c r="W40" i="44"/>
  <c r="AF40" i="44"/>
  <c r="V40" i="44"/>
  <c r="Q418" i="1"/>
  <c r="Q143" i="10" s="1"/>
  <c r="AJ143" i="10" s="1"/>
  <c r="Y15" i="44"/>
  <c r="Y19" i="44" s="1"/>
  <c r="Y10" i="9" s="1"/>
  <c r="V15" i="44"/>
  <c r="V19" i="44" s="1"/>
  <c r="V10" i="9" s="1"/>
  <c r="Y39" i="43"/>
  <c r="N50" i="41"/>
  <c r="X40" i="44"/>
  <c r="G15" i="44"/>
  <c r="G19" i="44" s="1"/>
  <c r="G10" i="9" s="1"/>
  <c r="AE40" i="44"/>
  <c r="Z40" i="44"/>
  <c r="AF15" i="43"/>
  <c r="AF19" i="43" s="1"/>
  <c r="AF9" i="9" s="1"/>
  <c r="O15" i="41"/>
  <c r="O7" i="9" s="1"/>
  <c r="AG50" i="41"/>
  <c r="X15" i="43"/>
  <c r="X19" i="43" s="1"/>
  <c r="X9" i="9" s="1"/>
  <c r="F20" i="42"/>
  <c r="H40" i="44"/>
  <c r="P15" i="44"/>
  <c r="P19" i="44" s="1"/>
  <c r="P10" i="9" s="1"/>
  <c r="AH20" i="42"/>
  <c r="AH8" i="9" s="1"/>
  <c r="AG40" i="44"/>
  <c r="W15" i="44"/>
  <c r="W19" i="44" s="1"/>
  <c r="W10" i="9" s="1"/>
  <c r="AC15" i="41"/>
  <c r="AC19" i="41" s="1"/>
  <c r="R40" i="44"/>
  <c r="AG39" i="43"/>
  <c r="AF20" i="42"/>
  <c r="AF8" i="9" s="1"/>
  <c r="J40" i="44"/>
  <c r="V16" i="42"/>
  <c r="V20" i="42" s="1"/>
  <c r="V8" i="9" s="1"/>
  <c r="H46" i="42"/>
  <c r="L46" i="42"/>
  <c r="AF46" i="42"/>
  <c r="L15" i="43"/>
  <c r="L19" i="43" s="1"/>
  <c r="L9" i="9" s="1"/>
  <c r="O40" i="44"/>
  <c r="AD39" i="43"/>
  <c r="AH15" i="41"/>
  <c r="AH7" i="9" s="1"/>
  <c r="R20" i="42"/>
  <c r="R8" i="9" s="1"/>
  <c r="AE15" i="41"/>
  <c r="AE19" i="41" s="1"/>
  <c r="N40" i="44"/>
  <c r="L15" i="41"/>
  <c r="L19" i="41" s="1"/>
  <c r="H20" i="42"/>
  <c r="AB16" i="42"/>
  <c r="AB20" i="42" s="1"/>
  <c r="AB8" i="9" s="1"/>
  <c r="N46" i="42"/>
  <c r="G46" i="42"/>
  <c r="AD20" i="42"/>
  <c r="AD8" i="9" s="1"/>
  <c r="F15" i="43"/>
  <c r="F19" i="43" s="1"/>
  <c r="R46" i="42"/>
  <c r="Z39" i="43"/>
  <c r="AE39" i="43"/>
  <c r="AC40" i="44"/>
  <c r="U46" i="42"/>
  <c r="N19" i="42"/>
  <c r="N20" i="42" s="1"/>
  <c r="N8" i="9" s="1"/>
  <c r="AA40" i="44"/>
  <c r="Z46" i="42"/>
  <c r="AA46" i="42"/>
  <c r="J16" i="42"/>
  <c r="J20" i="42" s="1"/>
  <c r="J8" i="9" s="1"/>
  <c r="R50" i="41"/>
  <c r="H39" i="43"/>
  <c r="Z20" i="42"/>
  <c r="Z8" i="9" s="1"/>
  <c r="P50" i="41"/>
  <c r="O15" i="43"/>
  <c r="O19" i="43" s="1"/>
  <c r="O9" i="9" s="1"/>
  <c r="O46" i="42"/>
  <c r="AE46" i="42"/>
  <c r="AJ416" i="1"/>
  <c r="N39" i="43"/>
  <c r="V15" i="41"/>
  <c r="V19" i="41" s="1"/>
  <c r="V50" i="41"/>
  <c r="S15" i="41"/>
  <c r="S19" i="41" s="1"/>
  <c r="AD46" i="42"/>
  <c r="AC46" i="42"/>
  <c r="AD19" i="43"/>
  <c r="AD9" i="9" s="1"/>
  <c r="U20" i="42"/>
  <c r="U8" i="9" s="1"/>
  <c r="Q25" i="42"/>
  <c r="Q33" i="42" s="1"/>
  <c r="K25" i="42"/>
  <c r="K33" i="42" s="1"/>
  <c r="AA20" i="42"/>
  <c r="AA8" i="9" s="1"/>
  <c r="I25" i="42"/>
  <c r="I33" i="42" s="1"/>
  <c r="Z15" i="41"/>
  <c r="Z19" i="41" s="1"/>
  <c r="L20" i="42"/>
  <c r="L8" i="9" s="1"/>
  <c r="AF50" i="41"/>
  <c r="S40" i="44"/>
  <c r="X46" i="42"/>
  <c r="N19" i="43"/>
  <c r="N9" i="9" s="1"/>
  <c r="AH39" i="43"/>
  <c r="G39" i="43"/>
  <c r="R15" i="43"/>
  <c r="R19" i="43" s="1"/>
  <c r="R9" i="9" s="1"/>
  <c r="AA39" i="43"/>
  <c r="X20" i="42"/>
  <c r="X8" i="9" s="1"/>
  <c r="P20" i="42"/>
  <c r="P8" i="9" s="1"/>
  <c r="AE19" i="42"/>
  <c r="AE20" i="42" s="1"/>
  <c r="AE8" i="9" s="1"/>
  <c r="O19" i="42"/>
  <c r="O20" i="42" s="1"/>
  <c r="O8" i="9" s="1"/>
  <c r="AC19" i="42"/>
  <c r="AC20" i="42" s="1"/>
  <c r="AC8" i="9" s="1"/>
  <c r="G20" i="42"/>
  <c r="G8" i="9" s="1"/>
  <c r="P46" i="42"/>
  <c r="K19" i="42"/>
  <c r="AD19" i="41"/>
  <c r="AD7" i="9"/>
  <c r="AA19" i="41"/>
  <c r="AA7" i="9"/>
  <c r="AA50" i="41"/>
  <c r="U15" i="41"/>
  <c r="N19" i="41"/>
  <c r="N7" i="9"/>
  <c r="Y19" i="41"/>
  <c r="Y7" i="9"/>
  <c r="R19" i="41"/>
  <c r="R7" i="9"/>
  <c r="AG19" i="41"/>
  <c r="AG7" i="9"/>
  <c r="P19" i="41"/>
  <c r="P7" i="9"/>
  <c r="AD50" i="41"/>
  <c r="AF19" i="41"/>
  <c r="AF7" i="9"/>
  <c r="I19" i="42"/>
  <c r="AG46" i="42"/>
  <c r="AG19" i="42"/>
  <c r="AG20" i="42" s="1"/>
  <c r="AG8" i="9" s="1"/>
  <c r="P15" i="43"/>
  <c r="P19" i="43" s="1"/>
  <c r="P9" i="9" s="1"/>
  <c r="P39" i="43"/>
  <c r="G50" i="41"/>
  <c r="G15" i="41"/>
  <c r="G19" i="41" s="1"/>
  <c r="G7" i="9" s="1"/>
  <c r="AB40" i="44"/>
  <c r="AB15" i="44"/>
  <c r="AB19" i="44" s="1"/>
  <c r="AB10" i="9" s="1"/>
  <c r="Y46" i="42"/>
  <c r="Y19" i="42"/>
  <c r="Y20" i="42" s="1"/>
  <c r="Y8" i="9" s="1"/>
  <c r="L40" i="44"/>
  <c r="L15" i="44"/>
  <c r="L19" i="44" s="1"/>
  <c r="L10" i="9" s="1"/>
  <c r="AJ19" i="42"/>
  <c r="Q19" i="42"/>
  <c r="AJ413" i="1"/>
  <c r="AJ420" i="1"/>
  <c r="AJ414" i="1"/>
  <c r="Q376" i="1"/>
  <c r="Q156" i="11" s="1"/>
  <c r="G472" i="1"/>
  <c r="AJ472" i="1" s="1"/>
  <c r="I296" i="1"/>
  <c r="I99" i="11" s="1"/>
  <c r="J99" i="11"/>
  <c r="G296" i="1"/>
  <c r="G99" i="11" s="1"/>
  <c r="V15" i="43" l="1"/>
  <c r="V19" i="43" s="1"/>
  <c r="V9" i="9" s="1"/>
  <c r="U15" i="43"/>
  <c r="U19" i="43" s="1"/>
  <c r="U9" i="9" s="1"/>
  <c r="O19" i="41"/>
  <c r="AE7" i="9"/>
  <c r="U40" i="44"/>
  <c r="AJ418" i="1"/>
  <c r="AC7" i="9"/>
  <c r="AH19" i="41"/>
  <c r="J46" i="42"/>
  <c r="W16" i="42"/>
  <c r="W20" i="42" s="1"/>
  <c r="W8" i="9" s="1"/>
  <c r="W46" i="42"/>
  <c r="V46" i="42"/>
  <c r="AB46" i="42"/>
  <c r="S15" i="43"/>
  <c r="S19" i="43" s="1"/>
  <c r="S9" i="9" s="1"/>
  <c r="V7" i="9"/>
  <c r="L7" i="9"/>
  <c r="X39" i="43"/>
  <c r="Z7" i="9"/>
  <c r="S7" i="9"/>
  <c r="S50" i="41"/>
  <c r="AI16" i="42"/>
  <c r="AI20" i="42" s="1"/>
  <c r="AI8" i="9" s="1"/>
  <c r="AJ25" i="42"/>
  <c r="AJ33" i="42" s="1"/>
  <c r="T15" i="44"/>
  <c r="T19" i="44" s="1"/>
  <c r="T10" i="9" s="1"/>
  <c r="T40" i="44"/>
  <c r="U19" i="41"/>
  <c r="U7" i="9"/>
  <c r="Q296" i="1"/>
  <c r="Q99" i="11" s="1"/>
  <c r="AJ99" i="11" s="1"/>
  <c r="AJ127" i="12"/>
  <c r="AJ124" i="12"/>
  <c r="M379" i="1"/>
  <c r="M128" i="10" s="1"/>
  <c r="G379" i="1"/>
  <c r="G128" i="10" s="1"/>
  <c r="K380" i="1"/>
  <c r="K129" i="10" s="1"/>
  <c r="I380" i="1"/>
  <c r="I129" i="10" s="1"/>
  <c r="G380" i="1"/>
  <c r="G129" i="10" s="1"/>
  <c r="AJ126" i="11"/>
  <c r="AJ125" i="11"/>
  <c r="AJ107" i="12"/>
  <c r="AJ82" i="10"/>
  <c r="Q409" i="1"/>
  <c r="Q161" i="5" s="1"/>
  <c r="K388" i="1"/>
  <c r="K142" i="5" s="1"/>
  <c r="AI421" i="1"/>
  <c r="AI146" i="10" s="1"/>
  <c r="AI154" i="10" s="1"/>
  <c r="I421" i="1"/>
  <c r="I146" i="10" s="1"/>
  <c r="G421" i="1"/>
  <c r="G146" i="10" s="1"/>
  <c r="AI409" i="1"/>
  <c r="AI161" i="5" s="1"/>
  <c r="AI164" i="5" s="1"/>
  <c r="I409" i="1"/>
  <c r="I161" i="5" s="1"/>
  <c r="I164" i="5" s="1"/>
  <c r="G409" i="1"/>
  <c r="G161" i="5" s="1"/>
  <c r="G438" i="1"/>
  <c r="M438" i="1"/>
  <c r="Q430" i="1"/>
  <c r="Q153" i="10" s="1"/>
  <c r="Q429" i="1"/>
  <c r="Q428" i="1"/>
  <c r="Q151" i="10" s="1"/>
  <c r="G428" i="1"/>
  <c r="G151" i="10" s="1"/>
  <c r="K423" i="1"/>
  <c r="K130" i="12" s="1"/>
  <c r="G377" i="1"/>
  <c r="G157" i="11" s="1"/>
  <c r="G148" i="1"/>
  <c r="G71" i="10" s="1"/>
  <c r="G333" i="1"/>
  <c r="G119" i="5" s="1"/>
  <c r="I333" i="1"/>
  <c r="I119" i="5" s="1"/>
  <c r="I326" i="1"/>
  <c r="G325" i="1"/>
  <c r="G117" i="5" s="1"/>
  <c r="G293" i="1"/>
  <c r="G97" i="11" s="1"/>
  <c r="G292" i="1"/>
  <c r="G96" i="11" s="1"/>
  <c r="M292" i="1"/>
  <c r="M96" i="11" s="1"/>
  <c r="G314" i="1"/>
  <c r="G117" i="11" s="1"/>
  <c r="Q290" i="1"/>
  <c r="Q94" i="11" s="1"/>
  <c r="AJ94" i="11" s="1"/>
  <c r="G284" i="1"/>
  <c r="G88" i="11" s="1"/>
  <c r="J270" i="1"/>
  <c r="J80" i="11" s="1"/>
  <c r="G270" i="1"/>
  <c r="G80" i="11" s="1"/>
  <c r="G241" i="1"/>
  <c r="G92" i="10" s="1"/>
  <c r="I229" i="1"/>
  <c r="I102" i="12" s="1"/>
  <c r="U229" i="1"/>
  <c r="U102" i="12" s="1"/>
  <c r="G186" i="1"/>
  <c r="G75" i="12" s="1"/>
  <c r="G142" i="1"/>
  <c r="G66" i="10" s="1"/>
  <c r="I142" i="1"/>
  <c r="I66" i="10" s="1"/>
  <c r="G124" i="1"/>
  <c r="G59" i="12" s="1"/>
  <c r="G123" i="1"/>
  <c r="G58" i="12" s="1"/>
  <c r="G122" i="1"/>
  <c r="G57" i="12" s="1"/>
  <c r="G76" i="1"/>
  <c r="G55" i="11" s="1"/>
  <c r="Q67" i="1"/>
  <c r="Q47" i="11" s="1"/>
  <c r="G67" i="1"/>
  <c r="G47" i="11" s="1"/>
  <c r="G52" i="1"/>
  <c r="G31" i="5" s="1"/>
  <c r="K164" i="5" l="1"/>
  <c r="Q152" i="10"/>
  <c r="Q163" i="5"/>
  <c r="Q132" i="12"/>
  <c r="M450" i="1"/>
  <c r="M172" i="5"/>
  <c r="M182" i="5" s="1"/>
  <c r="G450" i="1"/>
  <c r="G172" i="5"/>
  <c r="G182" i="5" s="1"/>
  <c r="AJ146" i="10"/>
  <c r="I337" i="1"/>
  <c r="I127" i="11"/>
  <c r="AJ161" i="5"/>
  <c r="G164" i="5"/>
  <c r="G119" i="10"/>
  <c r="G337" i="1"/>
  <c r="AI431" i="1"/>
  <c r="F182" i="5"/>
  <c r="M123" i="5"/>
  <c r="AA112" i="12"/>
  <c r="L112" i="12"/>
  <c r="Z123" i="5"/>
  <c r="L123" i="5"/>
  <c r="Z112" i="12"/>
  <c r="K112" i="12"/>
  <c r="X112" i="12"/>
  <c r="AF112" i="12"/>
  <c r="S112" i="12"/>
  <c r="AE123" i="5"/>
  <c r="AE112" i="12"/>
  <c r="R112" i="12"/>
  <c r="AB123" i="5"/>
  <c r="O123" i="5"/>
  <c r="AB112" i="12"/>
  <c r="N112" i="12"/>
  <c r="M16" i="42"/>
  <c r="M20" i="42" s="1"/>
  <c r="M8" i="9" s="1"/>
  <c r="AE104" i="12"/>
  <c r="R104" i="12"/>
  <c r="AA123" i="5"/>
  <c r="N123" i="5"/>
  <c r="AD104" i="12"/>
  <c r="P104" i="12"/>
  <c r="AC104" i="12"/>
  <c r="O104" i="12"/>
  <c r="Y123" i="5"/>
  <c r="AB104" i="12"/>
  <c r="N104" i="12"/>
  <c r="Y112" i="12"/>
  <c r="J112" i="12"/>
  <c r="X123" i="5"/>
  <c r="H123" i="5"/>
  <c r="AA104" i="12"/>
  <c r="L104" i="12"/>
  <c r="H112" i="12"/>
  <c r="AI123" i="5"/>
  <c r="W123" i="5"/>
  <c r="G123" i="5"/>
  <c r="Z104" i="12"/>
  <c r="W112" i="12"/>
  <c r="G112" i="12"/>
  <c r="AH123" i="5"/>
  <c r="V123" i="5"/>
  <c r="F123" i="5"/>
  <c r="Y104" i="12"/>
  <c r="J104" i="12"/>
  <c r="AH112" i="12"/>
  <c r="V112" i="12"/>
  <c r="F112" i="12"/>
  <c r="AG123" i="5"/>
  <c r="U123" i="5"/>
  <c r="X104" i="12"/>
  <c r="H104" i="12"/>
  <c r="AG112" i="12"/>
  <c r="T112" i="12"/>
  <c r="AF123" i="5"/>
  <c r="T123" i="5"/>
  <c r="W104" i="12"/>
  <c r="G104" i="12"/>
  <c r="AH104" i="12"/>
  <c r="V104" i="12"/>
  <c r="F104" i="12"/>
  <c r="AD123" i="5"/>
  <c r="R123" i="5"/>
  <c r="AG104" i="12"/>
  <c r="T104" i="12"/>
  <c r="AD112" i="12"/>
  <c r="P112" i="12"/>
  <c r="AC123" i="5"/>
  <c r="P123" i="5"/>
  <c r="AF104" i="12"/>
  <c r="S104" i="12"/>
  <c r="AC112" i="12"/>
  <c r="O112" i="12"/>
  <c r="Z67" i="5"/>
  <c r="L67" i="5"/>
  <c r="AH103" i="5"/>
  <c r="V103" i="5"/>
  <c r="F103" i="5"/>
  <c r="AD182" i="5"/>
  <c r="R182" i="5"/>
  <c r="W111" i="10"/>
  <c r="AF111" i="10"/>
  <c r="T111" i="10"/>
  <c r="Y67" i="5"/>
  <c r="AG103" i="5"/>
  <c r="AC182" i="5"/>
  <c r="P182" i="5"/>
  <c r="X67" i="5"/>
  <c r="H67" i="5"/>
  <c r="AF103" i="5"/>
  <c r="O182" i="5"/>
  <c r="AE103" i="5"/>
  <c r="S103" i="5"/>
  <c r="AA182" i="5"/>
  <c r="N182" i="5"/>
  <c r="AH67" i="5"/>
  <c r="F67" i="5"/>
  <c r="AD103" i="5"/>
  <c r="R103" i="5"/>
  <c r="Z182" i="5"/>
  <c r="L182" i="5"/>
  <c r="AG67" i="5"/>
  <c r="U67" i="5"/>
  <c r="AC103" i="5"/>
  <c r="P103" i="5"/>
  <c r="Y182" i="5"/>
  <c r="K182" i="5"/>
  <c r="AF67" i="5"/>
  <c r="O103" i="5"/>
  <c r="X182" i="5"/>
  <c r="J182" i="5"/>
  <c r="AE67" i="5"/>
  <c r="S67" i="5"/>
  <c r="AA103" i="5"/>
  <c r="N103" i="5"/>
  <c r="AI182" i="5"/>
  <c r="I182" i="5"/>
  <c r="AD67" i="5"/>
  <c r="R67" i="5"/>
  <c r="Z103" i="5"/>
  <c r="AH182" i="5"/>
  <c r="V182" i="5"/>
  <c r="H182" i="5"/>
  <c r="AC67" i="5"/>
  <c r="P67" i="5"/>
  <c r="Y103" i="5"/>
  <c r="L103" i="5"/>
  <c r="AG182" i="5"/>
  <c r="U182" i="5"/>
  <c r="O67" i="5"/>
  <c r="X103" i="5"/>
  <c r="H103" i="5"/>
  <c r="AF182" i="5"/>
  <c r="AA67" i="5"/>
  <c r="N67" i="5"/>
  <c r="AE182" i="5"/>
  <c r="S182" i="5"/>
  <c r="O163" i="11"/>
  <c r="AH111" i="10"/>
  <c r="V111" i="10"/>
  <c r="AG111" i="10"/>
  <c r="U111" i="10"/>
  <c r="AE111" i="10"/>
  <c r="S111" i="10"/>
  <c r="AD111" i="10"/>
  <c r="R111" i="10"/>
  <c r="AC111" i="10"/>
  <c r="P111" i="10"/>
  <c r="AB111" i="10"/>
  <c r="O111" i="10"/>
  <c r="AA111" i="10"/>
  <c r="N111" i="10"/>
  <c r="Z111" i="10"/>
  <c r="L111" i="10"/>
  <c r="Y111" i="10"/>
  <c r="X111" i="10"/>
  <c r="H111" i="10"/>
  <c r="J163" i="11"/>
  <c r="R163" i="11"/>
  <c r="AH163" i="11"/>
  <c r="V163" i="11"/>
  <c r="H163" i="11"/>
  <c r="AG163" i="11"/>
  <c r="AF163" i="11"/>
  <c r="AE163" i="11"/>
  <c r="AD163" i="11"/>
  <c r="AC163" i="11"/>
  <c r="P163" i="11"/>
  <c r="AA163" i="11"/>
  <c r="Z163" i="11"/>
  <c r="Y163" i="11"/>
  <c r="L163" i="11"/>
  <c r="N163" i="11"/>
  <c r="U163" i="11"/>
  <c r="S163" i="11"/>
  <c r="I123" i="5"/>
  <c r="M76" i="1"/>
  <c r="M55" i="11" s="1"/>
  <c r="J76" i="1"/>
  <c r="J55" i="11" s="1"/>
  <c r="M15" i="43"/>
  <c r="M19" i="43" s="1"/>
  <c r="M9" i="9" s="1"/>
  <c r="U39" i="43"/>
  <c r="I39" i="43"/>
  <c r="T15" i="43"/>
  <c r="T19" i="43" s="1"/>
  <c r="T9" i="9" s="1"/>
  <c r="K39" i="43"/>
  <c r="M50" i="41"/>
  <c r="S39" i="43"/>
  <c r="M15" i="44"/>
  <c r="M19" i="44" s="1"/>
  <c r="M10" i="9" s="1"/>
  <c r="K15" i="44"/>
  <c r="K19" i="44" s="1"/>
  <c r="K10" i="9" s="1"/>
  <c r="I15" i="44"/>
  <c r="I19" i="44" s="1"/>
  <c r="I10" i="9" s="1"/>
  <c r="AI15" i="41"/>
  <c r="S16" i="42"/>
  <c r="S20" i="42" s="1"/>
  <c r="S8" i="9" s="1"/>
  <c r="S46" i="42"/>
  <c r="AI39" i="43"/>
  <c r="AI15" i="43"/>
  <c r="AI19" i="43" s="1"/>
  <c r="AI9" i="9" s="1"/>
  <c r="U15" i="44"/>
  <c r="U19" i="44" s="1"/>
  <c r="U10" i="9" s="1"/>
  <c r="AB15" i="43"/>
  <c r="AB19" i="43" s="1"/>
  <c r="AB9" i="9" s="1"/>
  <c r="I15" i="41"/>
  <c r="AI46" i="42"/>
  <c r="J39" i="43"/>
  <c r="J15" i="41"/>
  <c r="J50" i="41"/>
  <c r="X15" i="41"/>
  <c r="X50" i="41"/>
  <c r="T16" i="42"/>
  <c r="T20" i="42" s="1"/>
  <c r="T8" i="9" s="1"/>
  <c r="T46" i="42"/>
  <c r="AB50" i="41"/>
  <c r="AB15" i="41"/>
  <c r="I40" i="44"/>
  <c r="W39" i="43"/>
  <c r="W15" i="43"/>
  <c r="W19" i="43" s="1"/>
  <c r="W9" i="9" s="1"/>
  <c r="AI40" i="44"/>
  <c r="AI15" i="44"/>
  <c r="AI19" i="44" s="1"/>
  <c r="AI10" i="9" s="1"/>
  <c r="T50" i="41"/>
  <c r="T15" i="41"/>
  <c r="Q388" i="1"/>
  <c r="Q142" i="5" s="1"/>
  <c r="Q380" i="1"/>
  <c r="Q129" i="10" s="1"/>
  <c r="AJ296" i="1"/>
  <c r="Q379" i="1"/>
  <c r="Q128" i="10" s="1"/>
  <c r="AI380" i="1"/>
  <c r="AI129" i="10" s="1"/>
  <c r="AI379" i="1"/>
  <c r="AI128" i="10" s="1"/>
  <c r="I379" i="1"/>
  <c r="I128" i="10" s="1"/>
  <c r="K325" i="1"/>
  <c r="K117" i="5" s="1"/>
  <c r="K123" i="5" s="1"/>
  <c r="I428" i="1"/>
  <c r="I151" i="10" s="1"/>
  <c r="I76" i="1"/>
  <c r="I55" i="11" s="1"/>
  <c r="K284" i="1"/>
  <c r="K88" i="11" s="1"/>
  <c r="J241" i="1"/>
  <c r="J92" i="10" s="1"/>
  <c r="U218" i="1"/>
  <c r="U98" i="12" s="1"/>
  <c r="I241" i="1"/>
  <c r="I92" i="10" s="1"/>
  <c r="I284" i="1"/>
  <c r="I88" i="11" s="1"/>
  <c r="K142" i="1"/>
  <c r="K66" i="10" s="1"/>
  <c r="AI218" i="1"/>
  <c r="AI98" i="12" s="1"/>
  <c r="K422" i="1"/>
  <c r="K147" i="10" s="1"/>
  <c r="U227" i="1"/>
  <c r="U101" i="12" s="1"/>
  <c r="AI227" i="1"/>
  <c r="AI101" i="12" s="1"/>
  <c r="AB429" i="1"/>
  <c r="K186" i="1"/>
  <c r="K75" i="12" s="1"/>
  <c r="I293" i="1"/>
  <c r="I97" i="11" s="1"/>
  <c r="I67" i="1"/>
  <c r="I47" i="11" s="1"/>
  <c r="AJ47" i="11" s="1"/>
  <c r="U270" i="1"/>
  <c r="U80" i="11" s="1"/>
  <c r="AI270" i="1"/>
  <c r="AI80" i="11" s="1"/>
  <c r="T428" i="1"/>
  <c r="T151" i="10" s="1"/>
  <c r="T154" i="10" s="1"/>
  <c r="W430" i="1"/>
  <c r="W153" i="10" s="1"/>
  <c r="W154" i="10" s="1"/>
  <c r="AJ421" i="1"/>
  <c r="AJ409" i="1"/>
  <c r="X430" i="1"/>
  <c r="Q438" i="1"/>
  <c r="Q172" i="5" s="1"/>
  <c r="Q333" i="1"/>
  <c r="Q119" i="5" s="1"/>
  <c r="AJ119" i="5" s="1"/>
  <c r="Q326" i="1"/>
  <c r="Q127" i="11" s="1"/>
  <c r="Q129" i="11" s="1"/>
  <c r="I292" i="1"/>
  <c r="I96" i="11" s="1"/>
  <c r="K270" i="1"/>
  <c r="K80" i="11" s="1"/>
  <c r="I270" i="1"/>
  <c r="I80" i="11" s="1"/>
  <c r="K241" i="1"/>
  <c r="K92" i="10" s="1"/>
  <c r="M229" i="1"/>
  <c r="M102" i="12" s="1"/>
  <c r="I227" i="1"/>
  <c r="I101" i="12" s="1"/>
  <c r="M227" i="1"/>
  <c r="M101" i="12" s="1"/>
  <c r="I218" i="1"/>
  <c r="I98" i="12" s="1"/>
  <c r="M218" i="1"/>
  <c r="M98" i="12" s="1"/>
  <c r="J142" i="1"/>
  <c r="J66" i="10" s="1"/>
  <c r="I186" i="1"/>
  <c r="I75" i="12" s="1"/>
  <c r="Q164" i="5" l="1"/>
  <c r="AJ128" i="10"/>
  <c r="T431" i="1"/>
  <c r="AJ129" i="10"/>
  <c r="AJ151" i="10"/>
  <c r="AB431" i="1"/>
  <c r="AB152" i="10"/>
  <c r="AB154" i="10" s="1"/>
  <c r="AB132" i="12"/>
  <c r="AB133" i="12" s="1"/>
  <c r="AB163" i="5"/>
  <c r="AB164" i="5" s="1"/>
  <c r="AJ172" i="5"/>
  <c r="X431" i="1"/>
  <c r="X153" i="10"/>
  <c r="X154" i="10" s="1"/>
  <c r="AJ142" i="5"/>
  <c r="I129" i="11"/>
  <c r="AJ127" i="11"/>
  <c r="AJ129" i="11" s="1"/>
  <c r="AJ388" i="1"/>
  <c r="K119" i="10"/>
  <c r="K337" i="1"/>
  <c r="W431" i="1"/>
  <c r="Q182" i="5"/>
  <c r="Q450" i="1"/>
  <c r="N135" i="12"/>
  <c r="AE135" i="12"/>
  <c r="L135" i="12"/>
  <c r="X135" i="12"/>
  <c r="O135" i="12"/>
  <c r="AC135" i="12"/>
  <c r="AF135" i="12"/>
  <c r="AA135" i="12"/>
  <c r="R135" i="12"/>
  <c r="Z135" i="12"/>
  <c r="S135" i="12"/>
  <c r="Q16" i="42"/>
  <c r="Q20" i="42" s="1"/>
  <c r="Q8" i="9" s="1"/>
  <c r="Q330" i="1"/>
  <c r="M119" i="10"/>
  <c r="AG135" i="12"/>
  <c r="H135" i="12"/>
  <c r="P135" i="12"/>
  <c r="AD135" i="12"/>
  <c r="J123" i="5"/>
  <c r="F135" i="12"/>
  <c r="AH135" i="12"/>
  <c r="Y135" i="12"/>
  <c r="Q76" i="1"/>
  <c r="Q55" i="11" s="1"/>
  <c r="AJ55" i="11" s="1"/>
  <c r="T39" i="43"/>
  <c r="Q39" i="43"/>
  <c r="AJ39" i="43"/>
  <c r="AJ15" i="41"/>
  <c r="K40" i="44"/>
  <c r="AI50" i="41"/>
  <c r="I50" i="41"/>
  <c r="M39" i="43"/>
  <c r="M46" i="42"/>
  <c r="K15" i="43"/>
  <c r="K19" i="43" s="1"/>
  <c r="K9" i="9" s="1"/>
  <c r="M15" i="41"/>
  <c r="M19" i="41" s="1"/>
  <c r="M40" i="44"/>
  <c r="AB39" i="43"/>
  <c r="J15" i="43"/>
  <c r="J19" i="43" s="1"/>
  <c r="J9" i="9" s="1"/>
  <c r="AJ32" i="43"/>
  <c r="I16" i="42"/>
  <c r="I20" i="42" s="1"/>
  <c r="I8" i="9" s="1"/>
  <c r="I46" i="42"/>
  <c r="I19" i="41"/>
  <c r="I7" i="9"/>
  <c r="K16" i="42"/>
  <c r="K20" i="42" s="1"/>
  <c r="K8" i="9" s="1"/>
  <c r="K46" i="42"/>
  <c r="AI19" i="41"/>
  <c r="AI7" i="9"/>
  <c r="J7" i="9"/>
  <c r="J19" i="41"/>
  <c r="K15" i="41"/>
  <c r="K50" i="41"/>
  <c r="W50" i="41"/>
  <c r="W15" i="41"/>
  <c r="X19" i="41"/>
  <c r="X7" i="9"/>
  <c r="AB19" i="41"/>
  <c r="AB7" i="9"/>
  <c r="I15" i="43"/>
  <c r="I19" i="43" s="1"/>
  <c r="I9" i="9" s="1"/>
  <c r="T7" i="9"/>
  <c r="T19" i="41"/>
  <c r="Q142" i="1"/>
  <c r="Q66" i="10" s="1"/>
  <c r="AJ66" i="10" s="1"/>
  <c r="AJ429" i="1"/>
  <c r="Q325" i="1"/>
  <c r="Q117" i="5" s="1"/>
  <c r="AJ117" i="5" s="1"/>
  <c r="Q102" i="12"/>
  <c r="AJ102" i="12" s="1"/>
  <c r="Q284" i="1"/>
  <c r="AJ290" i="1"/>
  <c r="Q389" i="1"/>
  <c r="Q133" i="10" s="1"/>
  <c r="AJ133" i="10" s="1"/>
  <c r="AJ379" i="1"/>
  <c r="AJ428" i="1"/>
  <c r="AJ67" i="1"/>
  <c r="Q186" i="1"/>
  <c r="Q75" i="12" s="1"/>
  <c r="AJ75" i="12" s="1"/>
  <c r="Q292" i="1"/>
  <c r="Q96" i="11" s="1"/>
  <c r="AJ96" i="11" s="1"/>
  <c r="AJ380" i="1"/>
  <c r="Q241" i="1"/>
  <c r="Q92" i="10" s="1"/>
  <c r="AJ92" i="10" s="1"/>
  <c r="AJ333" i="1"/>
  <c r="Q98" i="12"/>
  <c r="AJ98" i="12" s="1"/>
  <c r="AJ327" i="1"/>
  <c r="Q329" i="1"/>
  <c r="Q116" i="10" s="1"/>
  <c r="AJ116" i="10" s="1"/>
  <c r="S123" i="5"/>
  <c r="AJ430" i="1"/>
  <c r="Q270" i="1"/>
  <c r="Q80" i="11" s="1"/>
  <c r="AJ80" i="11" s="1"/>
  <c r="AJ328" i="1"/>
  <c r="Q101" i="12"/>
  <c r="AJ101" i="12" s="1"/>
  <c r="Q293" i="1"/>
  <c r="Q97" i="11" s="1"/>
  <c r="AJ97" i="11" s="1"/>
  <c r="AJ438" i="1"/>
  <c r="AJ450" i="1" s="1"/>
  <c r="AJ326" i="1"/>
  <c r="G280" i="1"/>
  <c r="G84" i="11" s="1"/>
  <c r="AJ153" i="10" l="1"/>
  <c r="AJ132" i="12"/>
  <c r="AJ284" i="1"/>
  <c r="Q88" i="11"/>
  <c r="AJ88" i="11" s="1"/>
  <c r="AJ152" i="10"/>
  <c r="AJ163" i="5"/>
  <c r="Q337" i="1"/>
  <c r="Q119" i="10"/>
  <c r="AJ40" i="44"/>
  <c r="Q123" i="5"/>
  <c r="W182" i="5"/>
  <c r="T182" i="5"/>
  <c r="AB182" i="5"/>
  <c r="AJ123" i="5"/>
  <c r="AJ76" i="1"/>
  <c r="AJ15" i="44"/>
  <c r="AJ19" i="44" s="1"/>
  <c r="AJ10" i="9" s="1"/>
  <c r="M7" i="9"/>
  <c r="AJ15" i="43"/>
  <c r="AJ19" i="43" s="1"/>
  <c r="AJ9" i="9" s="1"/>
  <c r="Q46" i="42"/>
  <c r="AJ50" i="41"/>
  <c r="AJ40" i="43"/>
  <c r="Q15" i="43"/>
  <c r="Q19" i="43" s="1"/>
  <c r="Q9" i="9" s="1"/>
  <c r="AJ16" i="42"/>
  <c r="AJ20" i="42" s="1"/>
  <c r="AJ8" i="9" s="1"/>
  <c r="AJ46" i="42"/>
  <c r="AJ34" i="42"/>
  <c r="K7" i="9"/>
  <c r="K19" i="41"/>
  <c r="Q15" i="44"/>
  <c r="Q19" i="44" s="1"/>
  <c r="Q10" i="9" s="1"/>
  <c r="Q40" i="44"/>
  <c r="AJ19" i="41"/>
  <c r="AJ7" i="9"/>
  <c r="W19" i="41"/>
  <c r="W7" i="9"/>
  <c r="Q15" i="41"/>
  <c r="Q50" i="41"/>
  <c r="AJ227" i="1"/>
  <c r="AJ142" i="1"/>
  <c r="AJ325" i="1"/>
  <c r="AJ218" i="1"/>
  <c r="AJ330" i="1"/>
  <c r="AJ389" i="1"/>
  <c r="AJ229" i="1"/>
  <c r="R11" i="9"/>
  <c r="R12" i="9" s="1"/>
  <c r="AE11" i="9"/>
  <c r="AE12" i="9" s="1"/>
  <c r="AJ270" i="1"/>
  <c r="AJ329" i="1"/>
  <c r="AJ292" i="1"/>
  <c r="AJ293" i="1"/>
  <c r="AJ186" i="1"/>
  <c r="AJ241" i="1"/>
  <c r="AJ137" i="10"/>
  <c r="AJ105" i="5"/>
  <c r="AJ106" i="5"/>
  <c r="H452" i="1"/>
  <c r="L452" i="1"/>
  <c r="O452" i="1"/>
  <c r="P452" i="1"/>
  <c r="R452" i="1"/>
  <c r="Y452" i="1"/>
  <c r="Z452" i="1"/>
  <c r="AA452" i="1"/>
  <c r="AC452" i="1"/>
  <c r="AD452" i="1"/>
  <c r="AE452" i="1"/>
  <c r="AF452" i="1"/>
  <c r="AG452" i="1"/>
  <c r="AH452" i="1"/>
  <c r="F452" i="1"/>
  <c r="G427" i="1"/>
  <c r="G150" i="10" s="1"/>
  <c r="G425" i="1"/>
  <c r="G131" i="12" s="1"/>
  <c r="G423" i="1"/>
  <c r="G130" i="12" s="1"/>
  <c r="G376" i="1"/>
  <c r="I376" i="1"/>
  <c r="I156" i="11" s="1"/>
  <c r="AI376" i="1"/>
  <c r="AI156" i="11" s="1"/>
  <c r="G133" i="12" l="1"/>
  <c r="G385" i="1"/>
  <c r="G156" i="11"/>
  <c r="AJ156" i="11" s="1"/>
  <c r="G154" i="10"/>
  <c r="G431" i="1"/>
  <c r="AJ337" i="1"/>
  <c r="AJ119" i="10"/>
  <c r="AJ41" i="44"/>
  <c r="W130" i="10"/>
  <c r="W162" i="10" s="1"/>
  <c r="H130" i="10"/>
  <c r="H162" i="10" s="1"/>
  <c r="AJ182" i="5"/>
  <c r="Y130" i="10"/>
  <c r="Y162" i="10" s="1"/>
  <c r="X130" i="10"/>
  <c r="X162" i="10" s="1"/>
  <c r="J130" i="10"/>
  <c r="AH130" i="10"/>
  <c r="AH162" i="10" s="1"/>
  <c r="V130" i="10"/>
  <c r="V162" i="10" s="1"/>
  <c r="Z113" i="5"/>
  <c r="Z184" i="5" s="1"/>
  <c r="L113" i="5"/>
  <c r="L184" i="5" s="1"/>
  <c r="Y113" i="5"/>
  <c r="Y184" i="5" s="1"/>
  <c r="H113" i="5"/>
  <c r="H184" i="5" s="1"/>
  <c r="X113" i="5"/>
  <c r="G113" i="5"/>
  <c r="W113" i="5"/>
  <c r="F113" i="5"/>
  <c r="F184" i="5" s="1"/>
  <c r="AA113" i="5"/>
  <c r="AA184" i="5" s="1"/>
  <c r="AH113" i="5"/>
  <c r="AH184" i="5" s="1"/>
  <c r="V113" i="5"/>
  <c r="AG113" i="5"/>
  <c r="AG184" i="5" s="1"/>
  <c r="U113" i="5"/>
  <c r="AF113" i="5"/>
  <c r="AF184" i="5" s="1"/>
  <c r="T113" i="5"/>
  <c r="N113" i="5"/>
  <c r="N184" i="5" s="1"/>
  <c r="AE113" i="5"/>
  <c r="AE184" i="5" s="1"/>
  <c r="S113" i="5"/>
  <c r="S184" i="5" s="1"/>
  <c r="AD113" i="5"/>
  <c r="AD184" i="5" s="1"/>
  <c r="R113" i="5"/>
  <c r="R184" i="5" s="1"/>
  <c r="AC113" i="5"/>
  <c r="AC184" i="5" s="1"/>
  <c r="P113" i="5"/>
  <c r="P184" i="5" s="1"/>
  <c r="AB113" i="5"/>
  <c r="O113" i="5"/>
  <c r="O184" i="5" s="1"/>
  <c r="G130" i="10"/>
  <c r="AG130" i="10"/>
  <c r="AG162" i="10" s="1"/>
  <c r="U130" i="10"/>
  <c r="U162" i="10" s="1"/>
  <c r="F130" i="10"/>
  <c r="F162" i="10" s="1"/>
  <c r="AF130" i="10"/>
  <c r="AF162" i="10" s="1"/>
  <c r="T130" i="10"/>
  <c r="T162" i="10" s="1"/>
  <c r="AE130" i="10"/>
  <c r="AE162" i="10" s="1"/>
  <c r="S130" i="10"/>
  <c r="AD130" i="10"/>
  <c r="AD162" i="10" s="1"/>
  <c r="R130" i="10"/>
  <c r="R162" i="10" s="1"/>
  <c r="AC130" i="10"/>
  <c r="AC162" i="10" s="1"/>
  <c r="P130" i="10"/>
  <c r="P162" i="10" s="1"/>
  <c r="AB130" i="10"/>
  <c r="O130" i="10"/>
  <c r="O162" i="10" s="1"/>
  <c r="AA130" i="10"/>
  <c r="AA162" i="10" s="1"/>
  <c r="N130" i="10"/>
  <c r="N162" i="10" s="1"/>
  <c r="Z130" i="10"/>
  <c r="Z162" i="10" s="1"/>
  <c r="L130" i="10"/>
  <c r="L162" i="10" s="1"/>
  <c r="AJ47" i="42"/>
  <c r="AJ51" i="41"/>
  <c r="Q7" i="9"/>
  <c r="Q19" i="41"/>
  <c r="X11" i="9"/>
  <c r="X12" i="9" s="1"/>
  <c r="AC11" i="9"/>
  <c r="AC12" i="9" s="1"/>
  <c r="O11" i="9"/>
  <c r="O12" i="9" s="1"/>
  <c r="AD11" i="9"/>
  <c r="AD12" i="9" s="1"/>
  <c r="AF11" i="9"/>
  <c r="AF12" i="9" s="1"/>
  <c r="N11" i="9"/>
  <c r="N12" i="9" s="1"/>
  <c r="Z11" i="9"/>
  <c r="Z12" i="9" s="1"/>
  <c r="L11" i="9"/>
  <c r="L12" i="9" s="1"/>
  <c r="S11" i="9"/>
  <c r="S12" i="9" s="1"/>
  <c r="AG11" i="9"/>
  <c r="AG12" i="9" s="1"/>
  <c r="AA11" i="9"/>
  <c r="AA12" i="9" s="1"/>
  <c r="G11" i="9"/>
  <c r="G12" i="9" s="1"/>
  <c r="U11" i="9"/>
  <c r="U12" i="9" s="1"/>
  <c r="P11" i="9"/>
  <c r="P12" i="9" s="1"/>
  <c r="AH11" i="9"/>
  <c r="AH12" i="9" s="1"/>
  <c r="V11" i="9"/>
  <c r="V12" i="9" s="1"/>
  <c r="Y11" i="9"/>
  <c r="Y12" i="9" s="1"/>
  <c r="T11" i="9"/>
  <c r="T12" i="9" s="1"/>
  <c r="K378" i="1"/>
  <c r="I378" i="1"/>
  <c r="I158" i="11" s="1"/>
  <c r="K426" i="1"/>
  <c r="K149" i="10" s="1"/>
  <c r="I427" i="1"/>
  <c r="I150" i="10" s="1"/>
  <c r="I422" i="1"/>
  <c r="I147" i="10" s="1"/>
  <c r="I423" i="1"/>
  <c r="I130" i="12" s="1"/>
  <c r="I425" i="1"/>
  <c r="I131" i="12" s="1"/>
  <c r="M377" i="1"/>
  <c r="AI377" i="1"/>
  <c r="K425" i="1"/>
  <c r="K131" i="12" s="1"/>
  <c r="K133" i="12" s="1"/>
  <c r="AJ376" i="1"/>
  <c r="I377" i="1"/>
  <c r="I157" i="11" s="1"/>
  <c r="J320" i="1"/>
  <c r="J122" i="11" s="1"/>
  <c r="K263" i="1"/>
  <c r="K108" i="5" s="1"/>
  <c r="AK301" i="1"/>
  <c r="Q301" i="1"/>
  <c r="Q104" i="11" s="1"/>
  <c r="AJ104" i="11" s="1"/>
  <c r="Q300" i="1"/>
  <c r="Q103" i="11" s="1"/>
  <c r="AJ103" i="11" s="1"/>
  <c r="Q299" i="1"/>
  <c r="Q102" i="11" s="1"/>
  <c r="G310" i="1"/>
  <c r="G113" i="11" s="1"/>
  <c r="G308" i="1"/>
  <c r="G111" i="11" s="1"/>
  <c r="G291" i="1"/>
  <c r="G95" i="11" s="1"/>
  <c r="G315" i="1"/>
  <c r="G110" i="10" s="1"/>
  <c r="G283" i="1"/>
  <c r="G87" i="11" s="1"/>
  <c r="I133" i="12" l="1"/>
  <c r="I154" i="10"/>
  <c r="K385" i="1"/>
  <c r="K158" i="11"/>
  <c r="K163" i="11" s="1"/>
  <c r="AI385" i="1"/>
  <c r="AI157" i="11"/>
  <c r="AI163" i="11" s="1"/>
  <c r="M385" i="1"/>
  <c r="M157" i="11"/>
  <c r="M163" i="11" s="1"/>
  <c r="K154" i="10"/>
  <c r="I431" i="1"/>
  <c r="K431" i="1"/>
  <c r="I385" i="1"/>
  <c r="AI318" i="1"/>
  <c r="AI120" i="11" s="1"/>
  <c r="I163" i="11"/>
  <c r="G163" i="11"/>
  <c r="J310" i="1"/>
  <c r="J113" i="11" s="1"/>
  <c r="M291" i="1"/>
  <c r="M95" i="11" s="1"/>
  <c r="M110" i="10"/>
  <c r="W11" i="9"/>
  <c r="W12" i="9" s="1"/>
  <c r="I11" i="9"/>
  <c r="I12" i="9" s="1"/>
  <c r="AB11" i="9"/>
  <c r="AB12" i="9" s="1"/>
  <c r="AI11" i="9"/>
  <c r="AI12" i="9" s="1"/>
  <c r="J308" i="1"/>
  <c r="J111" i="11" s="1"/>
  <c r="AI314" i="1"/>
  <c r="AI117" i="11" s="1"/>
  <c r="K316" i="1"/>
  <c r="K118" i="11" s="1"/>
  <c r="M314" i="1"/>
  <c r="M117" i="11" s="1"/>
  <c r="Q425" i="1"/>
  <c r="Q131" i="12" s="1"/>
  <c r="AJ131" i="12" s="1"/>
  <c r="Q427" i="1"/>
  <c r="Q150" i="10" s="1"/>
  <c r="AJ150" i="10" s="1"/>
  <c r="Q422" i="1"/>
  <c r="Q147" i="10" s="1"/>
  <c r="Q423" i="1"/>
  <c r="Q130" i="12" s="1"/>
  <c r="Q426" i="1"/>
  <c r="Q149" i="10" s="1"/>
  <c r="AJ149" i="10" s="1"/>
  <c r="K295" i="1"/>
  <c r="K108" i="10" s="1"/>
  <c r="I316" i="1"/>
  <c r="I118" i="11" s="1"/>
  <c r="I291" i="1"/>
  <c r="I95" i="11" s="1"/>
  <c r="I295" i="1"/>
  <c r="I108" i="10" s="1"/>
  <c r="AI319" i="1"/>
  <c r="AI121" i="11" s="1"/>
  <c r="K320" i="1"/>
  <c r="K122" i="11" s="1"/>
  <c r="I314" i="1"/>
  <c r="I117" i="11" s="1"/>
  <c r="K283" i="1"/>
  <c r="K87" i="11" s="1"/>
  <c r="I315" i="1"/>
  <c r="I110" i="10" s="1"/>
  <c r="K308" i="1"/>
  <c r="K111" i="11" s="1"/>
  <c r="Q378" i="1"/>
  <c r="Q158" i="11" s="1"/>
  <c r="I283" i="1"/>
  <c r="I87" i="11" s="1"/>
  <c r="I263" i="1"/>
  <c r="I108" i="5" s="1"/>
  <c r="J263" i="1"/>
  <c r="J108" i="5" s="1"/>
  <c r="T299" i="1"/>
  <c r="Q377" i="1"/>
  <c r="Q157" i="11" s="1"/>
  <c r="I319" i="1"/>
  <c r="I121" i="11" s="1"/>
  <c r="I320" i="1"/>
  <c r="I122" i="11" s="1"/>
  <c r="K319" i="1"/>
  <c r="K121" i="11" s="1"/>
  <c r="I318" i="1"/>
  <c r="I120" i="11" s="1"/>
  <c r="J295" i="1"/>
  <c r="J108" i="10" s="1"/>
  <c r="I308" i="1"/>
  <c r="I111" i="11" s="1"/>
  <c r="K310" i="1"/>
  <c r="K113" i="11" s="1"/>
  <c r="I310" i="1"/>
  <c r="I113" i="11" s="1"/>
  <c r="G279" i="1"/>
  <c r="G83" i="11" s="1"/>
  <c r="G278" i="1"/>
  <c r="G82" i="11" s="1"/>
  <c r="J278" i="1"/>
  <c r="J82" i="11" s="1"/>
  <c r="J276" i="1"/>
  <c r="J81" i="11" s="1"/>
  <c r="G276" i="1"/>
  <c r="G81" i="11" s="1"/>
  <c r="G250" i="1"/>
  <c r="G96" i="5" s="1"/>
  <c r="G239" i="1"/>
  <c r="G89" i="5" s="1"/>
  <c r="G238" i="1"/>
  <c r="G88" i="5" s="1"/>
  <c r="G215" i="1"/>
  <c r="G75" i="5" s="1"/>
  <c r="G114" i="1"/>
  <c r="G53" i="12" s="1"/>
  <c r="AJ158" i="11" l="1"/>
  <c r="Q133" i="12"/>
  <c r="AJ130" i="12"/>
  <c r="AJ133" i="12" s="1"/>
  <c r="AJ157" i="11"/>
  <c r="T321" i="1"/>
  <c r="T102" i="11"/>
  <c r="AJ147" i="10"/>
  <c r="AJ154" i="10" s="1"/>
  <c r="Q154" i="10"/>
  <c r="Q431" i="1"/>
  <c r="Q315" i="1"/>
  <c r="Q110" i="10" s="1"/>
  <c r="AJ110" i="10" s="1"/>
  <c r="M130" i="10"/>
  <c r="K279" i="1"/>
  <c r="K83" i="11" s="1"/>
  <c r="M11" i="9"/>
  <c r="M12" i="9" s="1"/>
  <c r="K11" i="9"/>
  <c r="K12" i="9" s="1"/>
  <c r="Q11" i="9"/>
  <c r="Q12" i="9" s="1"/>
  <c r="J11" i="9"/>
  <c r="J12" i="9" s="1"/>
  <c r="AJ425" i="1"/>
  <c r="AL450" i="1"/>
  <c r="AI276" i="1"/>
  <c r="AI81" i="11" s="1"/>
  <c r="AJ299" i="1"/>
  <c r="AJ301" i="1"/>
  <c r="AJ300" i="1"/>
  <c r="AI278" i="1"/>
  <c r="AI82" i="11" s="1"/>
  <c r="AJ427" i="1"/>
  <c r="AJ422" i="1"/>
  <c r="Q308" i="1"/>
  <c r="Q111" i="11" s="1"/>
  <c r="AJ111" i="11" s="1"/>
  <c r="AJ423" i="1"/>
  <c r="Q283" i="1"/>
  <c r="Q87" i="11" s="1"/>
  <c r="AJ87" i="11" s="1"/>
  <c r="Q320" i="1"/>
  <c r="Q122" i="11" s="1"/>
  <c r="AJ122" i="11" s="1"/>
  <c r="AJ426" i="1"/>
  <c r="AJ378" i="1"/>
  <c r="Q318" i="1"/>
  <c r="Q120" i="11" s="1"/>
  <c r="AJ120" i="11" s="1"/>
  <c r="Q291" i="1"/>
  <c r="Q95" i="11" s="1"/>
  <c r="AJ95" i="11" s="1"/>
  <c r="Q295" i="1"/>
  <c r="Q108" i="10" s="1"/>
  <c r="AJ108" i="10" s="1"/>
  <c r="I213" i="1"/>
  <c r="I88" i="10" s="1"/>
  <c r="I239" i="1"/>
  <c r="I89" i="5" s="1"/>
  <c r="K278" i="1"/>
  <c r="K82" i="11" s="1"/>
  <c r="Q319" i="1"/>
  <c r="Q121" i="11" s="1"/>
  <c r="AJ121" i="11" s="1"/>
  <c r="I215" i="1"/>
  <c r="I75" i="5" s="1"/>
  <c r="K250" i="1"/>
  <c r="K96" i="5" s="1"/>
  <c r="I250" i="1"/>
  <c r="I96" i="5" s="1"/>
  <c r="Q263" i="1"/>
  <c r="Q108" i="5" s="1"/>
  <c r="AJ108" i="5" s="1"/>
  <c r="K239" i="1"/>
  <c r="K89" i="5" s="1"/>
  <c r="I279" i="1"/>
  <c r="I83" i="11" s="1"/>
  <c r="Q316" i="1"/>
  <c r="Q118" i="11" s="1"/>
  <c r="AJ118" i="11" s="1"/>
  <c r="I253" i="1"/>
  <c r="Q310" i="1"/>
  <c r="Q113" i="11" s="1"/>
  <c r="AJ113" i="11" s="1"/>
  <c r="AJ377" i="1"/>
  <c r="I281" i="1"/>
  <c r="I85" i="11" s="1"/>
  <c r="K272" i="1"/>
  <c r="K110" i="5" s="1"/>
  <c r="Q314" i="1"/>
  <c r="Q117" i="11" s="1"/>
  <c r="AJ117" i="11" s="1"/>
  <c r="U280" i="1"/>
  <c r="U84" i="11" s="1"/>
  <c r="I237" i="1"/>
  <c r="I103" i="12" s="1"/>
  <c r="AI280" i="1"/>
  <c r="AI84" i="11" s="1"/>
  <c r="I272" i="1"/>
  <c r="I110" i="5" s="1"/>
  <c r="K276" i="1"/>
  <c r="K81" i="11" s="1"/>
  <c r="K281" i="1"/>
  <c r="K85" i="11" s="1"/>
  <c r="I280" i="1"/>
  <c r="I84" i="11" s="1"/>
  <c r="K280" i="1"/>
  <c r="K84" i="11" s="1"/>
  <c r="I278" i="1"/>
  <c r="I82" i="11" s="1"/>
  <c r="M237" i="1"/>
  <c r="M103" i="12" s="1"/>
  <c r="K213" i="1"/>
  <c r="K88" i="10" s="1"/>
  <c r="G110" i="1"/>
  <c r="G51" i="12" s="1"/>
  <c r="G108" i="1"/>
  <c r="G49" i="12" s="1"/>
  <c r="G100" i="1"/>
  <c r="G45" i="12" s="1"/>
  <c r="G99" i="1"/>
  <c r="G44" i="12" s="1"/>
  <c r="G98" i="1"/>
  <c r="G43" i="12" s="1"/>
  <c r="G97" i="1"/>
  <c r="G42" i="12" s="1"/>
  <c r="I99" i="5" l="1"/>
  <c r="I97" i="10"/>
  <c r="T123" i="11"/>
  <c r="AJ102" i="11"/>
  <c r="AJ431" i="1"/>
  <c r="AJ11" i="9"/>
  <c r="AJ12" i="9" s="1"/>
  <c r="AJ283" i="1"/>
  <c r="AJ308" i="1"/>
  <c r="AJ315" i="1"/>
  <c r="AJ320" i="1"/>
  <c r="Q276" i="1"/>
  <c r="Q81" i="11" s="1"/>
  <c r="AJ81" i="11" s="1"/>
  <c r="AJ263" i="1"/>
  <c r="Q278" i="1"/>
  <c r="Q82" i="11" s="1"/>
  <c r="AJ82" i="11" s="1"/>
  <c r="AJ295" i="1"/>
  <c r="AJ318" i="1"/>
  <c r="Q215" i="1"/>
  <c r="Q75" i="5" s="1"/>
  <c r="AJ75" i="5" s="1"/>
  <c r="Q250" i="1"/>
  <c r="Q96" i="5" s="1"/>
  <c r="AJ96" i="5" s="1"/>
  <c r="AJ319" i="1"/>
  <c r="AJ291" i="1"/>
  <c r="Q253" i="1"/>
  <c r="Q213" i="1"/>
  <c r="Q88" i="10" s="1"/>
  <c r="AJ88" i="10" s="1"/>
  <c r="Q280" i="1"/>
  <c r="Q84" i="11" s="1"/>
  <c r="AJ84" i="11" s="1"/>
  <c r="Q103" i="12"/>
  <c r="AJ103" i="12" s="1"/>
  <c r="AJ310" i="1"/>
  <c r="Q239" i="1"/>
  <c r="Q89" i="5" s="1"/>
  <c r="AJ89" i="5" s="1"/>
  <c r="AJ316" i="1"/>
  <c r="AJ314" i="1"/>
  <c r="Q281" i="1"/>
  <c r="Q85" i="11" s="1"/>
  <c r="AJ85" i="11" s="1"/>
  <c r="Q272" i="1"/>
  <c r="Q110" i="5" s="1"/>
  <c r="AJ110" i="5" s="1"/>
  <c r="K113" i="5"/>
  <c r="Q279" i="1"/>
  <c r="Q83" i="11" s="1"/>
  <c r="AJ83" i="11" s="1"/>
  <c r="G42" i="1"/>
  <c r="G31" i="12" s="1"/>
  <c r="G34" i="1"/>
  <c r="G26" i="11" s="1"/>
  <c r="J34" i="1"/>
  <c r="J26" i="11" s="1"/>
  <c r="G216" i="1"/>
  <c r="G76" i="5" s="1"/>
  <c r="AI192" i="10"/>
  <c r="Q192" i="10"/>
  <c r="G192" i="10"/>
  <c r="Q169" i="10"/>
  <c r="AJ127" i="10"/>
  <c r="Q384" i="1"/>
  <c r="Q383" i="1"/>
  <c r="Q161" i="11" s="1"/>
  <c r="Q382" i="1"/>
  <c r="Q381" i="1"/>
  <c r="Q256" i="1"/>
  <c r="Q102" i="5" s="1"/>
  <c r="Q255" i="1"/>
  <c r="Q254" i="1"/>
  <c r="Q81" i="1"/>
  <c r="Q60" i="11" s="1"/>
  <c r="AJ60" i="11" s="1"/>
  <c r="Q80" i="1"/>
  <c r="Q59" i="11" s="1"/>
  <c r="Q79" i="1"/>
  <c r="Q58" i="11" s="1"/>
  <c r="AJ58" i="11" s="1"/>
  <c r="Q65" i="1"/>
  <c r="Q45" i="11" s="1"/>
  <c r="Q136" i="1"/>
  <c r="Q115" i="1"/>
  <c r="Q45" i="10" s="1"/>
  <c r="I172" i="11"/>
  <c r="B173" i="11"/>
  <c r="C173" i="11"/>
  <c r="D173" i="11"/>
  <c r="E173" i="11"/>
  <c r="F173" i="11"/>
  <c r="G173" i="11"/>
  <c r="H173" i="11"/>
  <c r="I173" i="11"/>
  <c r="L173" i="11"/>
  <c r="M173" i="11"/>
  <c r="N173" i="11"/>
  <c r="O173" i="11"/>
  <c r="P173" i="11"/>
  <c r="R173" i="11"/>
  <c r="S173" i="11"/>
  <c r="T173" i="11"/>
  <c r="U173" i="11"/>
  <c r="V173" i="11"/>
  <c r="W173" i="11"/>
  <c r="X173" i="11"/>
  <c r="Y173" i="11"/>
  <c r="Z173" i="11"/>
  <c r="AA173" i="11"/>
  <c r="AB173" i="11"/>
  <c r="AC173" i="11"/>
  <c r="AD173" i="11"/>
  <c r="AE173" i="11"/>
  <c r="AF173" i="11"/>
  <c r="AG173" i="11"/>
  <c r="AH173" i="11"/>
  <c r="AI173" i="11"/>
  <c r="A173" i="11"/>
  <c r="B171" i="11"/>
  <c r="C171" i="11"/>
  <c r="D171" i="11"/>
  <c r="E171" i="11"/>
  <c r="F171" i="11"/>
  <c r="G171" i="11"/>
  <c r="H171" i="11"/>
  <c r="I171" i="11"/>
  <c r="L171" i="11"/>
  <c r="M171" i="11"/>
  <c r="N171" i="11"/>
  <c r="O171" i="11"/>
  <c r="P171" i="11"/>
  <c r="R171" i="11"/>
  <c r="S171" i="11"/>
  <c r="T171" i="11"/>
  <c r="U171" i="11"/>
  <c r="V171" i="11"/>
  <c r="W171" i="11"/>
  <c r="X171" i="11"/>
  <c r="Y171" i="11"/>
  <c r="Z171" i="11"/>
  <c r="AA171" i="11"/>
  <c r="AB171" i="11"/>
  <c r="AC171" i="11"/>
  <c r="AD171" i="11"/>
  <c r="AE171" i="11"/>
  <c r="AF171" i="11"/>
  <c r="AG171" i="11"/>
  <c r="AH171" i="11"/>
  <c r="AI171" i="11"/>
  <c r="A171" i="11"/>
  <c r="I170" i="11"/>
  <c r="B169" i="11"/>
  <c r="C169" i="11"/>
  <c r="D169" i="11"/>
  <c r="E169" i="11"/>
  <c r="F169" i="11"/>
  <c r="H169" i="11"/>
  <c r="I169" i="11"/>
  <c r="L169" i="11"/>
  <c r="M169" i="11"/>
  <c r="N169" i="11"/>
  <c r="O169" i="11"/>
  <c r="P169" i="11"/>
  <c r="R169" i="11"/>
  <c r="S169" i="11"/>
  <c r="T169" i="11"/>
  <c r="U169" i="11"/>
  <c r="V169" i="11"/>
  <c r="W169" i="11"/>
  <c r="X169" i="11"/>
  <c r="Y169" i="11"/>
  <c r="Z169" i="11"/>
  <c r="AA169" i="11"/>
  <c r="AB169" i="11"/>
  <c r="AC169" i="11"/>
  <c r="AD169" i="11"/>
  <c r="AE169" i="11"/>
  <c r="AF169" i="11"/>
  <c r="AG169" i="11"/>
  <c r="AH169" i="11"/>
  <c r="AI169" i="11"/>
  <c r="A169" i="11"/>
  <c r="I168" i="11"/>
  <c r="B184" i="10"/>
  <c r="C184" i="10"/>
  <c r="D184" i="10"/>
  <c r="E184" i="10"/>
  <c r="F184" i="10"/>
  <c r="G184" i="10"/>
  <c r="H184" i="10"/>
  <c r="I184" i="10"/>
  <c r="L184" i="10"/>
  <c r="M184" i="10"/>
  <c r="N184" i="10"/>
  <c r="O184" i="10"/>
  <c r="P184" i="10"/>
  <c r="R184" i="10"/>
  <c r="S184" i="10"/>
  <c r="T184" i="10"/>
  <c r="U184" i="10"/>
  <c r="V184" i="10"/>
  <c r="W184" i="10"/>
  <c r="X184" i="10"/>
  <c r="Y184" i="10"/>
  <c r="Z184" i="10"/>
  <c r="AA184" i="10"/>
  <c r="AB184" i="10"/>
  <c r="AC184" i="10"/>
  <c r="AD184" i="10"/>
  <c r="AE184" i="10"/>
  <c r="AF184" i="10"/>
  <c r="AG184" i="10"/>
  <c r="AH184" i="10"/>
  <c r="AI184" i="10"/>
  <c r="B185" i="10"/>
  <c r="C185" i="10"/>
  <c r="D185" i="10"/>
  <c r="E185" i="10"/>
  <c r="F185" i="10"/>
  <c r="G185" i="10"/>
  <c r="H185" i="10"/>
  <c r="I185" i="10"/>
  <c r="J185" i="10"/>
  <c r="K185" i="10"/>
  <c r="L185" i="10"/>
  <c r="N185" i="10"/>
  <c r="O185" i="10"/>
  <c r="P185" i="10"/>
  <c r="R185" i="10"/>
  <c r="S185" i="10"/>
  <c r="T185" i="10"/>
  <c r="U185" i="10"/>
  <c r="V185" i="10"/>
  <c r="W185" i="10"/>
  <c r="X185" i="10"/>
  <c r="Y185" i="10"/>
  <c r="Z185" i="10"/>
  <c r="AA185" i="10"/>
  <c r="AB185" i="10"/>
  <c r="AC185" i="10"/>
  <c r="AD185" i="10"/>
  <c r="AE185" i="10"/>
  <c r="AF185" i="10"/>
  <c r="AG185" i="10"/>
  <c r="AH185" i="10"/>
  <c r="AI185" i="10"/>
  <c r="A185" i="10"/>
  <c r="A184" i="10"/>
  <c r="G183" i="10"/>
  <c r="B182" i="10"/>
  <c r="C182" i="10"/>
  <c r="D182" i="10"/>
  <c r="E182" i="10"/>
  <c r="F182" i="10"/>
  <c r="G182" i="10"/>
  <c r="H182" i="10"/>
  <c r="I182" i="10"/>
  <c r="K182" i="10"/>
  <c r="L182" i="10"/>
  <c r="N182" i="10"/>
  <c r="O182" i="10"/>
  <c r="P182" i="10"/>
  <c r="R182" i="10"/>
  <c r="S182" i="10"/>
  <c r="T182" i="10"/>
  <c r="U182" i="10"/>
  <c r="V182" i="10"/>
  <c r="W182" i="10"/>
  <c r="X182" i="10"/>
  <c r="Y182" i="10"/>
  <c r="Z182" i="10"/>
  <c r="AA182" i="10"/>
  <c r="AB182" i="10"/>
  <c r="AC182" i="10"/>
  <c r="AD182" i="10"/>
  <c r="AE182" i="10"/>
  <c r="AF182" i="10"/>
  <c r="AG182" i="10"/>
  <c r="AH182" i="10"/>
  <c r="AI182" i="10"/>
  <c r="A182" i="10"/>
  <c r="G181" i="10"/>
  <c r="B180" i="10"/>
  <c r="C180" i="10"/>
  <c r="D180" i="10"/>
  <c r="E180" i="10"/>
  <c r="F180" i="10"/>
  <c r="G180" i="10"/>
  <c r="H180" i="10"/>
  <c r="I180" i="10"/>
  <c r="L180" i="10"/>
  <c r="M180" i="10"/>
  <c r="N180" i="10"/>
  <c r="O180" i="10"/>
  <c r="P180" i="10"/>
  <c r="R180" i="10"/>
  <c r="S180" i="10"/>
  <c r="T180" i="10"/>
  <c r="U180" i="10"/>
  <c r="V180" i="10"/>
  <c r="W180" i="10"/>
  <c r="X180" i="10"/>
  <c r="Y180" i="10"/>
  <c r="Z180" i="10"/>
  <c r="AA180" i="10"/>
  <c r="AB180" i="10"/>
  <c r="AC180" i="10"/>
  <c r="AD180" i="10"/>
  <c r="AE180" i="10"/>
  <c r="AF180" i="10"/>
  <c r="AG180" i="10"/>
  <c r="AH180" i="10"/>
  <c r="AI180" i="10"/>
  <c r="A180" i="10"/>
  <c r="J179" i="10"/>
  <c r="AJ116" i="5"/>
  <c r="AJ115" i="5"/>
  <c r="F72" i="11"/>
  <c r="F165" i="11" s="1"/>
  <c r="H72" i="11"/>
  <c r="H165" i="11" s="1"/>
  <c r="L72" i="11"/>
  <c r="L165" i="11" s="1"/>
  <c r="N72" i="11"/>
  <c r="N165" i="11" s="1"/>
  <c r="O72" i="11"/>
  <c r="O165" i="11" s="1"/>
  <c r="P72" i="11"/>
  <c r="P165" i="11" s="1"/>
  <c r="R72" i="11"/>
  <c r="R165" i="11" s="1"/>
  <c r="S72" i="11"/>
  <c r="T72" i="11"/>
  <c r="U72" i="11"/>
  <c r="V72" i="11"/>
  <c r="V165" i="11" s="1"/>
  <c r="W72" i="11"/>
  <c r="X72" i="11"/>
  <c r="Y72" i="11"/>
  <c r="Y165" i="11" s="1"/>
  <c r="Z72" i="11"/>
  <c r="Z165" i="11" s="1"/>
  <c r="AA72" i="11"/>
  <c r="AA165" i="11" s="1"/>
  <c r="AB72" i="11"/>
  <c r="AC72" i="11"/>
  <c r="AC165" i="11" s="1"/>
  <c r="AD72" i="11"/>
  <c r="AD165" i="11" s="1"/>
  <c r="AE72" i="11"/>
  <c r="AE165" i="11" s="1"/>
  <c r="AF72" i="11"/>
  <c r="AF165" i="11" s="1"/>
  <c r="AG72" i="11"/>
  <c r="AG165" i="11" s="1"/>
  <c r="AH72" i="11"/>
  <c r="AH165" i="11" s="1"/>
  <c r="A192" i="10"/>
  <c r="B192" i="10"/>
  <c r="C192" i="10"/>
  <c r="E192" i="10"/>
  <c r="F192" i="10"/>
  <c r="H192" i="10"/>
  <c r="I192" i="10"/>
  <c r="J192" i="10"/>
  <c r="K192" i="10"/>
  <c r="L192" i="10"/>
  <c r="N192" i="10"/>
  <c r="O192" i="10"/>
  <c r="P192" i="10"/>
  <c r="R192" i="10"/>
  <c r="S192" i="10"/>
  <c r="T192" i="10"/>
  <c r="U192" i="10"/>
  <c r="V192" i="10"/>
  <c r="W192" i="10"/>
  <c r="X192" i="10"/>
  <c r="Y192" i="10"/>
  <c r="Z192" i="10"/>
  <c r="AA192" i="10"/>
  <c r="AB192" i="10"/>
  <c r="AC192" i="10"/>
  <c r="AD192" i="10"/>
  <c r="AE192" i="10"/>
  <c r="AF192" i="10"/>
  <c r="AG192" i="10"/>
  <c r="AH192" i="10"/>
  <c r="Q185" i="10"/>
  <c r="M185" i="10"/>
  <c r="K184" i="10"/>
  <c r="J184" i="10"/>
  <c r="Q182" i="10"/>
  <c r="M182" i="10"/>
  <c r="J182" i="10"/>
  <c r="Q180" i="10"/>
  <c r="J180" i="10"/>
  <c r="Q173" i="11"/>
  <c r="J173" i="11"/>
  <c r="Q171" i="11"/>
  <c r="K171" i="11"/>
  <c r="J171" i="11"/>
  <c r="K169" i="11"/>
  <c r="J169" i="11"/>
  <c r="G169" i="11"/>
  <c r="J306" i="1"/>
  <c r="J109" i="11" s="1"/>
  <c r="J304" i="1"/>
  <c r="J107" i="11" s="1"/>
  <c r="G307" i="1"/>
  <c r="G110" i="11" s="1"/>
  <c r="G305" i="1"/>
  <c r="G108" i="11" s="1"/>
  <c r="J312" i="1"/>
  <c r="J115" i="11" s="1"/>
  <c r="J303" i="1"/>
  <c r="J106" i="11" s="1"/>
  <c r="AI274" i="1"/>
  <c r="AI111" i="5" s="1"/>
  <c r="J274" i="1"/>
  <c r="J111" i="5" s="1"/>
  <c r="G268" i="1"/>
  <c r="G78" i="11" s="1"/>
  <c r="G234" i="1"/>
  <c r="G85" i="5" s="1"/>
  <c r="G224" i="1"/>
  <c r="G79" i="5" s="1"/>
  <c r="G221" i="1"/>
  <c r="G78" i="5" s="1"/>
  <c r="G220" i="1"/>
  <c r="G77" i="5" s="1"/>
  <c r="K167" i="11"/>
  <c r="K198" i="10"/>
  <c r="B194" i="10"/>
  <c r="C194" i="10"/>
  <c r="E194" i="10"/>
  <c r="F194" i="10"/>
  <c r="G194" i="10"/>
  <c r="H194" i="10"/>
  <c r="I194" i="10"/>
  <c r="J194" i="10"/>
  <c r="K194" i="10"/>
  <c r="L194" i="10"/>
  <c r="N194" i="10"/>
  <c r="O194" i="10"/>
  <c r="P194" i="10"/>
  <c r="Q194" i="10"/>
  <c r="R194" i="10"/>
  <c r="S194" i="10"/>
  <c r="T194" i="10"/>
  <c r="V194" i="10"/>
  <c r="W194" i="10"/>
  <c r="X194" i="10"/>
  <c r="Y194" i="10"/>
  <c r="Z194" i="10"/>
  <c r="AA194" i="10"/>
  <c r="AB194" i="10"/>
  <c r="AC194" i="10"/>
  <c r="AD194" i="10"/>
  <c r="AE194" i="10"/>
  <c r="AF194" i="10"/>
  <c r="AG194" i="10"/>
  <c r="AH194" i="10"/>
  <c r="AI194" i="10"/>
  <c r="A194" i="10"/>
  <c r="K193" i="10"/>
  <c r="AJ193" i="10" s="1"/>
  <c r="G191" i="10"/>
  <c r="K190" i="10"/>
  <c r="K178" i="10"/>
  <c r="J167" i="10"/>
  <c r="B171" i="10"/>
  <c r="C171" i="10"/>
  <c r="E171" i="10"/>
  <c r="F171" i="10"/>
  <c r="H171" i="10"/>
  <c r="I171" i="10"/>
  <c r="J171" i="10"/>
  <c r="K171" i="10"/>
  <c r="L171" i="10"/>
  <c r="M171" i="10"/>
  <c r="N171" i="10"/>
  <c r="O171" i="10"/>
  <c r="P171" i="10"/>
  <c r="R171" i="10"/>
  <c r="S171" i="10"/>
  <c r="T171" i="10"/>
  <c r="U171" i="10"/>
  <c r="V171" i="10"/>
  <c r="W171" i="10"/>
  <c r="X171" i="10"/>
  <c r="Y171" i="10"/>
  <c r="Z171" i="10"/>
  <c r="AA171" i="10"/>
  <c r="AB171" i="10"/>
  <c r="AC171" i="10"/>
  <c r="AD171" i="10"/>
  <c r="AE171" i="10"/>
  <c r="AF171" i="10"/>
  <c r="AG171" i="10"/>
  <c r="AH171" i="10"/>
  <c r="AI171" i="10"/>
  <c r="A171" i="10"/>
  <c r="B169" i="10"/>
  <c r="C169" i="10"/>
  <c r="E169" i="10"/>
  <c r="F169" i="10"/>
  <c r="G169" i="10"/>
  <c r="H169" i="10"/>
  <c r="I169" i="10"/>
  <c r="L169" i="10"/>
  <c r="M169" i="10"/>
  <c r="N169" i="10"/>
  <c r="O169" i="10"/>
  <c r="P169" i="10"/>
  <c r="R169" i="10"/>
  <c r="S169" i="10"/>
  <c r="T169" i="10"/>
  <c r="U169" i="10"/>
  <c r="V169" i="10"/>
  <c r="W169" i="10"/>
  <c r="X169" i="10"/>
  <c r="Y169" i="10"/>
  <c r="Z169" i="10"/>
  <c r="AA169" i="10"/>
  <c r="AB169" i="10"/>
  <c r="AC169" i="10"/>
  <c r="AD169" i="10"/>
  <c r="AE169" i="10"/>
  <c r="AF169" i="10"/>
  <c r="AG169" i="10"/>
  <c r="AH169" i="10"/>
  <c r="A169" i="10"/>
  <c r="G139" i="12"/>
  <c r="G18" i="12" s="1"/>
  <c r="F18" i="12" s="1"/>
  <c r="H139" i="12"/>
  <c r="H18" i="12" s="1"/>
  <c r="I139" i="12"/>
  <c r="I18" i="12" s="1"/>
  <c r="J139" i="12"/>
  <c r="J18" i="12" s="1"/>
  <c r="K139" i="12"/>
  <c r="K18" i="12" s="1"/>
  <c r="L139" i="12"/>
  <c r="L18" i="12" s="1"/>
  <c r="M139" i="12"/>
  <c r="M18" i="12" s="1"/>
  <c r="N139" i="12"/>
  <c r="N18" i="12" s="1"/>
  <c r="O139" i="12"/>
  <c r="O18" i="12" s="1"/>
  <c r="P139" i="12"/>
  <c r="P18" i="12" s="1"/>
  <c r="Q139" i="12"/>
  <c r="Q18" i="12" s="1"/>
  <c r="R139" i="12"/>
  <c r="R18" i="12" s="1"/>
  <c r="S139" i="12"/>
  <c r="S18" i="12" s="1"/>
  <c r="T139" i="12"/>
  <c r="T18" i="12" s="1"/>
  <c r="U139" i="12"/>
  <c r="U18" i="12" s="1"/>
  <c r="V139" i="12"/>
  <c r="V18" i="12" s="1"/>
  <c r="W139" i="12"/>
  <c r="W18" i="12" s="1"/>
  <c r="X139" i="12"/>
  <c r="X18" i="12" s="1"/>
  <c r="Y139" i="12"/>
  <c r="Y18" i="12" s="1"/>
  <c r="Z139" i="12"/>
  <c r="Z18" i="12" s="1"/>
  <c r="AA139" i="12"/>
  <c r="AA18" i="12" s="1"/>
  <c r="AB139" i="12"/>
  <c r="AB18" i="12" s="1"/>
  <c r="AC139" i="12"/>
  <c r="AC18" i="12" s="1"/>
  <c r="AD139" i="12"/>
  <c r="AD18" i="12" s="1"/>
  <c r="AE139" i="12"/>
  <c r="AE18" i="12" s="1"/>
  <c r="AF139" i="12"/>
  <c r="AF18" i="12" s="1"/>
  <c r="AG139" i="12"/>
  <c r="AG18" i="12" s="1"/>
  <c r="AH139" i="12"/>
  <c r="AH18" i="12" s="1"/>
  <c r="AI139" i="12"/>
  <c r="AI18" i="12" s="1"/>
  <c r="AJ139" i="12"/>
  <c r="AJ18" i="12" s="1"/>
  <c r="F139" i="12"/>
  <c r="AJ152" i="5"/>
  <c r="AJ164" i="5" s="1"/>
  <c r="AJ141" i="5"/>
  <c r="AJ145" i="11"/>
  <c r="AJ144" i="11"/>
  <c r="AJ106" i="12"/>
  <c r="AJ74" i="11"/>
  <c r="AJ108" i="12"/>
  <c r="AJ107" i="5"/>
  <c r="G180" i="1"/>
  <c r="G69" i="12" s="1"/>
  <c r="E149" i="1"/>
  <c r="E72" i="10" s="1"/>
  <c r="E148" i="1"/>
  <c r="E71" i="10" s="1"/>
  <c r="E147" i="1"/>
  <c r="E70" i="10" s="1"/>
  <c r="J147" i="1"/>
  <c r="J70" i="10" s="1"/>
  <c r="G131" i="1"/>
  <c r="G60" i="12" s="1"/>
  <c r="G128" i="1"/>
  <c r="G53" i="10" s="1"/>
  <c r="G102" i="1"/>
  <c r="G38" i="10" s="1"/>
  <c r="G101" i="1"/>
  <c r="J95" i="1"/>
  <c r="J37" i="5" s="1"/>
  <c r="G242" i="1"/>
  <c r="G91" i="5" s="1"/>
  <c r="G235" i="1"/>
  <c r="G86" i="5" s="1"/>
  <c r="G214" i="1"/>
  <c r="G74" i="5" s="1"/>
  <c r="G212" i="1"/>
  <c r="G87" i="10" s="1"/>
  <c r="G211" i="1"/>
  <c r="G73" i="5" s="1"/>
  <c r="J289" i="1"/>
  <c r="J93" i="11" s="1"/>
  <c r="J288" i="1"/>
  <c r="J92" i="11" s="1"/>
  <c r="J285" i="1"/>
  <c r="J89" i="11" s="1"/>
  <c r="G289" i="1"/>
  <c r="G93" i="11" s="1"/>
  <c r="G306" i="1"/>
  <c r="G109" i="11" s="1"/>
  <c r="G304" i="1"/>
  <c r="G107" i="11" s="1"/>
  <c r="G288" i="1"/>
  <c r="G92" i="11" s="1"/>
  <c r="G285" i="1"/>
  <c r="G89" i="11" s="1"/>
  <c r="G282" i="1"/>
  <c r="G86" i="11" s="1"/>
  <c r="J282" i="1"/>
  <c r="J86" i="11" s="1"/>
  <c r="J275" i="1"/>
  <c r="J112" i="5" s="1"/>
  <c r="J87" i="1"/>
  <c r="J66" i="11" s="1"/>
  <c r="J84" i="1"/>
  <c r="J63" i="11" s="1"/>
  <c r="G78" i="1"/>
  <c r="G57" i="11" s="1"/>
  <c r="G77" i="1"/>
  <c r="G56" i="11" s="1"/>
  <c r="G59" i="1"/>
  <c r="G39" i="11" s="1"/>
  <c r="G38" i="1"/>
  <c r="G29" i="5" s="1"/>
  <c r="J37" i="1"/>
  <c r="J28" i="5" s="1"/>
  <c r="J33" i="1"/>
  <c r="J25" i="11" s="1"/>
  <c r="J32" i="1"/>
  <c r="J24" i="11" s="1"/>
  <c r="G29" i="1"/>
  <c r="G24" i="12" s="1"/>
  <c r="G26" i="1"/>
  <c r="G24" i="5" s="1"/>
  <c r="J26" i="1"/>
  <c r="J38" i="12"/>
  <c r="AJ38" i="12" s="1"/>
  <c r="AJ92" i="12"/>
  <c r="AJ93" i="12"/>
  <c r="J61" i="11"/>
  <c r="AJ61" i="11" s="1"/>
  <c r="J64" i="11"/>
  <c r="AJ64" i="11" s="1"/>
  <c r="AJ69" i="11"/>
  <c r="AJ70" i="11"/>
  <c r="AJ61" i="10"/>
  <c r="AJ83" i="10"/>
  <c r="AJ84" i="10"/>
  <c r="J166" i="10"/>
  <c r="J168" i="10"/>
  <c r="AJ168" i="10" s="1"/>
  <c r="J170" i="10"/>
  <c r="AJ170" i="10" s="1"/>
  <c r="J172" i="10"/>
  <c r="AJ172" i="10" s="1"/>
  <c r="A173" i="10"/>
  <c r="B173" i="10"/>
  <c r="C173" i="10"/>
  <c r="E173" i="10"/>
  <c r="F173" i="10"/>
  <c r="G173" i="10"/>
  <c r="H173" i="10"/>
  <c r="I173" i="10"/>
  <c r="L173" i="10"/>
  <c r="M173" i="10"/>
  <c r="N173" i="10"/>
  <c r="O173" i="10"/>
  <c r="P173" i="10"/>
  <c r="Q173" i="10"/>
  <c r="R173" i="10"/>
  <c r="S173" i="10"/>
  <c r="T173" i="10"/>
  <c r="U173" i="10"/>
  <c r="V173" i="10"/>
  <c r="W173" i="10"/>
  <c r="X173" i="10"/>
  <c r="Y173" i="10"/>
  <c r="Z173" i="10"/>
  <c r="AA173" i="10"/>
  <c r="AB173" i="10"/>
  <c r="AC173" i="10"/>
  <c r="AD173" i="10"/>
  <c r="AE173" i="10"/>
  <c r="AF173" i="10"/>
  <c r="AG173" i="10"/>
  <c r="AH173" i="10"/>
  <c r="AI173" i="10"/>
  <c r="AJ50" i="5"/>
  <c r="AJ69" i="5"/>
  <c r="AJ70" i="5"/>
  <c r="F188" i="5"/>
  <c r="F18" i="5" s="1"/>
  <c r="G188" i="5"/>
  <c r="G18" i="5" s="1"/>
  <c r="H188" i="5"/>
  <c r="H18" i="5" s="1"/>
  <c r="I188" i="5"/>
  <c r="I18" i="5" s="1"/>
  <c r="J188" i="5"/>
  <c r="J18" i="5" s="1"/>
  <c r="K188" i="5"/>
  <c r="K18" i="5" s="1"/>
  <c r="L188" i="5"/>
  <c r="L18" i="5" s="1"/>
  <c r="M188" i="5"/>
  <c r="M18" i="5" s="1"/>
  <c r="N188" i="5"/>
  <c r="N18" i="5" s="1"/>
  <c r="O188" i="5"/>
  <c r="O18" i="5" s="1"/>
  <c r="P188" i="5"/>
  <c r="P18" i="5" s="1"/>
  <c r="Q188" i="5"/>
  <c r="Q18" i="5" s="1"/>
  <c r="R188" i="5"/>
  <c r="R18" i="5" s="1"/>
  <c r="S188" i="5"/>
  <c r="S18" i="5" s="1"/>
  <c r="T188" i="5"/>
  <c r="T18" i="5" s="1"/>
  <c r="U188" i="5"/>
  <c r="U18" i="5" s="1"/>
  <c r="V188" i="5"/>
  <c r="V18" i="5" s="1"/>
  <c r="W188" i="5"/>
  <c r="W18" i="5" s="1"/>
  <c r="X188" i="5"/>
  <c r="X18" i="5" s="1"/>
  <c r="Y188" i="5"/>
  <c r="Y18" i="5" s="1"/>
  <c r="Z188" i="5"/>
  <c r="Z18" i="5" s="1"/>
  <c r="AA188" i="5"/>
  <c r="AA18" i="5" s="1"/>
  <c r="AB188" i="5"/>
  <c r="AB18" i="5" s="1"/>
  <c r="AC188" i="5"/>
  <c r="AC18" i="5" s="1"/>
  <c r="AD188" i="5"/>
  <c r="AD18" i="5" s="1"/>
  <c r="AE188" i="5"/>
  <c r="AE18" i="5" s="1"/>
  <c r="AF188" i="5"/>
  <c r="AF18" i="5" s="1"/>
  <c r="AG188" i="5"/>
  <c r="AG18" i="5" s="1"/>
  <c r="AH188" i="5"/>
  <c r="AH18" i="5" s="1"/>
  <c r="AI188" i="5"/>
  <c r="AI18" i="5" s="1"/>
  <c r="AJ188" i="5"/>
  <c r="AJ18" i="5" s="1"/>
  <c r="G28" i="1"/>
  <c r="G30" i="1"/>
  <c r="G25" i="12" s="1"/>
  <c r="G31" i="1"/>
  <c r="G23" i="11" s="1"/>
  <c r="G32" i="1"/>
  <c r="G24" i="11" s="1"/>
  <c r="G33" i="1"/>
  <c r="G25" i="11" s="1"/>
  <c r="G37" i="1"/>
  <c r="G28" i="5" s="1"/>
  <c r="G39" i="1"/>
  <c r="G28" i="12" s="1"/>
  <c r="G40" i="1"/>
  <c r="G29" i="12" s="1"/>
  <c r="G41" i="1"/>
  <c r="G30" i="12" s="1"/>
  <c r="G43" i="1"/>
  <c r="G32" i="12" s="1"/>
  <c r="J44" i="1"/>
  <c r="J29" i="11" s="1"/>
  <c r="G44" i="1"/>
  <c r="G29" i="11" s="1"/>
  <c r="G45" i="1"/>
  <c r="G30" i="11" s="1"/>
  <c r="G46" i="1"/>
  <c r="G33" i="12" s="1"/>
  <c r="G47" i="1"/>
  <c r="G31" i="11" s="1"/>
  <c r="G48" i="1"/>
  <c r="G32" i="11" s="1"/>
  <c r="G49" i="1"/>
  <c r="G33" i="11" s="1"/>
  <c r="G50" i="1"/>
  <c r="G34" i="11" s="1"/>
  <c r="G51" i="1"/>
  <c r="G30" i="5" s="1"/>
  <c r="G53" i="1"/>
  <c r="G34" i="12" s="1"/>
  <c r="G54" i="1"/>
  <c r="G35" i="12" s="1"/>
  <c r="G55" i="1"/>
  <c r="G35" i="11" s="1"/>
  <c r="G56" i="1"/>
  <c r="G36" i="11" s="1"/>
  <c r="G57" i="1"/>
  <c r="G37" i="11" s="1"/>
  <c r="G58" i="1"/>
  <c r="G38" i="11" s="1"/>
  <c r="G60" i="1"/>
  <c r="G40" i="11" s="1"/>
  <c r="G61" i="1"/>
  <c r="G41" i="11" s="1"/>
  <c r="G62" i="1"/>
  <c r="G42" i="11" s="1"/>
  <c r="G64" i="1"/>
  <c r="G44" i="11" s="1"/>
  <c r="G65" i="1"/>
  <c r="G45" i="11" s="1"/>
  <c r="G69" i="1"/>
  <c r="G49" i="11" s="1"/>
  <c r="G71" i="1"/>
  <c r="G29" i="10" s="1"/>
  <c r="G72" i="1"/>
  <c r="G51" i="11" s="1"/>
  <c r="G73" i="1"/>
  <c r="G52" i="11" s="1"/>
  <c r="G74" i="1"/>
  <c r="G53" i="11" s="1"/>
  <c r="G75" i="1"/>
  <c r="G54" i="11" s="1"/>
  <c r="AJ82" i="1"/>
  <c r="G83" i="1"/>
  <c r="G62" i="11" s="1"/>
  <c r="I83" i="1"/>
  <c r="I62" i="11" s="1"/>
  <c r="AI83" i="1"/>
  <c r="AI62" i="11" s="1"/>
  <c r="G84" i="1"/>
  <c r="I84" i="1"/>
  <c r="I63" i="11" s="1"/>
  <c r="AI84" i="1"/>
  <c r="AI63" i="11" s="1"/>
  <c r="AJ85" i="1"/>
  <c r="G86" i="1"/>
  <c r="G65" i="11" s="1"/>
  <c r="I86" i="1"/>
  <c r="I65" i="11" s="1"/>
  <c r="AI86" i="1"/>
  <c r="AI65" i="11" s="1"/>
  <c r="G87" i="1"/>
  <c r="G66" i="11" s="1"/>
  <c r="I87" i="1"/>
  <c r="I66" i="11" s="1"/>
  <c r="AI87" i="1"/>
  <c r="AI66" i="11" s="1"/>
  <c r="J112" i="1"/>
  <c r="J44" i="10" s="1"/>
  <c r="AI112" i="1"/>
  <c r="AI44" i="10" s="1"/>
  <c r="G112" i="1"/>
  <c r="G44" i="10" s="1"/>
  <c r="G115" i="1"/>
  <c r="G45" i="10" s="1"/>
  <c r="G116" i="1"/>
  <c r="G46" i="10" s="1"/>
  <c r="G139" i="1"/>
  <c r="G63" i="10" s="1"/>
  <c r="G140" i="1"/>
  <c r="G64" i="10" s="1"/>
  <c r="G141" i="1"/>
  <c r="G65" i="10" s="1"/>
  <c r="G143" i="1"/>
  <c r="G71" i="11" s="1"/>
  <c r="G144" i="1"/>
  <c r="G67" i="10" s="1"/>
  <c r="G147" i="1"/>
  <c r="G70" i="10" s="1"/>
  <c r="G149" i="1"/>
  <c r="G72" i="10" s="1"/>
  <c r="G153" i="1"/>
  <c r="G74" i="10" s="1"/>
  <c r="G154" i="1"/>
  <c r="G75" i="10" s="1"/>
  <c r="AJ157" i="1"/>
  <c r="G160" i="1"/>
  <c r="G52" i="5" s="1"/>
  <c r="G161" i="1"/>
  <c r="G53" i="5" s="1"/>
  <c r="G162" i="1"/>
  <c r="G54" i="5" s="1"/>
  <c r="G163" i="1"/>
  <c r="G55" i="5" s="1"/>
  <c r="G166" i="1"/>
  <c r="G80" i="10" s="1"/>
  <c r="G167" i="1"/>
  <c r="G58" i="5" s="1"/>
  <c r="G168" i="1"/>
  <c r="G59" i="5" s="1"/>
  <c r="G169" i="1"/>
  <c r="G60" i="5" s="1"/>
  <c r="G170" i="1"/>
  <c r="G61" i="5" s="1"/>
  <c r="G171" i="1"/>
  <c r="G62" i="5" s="1"/>
  <c r="G172" i="1"/>
  <c r="G63" i="5" s="1"/>
  <c r="G173" i="1"/>
  <c r="G64" i="5" s="1"/>
  <c r="G176" i="1"/>
  <c r="I176" i="1"/>
  <c r="G178" i="1"/>
  <c r="G67" i="12" s="1"/>
  <c r="G179" i="1"/>
  <c r="G68" i="12" s="1"/>
  <c r="G181" i="1"/>
  <c r="G70" i="12" s="1"/>
  <c r="G182" i="1"/>
  <c r="G71" i="12" s="1"/>
  <c r="G183" i="1"/>
  <c r="G72" i="12" s="1"/>
  <c r="G184" i="1"/>
  <c r="G73" i="12" s="1"/>
  <c r="G185" i="1"/>
  <c r="G74" i="12" s="1"/>
  <c r="G189" i="1"/>
  <c r="G78" i="12" s="1"/>
  <c r="G192" i="1"/>
  <c r="G81" i="12" s="1"/>
  <c r="G193" i="1"/>
  <c r="G82" i="12" s="1"/>
  <c r="G194" i="1"/>
  <c r="G83" i="12" s="1"/>
  <c r="G195" i="1"/>
  <c r="G84" i="12" s="1"/>
  <c r="G226" i="1"/>
  <c r="G80" i="5" s="1"/>
  <c r="G228" i="1"/>
  <c r="G81" i="5" s="1"/>
  <c r="G230" i="1"/>
  <c r="G91" i="10" s="1"/>
  <c r="G231" i="1"/>
  <c r="G82" i="5" s="1"/>
  <c r="G232" i="1"/>
  <c r="G83" i="5" s="1"/>
  <c r="G233" i="1"/>
  <c r="G84" i="5" s="1"/>
  <c r="G236" i="1"/>
  <c r="G87" i="5" s="1"/>
  <c r="G248" i="1"/>
  <c r="G94" i="5" s="1"/>
  <c r="G246" i="1"/>
  <c r="G95" i="10" s="1"/>
  <c r="G247" i="1"/>
  <c r="G93" i="5" s="1"/>
  <c r="G251" i="1"/>
  <c r="G97" i="5" s="1"/>
  <c r="G249" i="1"/>
  <c r="G95" i="5" s="1"/>
  <c r="G252" i="1"/>
  <c r="G98" i="5" s="1"/>
  <c r="G267" i="1"/>
  <c r="G77" i="11" s="1"/>
  <c r="G269" i="1"/>
  <c r="G79" i="11" s="1"/>
  <c r="G271" i="1"/>
  <c r="G106" i="10" s="1"/>
  <c r="J277" i="1"/>
  <c r="J107" i="10" s="1"/>
  <c r="G277" i="1"/>
  <c r="G107" i="10" s="1"/>
  <c r="AB383" i="1"/>
  <c r="D171" i="10"/>
  <c r="D173" i="10"/>
  <c r="G470" i="1"/>
  <c r="G479" i="1" s="1"/>
  <c r="D192" i="10"/>
  <c r="G19" i="22"/>
  <c r="E19" i="22"/>
  <c r="G24" i="22"/>
  <c r="E24" i="22"/>
  <c r="E9" i="22"/>
  <c r="G14" i="22"/>
  <c r="E14" i="22"/>
  <c r="G9" i="22"/>
  <c r="K173" i="10"/>
  <c r="I139" i="1"/>
  <c r="I63" i="10" s="1"/>
  <c r="Q171" i="10"/>
  <c r="G171" i="10"/>
  <c r="D194" i="10"/>
  <c r="D169" i="10"/>
  <c r="I178" i="1"/>
  <c r="I67" i="12" s="1"/>
  <c r="AI178" i="1"/>
  <c r="AI67" i="12" s="1"/>
  <c r="I303" i="1"/>
  <c r="I106" i="11" s="1"/>
  <c r="I312" i="1"/>
  <c r="I115" i="11" s="1"/>
  <c r="M194" i="10"/>
  <c r="U194" i="10"/>
  <c r="M192" i="10"/>
  <c r="J173" i="10"/>
  <c r="Q101" i="5" l="1"/>
  <c r="Q99" i="10"/>
  <c r="AJ99" i="10" s="1"/>
  <c r="Q99" i="5"/>
  <c r="AJ99" i="5" s="1"/>
  <c r="Q97" i="10"/>
  <c r="AJ97" i="10" s="1"/>
  <c r="Q100" i="5"/>
  <c r="Q98" i="10"/>
  <c r="AJ98" i="10" s="1"/>
  <c r="G100" i="10"/>
  <c r="Q159" i="11"/>
  <c r="AJ159" i="11" s="1"/>
  <c r="Q136" i="5"/>
  <c r="Q160" i="11"/>
  <c r="AJ160" i="11" s="1"/>
  <c r="Q137" i="5"/>
  <c r="AJ137" i="5" s="1"/>
  <c r="Q162" i="11"/>
  <c r="Q138" i="5"/>
  <c r="G123" i="11"/>
  <c r="AB385" i="1"/>
  <c r="AB161" i="11"/>
  <c r="AJ161" i="11" s="1"/>
  <c r="G201" i="1"/>
  <c r="G37" i="10"/>
  <c r="G81" i="10" s="1"/>
  <c r="G90" i="12"/>
  <c r="Q60" i="10"/>
  <c r="Q61" i="12"/>
  <c r="Q49" i="5"/>
  <c r="G321" i="1"/>
  <c r="G257" i="1"/>
  <c r="Q84" i="1"/>
  <c r="Q63" i="11" s="1"/>
  <c r="G63" i="11"/>
  <c r="G67" i="11" s="1"/>
  <c r="Q385" i="1"/>
  <c r="G31" i="10"/>
  <c r="J24" i="5"/>
  <c r="G32" i="5"/>
  <c r="AI67" i="11"/>
  <c r="G23" i="12"/>
  <c r="G88" i="1"/>
  <c r="AJ114" i="11"/>
  <c r="AJ76" i="11"/>
  <c r="AC174" i="11"/>
  <c r="AC176" i="11" s="1"/>
  <c r="AC18" i="11" s="1"/>
  <c r="P174" i="11"/>
  <c r="P176" i="11" s="1"/>
  <c r="P18" i="11" s="1"/>
  <c r="M196" i="10"/>
  <c r="AD174" i="11"/>
  <c r="AD176" i="11" s="1"/>
  <c r="AD18" i="11" s="1"/>
  <c r="R174" i="11"/>
  <c r="R176" i="11" s="1"/>
  <c r="R18" i="11" s="1"/>
  <c r="J121" i="1"/>
  <c r="J48" i="5" s="1"/>
  <c r="J48" i="1"/>
  <c r="J32" i="11" s="1"/>
  <c r="K38" i="1"/>
  <c r="K29" i="5" s="1"/>
  <c r="J38" i="1"/>
  <c r="J29" i="5" s="1"/>
  <c r="J49" i="1"/>
  <c r="J33" i="11" s="1"/>
  <c r="J47" i="1"/>
  <c r="J31" i="11" s="1"/>
  <c r="J116" i="1"/>
  <c r="J46" i="10" s="1"/>
  <c r="J78" i="1"/>
  <c r="J60" i="1"/>
  <c r="J40" i="11" s="1"/>
  <c r="K44" i="1"/>
  <c r="K29" i="11" s="1"/>
  <c r="J31" i="1"/>
  <c r="J23" i="11" s="1"/>
  <c r="AB174" i="11"/>
  <c r="AB176" i="11" s="1"/>
  <c r="AB18" i="11" s="1"/>
  <c r="O174" i="11"/>
  <c r="Z196" i="10"/>
  <c r="L196" i="10"/>
  <c r="G72" i="11"/>
  <c r="Y196" i="10"/>
  <c r="K196" i="10"/>
  <c r="X196" i="10"/>
  <c r="J196" i="10"/>
  <c r="W196" i="10"/>
  <c r="I196" i="10"/>
  <c r="AH196" i="10"/>
  <c r="V196" i="10"/>
  <c r="H196" i="10"/>
  <c r="AA174" i="11"/>
  <c r="AA176" i="11" s="1"/>
  <c r="AA18" i="11" s="1"/>
  <c r="N174" i="11"/>
  <c r="N176" i="11" s="1"/>
  <c r="N18" i="11" s="1"/>
  <c r="G196" i="10"/>
  <c r="AG196" i="10"/>
  <c r="U196" i="10"/>
  <c r="F196" i="10"/>
  <c r="Q196" i="10"/>
  <c r="AF196" i="10"/>
  <c r="T196" i="10"/>
  <c r="AI196" i="10"/>
  <c r="AE196" i="10"/>
  <c r="S196" i="10"/>
  <c r="AD196" i="10"/>
  <c r="R196" i="10"/>
  <c r="AC196" i="10"/>
  <c r="P196" i="10"/>
  <c r="AB196" i="10"/>
  <c r="O196" i="10"/>
  <c r="AA196" i="10"/>
  <c r="N196" i="10"/>
  <c r="G174" i="11"/>
  <c r="G176" i="11" s="1"/>
  <c r="G18" i="11" s="1"/>
  <c r="J174" i="11"/>
  <c r="J176" i="11" s="1"/>
  <c r="J18" i="11" s="1"/>
  <c r="AH174" i="11"/>
  <c r="AH176" i="11" s="1"/>
  <c r="AH18" i="11" s="1"/>
  <c r="V174" i="11"/>
  <c r="V176" i="11" s="1"/>
  <c r="V18" i="11" s="1"/>
  <c r="F174" i="11"/>
  <c r="F176" i="11" s="1"/>
  <c r="F18" i="11" s="1"/>
  <c r="AG174" i="11"/>
  <c r="AG176" i="11" s="1"/>
  <c r="AG18" i="11" s="1"/>
  <c r="U174" i="11"/>
  <c r="U176" i="11" s="1"/>
  <c r="U18" i="11" s="1"/>
  <c r="AE174" i="11"/>
  <c r="AE176" i="11" s="1"/>
  <c r="AE18" i="11" s="1"/>
  <c r="S174" i="11"/>
  <c r="S176" i="11" s="1"/>
  <c r="S18" i="11" s="1"/>
  <c r="Z174" i="11"/>
  <c r="Z176" i="11" s="1"/>
  <c r="Z18" i="11" s="1"/>
  <c r="M174" i="11"/>
  <c r="M176" i="11" s="1"/>
  <c r="M18" i="11" s="1"/>
  <c r="Y174" i="11"/>
  <c r="Y176" i="11" s="1"/>
  <c r="Y18" i="11" s="1"/>
  <c r="L174" i="11"/>
  <c r="L176" i="11" s="1"/>
  <c r="L18" i="11" s="1"/>
  <c r="X174" i="11"/>
  <c r="X176" i="11" s="1"/>
  <c r="X18" i="11" s="1"/>
  <c r="I174" i="11"/>
  <c r="I176" i="11" s="1"/>
  <c r="I18" i="11" s="1"/>
  <c r="AI174" i="11"/>
  <c r="AI176" i="11" s="1"/>
  <c r="AI18" i="11" s="1"/>
  <c r="W174" i="11"/>
  <c r="W176" i="11" s="1"/>
  <c r="W18" i="11" s="1"/>
  <c r="H174" i="11"/>
  <c r="H176" i="11" s="1"/>
  <c r="H18" i="11" s="1"/>
  <c r="AF174" i="11"/>
  <c r="AF176" i="11" s="1"/>
  <c r="AF18" i="11" s="1"/>
  <c r="T174" i="11"/>
  <c r="T176" i="11" s="1"/>
  <c r="T18" i="11" s="1"/>
  <c r="AI30" i="1"/>
  <c r="AI25" i="12" s="1"/>
  <c r="AJ470" i="1"/>
  <c r="AJ479" i="1" s="1"/>
  <c r="AJ194" i="10"/>
  <c r="AJ185" i="10"/>
  <c r="AJ182" i="10"/>
  <c r="AJ192" i="10"/>
  <c r="AJ173" i="10"/>
  <c r="AJ171" i="10"/>
  <c r="G111" i="10"/>
  <c r="AJ171" i="11"/>
  <c r="K303" i="1"/>
  <c r="K106" i="11" s="1"/>
  <c r="AI247" i="1"/>
  <c r="U247" i="1"/>
  <c r="M242" i="1"/>
  <c r="M91" i="5" s="1"/>
  <c r="M173" i="1"/>
  <c r="M64" i="5" s="1"/>
  <c r="J172" i="1"/>
  <c r="J63" i="5" s="1"/>
  <c r="AI193" i="1"/>
  <c r="AI82" i="12" s="1"/>
  <c r="K194" i="1"/>
  <c r="K83" i="12" s="1"/>
  <c r="M153" i="1"/>
  <c r="M74" i="10" s="1"/>
  <c r="K154" i="1"/>
  <c r="K75" i="10" s="1"/>
  <c r="M169" i="1"/>
  <c r="M60" i="5" s="1"/>
  <c r="M170" i="1"/>
  <c r="M61" i="5" s="1"/>
  <c r="K167" i="1"/>
  <c r="K58" i="5" s="1"/>
  <c r="J167" i="1"/>
  <c r="J58" i="5" s="1"/>
  <c r="AI131" i="1"/>
  <c r="AI60" i="12" s="1"/>
  <c r="S115" i="1"/>
  <c r="J101" i="1"/>
  <c r="K83" i="1"/>
  <c r="K62" i="11" s="1"/>
  <c r="K84" i="1"/>
  <c r="K63" i="11" s="1"/>
  <c r="K78" i="1"/>
  <c r="K57" i="11" s="1"/>
  <c r="K71" i="1"/>
  <c r="K29" i="10" s="1"/>
  <c r="K31" i="10" s="1"/>
  <c r="J71" i="1"/>
  <c r="J29" i="10" s="1"/>
  <c r="M74" i="1"/>
  <c r="M53" i="11" s="1"/>
  <c r="J74" i="1"/>
  <c r="J53" i="11" s="1"/>
  <c r="K86" i="1"/>
  <c r="K65" i="11" s="1"/>
  <c r="J77" i="1"/>
  <c r="J56" i="11" s="1"/>
  <c r="M75" i="1"/>
  <c r="M54" i="11" s="1"/>
  <c r="J75" i="1"/>
  <c r="J54" i="11" s="1"/>
  <c r="J69" i="1"/>
  <c r="J49" i="11" s="1"/>
  <c r="K69" i="1"/>
  <c r="K49" i="11" s="1"/>
  <c r="J59" i="1"/>
  <c r="J39" i="11" s="1"/>
  <c r="K59" i="1"/>
  <c r="K39" i="11" s="1"/>
  <c r="K42" i="1"/>
  <c r="K31" i="12" s="1"/>
  <c r="K40" i="1"/>
  <c r="K29" i="12" s="1"/>
  <c r="K43" i="1"/>
  <c r="K32" i="12" s="1"/>
  <c r="K45" i="1"/>
  <c r="K30" i="11" s="1"/>
  <c r="K30" i="1"/>
  <c r="K25" i="12" s="1"/>
  <c r="K26" i="1"/>
  <c r="AD189" i="10"/>
  <c r="X189" i="10"/>
  <c r="AE201" i="10"/>
  <c r="S201" i="10"/>
  <c r="AA201" i="10"/>
  <c r="N201" i="10"/>
  <c r="Y201" i="10"/>
  <c r="AI189" i="10"/>
  <c r="W189" i="10"/>
  <c r="H189" i="10"/>
  <c r="AI201" i="10"/>
  <c r="W201" i="10"/>
  <c r="H201" i="10"/>
  <c r="AC189" i="10"/>
  <c r="L189" i="10"/>
  <c r="I189" i="10"/>
  <c r="Z189" i="10"/>
  <c r="R189" i="10"/>
  <c r="Y189" i="10"/>
  <c r="P189" i="10"/>
  <c r="AH189" i="10"/>
  <c r="V189" i="10"/>
  <c r="G189" i="10"/>
  <c r="AG189" i="10"/>
  <c r="U189" i="10"/>
  <c r="F189" i="10"/>
  <c r="AG201" i="10"/>
  <c r="AF189" i="10"/>
  <c r="T189" i="10"/>
  <c r="AE189" i="10"/>
  <c r="S189" i="10"/>
  <c r="P201" i="10"/>
  <c r="AB189" i="10"/>
  <c r="O189" i="10"/>
  <c r="AA189" i="10"/>
  <c r="N189" i="10"/>
  <c r="J189" i="10"/>
  <c r="M189" i="10"/>
  <c r="AB201" i="10"/>
  <c r="T201" i="10"/>
  <c r="I201" i="10"/>
  <c r="G201" i="10"/>
  <c r="AH201" i="10"/>
  <c r="Z201" i="10"/>
  <c r="R201" i="10"/>
  <c r="F201" i="10"/>
  <c r="AF201" i="10"/>
  <c r="X201" i="10"/>
  <c r="O201" i="10"/>
  <c r="AD201" i="10"/>
  <c r="V201" i="10"/>
  <c r="M201" i="10"/>
  <c r="AC201" i="10"/>
  <c r="U201" i="10"/>
  <c r="L201" i="10"/>
  <c r="J64" i="1"/>
  <c r="J44" i="11" s="1"/>
  <c r="J62" i="1"/>
  <c r="J42" i="11" s="1"/>
  <c r="AI271" i="1"/>
  <c r="AI285" i="1"/>
  <c r="AI89" i="11" s="1"/>
  <c r="V67" i="5"/>
  <c r="V184" i="5" s="1"/>
  <c r="V135" i="12"/>
  <c r="J189" i="1"/>
  <c r="J78" i="12" s="1"/>
  <c r="AI124" i="1"/>
  <c r="AI59" i="12" s="1"/>
  <c r="AI185" i="1"/>
  <c r="AI74" i="12" s="1"/>
  <c r="AI304" i="1"/>
  <c r="AI107" i="11" s="1"/>
  <c r="J246" i="1"/>
  <c r="J95" i="10" s="1"/>
  <c r="J251" i="1"/>
  <c r="J96" i="10" s="1"/>
  <c r="J236" i="1"/>
  <c r="J87" i="5" s="1"/>
  <c r="J55" i="1"/>
  <c r="J35" i="11" s="1"/>
  <c r="AI54" i="1"/>
  <c r="AI35" i="12" s="1"/>
  <c r="AJ215" i="1"/>
  <c r="M51" i="1"/>
  <c r="M30" i="5" s="1"/>
  <c r="AB136" i="1"/>
  <c r="J120" i="1"/>
  <c r="J47" i="5" s="1"/>
  <c r="K304" i="1"/>
  <c r="K107" i="11" s="1"/>
  <c r="AI288" i="1"/>
  <c r="AI92" i="11" s="1"/>
  <c r="M288" i="1"/>
  <c r="M92" i="11" s="1"/>
  <c r="K312" i="1"/>
  <c r="K115" i="11" s="1"/>
  <c r="AI269" i="1"/>
  <c r="AI79" i="11" s="1"/>
  <c r="J238" i="1"/>
  <c r="J88" i="5" s="1"/>
  <c r="K206" i="1"/>
  <c r="K71" i="5" s="1"/>
  <c r="K185" i="1"/>
  <c r="K74" i="12" s="1"/>
  <c r="M182" i="1"/>
  <c r="M71" i="12" s="1"/>
  <c r="AI183" i="1"/>
  <c r="AI72" i="12" s="1"/>
  <c r="K184" i="1"/>
  <c r="K73" i="12" s="1"/>
  <c r="AI184" i="1"/>
  <c r="AI73" i="12" s="1"/>
  <c r="AI181" i="1"/>
  <c r="AI70" i="12" s="1"/>
  <c r="J143" i="1"/>
  <c r="J179" i="1"/>
  <c r="J68" i="12" s="1"/>
  <c r="K144" i="1"/>
  <c r="K67" i="10" s="1"/>
  <c r="J140" i="1"/>
  <c r="J64" i="10" s="1"/>
  <c r="K163" i="1"/>
  <c r="K55" i="5" s="1"/>
  <c r="J161" i="1"/>
  <c r="J53" i="5" s="1"/>
  <c r="M160" i="1"/>
  <c r="M52" i="5" s="1"/>
  <c r="AI121" i="1"/>
  <c r="AI48" i="5" s="1"/>
  <c r="K93" i="1"/>
  <c r="K41" i="12" s="1"/>
  <c r="J58" i="1"/>
  <c r="J38" i="11" s="1"/>
  <c r="K62" i="1"/>
  <c r="K42" i="11" s="1"/>
  <c r="I62" i="1"/>
  <c r="I42" i="11" s="1"/>
  <c r="J52" i="1"/>
  <c r="J31" i="5" s="1"/>
  <c r="AJ276" i="1"/>
  <c r="AJ250" i="1"/>
  <c r="AJ237" i="1"/>
  <c r="AJ278" i="1"/>
  <c r="AG501" i="1"/>
  <c r="U501" i="1"/>
  <c r="U19" i="1" s="1"/>
  <c r="K61" i="1"/>
  <c r="K41" i="11" s="1"/>
  <c r="I55" i="1"/>
  <c r="I35" i="11" s="1"/>
  <c r="U265" i="1"/>
  <c r="U110" i="12" s="1"/>
  <c r="U98" i="1"/>
  <c r="U43" i="12" s="1"/>
  <c r="AI102" i="1"/>
  <c r="AI38" i="10" s="1"/>
  <c r="K149" i="1"/>
  <c r="K72" i="10" s="1"/>
  <c r="AF501" i="1"/>
  <c r="T501" i="1"/>
  <c r="T19" i="1" s="1"/>
  <c r="I42" i="1"/>
  <c r="I31" i="12" s="1"/>
  <c r="I162" i="1"/>
  <c r="I54" i="5" s="1"/>
  <c r="I180" i="1"/>
  <c r="I69" i="12" s="1"/>
  <c r="K55" i="1"/>
  <c r="K35" i="11" s="1"/>
  <c r="I50" i="1"/>
  <c r="I34" i="11" s="1"/>
  <c r="M39" i="1"/>
  <c r="M28" i="12" s="1"/>
  <c r="J51" i="1"/>
  <c r="J30" i="5" s="1"/>
  <c r="I98" i="1"/>
  <c r="I43" i="12" s="1"/>
  <c r="AI52" i="12"/>
  <c r="I149" i="1"/>
  <c r="I72" i="10" s="1"/>
  <c r="AE501" i="1"/>
  <c r="AE19" i="1" s="1"/>
  <c r="S501" i="1"/>
  <c r="AJ239" i="1"/>
  <c r="AJ213" i="1"/>
  <c r="I124" i="1"/>
  <c r="I59" i="12" s="1"/>
  <c r="J223" i="1"/>
  <c r="J89" i="10" s="1"/>
  <c r="I39" i="1"/>
  <c r="I28" i="12" s="1"/>
  <c r="I51" i="1"/>
  <c r="I30" i="5" s="1"/>
  <c r="M266" i="1"/>
  <c r="M109" i="5" s="1"/>
  <c r="M106" i="1"/>
  <c r="M42" i="5" s="1"/>
  <c r="M120" i="1"/>
  <c r="M47" i="5" s="1"/>
  <c r="I189" i="1"/>
  <c r="I78" i="12" s="1"/>
  <c r="J221" i="1"/>
  <c r="J78" i="5" s="1"/>
  <c r="I304" i="1"/>
  <c r="I107" i="11" s="1"/>
  <c r="AD501" i="1"/>
  <c r="AD19" i="1" s="1"/>
  <c r="R501" i="1"/>
  <c r="R19" i="1" s="1"/>
  <c r="I31" i="1"/>
  <c r="I23" i="11" s="1"/>
  <c r="I72" i="1"/>
  <c r="I51" i="11" s="1"/>
  <c r="I99" i="1"/>
  <c r="I44" i="12" s="1"/>
  <c r="AC501" i="1"/>
  <c r="AC19" i="1" s="1"/>
  <c r="P501" i="1"/>
  <c r="P19" i="1" s="1"/>
  <c r="AJ253" i="1"/>
  <c r="K130" i="10"/>
  <c r="K73" i="1"/>
  <c r="K52" i="11" s="1"/>
  <c r="I264" i="1"/>
  <c r="I109" i="12" s="1"/>
  <c r="K171" i="1"/>
  <c r="K62" i="5" s="1"/>
  <c r="AB501" i="1"/>
  <c r="AB19" i="1" s="1"/>
  <c r="O501" i="1"/>
  <c r="O19" i="1" s="1"/>
  <c r="AJ279" i="1"/>
  <c r="AJ272" i="1"/>
  <c r="U43" i="1"/>
  <c r="U32" i="12" s="1"/>
  <c r="U53" i="1"/>
  <c r="U34" i="12" s="1"/>
  <c r="I73" i="1"/>
  <c r="I52" i="11" s="1"/>
  <c r="I265" i="1"/>
  <c r="I110" i="12" s="1"/>
  <c r="I226" i="1"/>
  <c r="I80" i="5" s="1"/>
  <c r="AI128" i="1"/>
  <c r="AI53" i="10" s="1"/>
  <c r="AA501" i="1"/>
  <c r="AA19" i="1" s="1"/>
  <c r="N501" i="1"/>
  <c r="N19" i="1" s="1"/>
  <c r="I34" i="1"/>
  <c r="I26" i="11" s="1"/>
  <c r="AJ280" i="1"/>
  <c r="M207" i="1"/>
  <c r="M94" i="12" s="1"/>
  <c r="I47" i="1"/>
  <c r="I31" i="11" s="1"/>
  <c r="I214" i="1"/>
  <c r="I74" i="5" s="1"/>
  <c r="U122" i="1"/>
  <c r="U57" i="12" s="1"/>
  <c r="I306" i="1"/>
  <c r="I109" i="11" s="1"/>
  <c r="Z501" i="1"/>
  <c r="Z19" i="1" s="1"/>
  <c r="AJ281" i="1"/>
  <c r="I207" i="1"/>
  <c r="I94" i="12" s="1"/>
  <c r="I271" i="1"/>
  <c r="I106" i="10" s="1"/>
  <c r="I206" i="1"/>
  <c r="I71" i="5" s="1"/>
  <c r="I58" i="1"/>
  <c r="I38" i="11" s="1"/>
  <c r="M41" i="1"/>
  <c r="M30" i="12" s="1"/>
  <c r="U28" i="1"/>
  <c r="AI26" i="1"/>
  <c r="M54" i="1"/>
  <c r="M35" i="12" s="1"/>
  <c r="AI108" i="1"/>
  <c r="AI49" i="12" s="1"/>
  <c r="I122" i="1"/>
  <c r="I57" i="12" s="1"/>
  <c r="AI182" i="1"/>
  <c r="AI71" i="12" s="1"/>
  <c r="M192" i="1"/>
  <c r="M81" i="12" s="1"/>
  <c r="Y501" i="1"/>
  <c r="Y19" i="1" s="1"/>
  <c r="L501" i="1"/>
  <c r="L19" i="1" s="1"/>
  <c r="M37" i="1"/>
  <c r="M28" i="5" s="1"/>
  <c r="M217" i="1"/>
  <c r="M97" i="12" s="1"/>
  <c r="M91" i="10"/>
  <c r="U123" i="1"/>
  <c r="U58" i="12" s="1"/>
  <c r="I192" i="1"/>
  <c r="I81" i="12" s="1"/>
  <c r="I307" i="1"/>
  <c r="I110" i="11" s="1"/>
  <c r="F501" i="1"/>
  <c r="F19" i="1" s="1"/>
  <c r="X501" i="1"/>
  <c r="X19" i="1" s="1"/>
  <c r="I52" i="1"/>
  <c r="I31" i="5" s="1"/>
  <c r="I46" i="1"/>
  <c r="I33" i="12" s="1"/>
  <c r="K236" i="1"/>
  <c r="K87" i="5" s="1"/>
  <c r="K141" i="1"/>
  <c r="K65" i="10" s="1"/>
  <c r="I167" i="1"/>
  <c r="I58" i="5" s="1"/>
  <c r="W501" i="1"/>
  <c r="W19" i="1" s="1"/>
  <c r="H501" i="1"/>
  <c r="H19" i="1" s="1"/>
  <c r="I38" i="1"/>
  <c r="I29" i="5" s="1"/>
  <c r="M247" i="1"/>
  <c r="M93" i="5" s="1"/>
  <c r="AI29" i="1"/>
  <c r="AI24" i="12" s="1"/>
  <c r="I56" i="1"/>
  <c r="I36" i="11" s="1"/>
  <c r="AI275" i="1"/>
  <c r="AI112" i="5" s="1"/>
  <c r="K219" i="1"/>
  <c r="I236" i="1"/>
  <c r="I87" i="5" s="1"/>
  <c r="K139" i="1"/>
  <c r="K63" i="10" s="1"/>
  <c r="U124" i="1"/>
  <c r="U59" i="12" s="1"/>
  <c r="K162" i="1"/>
  <c r="K54" i="5" s="1"/>
  <c r="M131" i="1"/>
  <c r="M60" i="12" s="1"/>
  <c r="AH501" i="1"/>
  <c r="AH19" i="1" s="1"/>
  <c r="V501" i="1"/>
  <c r="M305" i="1"/>
  <c r="M108" i="11" s="1"/>
  <c r="I195" i="1"/>
  <c r="I84" i="12" s="1"/>
  <c r="I288" i="1"/>
  <c r="I92" i="11" s="1"/>
  <c r="AI282" i="1"/>
  <c r="AI86" i="11" s="1"/>
  <c r="M277" i="1"/>
  <c r="K267" i="1"/>
  <c r="K77" i="11" s="1"/>
  <c r="J267" i="1"/>
  <c r="J77" i="11" s="1"/>
  <c r="I268" i="1"/>
  <c r="I78" i="11" s="1"/>
  <c r="AI268" i="1"/>
  <c r="AI78" i="11" s="1"/>
  <c r="J169" i="10"/>
  <c r="J176" i="10" s="1"/>
  <c r="I216" i="1"/>
  <c r="I76" i="5" s="1"/>
  <c r="I64" i="1"/>
  <c r="I44" i="11" s="1"/>
  <c r="I45" i="1"/>
  <c r="I30" i="11" s="1"/>
  <c r="K307" i="1"/>
  <c r="K110" i="11" s="1"/>
  <c r="I179" i="1"/>
  <c r="I68" i="12" s="1"/>
  <c r="J235" i="1"/>
  <c r="J86" i="5" s="1"/>
  <c r="I210" i="1"/>
  <c r="I86" i="10" s="1"/>
  <c r="I181" i="1"/>
  <c r="I70" i="12" s="1"/>
  <c r="I128" i="1"/>
  <c r="I53" i="10" s="1"/>
  <c r="K216" i="1"/>
  <c r="K76" i="5" s="1"/>
  <c r="I194" i="1"/>
  <c r="I83" i="12" s="1"/>
  <c r="I163" i="1"/>
  <c r="I55" i="5" s="1"/>
  <c r="I32" i="1"/>
  <c r="I24" i="11" s="1"/>
  <c r="I102" i="1"/>
  <c r="I38" i="10" s="1"/>
  <c r="I305" i="1"/>
  <c r="I108" i="11" s="1"/>
  <c r="K169" i="10"/>
  <c r="K176" i="10" s="1"/>
  <c r="AI264" i="1"/>
  <c r="AI109" i="12" s="1"/>
  <c r="K269" i="1"/>
  <c r="K79" i="11" s="1"/>
  <c r="I238" i="1"/>
  <c r="I88" i="5" s="1"/>
  <c r="U219" i="1"/>
  <c r="U99" i="12" s="1"/>
  <c r="M224" i="1"/>
  <c r="M79" i="5" s="1"/>
  <c r="J224" i="1"/>
  <c r="J79" i="5" s="1"/>
  <c r="I251" i="1"/>
  <c r="M225" i="1"/>
  <c r="M90" i="10" s="1"/>
  <c r="I172" i="1"/>
  <c r="I63" i="5" s="1"/>
  <c r="I182" i="1"/>
  <c r="I71" i="12" s="1"/>
  <c r="M29" i="1"/>
  <c r="M24" i="12" s="1"/>
  <c r="I74" i="1"/>
  <c r="I53" i="11" s="1"/>
  <c r="U29" i="1"/>
  <c r="U24" i="12" s="1"/>
  <c r="AI217" i="1"/>
  <c r="AI97" i="12" s="1"/>
  <c r="U30" i="1"/>
  <c r="U25" i="12" s="1"/>
  <c r="I166" i="1"/>
  <c r="I80" i="10" s="1"/>
  <c r="K212" i="1"/>
  <c r="K87" i="10" s="1"/>
  <c r="K214" i="1"/>
  <c r="K74" i="5" s="1"/>
  <c r="I277" i="1"/>
  <c r="I107" i="10" s="1"/>
  <c r="AI123" i="1"/>
  <c r="AI58" i="12" s="1"/>
  <c r="I123" i="1"/>
  <c r="I58" i="12" s="1"/>
  <c r="I69" i="1"/>
  <c r="I49" i="11" s="1"/>
  <c r="I108" i="1"/>
  <c r="I49" i="12" s="1"/>
  <c r="I173" i="1"/>
  <c r="I64" i="5" s="1"/>
  <c r="I77" i="1"/>
  <c r="I56" i="11" s="1"/>
  <c r="AI209" i="1"/>
  <c r="AI96" i="12" s="1"/>
  <c r="I247" i="1"/>
  <c r="I93" i="5" s="1"/>
  <c r="M209" i="1"/>
  <c r="M96" i="12" s="1"/>
  <c r="Q169" i="11"/>
  <c r="M99" i="1"/>
  <c r="M44" i="12" s="1"/>
  <c r="K289" i="1"/>
  <c r="K93" i="11" s="1"/>
  <c r="K285" i="1"/>
  <c r="K89" i="11" s="1"/>
  <c r="AI208" i="1"/>
  <c r="AI95" i="12" s="1"/>
  <c r="I184" i="1"/>
  <c r="I73" i="12" s="1"/>
  <c r="K116" i="1"/>
  <c r="K46" i="10" s="1"/>
  <c r="K193" i="1"/>
  <c r="K82" i="12" s="1"/>
  <c r="K31" i="1"/>
  <c r="K23" i="11" s="1"/>
  <c r="M95" i="1"/>
  <c r="M37" i="5" s="1"/>
  <c r="J266" i="1"/>
  <c r="J109" i="5" s="1"/>
  <c r="AJ383" i="1"/>
  <c r="I208" i="1"/>
  <c r="I95" i="12" s="1"/>
  <c r="Q86" i="1"/>
  <c r="Q65" i="11" s="1"/>
  <c r="AI167" i="1"/>
  <c r="AI58" i="5" s="1"/>
  <c r="M123" i="1"/>
  <c r="M58" i="12" s="1"/>
  <c r="I285" i="1"/>
  <c r="I89" i="11" s="1"/>
  <c r="K32" i="1"/>
  <c r="K24" i="11" s="1"/>
  <c r="K180" i="1"/>
  <c r="K69" i="12" s="1"/>
  <c r="J180" i="1"/>
  <c r="J69" i="12" s="1"/>
  <c r="J268" i="1"/>
  <c r="J78" i="11" s="1"/>
  <c r="M210" i="1"/>
  <c r="M72" i="5" s="1"/>
  <c r="M97" i="1"/>
  <c r="M42" i="12" s="1"/>
  <c r="U97" i="1"/>
  <c r="U42" i="12" s="1"/>
  <c r="I131" i="1"/>
  <c r="I60" i="12" s="1"/>
  <c r="K268" i="1"/>
  <c r="K78" i="11" s="1"/>
  <c r="AJ381" i="1"/>
  <c r="U217" i="1"/>
  <c r="U97" i="12" s="1"/>
  <c r="K228" i="1"/>
  <c r="K81" i="5" s="1"/>
  <c r="L176" i="10"/>
  <c r="AI149" i="1"/>
  <c r="AI72" i="10" s="1"/>
  <c r="I40" i="1"/>
  <c r="I29" i="12" s="1"/>
  <c r="AI40" i="1"/>
  <c r="AI29" i="12" s="1"/>
  <c r="U40" i="1"/>
  <c r="U29" i="12" s="1"/>
  <c r="I282" i="1"/>
  <c r="I86" i="11" s="1"/>
  <c r="K223" i="1"/>
  <c r="K89" i="10" s="1"/>
  <c r="I193" i="1"/>
  <c r="I82" i="12" s="1"/>
  <c r="M168" i="1"/>
  <c r="M59" i="5" s="1"/>
  <c r="I274" i="1"/>
  <c r="I111" i="5" s="1"/>
  <c r="I185" i="1"/>
  <c r="I74" i="12" s="1"/>
  <c r="I26" i="1"/>
  <c r="AI160" i="1"/>
  <c r="AI52" i="5" s="1"/>
  <c r="F176" i="10"/>
  <c r="M220" i="1"/>
  <c r="M77" i="5" s="1"/>
  <c r="I160" i="1"/>
  <c r="I52" i="5" s="1"/>
  <c r="U100" i="1"/>
  <c r="U45" i="12" s="1"/>
  <c r="M114" i="1"/>
  <c r="M53" i="12" s="1"/>
  <c r="I75" i="1"/>
  <c r="I54" i="11" s="1"/>
  <c r="U176" i="10"/>
  <c r="J220" i="1"/>
  <c r="J77" i="5" s="1"/>
  <c r="U41" i="1"/>
  <c r="U30" i="12" s="1"/>
  <c r="K147" i="1"/>
  <c r="K70" i="10" s="1"/>
  <c r="I43" i="1"/>
  <c r="I32" i="12" s="1"/>
  <c r="AI50" i="12"/>
  <c r="K248" i="1"/>
  <c r="K94" i="5" s="1"/>
  <c r="M53" i="1"/>
  <c r="M34" i="12" s="1"/>
  <c r="I61" i="1"/>
  <c r="I41" i="11" s="1"/>
  <c r="I153" i="1"/>
  <c r="I74" i="10" s="1"/>
  <c r="M274" i="1"/>
  <c r="M111" i="5" s="1"/>
  <c r="I501" i="1"/>
  <c r="Q201" i="10"/>
  <c r="I267" i="1"/>
  <c r="I77" i="11" s="1"/>
  <c r="AI207" i="1"/>
  <c r="AI94" i="12" s="1"/>
  <c r="K58" i="1"/>
  <c r="K38" i="11" s="1"/>
  <c r="K195" i="1"/>
  <c r="K84" i="12" s="1"/>
  <c r="AJ176" i="1"/>
  <c r="M107" i="1"/>
  <c r="M43" i="5" s="1"/>
  <c r="Z176" i="10"/>
  <c r="AI107" i="1"/>
  <c r="AI43" i="5" s="1"/>
  <c r="K49" i="1"/>
  <c r="K33" i="11" s="1"/>
  <c r="S50" i="1"/>
  <c r="AI42" i="1"/>
  <c r="AI31" i="12" s="1"/>
  <c r="AI265" i="1"/>
  <c r="AI110" i="12" s="1"/>
  <c r="M31" i="5"/>
  <c r="AI106" i="1"/>
  <c r="AI42" i="5" s="1"/>
  <c r="I41" i="1"/>
  <c r="I30" i="12" s="1"/>
  <c r="K48" i="1"/>
  <c r="K32" i="11" s="1"/>
  <c r="K211" i="1"/>
  <c r="K73" i="5" s="1"/>
  <c r="I225" i="1"/>
  <c r="I90" i="10" s="1"/>
  <c r="I246" i="1"/>
  <c r="I95" i="10" s="1"/>
  <c r="I49" i="1"/>
  <c r="I33" i="11" s="1"/>
  <c r="AI169" i="10"/>
  <c r="AI176" i="10" s="1"/>
  <c r="U108" i="1"/>
  <c r="U49" i="12" s="1"/>
  <c r="M108" i="1"/>
  <c r="M49" i="12" s="1"/>
  <c r="U114" i="1"/>
  <c r="U53" i="12" s="1"/>
  <c r="I57" i="1"/>
  <c r="I37" i="11" s="1"/>
  <c r="I170" i="1"/>
  <c r="I61" i="5" s="1"/>
  <c r="M122" i="1"/>
  <c r="M57" i="12" s="1"/>
  <c r="I101" i="1"/>
  <c r="I37" i="10" s="1"/>
  <c r="I252" i="1"/>
  <c r="I98" i="5" s="1"/>
  <c r="AB256" i="1"/>
  <c r="Y176" i="10"/>
  <c r="I233" i="1"/>
  <c r="I84" i="5" s="1"/>
  <c r="AB176" i="10"/>
  <c r="O176" i="10"/>
  <c r="I93" i="1"/>
  <c r="I41" i="12" s="1"/>
  <c r="U39" i="1"/>
  <c r="U28" i="12" s="1"/>
  <c r="AI39" i="1"/>
  <c r="AI28" i="12" s="1"/>
  <c r="K271" i="1"/>
  <c r="I143" i="1"/>
  <c r="I71" i="11" s="1"/>
  <c r="I235" i="1"/>
  <c r="I86" i="5" s="1"/>
  <c r="U110" i="1"/>
  <c r="U51" i="12" s="1"/>
  <c r="I44" i="1"/>
  <c r="I29" i="11" s="1"/>
  <c r="M28" i="1"/>
  <c r="I168" i="1"/>
  <c r="I59" i="5" s="1"/>
  <c r="U42" i="1"/>
  <c r="U31" i="12" s="1"/>
  <c r="I54" i="1"/>
  <c r="I35" i="12" s="1"/>
  <c r="K87" i="1"/>
  <c r="K66" i="11" s="1"/>
  <c r="M252" i="1"/>
  <c r="M98" i="5" s="1"/>
  <c r="K226" i="1"/>
  <c r="K80" i="5" s="1"/>
  <c r="M233" i="1"/>
  <c r="M84" i="5" s="1"/>
  <c r="K101" i="1"/>
  <c r="K37" i="10" s="1"/>
  <c r="I121" i="1"/>
  <c r="I48" i="5" s="1"/>
  <c r="Q87" i="1"/>
  <c r="Q66" i="11" s="1"/>
  <c r="V176" i="10"/>
  <c r="K180" i="10"/>
  <c r="K189" i="10" s="1"/>
  <c r="I217" i="1"/>
  <c r="I97" i="12" s="1"/>
  <c r="I228" i="1"/>
  <c r="I81" i="5" s="1"/>
  <c r="K238" i="1"/>
  <c r="K88" i="5" s="1"/>
  <c r="AI97" i="1"/>
  <c r="AI42" i="12" s="1"/>
  <c r="I97" i="1"/>
  <c r="I42" i="12" s="1"/>
  <c r="K102" i="1"/>
  <c r="K38" i="10" s="1"/>
  <c r="AI141" i="1"/>
  <c r="AI65" i="10" s="1"/>
  <c r="I141" i="1"/>
  <c r="I65" i="10" s="1"/>
  <c r="AI53" i="1"/>
  <c r="AI34" i="12" s="1"/>
  <c r="I53" i="1"/>
  <c r="I34" i="12" s="1"/>
  <c r="I112" i="1"/>
  <c r="I44" i="10" s="1"/>
  <c r="AI28" i="1"/>
  <c r="AI23" i="12" s="1"/>
  <c r="I28" i="1"/>
  <c r="I23" i="12" s="1"/>
  <c r="I223" i="1"/>
  <c r="I89" i="10" s="1"/>
  <c r="I140" i="1"/>
  <c r="I64" i="10" s="1"/>
  <c r="M221" i="1"/>
  <c r="M78" i="5" s="1"/>
  <c r="K173" i="11"/>
  <c r="Q184" i="10"/>
  <c r="Q189" i="10" s="1"/>
  <c r="I144" i="1"/>
  <c r="I67" i="10" s="1"/>
  <c r="K128" i="1"/>
  <c r="K53" i="10" s="1"/>
  <c r="I169" i="1"/>
  <c r="I60" i="5" s="1"/>
  <c r="K189" i="1"/>
  <c r="K78" i="12" s="1"/>
  <c r="AA176" i="10"/>
  <c r="W176" i="10"/>
  <c r="M176" i="10"/>
  <c r="AH176" i="10"/>
  <c r="G176" i="10"/>
  <c r="K34" i="1"/>
  <c r="K26" i="11" s="1"/>
  <c r="Q176" i="10"/>
  <c r="Y16" i="1"/>
  <c r="AC176" i="10"/>
  <c r="P176" i="10"/>
  <c r="M275" i="1"/>
  <c r="M112" i="5" s="1"/>
  <c r="AG176" i="10"/>
  <c r="AH16" i="1"/>
  <c r="I116" i="1"/>
  <c r="I46" i="10" s="1"/>
  <c r="K249" i="1"/>
  <c r="K95" i="5" s="1"/>
  <c r="I37" i="1"/>
  <c r="I28" i="5" s="1"/>
  <c r="I29" i="1"/>
  <c r="I24" i="12" s="1"/>
  <c r="AI100" i="1"/>
  <c r="AI45" i="12" s="1"/>
  <c r="I110" i="1"/>
  <c r="I51" i="12" s="1"/>
  <c r="H176" i="10"/>
  <c r="R176" i="10"/>
  <c r="I100" i="1"/>
  <c r="I45" i="12" s="1"/>
  <c r="I234" i="1"/>
  <c r="I85" i="5" s="1"/>
  <c r="I120" i="1"/>
  <c r="I47" i="5" s="1"/>
  <c r="AE16" i="1"/>
  <c r="I71" i="1"/>
  <c r="I29" i="10" s="1"/>
  <c r="K112" i="1"/>
  <c r="K44" i="10" s="1"/>
  <c r="I232" i="1"/>
  <c r="I83" i="5" s="1"/>
  <c r="I220" i="1"/>
  <c r="I77" i="5" s="1"/>
  <c r="I248" i="1"/>
  <c r="I94" i="5" s="1"/>
  <c r="AF176" i="10"/>
  <c r="T176" i="10"/>
  <c r="N176" i="10"/>
  <c r="AI38" i="1"/>
  <c r="AI29" i="5" s="1"/>
  <c r="AD176" i="10"/>
  <c r="AI99" i="1"/>
  <c r="AI44" i="12" s="1"/>
  <c r="I161" i="1"/>
  <c r="I53" i="5" s="1"/>
  <c r="I211" i="1"/>
  <c r="I73" i="5" s="1"/>
  <c r="K178" i="1"/>
  <c r="K67" i="12" s="1"/>
  <c r="I242" i="1"/>
  <c r="I91" i="5" s="1"/>
  <c r="M98" i="1"/>
  <c r="M43" i="12" s="1"/>
  <c r="I209" i="1"/>
  <c r="I96" i="12" s="1"/>
  <c r="O16" i="1"/>
  <c r="I275" i="1"/>
  <c r="I112" i="5" s="1"/>
  <c r="W384" i="1"/>
  <c r="R16" i="1"/>
  <c r="I33" i="1"/>
  <c r="I25" i="11" s="1"/>
  <c r="M57" i="1"/>
  <c r="M37" i="11" s="1"/>
  <c r="I60" i="1"/>
  <c r="I40" i="11" s="1"/>
  <c r="I115" i="1"/>
  <c r="I45" i="10" s="1"/>
  <c r="AC16" i="1"/>
  <c r="I224" i="1"/>
  <c r="I79" i="5" s="1"/>
  <c r="U207" i="1"/>
  <c r="U94" i="12" s="1"/>
  <c r="I148" i="1"/>
  <c r="I71" i="10" s="1"/>
  <c r="M124" i="1"/>
  <c r="M59" i="12" s="1"/>
  <c r="K143" i="1"/>
  <c r="K232" i="1"/>
  <c r="K83" i="5" s="1"/>
  <c r="M264" i="1"/>
  <c r="M109" i="12" s="1"/>
  <c r="U264" i="1"/>
  <c r="U109" i="12" s="1"/>
  <c r="M109" i="1"/>
  <c r="M50" i="12" s="1"/>
  <c r="I212" i="1"/>
  <c r="I87" i="10" s="1"/>
  <c r="I230" i="1"/>
  <c r="I91" i="10" s="1"/>
  <c r="I59" i="1"/>
  <c r="I39" i="11" s="1"/>
  <c r="U109" i="1"/>
  <c r="U50" i="12" s="1"/>
  <c r="M306" i="1"/>
  <c r="M109" i="11" s="1"/>
  <c r="M77" i="1"/>
  <c r="M56" i="11" s="1"/>
  <c r="AG16" i="1"/>
  <c r="AA16" i="1"/>
  <c r="M222" i="1"/>
  <c r="M100" i="12" s="1"/>
  <c r="I65" i="1"/>
  <c r="I45" i="11" s="1"/>
  <c r="AJ45" i="11" s="1"/>
  <c r="X176" i="10"/>
  <c r="I176" i="10"/>
  <c r="AE176" i="10"/>
  <c r="F16" i="1"/>
  <c r="I48" i="1"/>
  <c r="I32" i="11" s="1"/>
  <c r="I221" i="1"/>
  <c r="I78" i="5" s="1"/>
  <c r="I183" i="1"/>
  <c r="I72" i="12" s="1"/>
  <c r="S176" i="10"/>
  <c r="I78" i="1"/>
  <c r="I57" i="11" s="1"/>
  <c r="K235" i="1"/>
  <c r="K86" i="5" s="1"/>
  <c r="J201" i="10"/>
  <c r="M265" i="1"/>
  <c r="M110" i="12" s="1"/>
  <c r="J225" i="1"/>
  <c r="J90" i="10" s="1"/>
  <c r="I171" i="1"/>
  <c r="I62" i="5" s="1"/>
  <c r="I30" i="1"/>
  <c r="I25" i="12" s="1"/>
  <c r="I240" i="1"/>
  <c r="I90" i="5" s="1"/>
  <c r="K231" i="1"/>
  <c r="K82" i="5" s="1"/>
  <c r="Z16" i="1"/>
  <c r="K251" i="1"/>
  <c r="K97" i="5" s="1"/>
  <c r="I154" i="1"/>
  <c r="I75" i="10" s="1"/>
  <c r="K166" i="1"/>
  <c r="K80" i="10" s="1"/>
  <c r="AI98" i="1"/>
  <c r="AI43" i="12" s="1"/>
  <c r="K33" i="1"/>
  <c r="K25" i="11" s="1"/>
  <c r="K46" i="1"/>
  <c r="K33" i="12" s="1"/>
  <c r="I147" i="1"/>
  <c r="I70" i="10" s="1"/>
  <c r="M100" i="1"/>
  <c r="M45" i="12" s="1"/>
  <c r="I269" i="1"/>
  <c r="I79" i="11" s="1"/>
  <c r="X384" i="1"/>
  <c r="M110" i="1"/>
  <c r="M51" i="12" s="1"/>
  <c r="K282" i="1"/>
  <c r="K86" i="11" s="1"/>
  <c r="U282" i="1"/>
  <c r="U86" i="11" s="1"/>
  <c r="U123" i="11" s="1"/>
  <c r="U165" i="11" s="1"/>
  <c r="K234" i="1"/>
  <c r="K85" i="5" s="1"/>
  <c r="J230" i="1"/>
  <c r="J91" i="10" s="1"/>
  <c r="K72" i="1"/>
  <c r="K51" i="11" s="1"/>
  <c r="W80" i="1"/>
  <c r="K161" i="1"/>
  <c r="K53" i="5" s="1"/>
  <c r="K183" i="1"/>
  <c r="K72" i="12" s="1"/>
  <c r="I231" i="1"/>
  <c r="I82" i="5" s="1"/>
  <c r="M208" i="1"/>
  <c r="M95" i="12" s="1"/>
  <c r="U208" i="1"/>
  <c r="U95" i="12" s="1"/>
  <c r="M113" i="1"/>
  <c r="M52" i="12" s="1"/>
  <c r="U113" i="1"/>
  <c r="U52" i="12" s="1"/>
  <c r="K201" i="10"/>
  <c r="J271" i="1"/>
  <c r="J106" i="10" s="1"/>
  <c r="O176" i="11"/>
  <c r="U209" i="1"/>
  <c r="U96" i="12" s="1"/>
  <c r="M121" i="1"/>
  <c r="M48" i="5" s="1"/>
  <c r="Q83" i="1"/>
  <c r="Q62" i="11" s="1"/>
  <c r="AF16" i="1"/>
  <c r="K47" i="1"/>
  <c r="K31" i="11" s="1"/>
  <c r="I266" i="1"/>
  <c r="I109" i="5" s="1"/>
  <c r="I249" i="1"/>
  <c r="I95" i="5" s="1"/>
  <c r="M246" i="1"/>
  <c r="M95" i="10" s="1"/>
  <c r="U54" i="1"/>
  <c r="U35" i="12" s="1"/>
  <c r="I114" i="1"/>
  <c r="I53" i="12" s="1"/>
  <c r="U131" i="1"/>
  <c r="U60" i="12" s="1"/>
  <c r="K140" i="1"/>
  <c r="K64" i="10" s="1"/>
  <c r="U99" i="1"/>
  <c r="U44" i="12" s="1"/>
  <c r="I289" i="1"/>
  <c r="I93" i="11" s="1"/>
  <c r="K181" i="1"/>
  <c r="K70" i="12" s="1"/>
  <c r="M81" i="10" l="1"/>
  <c r="AB163" i="11"/>
  <c r="AB165" i="11" s="1"/>
  <c r="K81" i="10"/>
  <c r="I81" i="10"/>
  <c r="AI81" i="10"/>
  <c r="AJ86" i="10"/>
  <c r="M100" i="10"/>
  <c r="J100" i="10"/>
  <c r="K100" i="10"/>
  <c r="W162" i="11"/>
  <c r="W163" i="11" s="1"/>
  <c r="W138" i="5"/>
  <c r="W139" i="5" s="1"/>
  <c r="X138" i="5"/>
  <c r="X139" i="5" s="1"/>
  <c r="X184" i="5" s="1"/>
  <c r="X162" i="11"/>
  <c r="X163" i="11" s="1"/>
  <c r="X165" i="11" s="1"/>
  <c r="AJ136" i="5"/>
  <c r="Q139" i="5"/>
  <c r="M123" i="11"/>
  <c r="W385" i="1"/>
  <c r="K106" i="10"/>
  <c r="T257" i="1"/>
  <c r="AJ100" i="5"/>
  <c r="I123" i="11"/>
  <c r="I96" i="10"/>
  <c r="AJ96" i="10" s="1"/>
  <c r="I97" i="5"/>
  <c r="AB257" i="1"/>
  <c r="AB102" i="5"/>
  <c r="AJ102" i="5" s="1"/>
  <c r="U93" i="5"/>
  <c r="U103" i="5" s="1"/>
  <c r="U184" i="5" s="1"/>
  <c r="U15" i="5" s="1"/>
  <c r="U19" i="5" s="1"/>
  <c r="AI123" i="11"/>
  <c r="AI106" i="10"/>
  <c r="AI111" i="10" s="1"/>
  <c r="AI93" i="5"/>
  <c r="AI103" i="5" s="1"/>
  <c r="J123" i="11"/>
  <c r="W257" i="1"/>
  <c r="AJ101" i="5"/>
  <c r="K123" i="11"/>
  <c r="G165" i="11"/>
  <c r="M107" i="10"/>
  <c r="K99" i="12"/>
  <c r="AJ63" i="11"/>
  <c r="M90" i="12"/>
  <c r="K90" i="12"/>
  <c r="J201" i="1"/>
  <c r="J37" i="10"/>
  <c r="J81" i="10" s="1"/>
  <c r="S201" i="1"/>
  <c r="S45" i="10"/>
  <c r="K71" i="11"/>
  <c r="K72" i="11" s="1"/>
  <c r="G162" i="10"/>
  <c r="AB201" i="1"/>
  <c r="AB49" i="5"/>
  <c r="AJ49" i="5" s="1"/>
  <c r="AB61" i="12"/>
  <c r="AB90" i="12" s="1"/>
  <c r="AB135" i="12" s="1"/>
  <c r="AB60" i="10"/>
  <c r="AI90" i="12"/>
  <c r="J90" i="12"/>
  <c r="J135" i="12" s="1"/>
  <c r="J71" i="11"/>
  <c r="J72" i="11" s="1"/>
  <c r="I90" i="12"/>
  <c r="U90" i="12"/>
  <c r="AI201" i="1"/>
  <c r="I201" i="1"/>
  <c r="U201" i="1"/>
  <c r="K201" i="1"/>
  <c r="M201" i="1"/>
  <c r="AJ66" i="11"/>
  <c r="AJ65" i="11"/>
  <c r="AJ62" i="11"/>
  <c r="I32" i="5"/>
  <c r="U321" i="1"/>
  <c r="M321" i="1"/>
  <c r="AI36" i="12"/>
  <c r="I67" i="11"/>
  <c r="AI257" i="1"/>
  <c r="K321" i="1"/>
  <c r="K24" i="5"/>
  <c r="K32" i="5" s="1"/>
  <c r="K88" i="1"/>
  <c r="G36" i="12"/>
  <c r="G135" i="12" s="1"/>
  <c r="AI321" i="1"/>
  <c r="K257" i="1"/>
  <c r="K36" i="12"/>
  <c r="I321" i="1"/>
  <c r="W59" i="11"/>
  <c r="W88" i="1"/>
  <c r="M67" i="11"/>
  <c r="I36" i="12"/>
  <c r="S34" i="11"/>
  <c r="S67" i="11" s="1"/>
  <c r="S165" i="11" s="1"/>
  <c r="S88" i="1"/>
  <c r="M23" i="12"/>
  <c r="M36" i="12" s="1"/>
  <c r="M88" i="1"/>
  <c r="J321" i="1"/>
  <c r="J57" i="11"/>
  <c r="J67" i="11" s="1"/>
  <c r="J30" i="10"/>
  <c r="AJ30" i="10" s="1"/>
  <c r="J88" i="1"/>
  <c r="I26" i="10"/>
  <c r="I88" i="1"/>
  <c r="AI24" i="5"/>
  <c r="AI32" i="5" s="1"/>
  <c r="AI88" i="1"/>
  <c r="J32" i="5"/>
  <c r="K67" i="11"/>
  <c r="U23" i="12"/>
  <c r="U36" i="12" s="1"/>
  <c r="U88" i="1"/>
  <c r="M257" i="1"/>
  <c r="J257" i="1"/>
  <c r="X385" i="1"/>
  <c r="X452" i="1" s="1"/>
  <c r="U257" i="1"/>
  <c r="M32" i="5"/>
  <c r="I257" i="1"/>
  <c r="AI72" i="11"/>
  <c r="M72" i="11"/>
  <c r="I111" i="10"/>
  <c r="I72" i="11"/>
  <c r="AJ196" i="10"/>
  <c r="K174" i="11"/>
  <c r="K176" i="11" s="1"/>
  <c r="K18" i="11" s="1"/>
  <c r="Q174" i="11"/>
  <c r="Q176" i="11" s="1"/>
  <c r="Q18" i="11" s="1"/>
  <c r="J111" i="10"/>
  <c r="G452" i="1"/>
  <c r="G16" i="1" s="1"/>
  <c r="I104" i="12"/>
  <c r="K67" i="5"/>
  <c r="I113" i="5"/>
  <c r="AI113" i="5"/>
  <c r="G67" i="5"/>
  <c r="G103" i="5"/>
  <c r="M103" i="5"/>
  <c r="AJ180" i="10"/>
  <c r="AJ184" i="10"/>
  <c r="AJ169" i="10"/>
  <c r="AJ176" i="10" s="1"/>
  <c r="AJ173" i="11"/>
  <c r="AJ169" i="11"/>
  <c r="Q163" i="11"/>
  <c r="J67" i="5"/>
  <c r="U112" i="12"/>
  <c r="M112" i="12"/>
  <c r="AI112" i="12"/>
  <c r="K103" i="5"/>
  <c r="U104" i="12"/>
  <c r="AI104" i="12"/>
  <c r="M104" i="12"/>
  <c r="J103" i="5"/>
  <c r="V16" i="10"/>
  <c r="AJ81" i="1"/>
  <c r="T135" i="12"/>
  <c r="T67" i="5"/>
  <c r="W67" i="5"/>
  <c r="W135" i="12"/>
  <c r="AI67" i="5"/>
  <c r="Q109" i="5"/>
  <c r="AJ109" i="5" s="1"/>
  <c r="Q288" i="1"/>
  <c r="Q92" i="11" s="1"/>
  <c r="AJ92" i="11" s="1"/>
  <c r="Q230" i="1"/>
  <c r="Q91" i="10" s="1"/>
  <c r="AJ91" i="10" s="1"/>
  <c r="AG15" i="11"/>
  <c r="AG19" i="11" s="1"/>
  <c r="Q47" i="5"/>
  <c r="AJ47" i="5" s="1"/>
  <c r="Q62" i="1"/>
  <c r="Q42" i="11" s="1"/>
  <c r="AJ42" i="11" s="1"/>
  <c r="Q171" i="1"/>
  <c r="Q62" i="5" s="1"/>
  <c r="AJ62" i="5" s="1"/>
  <c r="Q162" i="1"/>
  <c r="Q54" i="5" s="1"/>
  <c r="AJ54" i="5" s="1"/>
  <c r="Q55" i="1"/>
  <c r="Q35" i="11" s="1"/>
  <c r="AJ35" i="11" s="1"/>
  <c r="Q54" i="1"/>
  <c r="Q35" i="12" s="1"/>
  <c r="AJ35" i="12" s="1"/>
  <c r="Q38" i="1"/>
  <c r="Q29" i="5" s="1"/>
  <c r="AJ29" i="5" s="1"/>
  <c r="Q149" i="1"/>
  <c r="Q72" i="10" s="1"/>
  <c r="AJ72" i="10" s="1"/>
  <c r="Q42" i="1"/>
  <c r="Q31" i="12" s="1"/>
  <c r="AJ31" i="12" s="1"/>
  <c r="Q94" i="12"/>
  <c r="AJ94" i="12" s="1"/>
  <c r="Q42" i="5"/>
  <c r="AJ42" i="5" s="1"/>
  <c r="Q61" i="1"/>
  <c r="Q41" i="11" s="1"/>
  <c r="AJ41" i="11" s="1"/>
  <c r="Q37" i="1"/>
  <c r="Q28" i="5" s="1"/>
  <c r="AJ28" i="5" s="1"/>
  <c r="H15" i="11"/>
  <c r="H19" i="11" s="1"/>
  <c r="P178" i="11"/>
  <c r="P9" i="17" s="1"/>
  <c r="O18" i="22" s="1"/>
  <c r="AC15" i="11"/>
  <c r="AC19" i="11" s="1"/>
  <c r="Y178" i="11"/>
  <c r="Y9" i="17" s="1"/>
  <c r="Z15" i="11"/>
  <c r="Z19" i="11" s="1"/>
  <c r="O15" i="11"/>
  <c r="Q75" i="1"/>
  <c r="Q54" i="11" s="1"/>
  <c r="AJ54" i="11" s="1"/>
  <c r="AD178" i="11"/>
  <c r="AD9" i="17" s="1"/>
  <c r="AC18" i="22" s="1"/>
  <c r="AA15" i="11"/>
  <c r="AA19" i="11" s="1"/>
  <c r="AH178" i="11"/>
  <c r="AH9" i="17" s="1"/>
  <c r="AG18" i="22" s="1"/>
  <c r="Q242" i="1"/>
  <c r="Q91" i="5" s="1"/>
  <c r="AJ91" i="5" s="1"/>
  <c r="Q131" i="1"/>
  <c r="Q60" i="12" s="1"/>
  <c r="AJ60" i="12" s="1"/>
  <c r="L15" i="11"/>
  <c r="L19" i="11" s="1"/>
  <c r="AE15" i="11"/>
  <c r="AE19" i="11" s="1"/>
  <c r="AF15" i="11"/>
  <c r="AF19" i="11" s="1"/>
  <c r="Q247" i="1"/>
  <c r="Q93" i="5" s="1"/>
  <c r="Q139" i="1"/>
  <c r="Q63" i="10" s="1"/>
  <c r="AJ63" i="10" s="1"/>
  <c r="AD141" i="12"/>
  <c r="AD10" i="17" s="1"/>
  <c r="AC23" i="22" s="1"/>
  <c r="Q39" i="1"/>
  <c r="Q28" i="12" s="1"/>
  <c r="AJ28" i="12" s="1"/>
  <c r="AI501" i="1"/>
  <c r="AI19" i="1" s="1"/>
  <c r="Q219" i="1"/>
  <c r="Q99" i="12" s="1"/>
  <c r="Q41" i="1"/>
  <c r="Q30" i="12" s="1"/>
  <c r="AJ30" i="12" s="1"/>
  <c r="Q192" i="1"/>
  <c r="Q81" i="12" s="1"/>
  <c r="AJ81" i="12" s="1"/>
  <c r="AF15" i="12"/>
  <c r="AF19" i="12" s="1"/>
  <c r="Q97" i="12"/>
  <c r="AJ97" i="12" s="1"/>
  <c r="Z15" i="12"/>
  <c r="Z19" i="12" s="1"/>
  <c r="Q194" i="1"/>
  <c r="Q83" i="12" s="1"/>
  <c r="AJ83" i="12" s="1"/>
  <c r="Q236" i="1"/>
  <c r="Q87" i="5" s="1"/>
  <c r="AJ87" i="5" s="1"/>
  <c r="Q167" i="1"/>
  <c r="Q58" i="5" s="1"/>
  <c r="AJ58" i="5" s="1"/>
  <c r="P15" i="12"/>
  <c r="P19" i="12" s="1"/>
  <c r="AC15" i="12"/>
  <c r="AC19" i="12" s="1"/>
  <c r="Y15" i="12"/>
  <c r="Y19" i="12" s="1"/>
  <c r="Q73" i="1"/>
  <c r="Q52" i="11" s="1"/>
  <c r="AJ52" i="11" s="1"/>
  <c r="L141" i="12"/>
  <c r="L10" i="17" s="1"/>
  <c r="K23" i="22" s="1"/>
  <c r="K501" i="1"/>
  <c r="K19" i="1" s="1"/>
  <c r="N452" i="1"/>
  <c r="O15" i="12"/>
  <c r="O19" i="12" s="1"/>
  <c r="Q31" i="1"/>
  <c r="Q23" i="11" s="1"/>
  <c r="Q130" i="10"/>
  <c r="Q211" i="1"/>
  <c r="Q73" i="5" s="1"/>
  <c r="AJ73" i="5" s="1"/>
  <c r="Q112" i="1"/>
  <c r="Q44" i="10" s="1"/>
  <c r="AJ44" i="10" s="1"/>
  <c r="Q51" i="1"/>
  <c r="Q30" i="5" s="1"/>
  <c r="AJ30" i="5" s="1"/>
  <c r="V452" i="1"/>
  <c r="AK7" i="9"/>
  <c r="AG141" i="12"/>
  <c r="AG10" i="17" s="1"/>
  <c r="AF23" i="22" s="1"/>
  <c r="Q112" i="5"/>
  <c r="AJ112" i="5" s="1"/>
  <c r="M113" i="5"/>
  <c r="Q238" i="1"/>
  <c r="Q88" i="5" s="1"/>
  <c r="AJ88" i="5" s="1"/>
  <c r="Q43" i="5"/>
  <c r="AJ43" i="5" s="1"/>
  <c r="Q114" i="1"/>
  <c r="Q53" i="12" s="1"/>
  <c r="AJ53" i="12" s="1"/>
  <c r="M501" i="1"/>
  <c r="M19" i="1" s="1"/>
  <c r="AI130" i="10"/>
  <c r="J501" i="1"/>
  <c r="J19" i="1" s="1"/>
  <c r="Q59" i="1"/>
  <c r="Q39" i="11" s="1"/>
  <c r="AJ39" i="11" s="1"/>
  <c r="AE141" i="12"/>
  <c r="AE10" i="17" s="1"/>
  <c r="AD23" i="22" s="1"/>
  <c r="X141" i="12"/>
  <c r="X10" i="17" s="1"/>
  <c r="W23" i="22" s="1"/>
  <c r="Q303" i="1"/>
  <c r="Q106" i="11" s="1"/>
  <c r="AJ106" i="11" s="1"/>
  <c r="Q195" i="1"/>
  <c r="Q84" i="12" s="1"/>
  <c r="AJ84" i="12" s="1"/>
  <c r="Q147" i="1"/>
  <c r="Q70" i="10" s="1"/>
  <c r="AJ70" i="10" s="1"/>
  <c r="Q228" i="1"/>
  <c r="Q81" i="5" s="1"/>
  <c r="AJ81" i="5" s="1"/>
  <c r="Q32" i="1"/>
  <c r="Q24" i="11" s="1"/>
  <c r="AJ24" i="11" s="1"/>
  <c r="Q141" i="1"/>
  <c r="Q65" i="10" s="1"/>
  <c r="AJ65" i="10" s="1"/>
  <c r="G501" i="1"/>
  <c r="G19" i="1" s="1"/>
  <c r="I19" i="1"/>
  <c r="Q210" i="1"/>
  <c r="Q72" i="5" s="1"/>
  <c r="AJ72" i="5" s="1"/>
  <c r="Q216" i="1"/>
  <c r="Q76" i="5" s="1"/>
  <c r="AJ76" i="5" s="1"/>
  <c r="Q251" i="1"/>
  <c r="Q97" i="5" s="1"/>
  <c r="Q101" i="1"/>
  <c r="Q37" i="10" s="1"/>
  <c r="H141" i="12"/>
  <c r="H10" i="17" s="1"/>
  <c r="G23" i="22" s="1"/>
  <c r="G25" i="22" s="1"/>
  <c r="Q34" i="1"/>
  <c r="Q26" i="11" s="1"/>
  <c r="AJ26" i="11" s="1"/>
  <c r="J113" i="5"/>
  <c r="Q212" i="1"/>
  <c r="Q87" i="10" s="1"/>
  <c r="Q305" i="1"/>
  <c r="Q108" i="11" s="1"/>
  <c r="AJ108" i="11" s="1"/>
  <c r="S141" i="12"/>
  <c r="S10" i="17" s="1"/>
  <c r="R23" i="22" s="1"/>
  <c r="F203" i="10"/>
  <c r="F19" i="10" s="1"/>
  <c r="K19" i="22"/>
  <c r="AH14" i="22"/>
  <c r="AG19" i="22"/>
  <c r="Z24" i="22"/>
  <c r="W24" i="22"/>
  <c r="Q24" i="22"/>
  <c r="S24" i="22"/>
  <c r="Y19" i="22"/>
  <c r="K24" i="22"/>
  <c r="AC24" i="22"/>
  <c r="N19" i="22"/>
  <c r="I24" i="22"/>
  <c r="V24" i="22"/>
  <c r="Y24" i="22"/>
  <c r="AF19" i="22"/>
  <c r="F9" i="22"/>
  <c r="R14" i="22"/>
  <c r="AE14" i="22"/>
  <c r="AC19" i="22"/>
  <c r="W9" i="22"/>
  <c r="X9" i="22"/>
  <c r="AB9" i="22"/>
  <c r="Y14" i="22"/>
  <c r="AE9" i="22"/>
  <c r="U9" i="22"/>
  <c r="Q224" i="1"/>
  <c r="Q79" i="5" s="1"/>
  <c r="AJ79" i="5" s="1"/>
  <c r="Q267" i="1"/>
  <c r="Q77" i="11" s="1"/>
  <c r="Q269" i="1"/>
  <c r="Q79" i="11" s="1"/>
  <c r="AJ79" i="11" s="1"/>
  <c r="AA9" i="22"/>
  <c r="Q203" i="10"/>
  <c r="Q19" i="10" s="1"/>
  <c r="AJ84" i="1"/>
  <c r="AJ254" i="1"/>
  <c r="Q26" i="1"/>
  <c r="Q180" i="1"/>
  <c r="Q69" i="12" s="1"/>
  <c r="AJ69" i="12" s="1"/>
  <c r="Q307" i="1"/>
  <c r="Q110" i="11" s="1"/>
  <c r="AJ110" i="11" s="1"/>
  <c r="Q30" i="1"/>
  <c r="Q25" i="12" s="1"/>
  <c r="AJ25" i="12" s="1"/>
  <c r="AJ86" i="1"/>
  <c r="Q214" i="1"/>
  <c r="Q74" i="5" s="1"/>
  <c r="AJ74" i="5" s="1"/>
  <c r="Q170" i="1"/>
  <c r="Q61" i="5" s="1"/>
  <c r="AJ61" i="5" s="1"/>
  <c r="Q40" i="1"/>
  <c r="Q29" i="12" s="1"/>
  <c r="AJ29" i="12" s="1"/>
  <c r="Z20" i="1"/>
  <c r="Q226" i="1"/>
  <c r="Q80" i="5" s="1"/>
  <c r="AJ80" i="5" s="1"/>
  <c r="Q184" i="1"/>
  <c r="Q73" i="12" s="1"/>
  <c r="AJ73" i="12" s="1"/>
  <c r="AJ255" i="1"/>
  <c r="Q285" i="1"/>
  <c r="Q89" i="11" s="1"/>
  <c r="AJ89" i="11" s="1"/>
  <c r="Q116" i="1"/>
  <c r="Q46" i="10" s="1"/>
  <c r="AJ46" i="10" s="1"/>
  <c r="Q57" i="1"/>
  <c r="Q37" i="11" s="1"/>
  <c r="AJ37" i="11" s="1"/>
  <c r="Q29" i="1"/>
  <c r="Q24" i="12" s="1"/>
  <c r="AJ24" i="12" s="1"/>
  <c r="Q52" i="1"/>
  <c r="Q31" i="5" s="1"/>
  <c r="AJ31" i="5" s="1"/>
  <c r="Q97" i="1"/>
  <c r="Q42" i="12" s="1"/>
  <c r="AJ42" i="12" s="1"/>
  <c r="Q234" i="1"/>
  <c r="Q85" i="5" s="1"/>
  <c r="AJ85" i="5" s="1"/>
  <c r="Q99" i="1"/>
  <c r="Q44" i="12" s="1"/>
  <c r="AJ44" i="12" s="1"/>
  <c r="L503" i="1"/>
  <c r="AL487" i="1"/>
  <c r="Q220" i="1"/>
  <c r="Q77" i="5" s="1"/>
  <c r="AJ77" i="5" s="1"/>
  <c r="Q154" i="1"/>
  <c r="Q75" i="10" s="1"/>
  <c r="AJ75" i="10" s="1"/>
  <c r="Y20" i="1"/>
  <c r="Q160" i="1"/>
  <c r="Q52" i="5" s="1"/>
  <c r="AJ52" i="5" s="1"/>
  <c r="O20" i="1"/>
  <c r="Q163" i="1"/>
  <c r="Q55" i="5" s="1"/>
  <c r="AJ55" i="5" s="1"/>
  <c r="Q206" i="1"/>
  <c r="Q71" i="5" s="1"/>
  <c r="AJ71" i="5" s="1"/>
  <c r="Q93" i="1"/>
  <c r="Q41" i="12" s="1"/>
  <c r="AJ41" i="12" s="1"/>
  <c r="Q148" i="1"/>
  <c r="Q71" i="10" s="1"/>
  <c r="AJ71" i="10" s="1"/>
  <c r="Q182" i="1"/>
  <c r="Q71" i="12" s="1"/>
  <c r="AJ71" i="12" s="1"/>
  <c r="Q268" i="1"/>
  <c r="Q78" i="11" s="1"/>
  <c r="AJ78" i="11" s="1"/>
  <c r="Q277" i="1"/>
  <c r="Q107" i="10" s="1"/>
  <c r="Q37" i="5"/>
  <c r="AJ37" i="5" s="1"/>
  <c r="Q45" i="1"/>
  <c r="Q30" i="11" s="1"/>
  <c r="AJ30" i="11" s="1"/>
  <c r="U203" i="10"/>
  <c r="U19" i="10" s="1"/>
  <c r="Q178" i="1"/>
  <c r="Q67" i="12" s="1"/>
  <c r="AJ67" i="12" s="1"/>
  <c r="L203" i="10"/>
  <c r="L19" i="10" s="1"/>
  <c r="Q289" i="1"/>
  <c r="Q93" i="11" s="1"/>
  <c r="AJ93" i="11" s="1"/>
  <c r="Q168" i="1"/>
  <c r="Q59" i="5" s="1"/>
  <c r="AJ59" i="5" s="1"/>
  <c r="O203" i="10"/>
  <c r="O19" i="10" s="1"/>
  <c r="AB203" i="10"/>
  <c r="AB19" i="10" s="1"/>
  <c r="Q169" i="1"/>
  <c r="Q60" i="5" s="1"/>
  <c r="AJ60" i="5" s="1"/>
  <c r="Q193" i="1"/>
  <c r="Q82" i="12" s="1"/>
  <c r="AJ82" i="12" s="1"/>
  <c r="T203" i="10"/>
  <c r="T19" i="10" s="1"/>
  <c r="Y203" i="10"/>
  <c r="Y19" i="10" s="1"/>
  <c r="Q53" i="1"/>
  <c r="Q34" i="12" s="1"/>
  <c r="AJ34" i="12" s="1"/>
  <c r="Q304" i="1"/>
  <c r="Q107" i="11" s="1"/>
  <c r="AJ107" i="11" s="1"/>
  <c r="Q102" i="1"/>
  <c r="Q38" i="10" s="1"/>
  <c r="AJ38" i="10" s="1"/>
  <c r="F15" i="11"/>
  <c r="F19" i="11" s="1"/>
  <c r="Q123" i="1"/>
  <c r="Q58" i="12" s="1"/>
  <c r="AJ58" i="12" s="1"/>
  <c r="Q221" i="1"/>
  <c r="Q78" i="5" s="1"/>
  <c r="AJ78" i="5" s="1"/>
  <c r="Y503" i="1"/>
  <c r="AA203" i="10"/>
  <c r="AA19" i="10" s="1"/>
  <c r="Q248" i="1"/>
  <c r="Q94" i="5" s="1"/>
  <c r="AJ94" i="5" s="1"/>
  <c r="Q43" i="1"/>
  <c r="Q32" i="12" s="1"/>
  <c r="AJ32" i="12" s="1"/>
  <c r="Q223" i="1"/>
  <c r="Q89" i="10" s="1"/>
  <c r="AJ89" i="10" s="1"/>
  <c r="U16" i="10"/>
  <c r="I203" i="10"/>
  <c r="I19" i="10" s="1"/>
  <c r="AC20" i="1"/>
  <c r="Q56" i="1"/>
  <c r="Q36" i="11" s="1"/>
  <c r="AJ36" i="11" s="1"/>
  <c r="X203" i="10"/>
  <c r="X19" i="10" s="1"/>
  <c r="O16" i="10"/>
  <c r="AJ65" i="1"/>
  <c r="AF203" i="10"/>
  <c r="AF19" i="10" s="1"/>
  <c r="R20" i="1"/>
  <c r="V203" i="10"/>
  <c r="V19" i="10" s="1"/>
  <c r="Q111" i="5"/>
  <c r="AJ111" i="5" s="1"/>
  <c r="H190" i="5"/>
  <c r="H7" i="17" s="1"/>
  <c r="G8" i="22" s="1"/>
  <c r="G10" i="22" s="1"/>
  <c r="F20" i="1"/>
  <c r="Q58" i="1"/>
  <c r="Q38" i="11" s="1"/>
  <c r="AJ38" i="11" s="1"/>
  <c r="AG190" i="5"/>
  <c r="AG7" i="17" s="1"/>
  <c r="AF8" i="22" s="1"/>
  <c r="R503" i="1"/>
  <c r="AJ384" i="1"/>
  <c r="AJ79" i="1"/>
  <c r="AA503" i="1"/>
  <c r="AE15" i="5"/>
  <c r="AE19" i="5" s="1"/>
  <c r="AH503" i="1"/>
  <c r="AF190" i="5"/>
  <c r="AF7" i="17" s="1"/>
  <c r="AE8" i="22" s="1"/>
  <c r="Q233" i="1"/>
  <c r="Q84" i="5" s="1"/>
  <c r="AJ84" i="5" s="1"/>
  <c r="P190" i="5"/>
  <c r="P7" i="17" s="1"/>
  <c r="O8" i="22" s="1"/>
  <c r="AH20" i="1"/>
  <c r="Q271" i="1"/>
  <c r="Q106" i="10" s="1"/>
  <c r="AH16" i="10"/>
  <c r="Q108" i="1"/>
  <c r="Q49" i="12" s="1"/>
  <c r="AJ49" i="12" s="1"/>
  <c r="Q48" i="1"/>
  <c r="Q32" i="11" s="1"/>
  <c r="AJ32" i="11" s="1"/>
  <c r="AI203" i="10"/>
  <c r="AI19" i="10" s="1"/>
  <c r="AD16" i="10"/>
  <c r="O15" i="5"/>
  <c r="O19" i="5" s="1"/>
  <c r="Z203" i="10"/>
  <c r="Z19" i="10" s="1"/>
  <c r="AH203" i="10"/>
  <c r="AH19" i="10" s="1"/>
  <c r="H16" i="10"/>
  <c r="Q124" i="1"/>
  <c r="Q59" i="12" s="1"/>
  <c r="AJ59" i="12" s="1"/>
  <c r="G203" i="10"/>
  <c r="G19" i="10" s="1"/>
  <c r="AA20" i="1"/>
  <c r="Q252" i="1"/>
  <c r="Q98" i="5" s="1"/>
  <c r="AJ98" i="5" s="1"/>
  <c r="AD203" i="10"/>
  <c r="AD19" i="10" s="1"/>
  <c r="Q49" i="1"/>
  <c r="Q33" i="11" s="1"/>
  <c r="AJ33" i="11" s="1"/>
  <c r="H203" i="10"/>
  <c r="H19" i="10" s="1"/>
  <c r="AE20" i="1"/>
  <c r="M203" i="10"/>
  <c r="M19" i="10" s="1"/>
  <c r="J203" i="10"/>
  <c r="J19" i="10" s="1"/>
  <c r="Q28" i="1"/>
  <c r="Q23" i="12" s="1"/>
  <c r="AC190" i="5"/>
  <c r="AC7" i="17" s="1"/>
  <c r="AB8" i="22" s="1"/>
  <c r="Q122" i="1"/>
  <c r="Q57" i="12" s="1"/>
  <c r="AJ57" i="12" s="1"/>
  <c r="P203" i="10"/>
  <c r="Q71" i="1"/>
  <c r="Q29" i="10" s="1"/>
  <c r="Q31" i="10" s="1"/>
  <c r="AJ256" i="1"/>
  <c r="Q306" i="1"/>
  <c r="Q109" i="11" s="1"/>
  <c r="AJ109" i="11" s="1"/>
  <c r="L15" i="5"/>
  <c r="L19" i="5" s="1"/>
  <c r="R16" i="10"/>
  <c r="AC203" i="10"/>
  <c r="AC19" i="10" s="1"/>
  <c r="AG203" i="10"/>
  <c r="AG19" i="10" s="1"/>
  <c r="Q312" i="1"/>
  <c r="Q115" i="11" s="1"/>
  <c r="AJ115" i="11" s="1"/>
  <c r="AJ136" i="1"/>
  <c r="L16" i="10"/>
  <c r="P16" i="10"/>
  <c r="Q98" i="1"/>
  <c r="Q43" i="12" s="1"/>
  <c r="AJ43" i="12" s="1"/>
  <c r="L16" i="1"/>
  <c r="L20" i="1" s="1"/>
  <c r="F16" i="10"/>
  <c r="Q60" i="1"/>
  <c r="Q40" i="11" s="1"/>
  <c r="AJ40" i="11" s="1"/>
  <c r="Y15" i="5"/>
  <c r="Y19" i="5" s="1"/>
  <c r="F190" i="5"/>
  <c r="F7" i="17" s="1"/>
  <c r="E8" i="22" s="1"/>
  <c r="E10" i="22" s="1"/>
  <c r="N203" i="10"/>
  <c r="N19" i="10" s="1"/>
  <c r="AD190" i="5"/>
  <c r="AD7" i="17" s="1"/>
  <c r="AC8" i="22" s="1"/>
  <c r="R190" i="5"/>
  <c r="R7" i="17" s="1"/>
  <c r="Q172" i="1"/>
  <c r="Q63" i="5" s="1"/>
  <c r="AJ63" i="5" s="1"/>
  <c r="AJ87" i="1"/>
  <c r="F141" i="12"/>
  <c r="F15" i="12" s="1"/>
  <c r="F19" i="12" s="1"/>
  <c r="Q74" i="1"/>
  <c r="Q53" i="11" s="1"/>
  <c r="AJ53" i="11" s="1"/>
  <c r="AE16" i="10"/>
  <c r="S203" i="10"/>
  <c r="S19" i="10" s="1"/>
  <c r="Q189" i="1"/>
  <c r="Q78" i="12" s="1"/>
  <c r="AJ78" i="12" s="1"/>
  <c r="Q128" i="1"/>
  <c r="Q53" i="10" s="1"/>
  <c r="AJ53" i="10" s="1"/>
  <c r="AJ382" i="1"/>
  <c r="Q143" i="1"/>
  <c r="Q71" i="11" s="1"/>
  <c r="W203" i="10"/>
  <c r="W19" i="10" s="1"/>
  <c r="X16" i="10"/>
  <c r="Q50" i="12"/>
  <c r="AJ50" i="12" s="1"/>
  <c r="Q179" i="1"/>
  <c r="Q68" i="12" s="1"/>
  <c r="AJ68" i="12" s="1"/>
  <c r="R203" i="10"/>
  <c r="R19" i="10" s="1"/>
  <c r="AC503" i="1"/>
  <c r="AC16" i="10"/>
  <c r="K203" i="10"/>
  <c r="K19" i="10" s="1"/>
  <c r="Q144" i="1"/>
  <c r="Q67" i="10" s="1"/>
  <c r="AJ67" i="10" s="1"/>
  <c r="AE203" i="10"/>
  <c r="AE19" i="10" s="1"/>
  <c r="Q185" i="1"/>
  <c r="Q74" i="12" s="1"/>
  <c r="AJ74" i="12" s="1"/>
  <c r="Q249" i="1"/>
  <c r="Q95" i="5" s="1"/>
  <c r="AJ95" i="5" s="1"/>
  <c r="AA15" i="5"/>
  <c r="AA19" i="5" s="1"/>
  <c r="Q240" i="1"/>
  <c r="Q90" i="5" s="1"/>
  <c r="AJ90" i="5" s="1"/>
  <c r="AG19" i="1"/>
  <c r="AG20" i="1" s="1"/>
  <c r="AG503" i="1"/>
  <c r="AA16" i="10"/>
  <c r="Q44" i="1"/>
  <c r="Q29" i="11" s="1"/>
  <c r="AJ29" i="11" s="1"/>
  <c r="Q77" i="1"/>
  <c r="Q56" i="11" s="1"/>
  <c r="AJ56" i="11" s="1"/>
  <c r="Q109" i="12"/>
  <c r="AJ109" i="12" s="1"/>
  <c r="AE503" i="1"/>
  <c r="Q69" i="1"/>
  <c r="Q49" i="11" s="1"/>
  <c r="AJ49" i="11" s="1"/>
  <c r="O503" i="1"/>
  <c r="Q232" i="1"/>
  <c r="Q83" i="5" s="1"/>
  <c r="AJ83" i="5" s="1"/>
  <c r="AJ115" i="1"/>
  <c r="Q100" i="12"/>
  <c r="AJ100" i="12" s="1"/>
  <c r="Z16" i="10"/>
  <c r="Z15" i="5"/>
  <c r="Z19" i="5" s="1"/>
  <c r="AF16" i="10"/>
  <c r="AG16" i="10"/>
  <c r="Q173" i="1"/>
  <c r="Q64" i="5" s="1"/>
  <c r="AJ64" i="5" s="1"/>
  <c r="F503" i="1"/>
  <c r="Q235" i="1"/>
  <c r="Q86" i="5" s="1"/>
  <c r="AJ86" i="5" s="1"/>
  <c r="AL479" i="1"/>
  <c r="Z503" i="1"/>
  <c r="Q90" i="10"/>
  <c r="AJ90" i="10" s="1"/>
  <c r="Q110" i="12"/>
  <c r="AJ110" i="12" s="1"/>
  <c r="Q166" i="1"/>
  <c r="Q80" i="10" s="1"/>
  <c r="AJ80" i="10" s="1"/>
  <c r="Q231" i="1"/>
  <c r="Q82" i="5" s="1"/>
  <c r="AJ82" i="5" s="1"/>
  <c r="Q33" i="1"/>
  <c r="Q25" i="11" s="1"/>
  <c r="AJ25" i="11" s="1"/>
  <c r="T9" i="22"/>
  <c r="N9" i="22"/>
  <c r="Q110" i="1"/>
  <c r="Q51" i="12" s="1"/>
  <c r="AJ51" i="12" s="1"/>
  <c r="Q46" i="1"/>
  <c r="Q33" i="12" s="1"/>
  <c r="AJ33" i="12" s="1"/>
  <c r="Q100" i="1"/>
  <c r="Q45" i="12" s="1"/>
  <c r="AJ45" i="12" s="1"/>
  <c r="Q153" i="1"/>
  <c r="Q74" i="10" s="1"/>
  <c r="AJ74" i="10" s="1"/>
  <c r="AH15" i="5"/>
  <c r="AH19" i="5" s="1"/>
  <c r="Q282" i="1"/>
  <c r="Q86" i="11" s="1"/>
  <c r="AJ86" i="11" s="1"/>
  <c r="Q78" i="1"/>
  <c r="Q57" i="11" s="1"/>
  <c r="Q72" i="1"/>
  <c r="Q51" i="11" s="1"/>
  <c r="AJ51" i="11" s="1"/>
  <c r="Q183" i="1"/>
  <c r="Q72" i="12" s="1"/>
  <c r="AJ72" i="12" s="1"/>
  <c r="O18" i="11"/>
  <c r="Q161" i="1"/>
  <c r="Q53" i="5" s="1"/>
  <c r="AJ53" i="5" s="1"/>
  <c r="Q52" i="12"/>
  <c r="AJ52" i="12" s="1"/>
  <c r="S190" i="5"/>
  <c r="S7" i="17" s="1"/>
  <c r="AJ80" i="1"/>
  <c r="AB24" i="22"/>
  <c r="Q50" i="1"/>
  <c r="Q34" i="11" s="1"/>
  <c r="V19" i="1"/>
  <c r="Q95" i="12"/>
  <c r="AJ95" i="12" s="1"/>
  <c r="P16" i="1"/>
  <c r="P20" i="1" s="1"/>
  <c r="P503" i="1"/>
  <c r="Q181" i="1"/>
  <c r="Q70" i="12" s="1"/>
  <c r="AJ70" i="12" s="1"/>
  <c r="Q140" i="1"/>
  <c r="Q64" i="10" s="1"/>
  <c r="AJ64" i="10" s="1"/>
  <c r="AD16" i="1"/>
  <c r="AD20" i="1" s="1"/>
  <c r="AD503" i="1"/>
  <c r="Q209" i="1"/>
  <c r="Q96" i="12" s="1"/>
  <c r="AJ96" i="12" s="1"/>
  <c r="Q48" i="5"/>
  <c r="AJ48" i="5" s="1"/>
  <c r="Q47" i="1"/>
  <c r="Q31" i="11" s="1"/>
  <c r="AJ31" i="11" s="1"/>
  <c r="AJ83" i="1"/>
  <c r="Q64" i="1"/>
  <c r="Q44" i="11" s="1"/>
  <c r="AJ44" i="11" s="1"/>
  <c r="H16" i="1"/>
  <c r="H20" i="1" s="1"/>
  <c r="H503" i="1"/>
  <c r="M24" i="22"/>
  <c r="AF19" i="1"/>
  <c r="AF20" i="1" s="1"/>
  <c r="AF503" i="1"/>
  <c r="S19" i="1"/>
  <c r="Q246" i="1"/>
  <c r="Q95" i="10" s="1"/>
  <c r="AJ95" i="10" s="1"/>
  <c r="Q81" i="10" l="1"/>
  <c r="AB81" i="10"/>
  <c r="AB162" i="10" s="1"/>
  <c r="AK77" i="10"/>
  <c r="S81" i="10"/>
  <c r="S162" i="10" s="1"/>
  <c r="AJ93" i="5"/>
  <c r="AJ162" i="11"/>
  <c r="AJ57" i="11"/>
  <c r="AJ87" i="10"/>
  <c r="AJ100" i="10" s="1"/>
  <c r="Q100" i="10"/>
  <c r="I100" i="10"/>
  <c r="T103" i="5"/>
  <c r="T184" i="5" s="1"/>
  <c r="AJ138" i="5"/>
  <c r="AJ139" i="5" s="1"/>
  <c r="S452" i="1"/>
  <c r="S16" i="1" s="1"/>
  <c r="S20" i="1" s="1"/>
  <c r="AJ107" i="10"/>
  <c r="AJ106" i="10"/>
  <c r="I165" i="11"/>
  <c r="I178" i="11" s="1"/>
  <c r="I9" i="17" s="1"/>
  <c r="H18" i="22" s="1"/>
  <c r="Q123" i="11"/>
  <c r="AJ99" i="12"/>
  <c r="AJ77" i="11"/>
  <c r="AJ123" i="11" s="1"/>
  <c r="AI165" i="11"/>
  <c r="K104" i="12"/>
  <c r="K135" i="12" s="1"/>
  <c r="J165" i="11"/>
  <c r="J178" i="11" s="1"/>
  <c r="J9" i="17" s="1"/>
  <c r="M111" i="10"/>
  <c r="M162" i="10" s="1"/>
  <c r="M205" i="10" s="1"/>
  <c r="M8" i="17" s="1"/>
  <c r="L13" i="22" s="1"/>
  <c r="K111" i="10"/>
  <c r="K162" i="10" s="1"/>
  <c r="AI162" i="10"/>
  <c r="AI16" i="10" s="1"/>
  <c r="AI20" i="10" s="1"/>
  <c r="K165" i="11"/>
  <c r="AJ97" i="5"/>
  <c r="M165" i="11"/>
  <c r="AB67" i="5"/>
  <c r="AJ34" i="11"/>
  <c r="AJ71" i="11"/>
  <c r="AJ37" i="10"/>
  <c r="Q90" i="12"/>
  <c r="AJ60" i="10"/>
  <c r="AJ61" i="12"/>
  <c r="AJ90" i="12" s="1"/>
  <c r="AJ45" i="10"/>
  <c r="Q201" i="1"/>
  <c r="AJ174" i="11"/>
  <c r="AJ176" i="11" s="1"/>
  <c r="AJ18" i="11" s="1"/>
  <c r="AJ385" i="1"/>
  <c r="J31" i="10"/>
  <c r="J162" i="10" s="1"/>
  <c r="AJ29" i="10"/>
  <c r="W67" i="11"/>
  <c r="W165" i="11" s="1"/>
  <c r="AJ59" i="11"/>
  <c r="Q24" i="5"/>
  <c r="Q88" i="1"/>
  <c r="Q67" i="11"/>
  <c r="Q36" i="12"/>
  <c r="AJ26" i="10"/>
  <c r="I31" i="10"/>
  <c r="Q321" i="1"/>
  <c r="Q257" i="1"/>
  <c r="AJ23" i="11"/>
  <c r="AJ23" i="12"/>
  <c r="AJ36" i="12" s="1"/>
  <c r="M67" i="5"/>
  <c r="M184" i="5" s="1"/>
  <c r="G178" i="11"/>
  <c r="G9" i="17" s="1"/>
  <c r="F18" i="22" s="1"/>
  <c r="Q72" i="11"/>
  <c r="K184" i="5"/>
  <c r="AJ189" i="10"/>
  <c r="J452" i="1"/>
  <c r="J16" i="1" s="1"/>
  <c r="J20" i="1" s="1"/>
  <c r="Q111" i="10"/>
  <c r="I452" i="1"/>
  <c r="I503" i="1" s="1"/>
  <c r="W452" i="1"/>
  <c r="W503" i="1" s="1"/>
  <c r="T452" i="1"/>
  <c r="T16" i="1" s="1"/>
  <c r="T20" i="1" s="1"/>
  <c r="AI452" i="1"/>
  <c r="I112" i="12"/>
  <c r="AI135" i="12"/>
  <c r="AB452" i="1"/>
  <c r="AB503" i="1" s="1"/>
  <c r="K452" i="1"/>
  <c r="K16" i="1" s="1"/>
  <c r="K20" i="1" s="1"/>
  <c r="M452" i="1"/>
  <c r="M503" i="1" s="1"/>
  <c r="M135" i="12"/>
  <c r="U452" i="1"/>
  <c r="U135" i="12"/>
  <c r="G184" i="5"/>
  <c r="G15" i="5" s="1"/>
  <c r="G19" i="5" s="1"/>
  <c r="AJ201" i="10"/>
  <c r="AB103" i="5"/>
  <c r="AI184" i="5"/>
  <c r="I67" i="5"/>
  <c r="J184" i="5"/>
  <c r="W103" i="5"/>
  <c r="W184" i="5" s="1"/>
  <c r="I103" i="5"/>
  <c r="Q113" i="5"/>
  <c r="AJ130" i="10"/>
  <c r="I130" i="10"/>
  <c r="T163" i="11"/>
  <c r="T165" i="11" s="1"/>
  <c r="AB141" i="12"/>
  <c r="AB10" i="17" s="1"/>
  <c r="AA23" i="22" s="1"/>
  <c r="Q103" i="5"/>
  <c r="X178" i="11"/>
  <c r="X9" i="17" s="1"/>
  <c r="W18" i="22" s="1"/>
  <c r="V15" i="5"/>
  <c r="V19" i="5" s="1"/>
  <c r="AJ266" i="1"/>
  <c r="AJ211" i="1"/>
  <c r="J141" i="12"/>
  <c r="J10" i="17" s="1"/>
  <c r="I23" i="22" s="1"/>
  <c r="I25" i="22" s="1"/>
  <c r="AJ230" i="1"/>
  <c r="AJ120" i="1"/>
  <c r="AJ167" i="1"/>
  <c r="AJ62" i="1"/>
  <c r="AJ288" i="1"/>
  <c r="AJ207" i="1"/>
  <c r="AJ236" i="1"/>
  <c r="AJ75" i="1"/>
  <c r="AJ55" i="1"/>
  <c r="AJ192" i="1"/>
  <c r="AJ217" i="1"/>
  <c r="AJ251" i="1"/>
  <c r="AJ38" i="1"/>
  <c r="AJ42" i="1"/>
  <c r="AJ39" i="1"/>
  <c r="AJ149" i="1"/>
  <c r="AJ114" i="1"/>
  <c r="AJ216" i="1"/>
  <c r="AJ247" i="1"/>
  <c r="AJ54" i="1"/>
  <c r="AJ162" i="1"/>
  <c r="AJ171" i="1"/>
  <c r="AJ106" i="1"/>
  <c r="AJ31" i="1"/>
  <c r="AJ242" i="1"/>
  <c r="AJ141" i="1"/>
  <c r="S178" i="11"/>
  <c r="S9" i="17" s="1"/>
  <c r="R18" i="22" s="1"/>
  <c r="AJ210" i="1"/>
  <c r="AJ51" i="1"/>
  <c r="AJ59" i="1"/>
  <c r="AJ61" i="1"/>
  <c r="AJ41" i="1"/>
  <c r="AJ37" i="1"/>
  <c r="X503" i="1"/>
  <c r="N503" i="1"/>
  <c r="V16" i="1"/>
  <c r="V20" i="1" s="1"/>
  <c r="G16" i="10"/>
  <c r="G20" i="10" s="1"/>
  <c r="W16" i="10"/>
  <c r="W20" i="10" s="1"/>
  <c r="AC25" i="22"/>
  <c r="U178" i="11"/>
  <c r="U9" i="17" s="1"/>
  <c r="T18" i="22" s="1"/>
  <c r="AJ131" i="1"/>
  <c r="AJ139" i="1"/>
  <c r="AJ219" i="1"/>
  <c r="V15" i="11"/>
  <c r="V19" i="11" s="1"/>
  <c r="AJ147" i="1"/>
  <c r="AJ32" i="1"/>
  <c r="AJ107" i="1"/>
  <c r="AJ194" i="1"/>
  <c r="AJ238" i="1"/>
  <c r="AJ212" i="1"/>
  <c r="AJ305" i="1"/>
  <c r="AJ101" i="1"/>
  <c r="AJ228" i="1"/>
  <c r="AJ73" i="1"/>
  <c r="AJ275" i="1"/>
  <c r="AJ195" i="1"/>
  <c r="AJ112" i="1"/>
  <c r="AJ226" i="1"/>
  <c r="AJ277" i="1"/>
  <c r="AJ303" i="1"/>
  <c r="AJ26" i="1"/>
  <c r="AJ57" i="1"/>
  <c r="K25" i="22"/>
  <c r="AJ163" i="1"/>
  <c r="N141" i="12"/>
  <c r="N10" i="17" s="1"/>
  <c r="M23" i="22" s="1"/>
  <c r="M25" i="22" s="1"/>
  <c r="AJ304" i="1"/>
  <c r="AJ34" i="1"/>
  <c r="AJ182" i="1"/>
  <c r="Q501" i="1"/>
  <c r="Q19" i="1" s="1"/>
  <c r="AG20" i="22"/>
  <c r="AC20" i="22"/>
  <c r="AE10" i="22"/>
  <c r="X19" i="22"/>
  <c r="N24" i="22"/>
  <c r="P24" i="22"/>
  <c r="AG14" i="22"/>
  <c r="AE24" i="22"/>
  <c r="AA24" i="22"/>
  <c r="Z19" i="22"/>
  <c r="X24" i="22"/>
  <c r="AD14" i="22"/>
  <c r="Z14" i="22"/>
  <c r="AF24" i="22"/>
  <c r="AF25" i="22" s="1"/>
  <c r="O24" i="22"/>
  <c r="Z9" i="22"/>
  <c r="AE19" i="22"/>
  <c r="AG24" i="22"/>
  <c r="AD24" i="22"/>
  <c r="AD25" i="22" s="1"/>
  <c r="X14" i="22"/>
  <c r="N14" i="22"/>
  <c r="Q19" i="22"/>
  <c r="M14" i="22"/>
  <c r="K14" i="22"/>
  <c r="O14" i="22"/>
  <c r="V14" i="22"/>
  <c r="F24" i="22"/>
  <c r="U24" i="22"/>
  <c r="AH24" i="22"/>
  <c r="AD19" i="22"/>
  <c r="O19" i="22"/>
  <c r="O20" i="22" s="1"/>
  <c r="AF14" i="22"/>
  <c r="AC14" i="22"/>
  <c r="W14" i="22"/>
  <c r="T14" i="22"/>
  <c r="R24" i="22"/>
  <c r="R25" i="22" s="1"/>
  <c r="AB19" i="22"/>
  <c r="Q14" i="22"/>
  <c r="AB14" i="22"/>
  <c r="P14" i="22"/>
  <c r="S14" i="22"/>
  <c r="Q9" i="22"/>
  <c r="F14" i="22"/>
  <c r="W19" i="22"/>
  <c r="P19" i="22"/>
  <c r="F19" i="22"/>
  <c r="I14" i="22"/>
  <c r="AJ224" i="1"/>
  <c r="AJ43" i="1"/>
  <c r="AJ269" i="1"/>
  <c r="H24" i="22"/>
  <c r="AJ267" i="1"/>
  <c r="AC178" i="11"/>
  <c r="AC9" i="17" s="1"/>
  <c r="AB18" i="22" s="1"/>
  <c r="AJ180" i="1"/>
  <c r="Z178" i="11"/>
  <c r="Z9" i="17" s="1"/>
  <c r="Y18" i="22" s="1"/>
  <c r="Y20" i="22" s="1"/>
  <c r="AJ234" i="1"/>
  <c r="AF141" i="12"/>
  <c r="AF10" i="17" s="1"/>
  <c r="AE23" i="22" s="1"/>
  <c r="AJ307" i="1"/>
  <c r="Y141" i="12"/>
  <c r="Y10" i="17" s="1"/>
  <c r="X23" i="22" s="1"/>
  <c r="P15" i="11"/>
  <c r="P19" i="11" s="1"/>
  <c r="AJ184" i="1"/>
  <c r="AJ170" i="1"/>
  <c r="AJ40" i="1"/>
  <c r="AJ214" i="1"/>
  <c r="AJ52" i="1"/>
  <c r="M19" i="22"/>
  <c r="AF20" i="10"/>
  <c r="P141" i="12"/>
  <c r="P10" i="17" s="1"/>
  <c r="O23" i="22" s="1"/>
  <c r="AJ48" i="1"/>
  <c r="Y15" i="11"/>
  <c r="Y19" i="11" s="1"/>
  <c r="AG15" i="5"/>
  <c r="AG19" i="5" s="1"/>
  <c r="G20" i="1"/>
  <c r="AJ248" i="1"/>
  <c r="AJ30" i="1"/>
  <c r="AH21" i="1"/>
  <c r="Z21" i="1"/>
  <c r="L20" i="10"/>
  <c r="AJ97" i="1"/>
  <c r="O190" i="5"/>
  <c r="O7" i="17" s="1"/>
  <c r="N8" i="22" s="1"/>
  <c r="N10" i="22" s="1"/>
  <c r="AF15" i="5"/>
  <c r="AF19" i="5" s="1"/>
  <c r="Y21" i="1"/>
  <c r="AJ148" i="1"/>
  <c r="AJ206" i="1"/>
  <c r="AJ285" i="1"/>
  <c r="AJ99" i="1"/>
  <c r="AJ93" i="1"/>
  <c r="AJ221" i="1"/>
  <c r="X15" i="12"/>
  <c r="X19" i="12" s="1"/>
  <c r="AJ289" i="1"/>
  <c r="F178" i="11"/>
  <c r="F9" i="17" s="1"/>
  <c r="E18" i="22" s="1"/>
  <c r="E20" i="22" s="1"/>
  <c r="AJ29" i="1"/>
  <c r="AG178" i="11"/>
  <c r="AG9" i="17" s="1"/>
  <c r="AF18" i="22" s="1"/>
  <c r="AF20" i="22" s="1"/>
  <c r="AJ160" i="1"/>
  <c r="AE15" i="12"/>
  <c r="AE19" i="12" s="1"/>
  <c r="AJ116" i="1"/>
  <c r="F20" i="10"/>
  <c r="AJ154" i="1"/>
  <c r="AD15" i="11"/>
  <c r="AD19" i="11" s="1"/>
  <c r="AE190" i="5"/>
  <c r="AE7" i="17" s="1"/>
  <c r="AD8" i="22" s="1"/>
  <c r="L178" i="11"/>
  <c r="L9" i="17" s="1"/>
  <c r="K18" i="22" s="1"/>
  <c r="K20" i="22" s="1"/>
  <c r="L21" i="1"/>
  <c r="AJ220" i="1"/>
  <c r="O20" i="10"/>
  <c r="AF9" i="22"/>
  <c r="AF10" i="22" s="1"/>
  <c r="AJ193" i="1"/>
  <c r="AC21" i="1"/>
  <c r="O21" i="1"/>
  <c r="AJ95" i="1"/>
  <c r="AJ268" i="1"/>
  <c r="AH15" i="11"/>
  <c r="AH19" i="11" s="1"/>
  <c r="P205" i="10"/>
  <c r="P8" i="17" s="1"/>
  <c r="O13" i="22" s="1"/>
  <c r="AJ249" i="1"/>
  <c r="AG15" i="12"/>
  <c r="AG19" i="12" s="1"/>
  <c r="L15" i="12"/>
  <c r="L19" i="12" s="1"/>
  <c r="AJ178" i="1"/>
  <c r="AJ168" i="1"/>
  <c r="H15" i="5"/>
  <c r="H19" i="5" s="1"/>
  <c r="F205" i="10"/>
  <c r="F8" i="17" s="1"/>
  <c r="E13" i="22" s="1"/>
  <c r="E15" i="22" s="1"/>
  <c r="AJ45" i="1"/>
  <c r="Y190" i="5"/>
  <c r="Y7" i="17" s="1"/>
  <c r="X8" i="22" s="1"/>
  <c r="X10" i="22" s="1"/>
  <c r="U20" i="10"/>
  <c r="AJ501" i="1"/>
  <c r="AJ169" i="1"/>
  <c r="P19" i="10"/>
  <c r="P20" i="10" s="1"/>
  <c r="AJ271" i="1"/>
  <c r="X20" i="10"/>
  <c r="AJ223" i="1"/>
  <c r="R205" i="10"/>
  <c r="R8" i="17" s="1"/>
  <c r="Q13" i="22" s="1"/>
  <c r="AD205" i="10"/>
  <c r="AD8" i="17" s="1"/>
  <c r="AC13" i="22" s="1"/>
  <c r="AD20" i="10"/>
  <c r="U205" i="10"/>
  <c r="U8" i="17" s="1"/>
  <c r="T13" i="22" s="1"/>
  <c r="AJ98" i="1"/>
  <c r="X205" i="10"/>
  <c r="X8" i="17" s="1"/>
  <c r="W13" i="22" s="1"/>
  <c r="AJ102" i="1"/>
  <c r="H20" i="10"/>
  <c r="F21" i="1"/>
  <c r="AF178" i="11"/>
  <c r="AF9" i="17" s="1"/>
  <c r="AE18" i="22" s="1"/>
  <c r="R21" i="1"/>
  <c r="AJ233" i="1"/>
  <c r="AH20" i="10"/>
  <c r="AE21" i="1"/>
  <c r="AF205" i="10"/>
  <c r="AF8" i="17" s="1"/>
  <c r="AE13" i="22" s="1"/>
  <c r="AE15" i="22" s="1"/>
  <c r="H205" i="10"/>
  <c r="H8" i="17" s="1"/>
  <c r="G13" i="22" s="1"/>
  <c r="G15" i="22" s="1"/>
  <c r="AJ58" i="1"/>
  <c r="V20" i="10"/>
  <c r="AJ28" i="1"/>
  <c r="AC20" i="10"/>
  <c r="AA20" i="10"/>
  <c r="L205" i="10"/>
  <c r="L8" i="17" s="1"/>
  <c r="K13" i="22" s="1"/>
  <c r="AJ53" i="1"/>
  <c r="AJ124" i="1"/>
  <c r="AA21" i="1"/>
  <c r="R15" i="5"/>
  <c r="R19" i="5" s="1"/>
  <c r="Z141" i="12"/>
  <c r="Z10" i="17" s="1"/>
  <c r="Y23" i="22" s="1"/>
  <c r="Y25" i="22" s="1"/>
  <c r="AJ108" i="1"/>
  <c r="AJ123" i="1"/>
  <c r="AA205" i="10"/>
  <c r="AA8" i="17" s="1"/>
  <c r="Z13" i="22" s="1"/>
  <c r="U190" i="5"/>
  <c r="U7" i="17" s="1"/>
  <c r="T8" i="22" s="1"/>
  <c r="T10" i="22" s="1"/>
  <c r="S15" i="12"/>
  <c r="S19" i="12" s="1"/>
  <c r="AE20" i="10"/>
  <c r="AG9" i="22"/>
  <c r="AJ56" i="1"/>
  <c r="V205" i="10"/>
  <c r="V8" i="17" s="1"/>
  <c r="U13" i="22" s="1"/>
  <c r="Z20" i="10"/>
  <c r="AA190" i="5"/>
  <c r="AA7" i="17" s="1"/>
  <c r="Z8" i="22" s="1"/>
  <c r="Z205" i="10"/>
  <c r="Z8" i="17" s="1"/>
  <c r="Y13" i="22" s="1"/>
  <c r="Y15" i="22" s="1"/>
  <c r="AC15" i="5"/>
  <c r="AC19" i="5" s="1"/>
  <c r="R20" i="10"/>
  <c r="AJ274" i="1"/>
  <c r="O205" i="10"/>
  <c r="O8" i="17" s="1"/>
  <c r="N13" i="22" s="1"/>
  <c r="AE178" i="11"/>
  <c r="AE9" i="17" s="1"/>
  <c r="AD18" i="22" s="1"/>
  <c r="AD15" i="12"/>
  <c r="AD19" i="12" s="1"/>
  <c r="AE205" i="10"/>
  <c r="AE8" i="17" s="1"/>
  <c r="AD13" i="22" s="1"/>
  <c r="AJ143" i="1"/>
  <c r="AJ306" i="1"/>
  <c r="O141" i="12"/>
  <c r="O10" i="17" s="1"/>
  <c r="N23" i="22" s="1"/>
  <c r="AJ252" i="1"/>
  <c r="AA15" i="12"/>
  <c r="AA19" i="12" s="1"/>
  <c r="AA141" i="12"/>
  <c r="AA10" i="17" s="1"/>
  <c r="Z23" i="22" s="1"/>
  <c r="Z25" i="22" s="1"/>
  <c r="AH205" i="10"/>
  <c r="AH8" i="17" s="1"/>
  <c r="AG13" i="22" s="1"/>
  <c r="AD15" i="5"/>
  <c r="AD19" i="5" s="1"/>
  <c r="P15" i="5"/>
  <c r="P19" i="5" s="1"/>
  <c r="AJ49" i="1"/>
  <c r="AG20" i="10"/>
  <c r="V178" i="11"/>
  <c r="V9" i="17" s="1"/>
  <c r="U18" i="22" s="1"/>
  <c r="AJ109" i="1"/>
  <c r="L190" i="5"/>
  <c r="L7" i="17" s="1"/>
  <c r="R9" i="22"/>
  <c r="AC205" i="10"/>
  <c r="AC8" i="17" s="1"/>
  <c r="AB13" i="22" s="1"/>
  <c r="AJ71" i="1"/>
  <c r="AG205" i="10"/>
  <c r="AG8" i="17" s="1"/>
  <c r="AF13" i="22" s="1"/>
  <c r="AJ312" i="1"/>
  <c r="AJ122" i="1"/>
  <c r="G503" i="1"/>
  <c r="F15" i="5"/>
  <c r="F19" i="5" s="1"/>
  <c r="J15" i="12"/>
  <c r="J19" i="12" s="1"/>
  <c r="H15" i="12"/>
  <c r="H19" i="12" s="1"/>
  <c r="I19" i="22"/>
  <c r="F10" i="17"/>
  <c r="E23" i="22" s="1"/>
  <c r="E25" i="22" s="1"/>
  <c r="AJ60" i="1"/>
  <c r="G15" i="12"/>
  <c r="G19" i="12" s="1"/>
  <c r="G141" i="12"/>
  <c r="AJ189" i="1"/>
  <c r="H178" i="11"/>
  <c r="H9" i="17" s="1"/>
  <c r="G18" i="22" s="1"/>
  <c r="G20" i="22" s="1"/>
  <c r="U19" i="22"/>
  <c r="AJ172" i="1"/>
  <c r="AJ74" i="1"/>
  <c r="AJ44" i="1"/>
  <c r="AJ128" i="1"/>
  <c r="AJ231" i="1"/>
  <c r="AJ185" i="1"/>
  <c r="R141" i="12"/>
  <c r="R10" i="17" s="1"/>
  <c r="Q23" i="22" s="1"/>
  <c r="Q25" i="22" s="1"/>
  <c r="R15" i="12"/>
  <c r="R19" i="12" s="1"/>
  <c r="AA178" i="11"/>
  <c r="AA9" i="17" s="1"/>
  <c r="Z18" i="22" s="1"/>
  <c r="AJ179" i="1"/>
  <c r="Z190" i="5"/>
  <c r="Z7" i="17" s="1"/>
  <c r="Y8" i="22" s="1"/>
  <c r="O178" i="11"/>
  <c r="O9" i="17" s="1"/>
  <c r="N18" i="22" s="1"/>
  <c r="N20" i="22" s="1"/>
  <c r="AJ144" i="1"/>
  <c r="O19" i="11"/>
  <c r="AJ222" i="1"/>
  <c r="AJ232" i="1"/>
  <c r="AG21" i="1"/>
  <c r="AJ235" i="1"/>
  <c r="S15" i="5"/>
  <c r="S19" i="5" s="1"/>
  <c r="AJ240" i="1"/>
  <c r="R15" i="11"/>
  <c r="R19" i="11" s="1"/>
  <c r="R178" i="11"/>
  <c r="R9" i="17" s="1"/>
  <c r="Q18" i="22" s="1"/>
  <c r="AJ225" i="1"/>
  <c r="AJ173" i="1"/>
  <c r="AJ69" i="1"/>
  <c r="AJ77" i="1"/>
  <c r="Y16" i="10"/>
  <c r="Y20" i="10" s="1"/>
  <c r="Y205" i="10"/>
  <c r="Y8" i="17" s="1"/>
  <c r="X13" i="22" s="1"/>
  <c r="W25" i="22"/>
  <c r="AJ264" i="1"/>
  <c r="AC141" i="12"/>
  <c r="AC10" i="17" s="1"/>
  <c r="AB23" i="22" s="1"/>
  <c r="AB25" i="22" s="1"/>
  <c r="AJ166" i="1"/>
  <c r="AL175" i="1" s="1"/>
  <c r="AJ265" i="1"/>
  <c r="AC9" i="22"/>
  <c r="AC10" i="22" s="1"/>
  <c r="AB10" i="22"/>
  <c r="AJ208" i="1"/>
  <c r="AJ153" i="1"/>
  <c r="AJ46" i="1"/>
  <c r="AJ33" i="1"/>
  <c r="K9" i="22"/>
  <c r="AJ100" i="1"/>
  <c r="AH190" i="5"/>
  <c r="AH7" i="17" s="1"/>
  <c r="AG8" i="22" s="1"/>
  <c r="AJ110" i="1"/>
  <c r="AH15" i="12"/>
  <c r="AH19" i="12" s="1"/>
  <c r="AH141" i="12"/>
  <c r="AH10" i="17" s="1"/>
  <c r="AG23" i="22" s="1"/>
  <c r="AJ140" i="1"/>
  <c r="AJ72" i="1"/>
  <c r="AA14" i="22"/>
  <c r="AJ282" i="1"/>
  <c r="AJ113" i="1"/>
  <c r="AJ78" i="1"/>
  <c r="AJ50" i="1"/>
  <c r="Y9" i="22"/>
  <c r="AJ183" i="1"/>
  <c r="AJ181" i="1"/>
  <c r="H14" i="22"/>
  <c r="AJ121" i="1"/>
  <c r="AJ161" i="1"/>
  <c r="H21" i="1"/>
  <c r="U14" i="22"/>
  <c r="AF21" i="1"/>
  <c r="AJ64" i="1"/>
  <c r="AD21" i="1"/>
  <c r="Q8" i="22"/>
  <c r="P21" i="1"/>
  <c r="R8" i="22"/>
  <c r="V141" i="12"/>
  <c r="V10" i="17" s="1"/>
  <c r="V15" i="12"/>
  <c r="V19" i="12" s="1"/>
  <c r="AJ209" i="1"/>
  <c r="AJ246" i="1"/>
  <c r="X18" i="22"/>
  <c r="AJ47" i="1"/>
  <c r="M9" i="22"/>
  <c r="AH19" i="22"/>
  <c r="AL156" i="1" l="1"/>
  <c r="S16" i="10"/>
  <c r="S20" i="10" s="1"/>
  <c r="S205" i="10"/>
  <c r="S8" i="17" s="1"/>
  <c r="R13" i="22" s="1"/>
  <c r="R15" i="22" s="1"/>
  <c r="AJ81" i="10"/>
  <c r="AJ111" i="10"/>
  <c r="I162" i="10"/>
  <c r="I205" i="10" s="1"/>
  <c r="I8" i="17" s="1"/>
  <c r="H13" i="22" s="1"/>
  <c r="H15" i="22" s="1"/>
  <c r="Q162" i="10"/>
  <c r="Q165" i="11"/>
  <c r="AJ257" i="1"/>
  <c r="AL257" i="1" s="1"/>
  <c r="AB184" i="5"/>
  <c r="AB190" i="5" s="1"/>
  <c r="AB7" i="17" s="1"/>
  <c r="AA8" i="22" s="1"/>
  <c r="AA10" i="22" s="1"/>
  <c r="AJ31" i="10"/>
  <c r="AJ201" i="1"/>
  <c r="AL201" i="1" s="1"/>
  <c r="AJ67" i="11"/>
  <c r="AJ88" i="1"/>
  <c r="Q32" i="5"/>
  <c r="AJ24" i="5"/>
  <c r="AJ32" i="5" s="1"/>
  <c r="AJ321" i="1"/>
  <c r="AJ203" i="10"/>
  <c r="AJ19" i="10" s="1"/>
  <c r="AJ72" i="11"/>
  <c r="AJ113" i="5"/>
  <c r="I135" i="12"/>
  <c r="I15" i="12" s="1"/>
  <c r="I19" i="12" s="1"/>
  <c r="Q112" i="12"/>
  <c r="Q452" i="1"/>
  <c r="Q16" i="1" s="1"/>
  <c r="Q20" i="1" s="1"/>
  <c r="AJ112" i="12"/>
  <c r="AJ104" i="12"/>
  <c r="Q104" i="12"/>
  <c r="J16" i="10"/>
  <c r="J20" i="10" s="1"/>
  <c r="AJ67" i="5"/>
  <c r="Q67" i="5"/>
  <c r="I184" i="5"/>
  <c r="I15" i="5" s="1"/>
  <c r="I19" i="5" s="1"/>
  <c r="AJ103" i="5"/>
  <c r="AJ163" i="11"/>
  <c r="W141" i="12"/>
  <c r="W10" i="17" s="1"/>
  <c r="V23" i="22" s="1"/>
  <c r="V25" i="22" s="1"/>
  <c r="W15" i="12"/>
  <c r="W19" i="12" s="1"/>
  <c r="T141" i="12"/>
  <c r="T10" i="17" s="1"/>
  <c r="S23" i="22" s="1"/>
  <c r="S25" i="22" s="1"/>
  <c r="AB16" i="10"/>
  <c r="AB20" i="10" s="1"/>
  <c r="AB205" i="10"/>
  <c r="AB8" i="17" s="1"/>
  <c r="AA13" i="22" s="1"/>
  <c r="AA15" i="22" s="1"/>
  <c r="V190" i="5"/>
  <c r="V7" i="17" s="1"/>
  <c r="U8" i="22" s="1"/>
  <c r="U10" i="22" s="1"/>
  <c r="X15" i="11"/>
  <c r="X19" i="11" s="1"/>
  <c r="AB15" i="12"/>
  <c r="AB19" i="12" s="1"/>
  <c r="AA25" i="22"/>
  <c r="AI15" i="12"/>
  <c r="AI19" i="12" s="1"/>
  <c r="M141" i="12"/>
  <c r="M10" i="17" s="1"/>
  <c r="L23" i="22" s="1"/>
  <c r="G10" i="17"/>
  <c r="F23" i="22" s="1"/>
  <c r="F25" i="22" s="1"/>
  <c r="W205" i="10"/>
  <c r="W8" i="17" s="1"/>
  <c r="V13" i="22" s="1"/>
  <c r="V15" i="22" s="1"/>
  <c r="G15" i="11"/>
  <c r="G19" i="11" s="1"/>
  <c r="N15" i="5"/>
  <c r="N19" i="5" s="1"/>
  <c r="M15" i="11"/>
  <c r="M19" i="11" s="1"/>
  <c r="M15" i="5"/>
  <c r="M19" i="5" s="1"/>
  <c r="W190" i="5"/>
  <c r="W7" i="17" s="1"/>
  <c r="V8" i="22" s="1"/>
  <c r="K16" i="10"/>
  <c r="K20" i="10" s="1"/>
  <c r="X25" i="22"/>
  <c r="T205" i="10"/>
  <c r="T8" i="17" s="1"/>
  <c r="S13" i="22" s="1"/>
  <c r="S15" i="22" s="1"/>
  <c r="N16" i="10"/>
  <c r="N20" i="10" s="1"/>
  <c r="T15" i="5"/>
  <c r="T19" i="5" s="1"/>
  <c r="N25" i="22"/>
  <c r="G205" i="10"/>
  <c r="T15" i="11"/>
  <c r="T19" i="11" s="1"/>
  <c r="W178" i="11"/>
  <c r="W9" i="17" s="1"/>
  <c r="V18" i="22" s="1"/>
  <c r="V503" i="1"/>
  <c r="V21" i="1" s="1"/>
  <c r="AB15" i="22"/>
  <c r="AD15" i="22"/>
  <c r="X20" i="22"/>
  <c r="N15" i="12"/>
  <c r="N19" i="12" s="1"/>
  <c r="S15" i="11"/>
  <c r="S19" i="11" s="1"/>
  <c r="K15" i="12"/>
  <c r="K19" i="12" s="1"/>
  <c r="N16" i="1"/>
  <c r="N20" i="1" s="1"/>
  <c r="N21" i="1" s="1"/>
  <c r="N178" i="11"/>
  <c r="N9" i="17" s="1"/>
  <c r="M18" i="22" s="1"/>
  <c r="M20" i="22" s="1"/>
  <c r="AL385" i="1"/>
  <c r="F20" i="22"/>
  <c r="AL337" i="1"/>
  <c r="AL431" i="1"/>
  <c r="Z20" i="22"/>
  <c r="AG25" i="22"/>
  <c r="Q20" i="22"/>
  <c r="AG15" i="22"/>
  <c r="W20" i="22"/>
  <c r="AE20" i="22"/>
  <c r="O25" i="22"/>
  <c r="T15" i="22"/>
  <c r="AB20" i="22"/>
  <c r="AD20" i="22"/>
  <c r="AE25" i="22"/>
  <c r="Q10" i="22"/>
  <c r="Q15" i="22"/>
  <c r="O15" i="22"/>
  <c r="AG10" i="22"/>
  <c r="Z10" i="22"/>
  <c r="AD11" i="17"/>
  <c r="AD12" i="17" s="1"/>
  <c r="P11" i="17"/>
  <c r="P12" i="17" s="1"/>
  <c r="AF11" i="17"/>
  <c r="AF12" i="17" s="1"/>
  <c r="AD9" i="22"/>
  <c r="AD10" i="22" s="1"/>
  <c r="P9" i="22"/>
  <c r="T24" i="22"/>
  <c r="J24" i="22"/>
  <c r="H19" i="22"/>
  <c r="H20" i="22" s="1"/>
  <c r="AI24" i="22"/>
  <c r="T19" i="22"/>
  <c r="T20" i="22" s="1"/>
  <c r="I9" i="22"/>
  <c r="S503" i="1"/>
  <c r="S21" i="1" s="1"/>
  <c r="O11" i="17"/>
  <c r="O12" i="17" s="1"/>
  <c r="X16" i="1"/>
  <c r="X20" i="1" s="1"/>
  <c r="X21" i="1" s="1"/>
  <c r="AE11" i="17"/>
  <c r="AE12" i="17" s="1"/>
  <c r="G21" i="1"/>
  <c r="G190" i="5"/>
  <c r="O9" i="22"/>
  <c r="O10" i="22" s="1"/>
  <c r="K15" i="22"/>
  <c r="W16" i="1"/>
  <c r="W20" i="1" s="1"/>
  <c r="W21" i="1" s="1"/>
  <c r="T503" i="1"/>
  <c r="T21" i="1" s="1"/>
  <c r="U15" i="22"/>
  <c r="W15" i="22"/>
  <c r="Z15" i="22"/>
  <c r="AI14" i="22"/>
  <c r="AL498" i="1"/>
  <c r="AC15" i="22"/>
  <c r="AC28" i="22" s="1"/>
  <c r="AB16" i="1"/>
  <c r="AB20" i="1" s="1"/>
  <c r="AB21" i="1" s="1"/>
  <c r="G28" i="22"/>
  <c r="AA11" i="17"/>
  <c r="AA12" i="17" s="1"/>
  <c r="U20" i="22"/>
  <c r="AI205" i="10"/>
  <c r="AI8" i="17" s="1"/>
  <c r="AH13" i="22" s="1"/>
  <c r="AH15" i="22" s="1"/>
  <c r="N15" i="22"/>
  <c r="L19" i="22"/>
  <c r="R10" i="22"/>
  <c r="H11" i="17"/>
  <c r="AG11" i="17"/>
  <c r="AG12" i="17" s="1"/>
  <c r="M16" i="10"/>
  <c r="M20" i="10" s="1"/>
  <c r="AF15" i="22"/>
  <c r="AF28" i="22" s="1"/>
  <c r="K8" i="22"/>
  <c r="K10" i="22" s="1"/>
  <c r="L11" i="17"/>
  <c r="L12" i="17" s="1"/>
  <c r="U15" i="11"/>
  <c r="U19" i="11" s="1"/>
  <c r="E28" i="22"/>
  <c r="F11" i="17"/>
  <c r="AC11" i="17"/>
  <c r="AC12" i="17" s="1"/>
  <c r="AB178" i="11"/>
  <c r="AB9" i="17" s="1"/>
  <c r="AA18" i="22" s="1"/>
  <c r="AB15" i="11"/>
  <c r="AB19" i="11" s="1"/>
  <c r="R11" i="17"/>
  <c r="R12" i="17" s="1"/>
  <c r="K190" i="5"/>
  <c r="K7" i="17" s="1"/>
  <c r="J8" i="22" s="1"/>
  <c r="K15" i="11"/>
  <c r="K19" i="11" s="1"/>
  <c r="AH11" i="17"/>
  <c r="AH12" i="17" s="1"/>
  <c r="X15" i="22"/>
  <c r="Z11" i="17"/>
  <c r="Z12" i="17" s="1"/>
  <c r="Y11" i="17"/>
  <c r="Y12" i="17" s="1"/>
  <c r="X15" i="5"/>
  <c r="X19" i="5" s="1"/>
  <c r="X190" i="5"/>
  <c r="X7" i="17" s="1"/>
  <c r="Y10" i="22"/>
  <c r="Y28" i="22" s="1"/>
  <c r="J15" i="11"/>
  <c r="J19" i="11" s="1"/>
  <c r="H9" i="22"/>
  <c r="AH9" i="22"/>
  <c r="I16" i="1"/>
  <c r="I20" i="1" s="1"/>
  <c r="I21" i="1" s="1"/>
  <c r="I15" i="11"/>
  <c r="I19" i="11" s="1"/>
  <c r="M16" i="1"/>
  <c r="M20" i="1" s="1"/>
  <c r="M21" i="1" s="1"/>
  <c r="J503" i="1"/>
  <c r="J21" i="1" s="1"/>
  <c r="K503" i="1"/>
  <c r="K21" i="1" s="1"/>
  <c r="AI15" i="11"/>
  <c r="AI19" i="11" s="1"/>
  <c r="AI190" i="5"/>
  <c r="AI7" i="17" s="1"/>
  <c r="AI15" i="5"/>
  <c r="AI19" i="5" s="1"/>
  <c r="AI16" i="1"/>
  <c r="AI20" i="1" s="1"/>
  <c r="AI503" i="1"/>
  <c r="U23" i="22"/>
  <c r="U25" i="22" s="1"/>
  <c r="U141" i="12"/>
  <c r="U10" i="17" s="1"/>
  <c r="U15" i="12"/>
  <c r="U19" i="12" s="1"/>
  <c r="U16" i="1"/>
  <c r="U20" i="1" s="1"/>
  <c r="U503" i="1"/>
  <c r="I18" i="22"/>
  <c r="I20" i="22" s="1"/>
  <c r="R19" i="22"/>
  <c r="R20" i="22" s="1"/>
  <c r="S11" i="17" l="1"/>
  <c r="Q184" i="5"/>
  <c r="Q190" i="5" s="1"/>
  <c r="Q7" i="17" s="1"/>
  <c r="P8" i="22" s="1"/>
  <c r="P10" i="22" s="1"/>
  <c r="AJ162" i="10"/>
  <c r="AJ165" i="11"/>
  <c r="AJ178" i="11" s="1"/>
  <c r="Q135" i="12"/>
  <c r="Q15" i="12" s="1"/>
  <c r="Q19" i="12" s="1"/>
  <c r="AJ184" i="5"/>
  <c r="AJ15" i="5" s="1"/>
  <c r="AJ19" i="5" s="1"/>
  <c r="AJ135" i="12"/>
  <c r="AJ89" i="1"/>
  <c r="AJ452" i="1"/>
  <c r="AJ503" i="1" s="1"/>
  <c r="T15" i="12"/>
  <c r="T19" i="12" s="1"/>
  <c r="V11" i="17"/>
  <c r="V12" i="17" s="1"/>
  <c r="AI141" i="12"/>
  <c r="AI10" i="17" s="1"/>
  <c r="AH23" i="22" s="1"/>
  <c r="AH25" i="22" s="1"/>
  <c r="G8" i="17"/>
  <c r="F13" i="22" s="1"/>
  <c r="F15" i="22" s="1"/>
  <c r="G7" i="17"/>
  <c r="F8" i="22" s="1"/>
  <c r="F10" i="22" s="1"/>
  <c r="N205" i="10"/>
  <c r="N8" i="17" s="1"/>
  <c r="M13" i="22" s="1"/>
  <c r="M15" i="22" s="1"/>
  <c r="K141" i="12"/>
  <c r="K10" i="17" s="1"/>
  <c r="J23" i="22" s="1"/>
  <c r="J25" i="22" s="1"/>
  <c r="T190" i="5"/>
  <c r="T7" i="17" s="1"/>
  <c r="T16" i="10"/>
  <c r="T20" i="10" s="1"/>
  <c r="N28" i="22"/>
  <c r="I141" i="12"/>
  <c r="AB15" i="5"/>
  <c r="AB19" i="5" s="1"/>
  <c r="Q15" i="11"/>
  <c r="Q19" i="11" s="1"/>
  <c r="AB28" i="22"/>
  <c r="X28" i="22"/>
  <c r="W15" i="5"/>
  <c r="W19" i="5" s="1"/>
  <c r="N15" i="11"/>
  <c r="N19" i="11" s="1"/>
  <c r="N190" i="5"/>
  <c r="N7" i="17" s="1"/>
  <c r="O28" i="22"/>
  <c r="AG28" i="22"/>
  <c r="AD28" i="22"/>
  <c r="AE28" i="22"/>
  <c r="Z28" i="22"/>
  <c r="Q28" i="22"/>
  <c r="L14" i="22"/>
  <c r="L15" i="22" s="1"/>
  <c r="V9" i="22"/>
  <c r="V10" i="22" s="1"/>
  <c r="AI19" i="22"/>
  <c r="V19" i="22"/>
  <c r="V20" i="22" s="1"/>
  <c r="J9" i="22"/>
  <c r="J10" i="22" s="1"/>
  <c r="S19" i="22"/>
  <c r="S12" i="17"/>
  <c r="L9" i="22"/>
  <c r="S9" i="22"/>
  <c r="AA19" i="22"/>
  <c r="AA20" i="22" s="1"/>
  <c r="AA28" i="22" s="1"/>
  <c r="K28" i="22"/>
  <c r="K178" i="11"/>
  <c r="K9" i="17" s="1"/>
  <c r="J18" i="22" s="1"/>
  <c r="M178" i="11"/>
  <c r="M9" i="17" s="1"/>
  <c r="L18" i="22" s="1"/>
  <c r="L20" i="22" s="1"/>
  <c r="AJ19" i="1"/>
  <c r="AL501" i="1"/>
  <c r="U28" i="22"/>
  <c r="K205" i="10"/>
  <c r="K8" i="17" s="1"/>
  <c r="J13" i="22" s="1"/>
  <c r="W15" i="11"/>
  <c r="W19" i="11" s="1"/>
  <c r="M15" i="12"/>
  <c r="M19" i="12" s="1"/>
  <c r="J19" i="22"/>
  <c r="Q205" i="10"/>
  <c r="Q8" i="17" s="1"/>
  <c r="P13" i="22" s="1"/>
  <c r="P15" i="22" s="1"/>
  <c r="R28" i="22"/>
  <c r="M190" i="5"/>
  <c r="M7" i="17" s="1"/>
  <c r="L8" i="22" s="1"/>
  <c r="K15" i="5"/>
  <c r="K19" i="5" s="1"/>
  <c r="T178" i="11"/>
  <c r="T9" i="17" s="1"/>
  <c r="S18" i="22" s="1"/>
  <c r="AB11" i="17"/>
  <c r="AB12" i="17" s="1"/>
  <c r="J205" i="10"/>
  <c r="J8" i="17" s="1"/>
  <c r="I13" i="22" s="1"/>
  <c r="I15" i="22" s="1"/>
  <c r="W8" i="22"/>
  <c r="W10" i="22" s="1"/>
  <c r="W28" i="22" s="1"/>
  <c r="X11" i="17"/>
  <c r="X12" i="17" s="1"/>
  <c r="I16" i="10"/>
  <c r="I20" i="10" s="1"/>
  <c r="AI21" i="1"/>
  <c r="AL88" i="1"/>
  <c r="AI178" i="11"/>
  <c r="AI9" i="17" s="1"/>
  <c r="AH18" i="22" s="1"/>
  <c r="AH20" i="22" s="1"/>
  <c r="I190" i="5"/>
  <c r="I7" i="17" s="1"/>
  <c r="H8" i="22" s="1"/>
  <c r="H10" i="22" s="1"/>
  <c r="W11" i="17"/>
  <c r="W12" i="17" s="1"/>
  <c r="AL321" i="1"/>
  <c r="Q503" i="1"/>
  <c r="Q21" i="1" s="1"/>
  <c r="U21" i="1"/>
  <c r="AH8" i="22"/>
  <c r="AH10" i="22" s="1"/>
  <c r="T23" i="22"/>
  <c r="T25" i="22" s="1"/>
  <c r="T28" i="22" s="1"/>
  <c r="U11" i="17"/>
  <c r="U12" i="17" s="1"/>
  <c r="J15" i="5"/>
  <c r="J19" i="5" s="1"/>
  <c r="J190" i="5"/>
  <c r="J7" i="17" s="1"/>
  <c r="AJ15" i="12" l="1"/>
  <c r="AJ19" i="12" s="1"/>
  <c r="Q141" i="12"/>
  <c r="Q10" i="17" s="1"/>
  <c r="P23" i="22" s="1"/>
  <c r="P25" i="22" s="1"/>
  <c r="F28" i="22"/>
  <c r="G11" i="17"/>
  <c r="G12" i="17" s="1"/>
  <c r="AJ9" i="17"/>
  <c r="AI18" i="22" s="1"/>
  <c r="AI20" i="22" s="1"/>
  <c r="I10" i="17"/>
  <c r="H23" i="22" s="1"/>
  <c r="H25" i="22" s="1"/>
  <c r="H28" i="22" s="1"/>
  <c r="S8" i="22"/>
  <c r="S10" i="22" s="1"/>
  <c r="T11" i="17"/>
  <c r="T12" i="17" s="1"/>
  <c r="M8" i="22"/>
  <c r="M10" i="22" s="1"/>
  <c r="M28" i="22" s="1"/>
  <c r="N11" i="17"/>
  <c r="N12" i="17" s="1"/>
  <c r="K11" i="17"/>
  <c r="K12" i="17" s="1"/>
  <c r="AJ163" i="10"/>
  <c r="L10" i="22"/>
  <c r="J20" i="22"/>
  <c r="V28" i="22"/>
  <c r="S20" i="22"/>
  <c r="Q15" i="5"/>
  <c r="Q19" i="5" s="1"/>
  <c r="J14" i="22"/>
  <c r="J15" i="22" s="1"/>
  <c r="AK8" i="9"/>
  <c r="AK9" i="9"/>
  <c r="Q16" i="10"/>
  <c r="Q20" i="10" s="1"/>
  <c r="M11" i="17"/>
  <c r="M12" i="17" s="1"/>
  <c r="Q178" i="11"/>
  <c r="Q9" i="17" s="1"/>
  <c r="P18" i="22" s="1"/>
  <c r="P20" i="22" s="1"/>
  <c r="L24" i="22"/>
  <c r="L25" i="22" s="1"/>
  <c r="AK10" i="9"/>
  <c r="AJ16" i="1"/>
  <c r="AJ20" i="1" s="1"/>
  <c r="AJ21" i="1" s="1"/>
  <c r="AL452" i="1"/>
  <c r="AJ16" i="10"/>
  <c r="AJ20" i="10" s="1"/>
  <c r="AJ205" i="10"/>
  <c r="AH28" i="22"/>
  <c r="AI11" i="17"/>
  <c r="AI12" i="17" s="1"/>
  <c r="AJ15" i="11"/>
  <c r="AJ19" i="11" s="1"/>
  <c r="AL503" i="1"/>
  <c r="AJ504" i="1"/>
  <c r="AJ190" i="5"/>
  <c r="I8" i="22"/>
  <c r="I10" i="22" s="1"/>
  <c r="I28" i="22" s="1"/>
  <c r="J11" i="17"/>
  <c r="J12" i="17" s="1"/>
  <c r="AJ141" i="12" l="1"/>
  <c r="AJ10" i="17" s="1"/>
  <c r="AI23" i="22" s="1"/>
  <c r="AI25" i="22" s="1"/>
  <c r="I11" i="17"/>
  <c r="I12" i="17" s="1"/>
  <c r="P28" i="22"/>
  <c r="AJ8" i="17"/>
  <c r="AI13" i="22" s="1"/>
  <c r="AI15" i="22" s="1"/>
  <c r="AJ206" i="10"/>
  <c r="AJ179" i="11"/>
  <c r="AJ7" i="17"/>
  <c r="AI8" i="22" s="1"/>
  <c r="AJ191" i="5"/>
  <c r="S28" i="22"/>
  <c r="J28" i="22"/>
  <c r="L28" i="22"/>
  <c r="AK9" i="17"/>
  <c r="AI9" i="22"/>
  <c r="AK11" i="9"/>
  <c r="Q11" i="17"/>
  <c r="Q12" i="17" s="1"/>
  <c r="AJ142" i="12" l="1"/>
  <c r="AK10" i="17"/>
  <c r="AK8" i="17"/>
  <c r="AJ11" i="17"/>
  <c r="AJ12" i="17" s="1"/>
  <c r="AK7" i="17"/>
  <c r="AI10" i="22"/>
  <c r="AI28" i="22" s="1"/>
  <c r="AK11" i="17" l="1"/>
</calcChain>
</file>

<file path=xl/sharedStrings.xml><?xml version="1.0" encoding="utf-8"?>
<sst xmlns="http://schemas.openxmlformats.org/spreadsheetml/2006/main" count="2406" uniqueCount="621">
  <si>
    <t>Таблица № 1</t>
  </si>
  <si>
    <t>МИНОБРНАУКИ РОССИИ</t>
  </si>
  <si>
    <t>Федеральное государственное бюджетное</t>
  </si>
  <si>
    <t>УТВЕРЖДАЮ</t>
  </si>
  <si>
    <t>образовательное учреждение</t>
  </si>
  <si>
    <t>Проректор по учебной работе</t>
  </si>
  <si>
    <t>высшего образования</t>
  </si>
  <si>
    <t>"ИРКУТСКИЙ ГОСУДАРСТВЕННЫЙ УНИВЕРСИТЕТ"</t>
  </si>
  <si>
    <t>____________________А.И. Вокин</t>
  </si>
  <si>
    <t>Институт (факультет) Физический</t>
  </si>
  <si>
    <t>Бюджет</t>
  </si>
  <si>
    <t>СВОДНЫЙ РАСЧЕТ ЧАСОВ РАБОТЫ ПО ФИЗИЧЕСКОМУ ФАКУЛЬТЕТУ</t>
  </si>
  <si>
    <t>код дисциплины по учебному плану</t>
  </si>
  <si>
    <t xml:space="preserve">Наименование дисциплины </t>
  </si>
  <si>
    <t>Курс / семестр</t>
  </si>
  <si>
    <t>Контингент студентов</t>
  </si>
  <si>
    <t>Количество учебных групп</t>
  </si>
  <si>
    <t>Лекции</t>
  </si>
  <si>
    <t>Практ., семинар. занятия</t>
  </si>
  <si>
    <t>Лаборат. Занятия</t>
  </si>
  <si>
    <t>Зачеты</t>
  </si>
  <si>
    <t>Экзамены</t>
  </si>
  <si>
    <t>Обзорные лекции-консультации перед государственным экзаменом</t>
  </si>
  <si>
    <t>Консультации</t>
  </si>
  <si>
    <t>Практика</t>
  </si>
  <si>
    <t>Контрольные работы</t>
  </si>
  <si>
    <t>Курсовые работы</t>
  </si>
  <si>
    <t>Выпускные работы бакалавров, специалистов, магистров</t>
  </si>
  <si>
    <t>Занятия с аспирантами</t>
  </si>
  <si>
    <t>Проверка рефератов аспирантов, докторантов</t>
  </si>
  <si>
    <t xml:space="preserve">Рецензирование диссертационного исследования </t>
  </si>
  <si>
    <t>Участие в работе ГИА (выпускные квалификационные работы)</t>
  </si>
  <si>
    <t>Экспертиза диссер. исслед.</t>
  </si>
  <si>
    <t>Руководство</t>
  </si>
  <si>
    <t>Работа диссертационных советов</t>
  </si>
  <si>
    <t>КСР</t>
  </si>
  <si>
    <t>ВСЕГО</t>
  </si>
  <si>
    <t>Кафедры, обеспечивающие нагрузку</t>
  </si>
  <si>
    <t>По плану</t>
  </si>
  <si>
    <t>Всего</t>
  </si>
  <si>
    <t>Вступительные</t>
  </si>
  <si>
    <t>Курсовые</t>
  </si>
  <si>
    <t>Государ., участие в ГИА</t>
  </si>
  <si>
    <t>Кандидатские</t>
  </si>
  <si>
    <t>Текущие для студентов</t>
  </si>
  <si>
    <t>Научные докторанта</t>
  </si>
  <si>
    <t>Учебная</t>
  </si>
  <si>
    <t>Производ., педагог.</t>
  </si>
  <si>
    <t>Рецензирование</t>
  </si>
  <si>
    <t>Кандидатских</t>
  </si>
  <si>
    <t>Докторских</t>
  </si>
  <si>
    <t>Магистерской программой</t>
  </si>
  <si>
    <t>Аспирантом, соискателем, стажером</t>
  </si>
  <si>
    <t>Руководство диссертационного совета</t>
  </si>
  <si>
    <t>Организация и сопровождение работы совета</t>
  </si>
  <si>
    <t>Очное обучение</t>
  </si>
  <si>
    <t>Очно- заочное обучение</t>
  </si>
  <si>
    <t>Заочное обучение</t>
  </si>
  <si>
    <t>На других факультетах</t>
  </si>
  <si>
    <t>ИТОГО:</t>
  </si>
  <si>
    <t>03.03.03 Радиофизика</t>
  </si>
  <si>
    <t>1\1</t>
  </si>
  <si>
    <t>1\2</t>
  </si>
  <si>
    <t>2\3</t>
  </si>
  <si>
    <t>2\4</t>
  </si>
  <si>
    <t>3\5</t>
  </si>
  <si>
    <t>3\6</t>
  </si>
  <si>
    <t>Распространение электромагнитных волн</t>
  </si>
  <si>
    <t>4\7</t>
  </si>
  <si>
    <t>Теория передачи сигналов</t>
  </si>
  <si>
    <t>Статистическая радиофизика</t>
  </si>
  <si>
    <t>Цифровые системы передачи информации</t>
  </si>
  <si>
    <t>Радиотехнические цепи и сигналы</t>
  </si>
  <si>
    <t>Спутниковые системы радионавигации</t>
  </si>
  <si>
    <t>4\8</t>
  </si>
  <si>
    <t>Излучение и распространение радиоволн</t>
  </si>
  <si>
    <t>Волоконно-оптические линии связи</t>
  </si>
  <si>
    <t>Антенно-фидерные устройства</t>
  </si>
  <si>
    <t>Руководство и рецензирование ВКР</t>
  </si>
  <si>
    <t>03.03.02 Физика</t>
  </si>
  <si>
    <t>профиль "Солнечно-земная физика"</t>
  </si>
  <si>
    <t>профиль "Физика конденсированного состояния"</t>
  </si>
  <si>
    <t>профиль "Фундаментальная физика"</t>
  </si>
  <si>
    <t>Астрономия</t>
  </si>
  <si>
    <t>Физическая кинетика</t>
  </si>
  <si>
    <t>Физика конденсированного состояния</t>
  </si>
  <si>
    <t>Специальный практикум по астрофизике</t>
  </si>
  <si>
    <t>Методы физического эксперимента</t>
  </si>
  <si>
    <t>Физика солнечной системы</t>
  </si>
  <si>
    <t>Экспериментальные методы в геофизике</t>
  </si>
  <si>
    <t>Физика плазмы</t>
  </si>
  <si>
    <t>Физика ближнего космоса</t>
  </si>
  <si>
    <t>Физика Солнца</t>
  </si>
  <si>
    <t>Астрофизика</t>
  </si>
  <si>
    <t>Экспериментальные методы в гелиофизике</t>
  </si>
  <si>
    <t>Специальный практикум по методам модификации поверхности</t>
  </si>
  <si>
    <t>Физика магнитных явлений</t>
  </si>
  <si>
    <t>Физика рентгеновского излучения</t>
  </si>
  <si>
    <t>Атомная и молекулярная спектроскопия</t>
  </si>
  <si>
    <t>Лазерная физика</t>
  </si>
  <si>
    <t>Лазерная спектроскопия</t>
  </si>
  <si>
    <t>Физика диэлектриков</t>
  </si>
  <si>
    <t>Основы функционального анализа</t>
  </si>
  <si>
    <t>Теория групп</t>
  </si>
  <si>
    <t>Теория рассеяния</t>
  </si>
  <si>
    <t>Квантовая теория излучения</t>
  </si>
  <si>
    <t>Курсовая работа (по профилю)</t>
  </si>
  <si>
    <t>Введение в квантовую теорию поля</t>
  </si>
  <si>
    <t>Нейтринная астрофизика</t>
  </si>
  <si>
    <t>Слабые взаимодействия</t>
  </si>
  <si>
    <t>11.03.04  Электроника и наноэлектроника</t>
  </si>
  <si>
    <t>Физика полупроводников</t>
  </si>
  <si>
    <t>Процессы микро- и нанотехнологий</t>
  </si>
  <si>
    <t>Физические основы электроники</t>
  </si>
  <si>
    <t>Метрология и стандартизация</t>
  </si>
  <si>
    <t>Информационные технологии</t>
  </si>
  <si>
    <t>Организация и планирование производства</t>
  </si>
  <si>
    <t>Эмиссионный спектральный анализ</t>
  </si>
  <si>
    <t>Методы обработки поверхности твердого тела</t>
  </si>
  <si>
    <t>Технологии материалов электронной техники</t>
  </si>
  <si>
    <t>Физическая химия материалов</t>
  </si>
  <si>
    <t>Квантовая и оптическая электроника</t>
  </si>
  <si>
    <t>Современное физическое материаловедение</t>
  </si>
  <si>
    <t>Методы исследования материалов и структур электроники</t>
  </si>
  <si>
    <t>Руководство программой магистрской подготовки</t>
  </si>
  <si>
    <t>Всего по факультету:</t>
  </si>
  <si>
    <t>Геологический факультет</t>
  </si>
  <si>
    <t>Физика (гео+пр)</t>
  </si>
  <si>
    <t xml:space="preserve">Физика </t>
  </si>
  <si>
    <t xml:space="preserve"> Биолого-почвенный  факультет</t>
  </si>
  <si>
    <t>Физика</t>
  </si>
  <si>
    <t>Внебюджет</t>
  </si>
  <si>
    <t>03.04.03 Радиофизика</t>
  </si>
  <si>
    <t>Кафедра</t>
  </si>
  <si>
    <t>Код</t>
  </si>
  <si>
    <t>Бакалавры</t>
  </si>
  <si>
    <t>Магистры</t>
  </si>
  <si>
    <t>РФиРЭ</t>
  </si>
  <si>
    <t>РФ</t>
  </si>
  <si>
    <t>ФИЗ</t>
  </si>
  <si>
    <t>ТФ</t>
  </si>
  <si>
    <t>ТКС</t>
  </si>
  <si>
    <t>РЭУ</t>
  </si>
  <si>
    <t>СЗФ</t>
  </si>
  <si>
    <t>ФКС</t>
  </si>
  <si>
    <t>ФФ</t>
  </si>
  <si>
    <t>ОКФ</t>
  </si>
  <si>
    <t>1 курс</t>
  </si>
  <si>
    <t>ОЭФ</t>
  </si>
  <si>
    <t>2 курс</t>
  </si>
  <si>
    <t>3 курс</t>
  </si>
  <si>
    <t>4 курс</t>
  </si>
  <si>
    <t>Группы студентов</t>
  </si>
  <si>
    <t>Таблица № 2</t>
  </si>
  <si>
    <t xml:space="preserve"> образовательное учреждение</t>
  </si>
  <si>
    <t>Директор института (декан факультета)</t>
  </si>
  <si>
    <t xml:space="preserve"> преподаватели обеспечивающие нагрузку</t>
  </si>
  <si>
    <t xml:space="preserve">Организация и сопровождение работы совета </t>
  </si>
  <si>
    <t>СВОДНЫЙ РАСЧЕТ ЧАСОВ РАБОТЫ  КАФЕДРЫ Общей и экспериментальной физики</t>
  </si>
  <si>
    <t>СВОДНЫЙ РАСЧЕТ ЧАСОВ РАБОТЫ  КАФЕДРЫ Общей и космической физики</t>
  </si>
  <si>
    <t>СВОДНЫЙ РАСЧЕТ ЧАСОВ РАБОТЫ  КАФЕДРЫ Радиофизики и  радиоэлектроники</t>
  </si>
  <si>
    <t>СВОДНЫЙ РАСЧЕТ ЧАСОВ РАБОТЫ  КАФЕДРЫ Теоретической физики</t>
  </si>
  <si>
    <t>Кафедра 07</t>
  </si>
  <si>
    <t>Кафедра 08</t>
  </si>
  <si>
    <t>Кафедра 10</t>
  </si>
  <si>
    <t>Кафедра 12</t>
  </si>
  <si>
    <t>7, 8</t>
  </si>
  <si>
    <t>Итого</t>
  </si>
  <si>
    <t>_________________Буднев Н.М.</t>
  </si>
  <si>
    <t>___________________Буднев Н.М.</t>
  </si>
  <si>
    <t>Зам. декана  ________________________________Колесник С.Н.</t>
  </si>
  <si>
    <t>Руководство ВКР</t>
  </si>
  <si>
    <t>Основы робототехники</t>
  </si>
  <si>
    <t>Очное отделение</t>
  </si>
  <si>
    <t>Автоматизация радиофизического эксперимента</t>
  </si>
  <si>
    <t>10.03.01 Информационная безопасность</t>
  </si>
  <si>
    <t>Информатика</t>
  </si>
  <si>
    <t>ВСЕГО передано на факультет</t>
  </si>
  <si>
    <t>Географический факультет</t>
  </si>
  <si>
    <t>Преддипломная практика</t>
  </si>
  <si>
    <t>Подготовка и рецензирование ВКР</t>
  </si>
  <si>
    <t>ИТОГО</t>
  </si>
  <si>
    <t>7, 8, 12</t>
  </si>
  <si>
    <t>ГЭК (Защита ВКР бакалавра) (7 чел)</t>
  </si>
  <si>
    <t xml:space="preserve"> </t>
  </si>
  <si>
    <t>8, 10</t>
  </si>
  <si>
    <t>Компьютерное зрение в научных исследованиях</t>
  </si>
  <si>
    <t>ГИА (ВКР защита) комиссия 7 человека</t>
  </si>
  <si>
    <t>Б1.О.12.01</t>
  </si>
  <si>
    <t>Профиль</t>
  </si>
  <si>
    <t>ИБ</t>
  </si>
  <si>
    <t>Б1.В.02</t>
  </si>
  <si>
    <t>Б1.В.03</t>
  </si>
  <si>
    <t>Б1.В.04</t>
  </si>
  <si>
    <t>1/2</t>
  </si>
  <si>
    <t>Декан факультета_______________________________Буднев Н.М.</t>
  </si>
  <si>
    <t>ВСЕГО по географическому факультету:</t>
  </si>
  <si>
    <t>ВСЕГО по геологическому факультету:</t>
  </si>
  <si>
    <t>Дополнительные главы физики плазмы</t>
  </si>
  <si>
    <t>Б1.В.06</t>
  </si>
  <si>
    <t>Б2.В.02(Пд)</t>
  </si>
  <si>
    <t>Б1.О.12.02</t>
  </si>
  <si>
    <t>Б1.О.15</t>
  </si>
  <si>
    <t>Б2.О.01(У)</t>
  </si>
  <si>
    <t>ИМИТ</t>
  </si>
  <si>
    <t>Б1.О.10</t>
  </si>
  <si>
    <t>Б1.В.08</t>
  </si>
  <si>
    <t>Б2.В.01(Н)</t>
  </si>
  <si>
    <t>03.04.02 Физика</t>
  </si>
  <si>
    <t>Б1.В.ДВ.01.01</t>
  </si>
  <si>
    <t>ВСЕГО по ИМИТ:</t>
  </si>
  <si>
    <t>Б1.Б.13.01</t>
  </si>
  <si>
    <t>Прикладное программирование</t>
  </si>
  <si>
    <t>ТЗИ</t>
  </si>
  <si>
    <t>БАС</t>
  </si>
  <si>
    <t>Электротехника</t>
  </si>
  <si>
    <t>Сети и системы передачи информации</t>
  </si>
  <si>
    <t>Распространение радиоволн</t>
  </si>
  <si>
    <t>Веб-программирование</t>
  </si>
  <si>
    <t>Б1.О.12.03</t>
  </si>
  <si>
    <t>Б1.О.13.01</t>
  </si>
  <si>
    <t>Б1.О.13.04</t>
  </si>
  <si>
    <t>Дополнительные главы физики</t>
  </si>
  <si>
    <t>Б1.О.14.01</t>
  </si>
  <si>
    <t>Введение в специальность</t>
  </si>
  <si>
    <t>Методы исследований материалов электроники</t>
  </si>
  <si>
    <t>лабы переданы 8-ой кафедре</t>
  </si>
  <si>
    <t>ВСЕГО по направлению 11.03.04:</t>
  </si>
  <si>
    <t>ВСЕГО по направлению 03.03.03:</t>
  </si>
  <si>
    <t>ВСЕГО по направлению 03.03.02:</t>
  </si>
  <si>
    <t>ВСЕГО по направлению 10.03.01:</t>
  </si>
  <si>
    <t>ВСЕГО по направлению 03.04.03:</t>
  </si>
  <si>
    <t>ВСЕГО по направлению 03.04.02:</t>
  </si>
  <si>
    <t>Интернет-технологии обработки данных</t>
  </si>
  <si>
    <t>Методы обработки изображений</t>
  </si>
  <si>
    <t>Производственная практика (Научно-исследовательская работа) (2 нед.)</t>
  </si>
  <si>
    <t>ВСЕГО по напрвлению 11.03.04:</t>
  </si>
  <si>
    <t>ВСЕГО по напрвлению 10.03.01:</t>
  </si>
  <si>
    <t>ВСЕГО по напрвлению 03.04.02:</t>
  </si>
  <si>
    <t>ВСЕГО по факультету:</t>
  </si>
  <si>
    <t>ВСЕГО передано с других факультетов:</t>
  </si>
  <si>
    <t>Релятивистская физика</t>
  </si>
  <si>
    <t>Б1.О.12</t>
  </si>
  <si>
    <t>Б1.О.14.02</t>
  </si>
  <si>
    <t>Б1.О.14.03</t>
  </si>
  <si>
    <t>Б1.О.15.01</t>
  </si>
  <si>
    <t>Б2.В.01.01(У)</t>
  </si>
  <si>
    <t>Б1.О.19</t>
  </si>
  <si>
    <t>Б1.О.12.04</t>
  </si>
  <si>
    <t>Б1.О.13.02</t>
  </si>
  <si>
    <t>Б1.О.13.03</t>
  </si>
  <si>
    <t>Инженерная и компьютерная графика</t>
  </si>
  <si>
    <t>Б1.О.14.04</t>
  </si>
  <si>
    <t>Б1.О.16</t>
  </si>
  <si>
    <t>Б1.О.17</t>
  </si>
  <si>
    <t>Б1.О.18</t>
  </si>
  <si>
    <t>Микро- и наноэлектроника</t>
  </si>
  <si>
    <t>Б1.О.20</t>
  </si>
  <si>
    <t>Б1.О.24</t>
  </si>
  <si>
    <t>Теоретические основы электротехники</t>
  </si>
  <si>
    <t>Б1.Б.16.01</t>
  </si>
  <si>
    <t>Программирование на языках высокого уровня</t>
  </si>
  <si>
    <t>Б1.В.13</t>
  </si>
  <si>
    <t>Безопасность информационных технологий</t>
  </si>
  <si>
    <t>Программно-аппаратные средства защиты информации</t>
  </si>
  <si>
    <t>Организационное и правовое обеспечение информационной безопасности</t>
  </si>
  <si>
    <t>Электромагнитная совместимость</t>
  </si>
  <si>
    <t>44.03.05 Педагогическое образование (с двумя профилями подготовки)</t>
  </si>
  <si>
    <t>профиль "Физика-Информатика: углубленная подготовка"</t>
  </si>
  <si>
    <t>Б1.О.22</t>
  </si>
  <si>
    <t>Б1.О.23</t>
  </si>
  <si>
    <t>Б1.О.25</t>
  </si>
  <si>
    <t>ВСЕГО по направлению 44.03.05:</t>
  </si>
  <si>
    <t>Вычислительные системы и компьютерные сети</t>
  </si>
  <si>
    <t>Направление 01.03.02 "Прикладная математика и информатика", профиль "Системная и бизнес-аналитика"</t>
  </si>
  <si>
    <t>Направление 05.03.02 "География" (профиль География, геоинформационные системы и технологии), бакалавры 1 курс</t>
  </si>
  <si>
    <t>1/1</t>
  </si>
  <si>
    <t>ОЧНОЕ ОТДЕЛЕНИЕ</t>
  </si>
  <si>
    <t>Б1.ДВ.02.01</t>
  </si>
  <si>
    <t>Б1.ДВ.03.01</t>
  </si>
  <si>
    <t>Б1.В.ДВ.02.01</t>
  </si>
  <si>
    <t>Б1.В.ДВ.03.01</t>
  </si>
  <si>
    <t>7,8,12</t>
  </si>
  <si>
    <t>ВСЕГО по напрвлению 44.03.05:</t>
  </si>
  <si>
    <t>Б1.О.01</t>
  </si>
  <si>
    <t>Б1.В.01</t>
  </si>
  <si>
    <t>Б1.В.05</t>
  </si>
  <si>
    <t>Б1.В.07</t>
  </si>
  <si>
    <t>Б2.В.02(Н)</t>
  </si>
  <si>
    <t>Производственная практика (Научно-исследовательская работа)</t>
  </si>
  <si>
    <t>Современные проблемы физики</t>
  </si>
  <si>
    <t>пз у 8 каф</t>
  </si>
  <si>
    <t>ВСЕГО по напрвлению 03.04.03:</t>
  </si>
  <si>
    <t>Б1.О.13</t>
  </si>
  <si>
    <t>1/2,</t>
  </si>
  <si>
    <t>Методы математической физики</t>
  </si>
  <si>
    <t>Б1.О.15.02</t>
  </si>
  <si>
    <t>Волны в сплошных средах</t>
  </si>
  <si>
    <t>Основы радиоэлектроники</t>
  </si>
  <si>
    <t>Б2.О.01.02(У)</t>
  </si>
  <si>
    <t>Учебная практика. (Научно-исследовательская работа (получение первичных навыков научно-исследовательской работы))</t>
  </si>
  <si>
    <t>Математический анализ</t>
  </si>
  <si>
    <t>Электродинамика</t>
  </si>
  <si>
    <t>Учебная практика. Научно-исследовательская работа (получение первичных навыков научно-исследовательской работы)</t>
  </si>
  <si>
    <t>Б2.О.01.01(У)</t>
  </si>
  <si>
    <t>Б1.В.17</t>
  </si>
  <si>
    <t>Методы обработки сигналов</t>
  </si>
  <si>
    <t>Б1.В.09</t>
  </si>
  <si>
    <t>Б1.В.11</t>
  </si>
  <si>
    <t>Б1.В.14</t>
  </si>
  <si>
    <t>Магнитные материалы электроники</t>
  </si>
  <si>
    <t>Б1.О.14.05</t>
  </si>
  <si>
    <t>Б1.О.15.03</t>
  </si>
  <si>
    <t>Б1.О.15.04</t>
  </si>
  <si>
    <t>Б1.О.26.01</t>
  </si>
  <si>
    <t>Б1.О.26.02</t>
  </si>
  <si>
    <t>Б1.О.28</t>
  </si>
  <si>
    <t>Основы проектирования электронной компонентной базы</t>
  </si>
  <si>
    <t>Б2.О.02(П)</t>
  </si>
  <si>
    <t>Б1.О.21</t>
  </si>
  <si>
    <t>Локальные вычислительные сети и информационная безопасность</t>
  </si>
  <si>
    <t>Б2.В.01(П)</t>
  </si>
  <si>
    <t>Б1.О.14</t>
  </si>
  <si>
    <t>Б1.Б.15.01</t>
  </si>
  <si>
    <t>Б1.О.16.02</t>
  </si>
  <si>
    <t>Б1.О.16.03</t>
  </si>
  <si>
    <t>Квантовая отптика и атомная физика (поток НЭ, ИБ)</t>
  </si>
  <si>
    <t>Б1.О.31</t>
  </si>
  <si>
    <t>Б1.О.32</t>
  </si>
  <si>
    <t>Б1.О.33</t>
  </si>
  <si>
    <t>Документоведение. Нормативные документы в сфере информационной безопасности</t>
  </si>
  <si>
    <t>Дискретная математика</t>
  </si>
  <si>
    <t>Учебная практика. Ознакомительная практика</t>
  </si>
  <si>
    <t>Основы экономической безопасности</t>
  </si>
  <si>
    <t>Б1.О.04</t>
  </si>
  <si>
    <t>Б1.О.06</t>
  </si>
  <si>
    <t>Б1.О.07</t>
  </si>
  <si>
    <t>Б1.О.08</t>
  </si>
  <si>
    <t>Б1.О.09</t>
  </si>
  <si>
    <t>Учебная практика (Научно-исследовательская работа)</t>
  </si>
  <si>
    <t>Моделирование распространения радиоволн</t>
  </si>
  <si>
    <t>Б2.О.01(Пд)</t>
  </si>
  <si>
    <t>профиль "Медицинская физика"</t>
  </si>
  <si>
    <t>профиль "Астрофизика высоких энергий"</t>
  </si>
  <si>
    <t>Б2.О.02(Н)</t>
  </si>
  <si>
    <t>8-ой кафедре лабы</t>
  </si>
  <si>
    <t>11.04.04 Электроника и наноэлектроника</t>
  </si>
  <si>
    <t>ВСЕГО по напрвлению 11.04.04:</t>
  </si>
  <si>
    <t>ВСЕГО по направлению 11.04.04:</t>
  </si>
  <si>
    <t>пз 8-ой кафедре</t>
  </si>
  <si>
    <t>Б1.О.12.05</t>
  </si>
  <si>
    <t>Квантовая механика</t>
  </si>
  <si>
    <t>Термодинамика и статистическая физика</t>
  </si>
  <si>
    <t>Обработка данных на языке Python</t>
  </si>
  <si>
    <t>Б1.О.27</t>
  </si>
  <si>
    <t>Физическая электроника и квантовая радиофизика</t>
  </si>
  <si>
    <t>Основы цифровой электроники и схемотехники</t>
  </si>
  <si>
    <t>Аналитическая геометрия</t>
  </si>
  <si>
    <t>Линейная алгебра</t>
  </si>
  <si>
    <t>Б1.Б.13.05</t>
  </si>
  <si>
    <t>Б1.О.13.06</t>
  </si>
  <si>
    <t>Методы математической физики (поток ФИЗ, НЭ)</t>
  </si>
  <si>
    <t>Квантовая механика (поток ФИЗ, НЭ)</t>
  </si>
  <si>
    <t>Квантовая теория твердого тела</t>
  </si>
  <si>
    <t>Б1.В.02.01</t>
  </si>
  <si>
    <t>Специальный практикум по спектроскопии</t>
  </si>
  <si>
    <t>Б1.В.02.02</t>
  </si>
  <si>
    <t>Производственная практика. (Научно-исследовательская работа) (расср., 2 нед.)</t>
  </si>
  <si>
    <t>Производственная практика. (Научно-исследовательская работа) (расср., 1 1/3 нед.)</t>
  </si>
  <si>
    <t>Б1.В.10</t>
  </si>
  <si>
    <t>Кристаллофизика</t>
  </si>
  <si>
    <t>Введение в физику конденсированного состояния</t>
  </si>
  <si>
    <t>Специальный практикум по квантовой механике</t>
  </si>
  <si>
    <t>Релятивистиская квантовая теория</t>
  </si>
  <si>
    <t>Интегральные уравнения и вариационное исчисление</t>
  </si>
  <si>
    <t>Б1.В.15</t>
  </si>
  <si>
    <t>Б1.О.15.05</t>
  </si>
  <si>
    <t>Термодинамика и статистическая физика (поток РФ, НЭ)</t>
  </si>
  <si>
    <t>Б1.О.14.06</t>
  </si>
  <si>
    <t>Б1.О.26.03</t>
  </si>
  <si>
    <t>Б1.О.29</t>
  </si>
  <si>
    <t>Методы и средства криптографической защиты информации</t>
  </si>
  <si>
    <t>Б1.О.34</t>
  </si>
  <si>
    <t>Б1.О.35</t>
  </si>
  <si>
    <t>Практикум по программированию</t>
  </si>
  <si>
    <t>профиль "Безопасность автоматизированных систем (по отрасли или в сфере профессиональной деятельности)"</t>
  </si>
  <si>
    <t>профиль "Техническая защита информации"</t>
  </si>
  <si>
    <t>Стандартная модель</t>
  </si>
  <si>
    <t>Б1.В.01(Н)</t>
  </si>
  <si>
    <t>Производственная практика (Преддипломная практика)</t>
  </si>
  <si>
    <t>Материалы наноэлектроники</t>
  </si>
  <si>
    <t>Зав. кафедрой  _______________ Паперный В.Л.</t>
  </si>
  <si>
    <t>Зав. кафедрой _______________ Ловцов С.В.</t>
  </si>
  <si>
    <t>Зав. кафедрой  _______________ Гаврилюк А.А.</t>
  </si>
  <si>
    <t>Зав. кафедрой  _______________ Колесник С.Н.</t>
  </si>
  <si>
    <t>05.03.06 Экология и природопользование профиль Экологическая экспертиза</t>
  </si>
  <si>
    <t>06.03.02 Почвоведение профиль Управление земельными ресурсами</t>
  </si>
  <si>
    <t>ДНЕВНОЕ ОТДЕЛЕНИЕ Направление  05.03.01    "Геология"  (профили "Геология", "Геология, разработка месторождений нефти и газа")</t>
  </si>
  <si>
    <t>ЭЛК.ДВ.03.01</t>
  </si>
  <si>
    <t>Компьютерное моделирование</t>
  </si>
  <si>
    <t>Базы данных в глобальной сети</t>
  </si>
  <si>
    <t>Методы радиозондирования неоднородных сред</t>
  </si>
  <si>
    <t>Радиофизические исследования околоземного космического пространства</t>
  </si>
  <si>
    <t>Методология и современные проблемы радиофизики</t>
  </si>
  <si>
    <t>Специальные разделы физики (Космическая радиофизика)</t>
  </si>
  <si>
    <t>Компьютерные технологии</t>
  </si>
  <si>
    <t>Волны в неоднородных средах</t>
  </si>
  <si>
    <t>Б2.В.01(У)</t>
  </si>
  <si>
    <t>Современные компьютерные технологии в научных исследованиях</t>
  </si>
  <si>
    <t>Экспериментальные методы в астрофизике высоких энергий</t>
  </si>
  <si>
    <t>Экспериментальные методы в ядерной физике</t>
  </si>
  <si>
    <t>Моделирование процессов прохождения частиц и излучения в средах</t>
  </si>
  <si>
    <t>Б2.О.02(У)</t>
  </si>
  <si>
    <t>Безопасность жизнедеятельности</t>
  </si>
  <si>
    <t>Направление 01.03.02 "Прикладная математика и информатика", профиль "Системы искусственного интеллекта"</t>
  </si>
  <si>
    <t>Направление 02.03.03 "Математическое обеспечение и администрирование информационных систем", профиль "Математическое обеспечение и администрирование информационных систем"</t>
  </si>
  <si>
    <t>Заочное отделение</t>
  </si>
  <si>
    <t>НЭ</t>
  </si>
  <si>
    <t>03.03.03.</t>
  </si>
  <si>
    <t>10.03.01.</t>
  </si>
  <si>
    <t>11.03.04.</t>
  </si>
  <si>
    <t>44.03.05</t>
  </si>
  <si>
    <t>09.03.02.</t>
  </si>
  <si>
    <t>ПЕД</t>
  </si>
  <si>
    <t>ИСТ</t>
  </si>
  <si>
    <t>03.04.03.</t>
  </si>
  <si>
    <t>11.04.04.</t>
  </si>
  <si>
    <t>03.03.02.</t>
  </si>
  <si>
    <t>03.04.02.</t>
  </si>
  <si>
    <t>Группы студентов, бакалавриат</t>
  </si>
  <si>
    <t>Группы студентов, магистратура</t>
  </si>
  <si>
    <t>По профилям</t>
  </si>
  <si>
    <t>10.03.01 Инф.без-ть</t>
  </si>
  <si>
    <t>МЕД</t>
  </si>
  <si>
    <t>Молекулярная физика (поток РФ, ФИЗ)</t>
  </si>
  <si>
    <t>Математический анализ (поток РФ, ИБ, НЭ, ИСТ)</t>
  </si>
  <si>
    <t>Аналитическая геометрия и линейная алгебра (поток РФ, НЭ, ИСТ)</t>
  </si>
  <si>
    <t>Алгоритмы и основы программирования (поток РФ, ИСТ)</t>
  </si>
  <si>
    <t>Численные методы и программирование (поток РФ, ИСТ)</t>
  </si>
  <si>
    <t>Атомная и ядерная физика (поток РФ, ФИЗ)</t>
  </si>
  <si>
    <t>Измерительные и вычислительные системы</t>
  </si>
  <si>
    <t>Теория информация и базы данных</t>
  </si>
  <si>
    <t>Производственная практика (Научно-исследовательская работа) (расср., 2/3 нед.)</t>
  </si>
  <si>
    <t>профиль "Радиофизика в области связи, информационных и телекоммуникационных технологий"</t>
  </si>
  <si>
    <t xml:space="preserve">профиль "Радиофизика: радиоэлектронные устройства, обработка сигналов и автоматизация" </t>
  </si>
  <si>
    <t>Web-программирование</t>
  </si>
  <si>
    <t>Б1.О.30</t>
  </si>
  <si>
    <t>Технологии искусственного интелекта (поток РФ, ФИЗ, НЭ, ИБ)</t>
  </si>
  <si>
    <t>Современные проблемы радиофизики</t>
  </si>
  <si>
    <t>Основы теории кодирования</t>
  </si>
  <si>
    <t>Радиофизический мониторинг</t>
  </si>
  <si>
    <t>Автоматизация физического эксперимента</t>
  </si>
  <si>
    <t>Цифровые сигнальные процессоры</t>
  </si>
  <si>
    <t>Б2.В.03(Пд)</t>
  </si>
  <si>
    <t>Преддипломная практика (5 1/3 нед.)</t>
  </si>
  <si>
    <t>Основы информационной безопасности</t>
  </si>
  <si>
    <t>Космическая радиофизика</t>
  </si>
  <si>
    <t>профиль "Физика материалов твердотельной электроники и фотоники"</t>
  </si>
  <si>
    <t>Теория функций комплексного переменного</t>
  </si>
  <si>
    <t>Основы проектирования микроконтроллерных устройств (профили СЗФ и ФКС)</t>
  </si>
  <si>
    <t>Б1.В.02.03</t>
  </si>
  <si>
    <t>Б1.В.12</t>
  </si>
  <si>
    <t>Б1.В.16</t>
  </si>
  <si>
    <t>Физика магнитных явления</t>
  </si>
  <si>
    <t>Специальный практикум по квантовой теории</t>
  </si>
  <si>
    <t>Механика сплошных сред</t>
  </si>
  <si>
    <t>Топология</t>
  </si>
  <si>
    <t>Математические паккеты для обработки экспериментальных данных</t>
  </si>
  <si>
    <t>Методы исследования физики конденсированного состояния</t>
  </si>
  <si>
    <t>Теория измерений (поток НЭ, ИБ, ИСТ)</t>
  </si>
  <si>
    <t>Основы научно-исследовательской деятельности (поток НЭ, ИБ)</t>
  </si>
  <si>
    <t>Технологическая (проектно-технологическая) практика 2 (4 нед.)</t>
  </si>
  <si>
    <t>Преддипломная практика (4 нед)</t>
  </si>
  <si>
    <t>Объектно-ориентированное программирование и моделирование</t>
  </si>
  <si>
    <t>Б1.О.38</t>
  </si>
  <si>
    <t>Защита и обработка конфиденциальных документов</t>
  </si>
  <si>
    <t>Компьютерная защита информации от несанкционированного доступа</t>
  </si>
  <si>
    <t>Производственная практика. Эксплуатационная практика</t>
  </si>
  <si>
    <t>Основы построения и функционирования технических средств защиты информации</t>
  </si>
  <si>
    <t>Б1.О.37</t>
  </si>
  <si>
    <t>Б2.В.02(П)</t>
  </si>
  <si>
    <t>Производственная практика. Технологическая практика</t>
  </si>
  <si>
    <t>09.03.02 Информационные системы и технологии</t>
  </si>
  <si>
    <t>ВСЕГО по направлению 09.03.02:</t>
  </si>
  <si>
    <t>Механика и молекулярная физика  (поток НЭ, ИБ, ИСТ)</t>
  </si>
  <si>
    <t>профиль "Электронный инжиниринг"</t>
  </si>
  <si>
    <t>Проблемы темной материи и экзотических частиц</t>
  </si>
  <si>
    <t>Основы высшей математики</t>
  </si>
  <si>
    <t>Механика и молекулярная физика (поток НЭ, ИБ, ИСТ)</t>
  </si>
  <si>
    <t>Алгоритмы и основы программирования</t>
  </si>
  <si>
    <t>ВСЕГО по напрвлению 09.03.02:</t>
  </si>
  <si>
    <t>1 подгруппа по лаб. передана 8-ой каф.</t>
  </si>
  <si>
    <t>ДНЕВНОЕ ОТДЕЛЕНИЕ Специальность 21.05.02   "Прикладная геология",  специализация "Геология нефти и газа"</t>
  </si>
  <si>
    <t xml:space="preserve">Физика  </t>
  </si>
  <si>
    <t>Защита информационно-управляющих систем</t>
  </si>
  <si>
    <t>4/8</t>
  </si>
  <si>
    <t xml:space="preserve">Электротехника и электроника </t>
  </si>
  <si>
    <t>Обеспечение безопасности операционных систем (лекции поток ТЗИ и БАС)</t>
  </si>
  <si>
    <t>Безопасность операционных систем (лекции поток ТЗИ и БАС)</t>
  </si>
  <si>
    <t>профиль "Информационные процессы и системы"</t>
  </si>
  <si>
    <t>06.03.01 Биология профиль Биология</t>
  </si>
  <si>
    <t>06.05.01 Биоинженерия и биоинформатика (специалитет)</t>
  </si>
  <si>
    <t>Спинтроника</t>
  </si>
  <si>
    <t>каф. 7 - 5 чел, каф. 8 - 1 чел, каф. 12 - 1 чел</t>
  </si>
  <si>
    <t>Электричество и магнетизм (поток РФ, ФИЗ лекц+пз)</t>
  </si>
  <si>
    <t>Теоретическая механика (поток РФ, ФИЗ лекц+пз)</t>
  </si>
  <si>
    <t>БЮДЖЕТ</t>
  </si>
  <si>
    <t>5 курс</t>
  </si>
  <si>
    <t>ВНЕБЮДЖЕТ</t>
  </si>
  <si>
    <t>"______"_______________________ г.</t>
  </si>
  <si>
    <t>на 2025 - 2026 учебный год</t>
  </si>
  <si>
    <t>Электричество, магнетизм и волновая оптика (поток НЭ, ИБ, ИСТ)</t>
  </si>
  <si>
    <t>Квантовая отптика и атомная физика (поток НЭ, ИБ, ИСТ)</t>
  </si>
  <si>
    <t>Аппаратные средства вычислительной техники</t>
  </si>
  <si>
    <t>Безопасность систем баз данных</t>
  </si>
  <si>
    <t>Б1.О.36</t>
  </si>
  <si>
    <t>Распределенные базы данных. Блокчейн</t>
  </si>
  <si>
    <t>Безопасность программного обеспечения</t>
  </si>
  <si>
    <t>Защита информации от утечки по техническим каналам</t>
  </si>
  <si>
    <t>Основы управления инфомрационной безопасностью</t>
  </si>
  <si>
    <t>Техническая защита критической информационной инфраструктуры (лекции поток ТЗИ и БАС)</t>
  </si>
  <si>
    <t>Организация защиты  критической информационной инфраструктуры (лекции поток ТЗИ и БАС)</t>
  </si>
  <si>
    <t>Развивающиеся технологии в обучении физики</t>
  </si>
  <si>
    <t>5\А</t>
  </si>
  <si>
    <t>История физики</t>
  </si>
  <si>
    <t>Теория информации и базы данных (поток лекции и пз РФ 3к и ПЕД 5к)</t>
  </si>
  <si>
    <t>5\9</t>
  </si>
  <si>
    <t>Волоконно-оптические линии связи (поток ФИЗ СЗФ 4к и ПЕД)</t>
  </si>
  <si>
    <t>Решение олимпиадных задач по информатике</t>
  </si>
  <si>
    <t>Б1.В.ДВ,04.01</t>
  </si>
  <si>
    <t>Преподавание в классах с углубленным изучением физики</t>
  </si>
  <si>
    <t>Б2.О.04(П)</t>
  </si>
  <si>
    <t>Производсвенная педагогическая практика</t>
  </si>
  <si>
    <t>Б2.О.05(ПД)</t>
  </si>
  <si>
    <t>Б2.О.02(Пд)</t>
  </si>
  <si>
    <t>Механика (поток РФ, ФИЗ)</t>
  </si>
  <si>
    <t>Основы построения вычислительных систем (ЭВМ) (поток РФ 1к и ИСТ 2к)</t>
  </si>
  <si>
    <t>Колебания и волны. Оптика (поток РФ, ФИЗ лекц+пз)</t>
  </si>
  <si>
    <t>Математический анализ (поток РФ, НЭ, ИБ, ИСТ)</t>
  </si>
  <si>
    <t>Теория колебаний (поток РФ и ИСТ)</t>
  </si>
  <si>
    <t>Теория функций комплексного переменного (поток РФ, НЭ лекц+пз)</t>
  </si>
  <si>
    <t>Основы радиоэлектроники (поток РФ и ИСТ)</t>
  </si>
  <si>
    <t>Радиотехнические цепи и сигналы (поток РФ и ИСТ)</t>
  </si>
  <si>
    <t>Б1.О.26</t>
  </si>
  <si>
    <t>Компьютерные вычислительные сети</t>
  </si>
  <si>
    <t>Программирование (поток ФИЗ и НЭ)</t>
  </si>
  <si>
    <t>Дифференциальные уравнения (поток РФ, ФИЗ, НЭ, ИСТ лекц, поток РФ, ФИЗ пз)</t>
  </si>
  <si>
    <t>Численные методы и математическое моделирование (поток ФИЗ, НЭ)</t>
  </si>
  <si>
    <t>Вычислительная физика (практикум на ЭВМ) (поток ФИЗ, НЭ)</t>
  </si>
  <si>
    <t>профиль "Фундаментальная физика и физика Космоса"</t>
  </si>
  <si>
    <t>Б1.В.18</t>
  </si>
  <si>
    <t>Б1.В.19</t>
  </si>
  <si>
    <t>Б1.В.20</t>
  </si>
  <si>
    <t>Б1.В.03(Пд)</t>
  </si>
  <si>
    <t>Дифференциальные уравнения (поток РФ, ФИЗ, НЭ, ИСТ)</t>
  </si>
  <si>
    <t>Практикум по твердотельной электронике</t>
  </si>
  <si>
    <t>Технологическая (проектно-технологическая) практика 1 (рассред., 2 нед.)</t>
  </si>
  <si>
    <t>Б1.О.15.06</t>
  </si>
  <si>
    <t>Техническое документоведение</t>
  </si>
  <si>
    <t>Электродинамика (поток РФ, НЭ, ИСТ лекц, поток РФ и НЭ пз)</t>
  </si>
  <si>
    <t>Б1.О.01.01(У)</t>
  </si>
  <si>
    <t>Учебная практика (Ознакомительная)</t>
  </si>
  <si>
    <t>Управление исследовательской и проектной деятельностью (поток РФ, ФИЗ, НЭ маг)</t>
  </si>
  <si>
    <t>Практикум по методам исследования материалов</t>
  </si>
  <si>
    <t>Основы физиологии живых систем</t>
  </si>
  <si>
    <t>Б1В.01</t>
  </si>
  <si>
    <t>Лазерные технологии в медицине</t>
  </si>
  <si>
    <t>Радиационная физика и дозиметрия</t>
  </si>
  <si>
    <t>Биофизика и биофотоника</t>
  </si>
  <si>
    <t>Программирование микроконтроллеров для физических задач</t>
  </si>
  <si>
    <t>Инструменты нейтринной астрофизики</t>
  </si>
  <si>
    <t>Физика сцинтилляторов</t>
  </si>
  <si>
    <t>Б1.В.ДВ.01.02</t>
  </si>
  <si>
    <t>Взаимодейтсвие излучения с веществом</t>
  </si>
  <si>
    <t>Б1.О.01(Пд)</t>
  </si>
  <si>
    <t>Распределенные баз данных. Блокчейн (поток ФИЗ АВЭ, РФ маг)</t>
  </si>
  <si>
    <t>Распределенные базы данных. Блочейн (поток ФИЗ АВЭ, РФ маг)</t>
  </si>
  <si>
    <t>профиль "Электроника и наноэлектроника"</t>
  </si>
  <si>
    <t>Методы математического моделирования</t>
  </si>
  <si>
    <t>Б1.О.05</t>
  </si>
  <si>
    <t>Практикум по диагностике материалов электроники</t>
  </si>
  <si>
    <t>Современные направления развития физического материаловедения</t>
  </si>
  <si>
    <t>Высокорезистивные материалы</t>
  </si>
  <si>
    <t>Организация мероприятий метрологического обеспечениения средств измерений</t>
  </si>
  <si>
    <t>Практикум по современным компьютерным технологиям</t>
  </si>
  <si>
    <t>Введение в нанотехнологии</t>
  </si>
  <si>
    <t>Компьютерные технологии в научных исследованиях</t>
  </si>
  <si>
    <t>Организация и контроль процессов измерений параметров и модификации свойств наноматериалов  и наноструктур</t>
  </si>
  <si>
    <t>Научно-исследовательская работа (получение первичных навыков научно-исследовательской работы)</t>
  </si>
  <si>
    <t>"______"___________________________ г.</t>
  </si>
  <si>
    <t>"______"_________________________ г.</t>
  </si>
  <si>
    <t>"______"__________________________    г.</t>
  </si>
  <si>
    <t>"______"_________________________     г.</t>
  </si>
  <si>
    <t>Методы обработки экспериментальных данных (поток ФМТЭФ и АВЭ)</t>
  </si>
  <si>
    <t>Направление 05.03.06 "Экология и природопользование" (профиль Экологическая безопасность и управление природопользованием), бакалавры 1 курс</t>
  </si>
  <si>
    <t xml:space="preserve">Направление 05.03.04 "Гидрометеорология" (Гидрология: управление водными ресурсами, Метеорология: управление климатическими рисками ), бакалавры 1 курс                       </t>
  </si>
  <si>
    <t>ЗАОЧНОЕ ОТДЕЛЕНИЕ Специальность 21.05.02 "Прикладная геология" (специализации "Геология месторождений  нефти и газа", "Геологическая съемка, поиски и разведка месторождений твердых полезных ископаемых")</t>
  </si>
  <si>
    <t>ЗАОЧНОЕ ОТДЕЛЕНИЕ Специальность 21.05.02 "Прикладная геология" (специализации "Геология месторождений  нефти и газа")</t>
  </si>
  <si>
    <t>7, 10</t>
  </si>
  <si>
    <t>Белоголова</t>
  </si>
  <si>
    <t>каф 7 - 1 чел., каф. 10 - 4 чел.</t>
  </si>
  <si>
    <t>ВСЕГО по биолого-почвенному факультету:</t>
  </si>
  <si>
    <t>Б1.O.29</t>
  </si>
  <si>
    <t>Направление 01.03.02 "Прикладная математика и информатика", профиль "Математическое моделирование и программирование систем управления"</t>
  </si>
  <si>
    <t>Руководство программой магистерской подготовки</t>
  </si>
  <si>
    <t>8 - 5 чел, 7 - остальное</t>
  </si>
  <si>
    <t xml:space="preserve">профиль "Радиоинжиниринг и телекоммуникации" </t>
  </si>
  <si>
    <t>профиль "Экспериментальная физика"</t>
  </si>
  <si>
    <t>Специальный практикум по методам обработки сигналов (поток СЗФ и ФКС)</t>
  </si>
  <si>
    <t>Основы сетевых технологий (поток СЗФ и ФКС)</t>
  </si>
  <si>
    <t>Методы обработки сигналов (поток СЗФ и ФКС)</t>
  </si>
  <si>
    <t>Базы данных (поток СЗФ и ФКС)</t>
  </si>
  <si>
    <t>Введение в физику космических лучей (поток СЗФ и ФФ)</t>
  </si>
  <si>
    <t>Введение в экспериментальные методы астрофизики высоких энергий (поток СЗФ и ФФ)</t>
  </si>
  <si>
    <t>Экспериментальные методы ядерной физике (поток СЗФ и ФФ)</t>
  </si>
  <si>
    <t>Астрофизика высоких энергий (поток СЗФ и ФФ)</t>
  </si>
  <si>
    <t>Нейтринная астрофизика (поток СЗФ и ФФ)</t>
  </si>
  <si>
    <t>Квантовая электродинамика</t>
  </si>
  <si>
    <t>Волоконно-оптические линии связи (поток лекции и лабы ФИЗ СЗФ 4к и ПЕД)</t>
  </si>
  <si>
    <t>Методы обработки экспериментальных данных (поток лекции и лабы ФМТЭФ и АВЭ)</t>
  </si>
  <si>
    <t>Избранные главы элементарной физики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</si>
</sst>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name val="Arial Cyr"/>
      <family val="2"/>
      <charset val="204"/>
    </font>
    <font>
      <sz val="8"/>
      <name val="Arial"/>
      <family val="2"/>
    </font>
    <font>
      <b/>
      <sz val="14"/>
      <name val="Arial Cyr"/>
      <charset val="204"/>
    </font>
    <font>
      <sz val="14"/>
      <name val="Arial Cyr"/>
      <charset val="204"/>
    </font>
    <font>
      <sz val="14"/>
      <name val="Arial"/>
      <family val="2"/>
      <charset val="204"/>
    </font>
    <font>
      <sz val="14"/>
      <color theme="1"/>
      <name val="Arial Cyr"/>
      <family val="2"/>
      <charset val="204"/>
    </font>
    <font>
      <sz val="14"/>
      <color rgb="FFFF0000"/>
      <name val="Arial Cyr"/>
      <family val="2"/>
      <charset val="204"/>
    </font>
    <font>
      <sz val="14"/>
      <color indexed="8"/>
      <name val="Arial Cyr"/>
      <family val="2"/>
      <charset val="204"/>
    </font>
    <font>
      <b/>
      <sz val="11"/>
      <name val="Arial Cyr"/>
      <family val="2"/>
      <charset val="204"/>
    </font>
    <font>
      <sz val="10"/>
      <color rgb="FFFF0000"/>
      <name val="Arial Cyr"/>
      <charset val="204"/>
    </font>
    <font>
      <sz val="10"/>
      <color rgb="FFFF0000"/>
      <name val="Arial Cyr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theme="9"/>
        <bgColor indexed="51"/>
      </patternFill>
    </fill>
    <fill>
      <patternFill patternType="solid">
        <fgColor rgb="FF00B0F0"/>
        <bgColor indexed="40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5" fillId="0" borderId="0"/>
    <xf numFmtId="0" fontId="13" fillId="0" borderId="0"/>
    <xf numFmtId="0" fontId="13" fillId="0" borderId="0" applyBorder="0"/>
    <xf numFmtId="0" fontId="13" fillId="0" borderId="0"/>
  </cellStyleXfs>
  <cellXfs count="4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textRotation="90"/>
    </xf>
    <xf numFmtId="0" fontId="0" fillId="0" borderId="2" xfId="0" applyBorder="1" applyAlignment="1">
      <alignment horizontal="center" textRotation="90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4" xfId="0" applyBorder="1" applyAlignment="1">
      <alignment textRotation="90"/>
    </xf>
    <xf numFmtId="0" fontId="11" fillId="0" borderId="4" xfId="0" applyFont="1" applyBorder="1" applyAlignment="1">
      <alignment horizontal="center" textRotation="90" wrapText="1"/>
    </xf>
    <xf numFmtId="0" fontId="0" fillId="0" borderId="4" xfId="0" applyBorder="1" applyAlignment="1">
      <alignment horizontal="center" textRotation="90" wrapText="1"/>
    </xf>
    <xf numFmtId="0" fontId="10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left"/>
    </xf>
    <xf numFmtId="0" fontId="10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/>
    <xf numFmtId="0" fontId="10" fillId="0" borderId="0" xfId="0" applyFont="1"/>
    <xf numFmtId="2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 wrapText="1"/>
    </xf>
    <xf numFmtId="2" fontId="10" fillId="3" borderId="4" xfId="0" applyNumberFormat="1" applyFont="1" applyFill="1" applyBorder="1" applyAlignment="1">
      <alignment horizontal="center"/>
    </xf>
    <xf numFmtId="2" fontId="9" fillId="3" borderId="4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textRotation="90" wrapText="1"/>
    </xf>
    <xf numFmtId="0" fontId="0" fillId="0" borderId="8" xfId="0" applyBorder="1" applyAlignment="1">
      <alignment textRotation="90"/>
    </xf>
    <xf numFmtId="0" fontId="0" fillId="0" borderId="8" xfId="0" applyBorder="1" applyAlignment="1">
      <alignment horizontal="center" textRotation="90" wrapText="1"/>
    </xf>
    <xf numFmtId="0" fontId="5" fillId="0" borderId="4" xfId="0" applyFont="1" applyBorder="1"/>
    <xf numFmtId="0" fontId="5" fillId="0" borderId="6" xfId="0" applyFont="1" applyBorder="1"/>
    <xf numFmtId="0" fontId="9" fillId="0" borderId="4" xfId="0" applyFont="1" applyBorder="1" applyAlignment="1">
      <alignment horizontal="left"/>
    </xf>
    <xf numFmtId="2" fontId="10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4" xfId="0" applyFont="1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3" borderId="4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4" applyFon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/>
    </xf>
    <xf numFmtId="2" fontId="10" fillId="0" borderId="4" xfId="1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5" fillId="0" borderId="0" xfId="0" applyNumberFormat="1" applyFont="1"/>
    <xf numFmtId="0" fontId="10" fillId="0" borderId="4" xfId="1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9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2" fontId="9" fillId="6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6" borderId="4" xfId="0" applyFont="1" applyFill="1" applyBorder="1" applyAlignment="1">
      <alignment horizontal="left" vertical="top" wrapText="1"/>
    </xf>
    <xf numFmtId="2" fontId="10" fillId="0" borderId="4" xfId="4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49" fontId="9" fillId="6" borderId="4" xfId="0" applyNumberFormat="1" applyFont="1" applyFill="1" applyBorder="1" applyAlignment="1">
      <alignment horizontal="center" vertical="center" wrapText="1"/>
    </xf>
    <xf numFmtId="1" fontId="9" fillId="6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wrapText="1"/>
    </xf>
    <xf numFmtId="0" fontId="9" fillId="6" borderId="4" xfId="0" applyFont="1" applyFill="1" applyBorder="1" applyAlignment="1">
      <alignment horizontal="center"/>
    </xf>
    <xf numFmtId="2" fontId="9" fillId="4" borderId="4" xfId="0" applyNumberFormat="1" applyFont="1" applyFill="1" applyBorder="1" applyAlignment="1">
      <alignment horizontal="center"/>
    </xf>
    <xf numFmtId="2" fontId="9" fillId="6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9" fillId="6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2" fontId="9" fillId="5" borderId="4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center" vertical="center" wrapText="1"/>
    </xf>
    <xf numFmtId="2" fontId="9" fillId="8" borderId="4" xfId="0" applyNumberFormat="1" applyFont="1" applyFill="1" applyBorder="1" applyAlignment="1">
      <alignment horizontal="center"/>
    </xf>
    <xf numFmtId="0" fontId="9" fillId="8" borderId="4" xfId="0" applyFont="1" applyFill="1" applyBorder="1" applyAlignment="1">
      <alignment horizontal="left" wrapText="1"/>
    </xf>
    <xf numFmtId="2" fontId="9" fillId="8" borderId="4" xfId="0" applyNumberFormat="1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9" borderId="4" xfId="0" applyNumberFormat="1" applyFont="1" applyFill="1" applyBorder="1" applyAlignment="1">
      <alignment horizontal="center" vertical="center"/>
    </xf>
    <xf numFmtId="0" fontId="9" fillId="8" borderId="4" xfId="0" applyFont="1" applyFill="1" applyBorder="1"/>
    <xf numFmtId="0" fontId="9" fillId="0" borderId="4" xfId="0" applyFont="1" applyBorder="1"/>
    <xf numFmtId="0" fontId="9" fillId="4" borderId="4" xfId="0" applyFont="1" applyFill="1" applyBorder="1"/>
    <xf numFmtId="0" fontId="9" fillId="0" borderId="4" xfId="0" applyFont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8" fillId="0" borderId="4" xfId="0" applyNumberFormat="1" applyFont="1" applyBorder="1" applyAlignment="1">
      <alignment horizontal="center" vertical="center" textRotation="90"/>
    </xf>
    <xf numFmtId="2" fontId="10" fillId="3" borderId="4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0" fontId="10" fillId="0" borderId="4" xfId="4" applyFont="1" applyBorder="1" applyAlignment="1">
      <alignment horizontal="left" wrapText="1"/>
    </xf>
    <xf numFmtId="0" fontId="10" fillId="0" borderId="4" xfId="4" applyFont="1" applyBorder="1" applyAlignment="1">
      <alignment horizontal="left" vertical="center" wrapText="1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2" fontId="1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2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/>
    </xf>
    <xf numFmtId="2" fontId="16" fillId="9" borderId="4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2" fontId="17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2" fontId="16" fillId="6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2" fontId="17" fillId="0" borderId="4" xfId="1" applyNumberFormat="1" applyFont="1" applyBorder="1" applyAlignment="1">
      <alignment horizontal="center" vertical="center"/>
    </xf>
    <xf numFmtId="0" fontId="16" fillId="8" borderId="4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vertical="center"/>
    </xf>
    <xf numFmtId="2" fontId="16" fillId="8" borderId="4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>
      <alignment horizontal="center" vertical="center" wrapText="1"/>
    </xf>
    <xf numFmtId="1" fontId="16" fillId="6" borderId="4" xfId="0" applyNumberFormat="1" applyFont="1" applyFill="1" applyBorder="1" applyAlignment="1">
      <alignment horizontal="center" vertical="center" wrapText="1"/>
    </xf>
    <xf numFmtId="2" fontId="16" fillId="6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49" fontId="17" fillId="0" borderId="4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7" fillId="0" borderId="4" xfId="4" applyFont="1" applyBorder="1" applyAlignment="1">
      <alignment vertical="center" wrapText="1"/>
    </xf>
    <xf numFmtId="49" fontId="17" fillId="0" borderId="4" xfId="4" applyNumberFormat="1" applyFont="1" applyBorder="1" applyAlignment="1">
      <alignment horizontal="center" vertical="center"/>
    </xf>
    <xf numFmtId="2" fontId="17" fillId="0" borderId="4" xfId="4" applyNumberFormat="1" applyFont="1" applyBorder="1" applyAlignment="1">
      <alignment horizontal="center" vertical="center"/>
    </xf>
    <xf numFmtId="0" fontId="16" fillId="7" borderId="4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vertical="center"/>
    </xf>
    <xf numFmtId="2" fontId="16" fillId="1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2" fontId="7" fillId="11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 textRotation="90" wrapText="1"/>
    </xf>
    <xf numFmtId="2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textRotation="90" wrapText="1"/>
    </xf>
    <xf numFmtId="0" fontId="0" fillId="0" borderId="4" xfId="0" applyBorder="1" applyAlignment="1">
      <alignment vertical="center" textRotation="90"/>
    </xf>
    <xf numFmtId="0" fontId="11" fillId="0" borderId="4" xfId="0" applyFont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2" fontId="10" fillId="0" borderId="4" xfId="0" applyNumberFormat="1" applyFont="1" applyBorder="1" applyAlignment="1">
      <alignment horizontal="left" vertical="center" wrapText="1"/>
    </xf>
    <xf numFmtId="0" fontId="9" fillId="8" borderId="4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left" vertical="center"/>
    </xf>
    <xf numFmtId="2" fontId="10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6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/>
    </xf>
    <xf numFmtId="2" fontId="9" fillId="3" borderId="4" xfId="0" applyNumberFormat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2" fontId="17" fillId="0" borderId="4" xfId="0" applyNumberFormat="1" applyFont="1" applyBorder="1" applyAlignment="1">
      <alignment horizontal="center"/>
    </xf>
    <xf numFmtId="2" fontId="17" fillId="0" borderId="10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horizontal="center" vertical="top" wrapText="1"/>
    </xf>
    <xf numFmtId="1" fontId="17" fillId="0" borderId="4" xfId="0" applyNumberFormat="1" applyFont="1" applyBorder="1" applyAlignment="1">
      <alignment horizontal="center" vertical="top" wrapText="1"/>
    </xf>
    <xf numFmtId="2" fontId="17" fillId="0" borderId="4" xfId="0" applyNumberFormat="1" applyFont="1" applyBorder="1" applyAlignment="1">
      <alignment horizontal="center" vertical="top" wrapText="1"/>
    </xf>
    <xf numFmtId="2" fontId="17" fillId="0" borderId="10" xfId="0" applyNumberFormat="1" applyFont="1" applyBorder="1" applyAlignment="1">
      <alignment horizontal="center" vertical="top" wrapText="1"/>
    </xf>
    <xf numFmtId="14" fontId="0" fillId="0" borderId="4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90"/>
    </xf>
    <xf numFmtId="0" fontId="12" fillId="5" borderId="0" xfId="0" applyFont="1" applyFill="1"/>
    <xf numFmtId="0" fontId="17" fillId="0" borderId="4" xfId="0" applyFont="1" applyBorder="1" applyAlignment="1">
      <alignment horizontal="left" wrapText="1"/>
    </xf>
    <xf numFmtId="0" fontId="10" fillId="0" borderId="4" xfId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5" borderId="4" xfId="0" applyFill="1" applyBorder="1"/>
    <xf numFmtId="2" fontId="7" fillId="0" borderId="4" xfId="0" applyNumberFormat="1" applyFont="1" applyBorder="1" applyAlignment="1">
      <alignment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" fontId="17" fillId="0" borderId="4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vertical="center" wrapText="1"/>
    </xf>
    <xf numFmtId="2" fontId="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8" fillId="0" borderId="4" xfId="0" applyNumberFormat="1" applyFont="1" applyBorder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" fontId="8" fillId="0" borderId="4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2" fontId="20" fillId="0" borderId="0" xfId="0" applyNumberFormat="1" applyFont="1" applyAlignment="1">
      <alignment horizontal="left" vertical="center"/>
    </xf>
    <xf numFmtId="2" fontId="19" fillId="0" borderId="4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vertical="center"/>
    </xf>
    <xf numFmtId="2" fontId="7" fillId="0" borderId="4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wrapText="1"/>
    </xf>
    <xf numFmtId="2" fontId="8" fillId="0" borderId="21" xfId="0" applyNumberFormat="1" applyFont="1" applyBorder="1" applyAlignment="1">
      <alignment horizontal="center" vertical="center"/>
    </xf>
    <xf numFmtId="2" fontId="17" fillId="0" borderId="21" xfId="0" applyNumberFormat="1" applyFont="1" applyBorder="1" applyAlignment="1">
      <alignment horizontal="center" vertical="center" wrapText="1"/>
    </xf>
    <xf numFmtId="2" fontId="17" fillId="0" borderId="21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4" xfId="0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left" vertical="center"/>
    </xf>
    <xf numFmtId="0" fontId="7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/>
    </xf>
    <xf numFmtId="2" fontId="7" fillId="9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vertical="center"/>
    </xf>
    <xf numFmtId="2" fontId="7" fillId="8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vertical="center"/>
    </xf>
    <xf numFmtId="2" fontId="7" fillId="10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1" fontId="17" fillId="0" borderId="4" xfId="5" applyNumberFormat="1" applyFont="1" applyBorder="1" applyAlignment="1">
      <alignment horizontal="center" vertical="center" wrapText="1"/>
    </xf>
    <xf numFmtId="2" fontId="17" fillId="0" borderId="4" xfId="5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" fontId="17" fillId="0" borderId="4" xfId="0" applyNumberFormat="1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left"/>
    </xf>
    <xf numFmtId="0" fontId="17" fillId="0" borderId="4" xfId="4" applyFont="1" applyBorder="1" applyAlignment="1">
      <alignment horizontal="center"/>
    </xf>
    <xf numFmtId="0" fontId="17" fillId="0" borderId="4" xfId="4" applyFont="1" applyBorder="1" applyAlignment="1">
      <alignment wrapText="1"/>
    </xf>
    <xf numFmtId="49" fontId="17" fillId="0" borderId="4" xfId="4" applyNumberFormat="1" applyFont="1" applyBorder="1" applyAlignment="1">
      <alignment horizontal="center"/>
    </xf>
    <xf numFmtId="2" fontId="17" fillId="0" borderId="4" xfId="4" applyNumberFormat="1" applyFont="1" applyBorder="1" applyAlignment="1">
      <alignment horizontal="center"/>
    </xf>
    <xf numFmtId="2" fontId="17" fillId="0" borderId="10" xfId="4" applyNumberFormat="1" applyFont="1" applyBorder="1" applyAlignment="1">
      <alignment horizontal="center"/>
    </xf>
    <xf numFmtId="0" fontId="17" fillId="0" borderId="0" xfId="4" applyFont="1"/>
    <xf numFmtId="2" fontId="8" fillId="0" borderId="4" xfId="0" applyNumberFormat="1" applyFont="1" applyFill="1" applyBorder="1" applyAlignment="1">
      <alignment horizontal="center" vertical="center"/>
    </xf>
    <xf numFmtId="2" fontId="1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8" fillId="0" borderId="4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2" fontId="17" fillId="0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center" vertical="center"/>
    </xf>
    <xf numFmtId="2" fontId="8" fillId="0" borderId="21" xfId="0" applyNumberFormat="1" applyFont="1" applyFill="1" applyBorder="1" applyAlignment="1">
      <alignment horizontal="center" vertical="center"/>
    </xf>
    <xf numFmtId="2" fontId="17" fillId="0" borderId="21" xfId="0" applyNumberFormat="1" applyFont="1" applyFill="1" applyBorder="1" applyAlignment="1">
      <alignment horizontal="center" vertical="center" wrapText="1"/>
    </xf>
    <xf numFmtId="2" fontId="17" fillId="0" borderId="21" xfId="0" applyNumberFormat="1" applyFont="1" applyFill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 wrapText="1"/>
    </xf>
    <xf numFmtId="2" fontId="16" fillId="0" borderId="11" xfId="0" applyNumberFormat="1" applyFont="1" applyBorder="1" applyAlignment="1">
      <alignment horizontal="center" vertical="center" wrapText="1"/>
    </xf>
    <xf numFmtId="2" fontId="16" fillId="0" borderId="6" xfId="0" applyNumberFormat="1" applyFont="1" applyBorder="1" applyAlignment="1">
      <alignment horizontal="center" vertical="center" wrapText="1"/>
    </xf>
    <xf numFmtId="2" fontId="7" fillId="5" borderId="4" xfId="0" applyNumberFormat="1" applyFont="1" applyFill="1" applyBorder="1" applyAlignment="1">
      <alignment horizontal="center" vertical="center" wrapText="1"/>
    </xf>
    <xf numFmtId="2" fontId="7" fillId="13" borderId="4" xfId="0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 wrapText="1"/>
    </xf>
    <xf numFmtId="2" fontId="16" fillId="5" borderId="10" xfId="0" applyNumberFormat="1" applyFont="1" applyFill="1" applyBorder="1" applyAlignment="1">
      <alignment horizontal="center" vertical="center"/>
    </xf>
    <xf numFmtId="2" fontId="16" fillId="5" borderId="11" xfId="0" applyNumberFormat="1" applyFont="1" applyFill="1" applyBorder="1" applyAlignment="1">
      <alignment horizontal="center" vertical="center"/>
    </xf>
    <xf numFmtId="2" fontId="16" fillId="5" borderId="6" xfId="0" applyNumberFormat="1" applyFont="1" applyFill="1" applyBorder="1" applyAlignment="1">
      <alignment horizontal="center" vertical="center"/>
    </xf>
    <xf numFmtId="2" fontId="7" fillId="13" borderId="10" xfId="0" applyNumberFormat="1" applyFont="1" applyFill="1" applyBorder="1" applyAlignment="1">
      <alignment horizontal="center" vertical="center"/>
    </xf>
    <xf numFmtId="2" fontId="7" fillId="13" borderId="11" xfId="0" applyNumberFormat="1" applyFont="1" applyFill="1" applyBorder="1" applyAlignment="1">
      <alignment horizontal="center" vertical="center"/>
    </xf>
    <xf numFmtId="2" fontId="7" fillId="13" borderId="6" xfId="0" applyNumberFormat="1" applyFont="1" applyFill="1" applyBorder="1" applyAlignment="1">
      <alignment horizontal="center" vertical="center"/>
    </xf>
    <xf numFmtId="2" fontId="16" fillId="12" borderId="4" xfId="0" applyNumberFormat="1" applyFont="1" applyFill="1" applyBorder="1" applyAlignment="1">
      <alignment horizontal="center" vertical="center" wrapText="1"/>
    </xf>
    <xf numFmtId="2" fontId="16" fillId="12" borderId="10" xfId="0" applyNumberFormat="1" applyFont="1" applyFill="1" applyBorder="1" applyAlignment="1">
      <alignment horizontal="center" vertical="center" wrapText="1"/>
    </xf>
    <xf numFmtId="2" fontId="16" fillId="12" borderId="11" xfId="0" applyNumberFormat="1" applyFont="1" applyFill="1" applyBorder="1" applyAlignment="1">
      <alignment horizontal="center" vertical="center" wrapText="1"/>
    </xf>
    <xf numFmtId="2" fontId="16" fillId="12" borderId="6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16" fillId="5" borderId="4" xfId="0" applyNumberFormat="1" applyFont="1" applyFill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2" fontId="16" fillId="13" borderId="4" xfId="0" applyNumberFormat="1" applyFont="1" applyFill="1" applyBorder="1" applyAlignment="1">
      <alignment horizontal="center" vertical="center" wrapText="1"/>
    </xf>
    <xf numFmtId="2" fontId="7" fillId="12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16" fillId="13" borderId="4" xfId="0" applyNumberFormat="1" applyFont="1" applyFill="1" applyBorder="1" applyAlignment="1">
      <alignment horizontal="center" vertical="center"/>
    </xf>
    <xf numFmtId="2" fontId="16" fillId="13" borderId="10" xfId="0" applyNumberFormat="1" applyFont="1" applyFill="1" applyBorder="1" applyAlignment="1">
      <alignment horizontal="center" vertical="center" wrapText="1"/>
    </xf>
    <xf numFmtId="2" fontId="16" fillId="13" borderId="11" xfId="0" applyNumberFormat="1" applyFont="1" applyFill="1" applyBorder="1" applyAlignment="1">
      <alignment horizontal="center" vertical="center" wrapText="1"/>
    </xf>
    <xf numFmtId="2" fontId="16" fillId="13" borderId="6" xfId="0" applyNumberFormat="1" applyFont="1" applyFill="1" applyBorder="1" applyAlignment="1">
      <alignment horizontal="center" vertical="center" wrapText="1"/>
    </xf>
    <xf numFmtId="2" fontId="7" fillId="1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2" fontId="7" fillId="2" borderId="10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2" fontId="7" fillId="14" borderId="10" xfId="0" applyNumberFormat="1" applyFont="1" applyFill="1" applyBorder="1" applyAlignment="1">
      <alignment horizontal="center" vertical="center" wrapText="1"/>
    </xf>
    <xf numFmtId="2" fontId="7" fillId="14" borderId="11" xfId="0" applyNumberFormat="1" applyFont="1" applyFill="1" applyBorder="1" applyAlignment="1">
      <alignment horizontal="center" vertical="center" wrapText="1"/>
    </xf>
    <xf numFmtId="2" fontId="7" fillId="14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/>
    </xf>
    <xf numFmtId="2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2" fontId="16" fillId="5" borderId="4" xfId="0" applyNumberFormat="1" applyFont="1" applyFill="1" applyBorder="1" applyAlignment="1">
      <alignment horizontal="center" vertical="center" wrapText="1"/>
    </xf>
    <xf numFmtId="2" fontId="9" fillId="1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/>
    </xf>
    <xf numFmtId="0" fontId="12" fillId="0" borderId="4" xfId="0" applyFont="1" applyBorder="1" applyAlignment="1">
      <alignment horizontal="center" vertical="center" wrapText="1"/>
    </xf>
    <xf numFmtId="2" fontId="9" fillId="5" borderId="4" xfId="0" applyNumberFormat="1" applyFont="1" applyFill="1" applyBorder="1" applyAlignment="1">
      <alignment horizontal="center" vertical="center"/>
    </xf>
    <xf numFmtId="2" fontId="9" fillId="13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2" fontId="9" fillId="2" borderId="10" xfId="0" applyNumberFormat="1" applyFont="1" applyFill="1" applyBorder="1" applyAlignment="1">
      <alignment horizontal="center" vertical="center" wrapText="1"/>
    </xf>
    <xf numFmtId="2" fontId="9" fillId="2" borderId="11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2" fontId="9" fillId="12" borderId="10" xfId="0" applyNumberFormat="1" applyFont="1" applyFill="1" applyBorder="1" applyAlignment="1">
      <alignment horizontal="center" vertical="center" wrapText="1"/>
    </xf>
    <xf numFmtId="2" fontId="9" fillId="12" borderId="11" xfId="0" applyNumberFormat="1" applyFont="1" applyFill="1" applyBorder="1" applyAlignment="1">
      <alignment horizontal="center" vertical="center" wrapText="1"/>
    </xf>
    <xf numFmtId="2" fontId="9" fillId="12" borderId="6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9" fillId="13" borderId="10" xfId="0" applyNumberFormat="1" applyFont="1" applyFill="1" applyBorder="1" applyAlignment="1">
      <alignment horizontal="center" vertical="center"/>
    </xf>
    <xf numFmtId="2" fontId="9" fillId="13" borderId="11" xfId="0" applyNumberFormat="1" applyFont="1" applyFill="1" applyBorder="1" applyAlignment="1">
      <alignment horizontal="center" vertical="center"/>
    </xf>
    <xf numFmtId="2" fontId="9" fillId="13" borderId="6" xfId="0" applyNumberFormat="1" applyFont="1" applyFill="1" applyBorder="1" applyAlignment="1">
      <alignment horizontal="center" vertical="center"/>
    </xf>
    <xf numFmtId="2" fontId="9" fillId="5" borderId="10" xfId="0" applyNumberFormat="1" applyFont="1" applyFill="1" applyBorder="1" applyAlignment="1">
      <alignment horizontal="center" vertical="center"/>
    </xf>
    <xf numFmtId="2" fontId="9" fillId="5" borderId="11" xfId="0" applyNumberFormat="1" applyFont="1" applyFill="1" applyBorder="1" applyAlignment="1">
      <alignment horizontal="center" vertical="center"/>
    </xf>
    <xf numFmtId="2" fontId="9" fillId="5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9" fillId="5" borderId="4" xfId="0" applyNumberFormat="1" applyFont="1" applyFill="1" applyBorder="1" applyAlignment="1">
      <alignment horizontal="center" vertical="center" wrapText="1"/>
    </xf>
    <xf numFmtId="2" fontId="9" fillId="13" borderId="4" xfId="0" applyNumberFormat="1" applyFont="1" applyFill="1" applyBorder="1" applyAlignment="1">
      <alignment horizontal="center" vertical="center" wrapText="1"/>
    </xf>
    <xf numFmtId="2" fontId="9" fillId="13" borderId="10" xfId="0" applyNumberFormat="1" applyFont="1" applyFill="1" applyBorder="1" applyAlignment="1">
      <alignment horizontal="center" vertical="center" wrapText="1"/>
    </xf>
    <xf numFmtId="2" fontId="9" fillId="13" borderId="11" xfId="0" applyNumberFormat="1" applyFont="1" applyFill="1" applyBorder="1" applyAlignment="1">
      <alignment horizontal="center" vertical="center" wrapText="1"/>
    </xf>
    <xf numFmtId="2" fontId="9" fillId="13" borderId="6" xfId="0" applyNumberFormat="1" applyFont="1" applyFill="1" applyBorder="1" applyAlignment="1">
      <alignment horizontal="center" vertical="center" wrapText="1"/>
    </xf>
    <xf numFmtId="2" fontId="9" fillId="14" borderId="10" xfId="0" applyNumberFormat="1" applyFont="1" applyFill="1" applyBorder="1" applyAlignment="1">
      <alignment horizontal="center" vertical="center" wrapText="1"/>
    </xf>
    <xf numFmtId="2" fontId="9" fillId="14" borderId="11" xfId="0" applyNumberFormat="1" applyFont="1" applyFill="1" applyBorder="1" applyAlignment="1">
      <alignment horizontal="center" vertical="center" wrapText="1"/>
    </xf>
    <xf numFmtId="2" fontId="9" fillId="14" borderId="6" xfId="0" applyNumberFormat="1" applyFont="1" applyFill="1" applyBorder="1" applyAlignment="1">
      <alignment horizontal="center" vertical="center" wrapText="1"/>
    </xf>
    <xf numFmtId="2" fontId="9" fillId="13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textRotation="90" wrapText="1"/>
    </xf>
    <xf numFmtId="0" fontId="0" fillId="0" borderId="4" xfId="0" applyBorder="1" applyAlignment="1">
      <alignment horizontal="center" textRotation="90"/>
    </xf>
    <xf numFmtId="0" fontId="10" fillId="0" borderId="0" xfId="0" applyFont="1" applyAlignment="1">
      <alignment horizontal="left" vertical="center"/>
    </xf>
    <xf numFmtId="2" fontId="9" fillId="5" borderId="4" xfId="0" applyNumberFormat="1" applyFont="1" applyFill="1" applyBorder="1" applyAlignment="1">
      <alignment horizontal="center"/>
    </xf>
    <xf numFmtId="2" fontId="9" fillId="13" borderId="10" xfId="0" applyNumberFormat="1" applyFont="1" applyFill="1" applyBorder="1" applyAlignment="1">
      <alignment horizontal="center" vertical="top" wrapText="1"/>
    </xf>
    <xf numFmtId="2" fontId="9" fillId="13" borderId="11" xfId="0" applyNumberFormat="1" applyFont="1" applyFill="1" applyBorder="1" applyAlignment="1">
      <alignment horizontal="center" vertical="top" wrapText="1"/>
    </xf>
    <xf numFmtId="2" fontId="9" fillId="13" borderId="6" xfId="0" applyNumberFormat="1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textRotation="90" wrapText="1"/>
    </xf>
    <xf numFmtId="2" fontId="9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textRotation="90"/>
    </xf>
    <xf numFmtId="0" fontId="6" fillId="0" borderId="1" xfId="0" applyFont="1" applyBorder="1" applyAlignment="1">
      <alignment horizontal="center" textRotation="90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5" borderId="4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2" fontId="5" fillId="5" borderId="11" xfId="0" applyNumberFormat="1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0" fillId="0" borderId="8" xfId="0" applyBorder="1" applyAlignment="1">
      <alignment horizontal="center" textRotation="90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textRotation="90"/>
    </xf>
    <xf numFmtId="0" fontId="6" fillId="0" borderId="8" xfId="0" applyFont="1" applyBorder="1" applyAlignment="1">
      <alignment horizontal="center" textRotation="90" wrapText="1"/>
    </xf>
    <xf numFmtId="2" fontId="8" fillId="15" borderId="4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Обычный 6" xfId="6"/>
    <cellStyle name="Обычный_таб2-КВМО-2017" xfId="4"/>
  </cellStyles>
  <dxfs count="17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 val="0"/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E508"/>
  <sheetViews>
    <sheetView tabSelected="1" view="pageBreakPreview" zoomScale="60" zoomScaleNormal="60" zoomScalePageLayoutView="40" workbookViewId="0">
      <pane ySplit="15" topLeftCell="A82" activePane="bottomLeft" state="frozen"/>
      <selection pane="bottomLeft" activeCell="H108" sqref="H108:I108"/>
    </sheetView>
  </sheetViews>
  <sheetFormatPr defaultColWidth="9.140625" defaultRowHeight="12.75" x14ac:dyDescent="0.2"/>
  <cols>
    <col min="1" max="1" width="20.28515625" style="20" customWidth="1"/>
    <col min="2" max="2" width="74" style="20" customWidth="1"/>
    <col min="3" max="3" width="6.5703125" style="20" customWidth="1"/>
    <col min="4" max="4" width="8.140625" style="20" customWidth="1"/>
    <col min="5" max="5" width="7.42578125" style="20" customWidth="1"/>
    <col min="6" max="6" width="12.42578125" style="20" customWidth="1"/>
    <col min="7" max="7" width="12.5703125" style="20" customWidth="1"/>
    <col min="8" max="8" width="12.42578125" style="20" customWidth="1"/>
    <col min="9" max="9" width="11.5703125" style="20" customWidth="1"/>
    <col min="10" max="10" width="13.42578125" style="20" customWidth="1"/>
    <col min="11" max="11" width="12.42578125" style="20" customWidth="1"/>
    <col min="12" max="15" width="10" style="20" customWidth="1"/>
    <col min="16" max="17" width="10.5703125" style="20" customWidth="1"/>
    <col min="18" max="18" width="7.42578125" style="20" customWidth="1"/>
    <col min="19" max="19" width="10.28515625" style="20" customWidth="1"/>
    <col min="20" max="20" width="11.42578125" style="20" bestFit="1" customWidth="1"/>
    <col min="21" max="21" width="10.5703125" style="20" customWidth="1"/>
    <col min="22" max="22" width="10.140625" style="20" customWidth="1"/>
    <col min="23" max="23" width="11.42578125" style="20" customWidth="1"/>
    <col min="24" max="24" width="11.28515625" style="20" customWidth="1"/>
    <col min="25" max="27" width="9" style="20" customWidth="1"/>
    <col min="28" max="28" width="12.85546875" style="20" customWidth="1"/>
    <col min="29" max="29" width="9" style="20" customWidth="1"/>
    <col min="30" max="30" width="12" style="20" customWidth="1"/>
    <col min="31" max="31" width="10.85546875" style="20" customWidth="1"/>
    <col min="32" max="34" width="9" style="20" customWidth="1"/>
    <col min="35" max="35" width="12" style="20" bestFit="1" customWidth="1"/>
    <col min="36" max="36" width="12.85546875" style="20" customWidth="1"/>
    <col min="37" max="37" width="13.140625" style="1" customWidth="1"/>
    <col min="38" max="38" width="11.7109375" style="20" bestFit="1" customWidth="1"/>
    <col min="39" max="39" width="32.5703125" style="72" customWidth="1"/>
    <col min="40" max="16384" width="9.140625" style="20"/>
  </cols>
  <sheetData>
    <row r="1" spans="1:39" s="205" customFormat="1" ht="15.75" x14ac:dyDescent="0.2">
      <c r="AF1" s="368" t="s">
        <v>0</v>
      </c>
      <c r="AG1" s="368"/>
      <c r="AH1" s="368"/>
      <c r="AI1" s="368"/>
      <c r="AJ1" s="368"/>
      <c r="AK1" s="368"/>
      <c r="AM1" s="218"/>
    </row>
    <row r="2" spans="1:39" s="205" customFormat="1" ht="15" x14ac:dyDescent="0.2">
      <c r="B2" s="376" t="s">
        <v>1</v>
      </c>
      <c r="C2" s="376"/>
      <c r="D2" s="376"/>
      <c r="E2" s="376"/>
      <c r="F2" s="376"/>
      <c r="G2" s="376"/>
      <c r="H2" s="277"/>
      <c r="I2" s="27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377"/>
      <c r="AG2" s="377"/>
      <c r="AH2" s="377"/>
      <c r="AI2" s="377"/>
      <c r="AJ2" s="377"/>
      <c r="AK2" s="377"/>
      <c r="AM2" s="218"/>
    </row>
    <row r="3" spans="1:39" s="205" customFormat="1" ht="15" x14ac:dyDescent="0.2">
      <c r="B3" s="376" t="s">
        <v>2</v>
      </c>
      <c r="C3" s="376"/>
      <c r="D3" s="376"/>
      <c r="E3" s="376"/>
      <c r="F3" s="376"/>
      <c r="G3" s="376"/>
      <c r="H3" s="277"/>
      <c r="I3" s="277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377" t="s">
        <v>3</v>
      </c>
      <c r="AD3" s="377"/>
      <c r="AE3" s="377"/>
      <c r="AF3" s="377"/>
      <c r="AG3" s="377"/>
      <c r="AH3" s="377"/>
      <c r="AI3" s="377"/>
      <c r="AJ3" s="377"/>
      <c r="AK3" s="377"/>
      <c r="AM3" s="218"/>
    </row>
    <row r="4" spans="1:39" s="205" customFormat="1" ht="15" x14ac:dyDescent="0.2">
      <c r="B4" s="376" t="s">
        <v>4</v>
      </c>
      <c r="C4" s="376"/>
      <c r="D4" s="376"/>
      <c r="E4" s="376"/>
      <c r="F4" s="376"/>
      <c r="G4" s="376"/>
      <c r="H4" s="277"/>
      <c r="I4" s="27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377" t="s">
        <v>5</v>
      </c>
      <c r="AD4" s="377"/>
      <c r="AE4" s="377"/>
      <c r="AF4" s="377"/>
      <c r="AG4" s="377"/>
      <c r="AH4" s="377"/>
      <c r="AI4" s="377"/>
      <c r="AJ4" s="377"/>
      <c r="AK4" s="377"/>
      <c r="AM4" s="218"/>
    </row>
    <row r="5" spans="1:39" s="205" customFormat="1" ht="15" x14ac:dyDescent="0.2">
      <c r="B5" s="376" t="s">
        <v>6</v>
      </c>
      <c r="C5" s="376"/>
      <c r="D5" s="376"/>
      <c r="E5" s="376"/>
      <c r="F5" s="376"/>
      <c r="G5" s="292"/>
      <c r="H5" s="277"/>
      <c r="I5" s="27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77"/>
      <c r="AD5" s="377"/>
      <c r="AE5" s="377"/>
      <c r="AF5" s="377"/>
      <c r="AG5" s="377"/>
      <c r="AH5" s="377"/>
      <c r="AI5" s="377"/>
      <c r="AJ5" s="377"/>
      <c r="AK5" s="377"/>
      <c r="AM5" s="218"/>
    </row>
    <row r="6" spans="1:39" s="205" customFormat="1" ht="15" x14ac:dyDescent="0.2">
      <c r="B6" s="376" t="s">
        <v>7</v>
      </c>
      <c r="C6" s="376"/>
      <c r="D6" s="376"/>
      <c r="E6" s="376"/>
      <c r="F6" s="376"/>
      <c r="G6" s="376"/>
      <c r="H6" s="277"/>
      <c r="I6" s="277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377" t="s">
        <v>8</v>
      </c>
      <c r="AD6" s="377"/>
      <c r="AE6" s="377"/>
      <c r="AF6" s="377"/>
      <c r="AG6" s="377"/>
      <c r="AH6" s="377"/>
      <c r="AI6" s="377"/>
      <c r="AJ6" s="377"/>
      <c r="AK6" s="377"/>
      <c r="AM6" s="218"/>
    </row>
    <row r="7" spans="1:39" s="205" customFormat="1" ht="23.25" customHeight="1" x14ac:dyDescent="0.2">
      <c r="B7" s="378" t="s">
        <v>9</v>
      </c>
      <c r="C7" s="378"/>
      <c r="D7" s="378"/>
      <c r="E7" s="378"/>
      <c r="F7" s="378"/>
      <c r="G7" s="378"/>
      <c r="H7" s="277"/>
      <c r="I7" s="277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377" t="s">
        <v>509</v>
      </c>
      <c r="AD7" s="377"/>
      <c r="AE7" s="377"/>
      <c r="AF7" s="377"/>
      <c r="AG7" s="377"/>
      <c r="AH7" s="377"/>
      <c r="AI7" s="377"/>
      <c r="AJ7" s="377"/>
      <c r="AK7" s="377"/>
      <c r="AM7" s="218"/>
    </row>
    <row r="8" spans="1:39" s="205" customFormat="1" ht="15" x14ac:dyDescent="0.2">
      <c r="B8" s="277"/>
      <c r="C8" s="277"/>
      <c r="D8" s="277"/>
      <c r="E8" s="277"/>
      <c r="F8" s="277"/>
      <c r="G8" s="277"/>
      <c r="H8" s="277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M8" s="218"/>
    </row>
    <row r="9" spans="1:39" s="205" customFormat="1" ht="18" x14ac:dyDescent="0.2">
      <c r="B9" s="294" t="s">
        <v>506</v>
      </c>
      <c r="C9" s="277"/>
      <c r="D9" s="277"/>
      <c r="E9" s="277"/>
      <c r="F9" s="277"/>
      <c r="G9" s="277"/>
      <c r="H9" s="277"/>
      <c r="I9" s="277"/>
      <c r="J9" s="278"/>
      <c r="K9" s="380" t="s">
        <v>11</v>
      </c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"/>
      <c r="AB9" s="3"/>
      <c r="AC9" s="278"/>
      <c r="AD9" s="278"/>
      <c r="AE9" s="278"/>
      <c r="AF9" s="278"/>
      <c r="AG9" s="278"/>
      <c r="AH9" s="278"/>
      <c r="AI9" s="278"/>
      <c r="AJ9" s="278"/>
      <c r="AK9" s="278"/>
      <c r="AM9" s="218"/>
    </row>
    <row r="10" spans="1:39" s="205" customFormat="1" ht="18" x14ac:dyDescent="0.2">
      <c r="B10" s="277"/>
      <c r="C10" s="277"/>
      <c r="D10" s="277"/>
      <c r="E10" s="277"/>
      <c r="F10" s="277"/>
      <c r="G10" s="277"/>
      <c r="H10" s="277"/>
      <c r="I10" s="277"/>
      <c r="J10" s="278"/>
      <c r="K10" s="380" t="s">
        <v>510</v>
      </c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"/>
      <c r="AB10" s="3"/>
      <c r="AC10" s="278"/>
      <c r="AD10" s="278"/>
      <c r="AE10" s="278"/>
      <c r="AF10" s="278"/>
      <c r="AG10" s="278"/>
      <c r="AH10" s="278"/>
      <c r="AI10" s="278"/>
      <c r="AJ10" s="278"/>
      <c r="AK10" s="278"/>
      <c r="AM10" s="218"/>
    </row>
    <row r="11" spans="1:39" s="205" customFormat="1" ht="15" x14ac:dyDescent="0.2">
      <c r="B11" s="277"/>
      <c r="C11" s="277"/>
      <c r="D11" s="277"/>
      <c r="E11" s="277"/>
      <c r="F11" s="277"/>
      <c r="G11" s="277"/>
      <c r="H11" s="277"/>
      <c r="I11" s="277"/>
      <c r="J11" s="278"/>
      <c r="AA11" s="4"/>
      <c r="AB11" s="4"/>
      <c r="AC11" s="4"/>
      <c r="AD11" s="278"/>
      <c r="AE11" s="278"/>
      <c r="AF11" s="278"/>
      <c r="AG11" s="278"/>
      <c r="AH11" s="278"/>
      <c r="AI11" s="278"/>
      <c r="AJ11" s="278"/>
      <c r="AK11" s="278"/>
      <c r="AM11" s="218"/>
    </row>
    <row r="12" spans="1:39" s="205" customFormat="1" ht="15.75" x14ac:dyDescent="0.2">
      <c r="B12" s="277"/>
      <c r="C12" s="277"/>
      <c r="D12" s="277"/>
      <c r="E12" s="277"/>
      <c r="F12" s="277"/>
      <c r="G12" s="277"/>
      <c r="H12" s="277"/>
      <c r="I12" s="277"/>
      <c r="J12" s="278"/>
      <c r="K12" s="5"/>
      <c r="L12" s="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278"/>
      <c r="AE12" s="278"/>
      <c r="AF12" s="278"/>
      <c r="AG12" s="278"/>
      <c r="AH12" s="278"/>
      <c r="AI12" s="278"/>
      <c r="AJ12" s="278"/>
      <c r="AK12" s="278"/>
      <c r="AM12" s="218"/>
    </row>
    <row r="13" spans="1:39" s="187" customFormat="1" ht="15" x14ac:dyDescent="0.2">
      <c r="A13" s="370" t="s">
        <v>12</v>
      </c>
      <c r="B13" s="381" t="s">
        <v>13</v>
      </c>
      <c r="C13" s="382" t="s">
        <v>14</v>
      </c>
      <c r="D13" s="370" t="s">
        <v>15</v>
      </c>
      <c r="E13" s="370" t="s">
        <v>16</v>
      </c>
      <c r="F13" s="369" t="s">
        <v>17</v>
      </c>
      <c r="G13" s="369"/>
      <c r="H13" s="369" t="s">
        <v>18</v>
      </c>
      <c r="I13" s="369"/>
      <c r="J13" s="370" t="s">
        <v>19</v>
      </c>
      <c r="K13" s="370" t="s">
        <v>20</v>
      </c>
      <c r="L13" s="369" t="s">
        <v>21</v>
      </c>
      <c r="M13" s="369"/>
      <c r="N13" s="369"/>
      <c r="O13" s="369"/>
      <c r="P13" s="370" t="s">
        <v>22</v>
      </c>
      <c r="Q13" s="369" t="s">
        <v>23</v>
      </c>
      <c r="R13" s="369"/>
      <c r="S13" s="369" t="s">
        <v>24</v>
      </c>
      <c r="T13" s="369"/>
      <c r="U13" s="370" t="s">
        <v>25</v>
      </c>
      <c r="V13" s="370" t="s">
        <v>26</v>
      </c>
      <c r="W13" s="369" t="s">
        <v>27</v>
      </c>
      <c r="X13" s="369"/>
      <c r="Y13" s="370" t="s">
        <v>28</v>
      </c>
      <c r="Z13" s="370" t="s">
        <v>29</v>
      </c>
      <c r="AA13" s="370" t="s">
        <v>30</v>
      </c>
      <c r="AB13" s="370" t="s">
        <v>31</v>
      </c>
      <c r="AC13" s="369" t="s">
        <v>32</v>
      </c>
      <c r="AD13" s="369"/>
      <c r="AE13" s="379" t="s">
        <v>33</v>
      </c>
      <c r="AF13" s="379"/>
      <c r="AG13" s="369" t="s">
        <v>34</v>
      </c>
      <c r="AH13" s="369"/>
      <c r="AI13" s="370" t="s">
        <v>35</v>
      </c>
      <c r="AJ13" s="370" t="s">
        <v>36</v>
      </c>
      <c r="AK13" s="370" t="s">
        <v>37</v>
      </c>
      <c r="AM13" s="189"/>
    </row>
    <row r="14" spans="1:39" s="187" customFormat="1" ht="105" customHeight="1" x14ac:dyDescent="0.2">
      <c r="A14" s="370"/>
      <c r="B14" s="381"/>
      <c r="C14" s="382"/>
      <c r="D14" s="370"/>
      <c r="E14" s="370"/>
      <c r="F14" s="230" t="s">
        <v>38</v>
      </c>
      <c r="G14" s="188" t="s">
        <v>39</v>
      </c>
      <c r="H14" s="188" t="s">
        <v>38</v>
      </c>
      <c r="I14" s="188" t="s">
        <v>39</v>
      </c>
      <c r="J14" s="370"/>
      <c r="K14" s="370"/>
      <c r="L14" s="188" t="s">
        <v>40</v>
      </c>
      <c r="M14" s="188" t="s">
        <v>41</v>
      </c>
      <c r="N14" s="188" t="s">
        <v>42</v>
      </c>
      <c r="O14" s="188" t="s">
        <v>43</v>
      </c>
      <c r="P14" s="370"/>
      <c r="Q14" s="188" t="s">
        <v>44</v>
      </c>
      <c r="R14" s="188" t="s">
        <v>45</v>
      </c>
      <c r="S14" s="188" t="s">
        <v>46</v>
      </c>
      <c r="T14" s="188" t="s">
        <v>47</v>
      </c>
      <c r="U14" s="370"/>
      <c r="V14" s="370"/>
      <c r="W14" s="188" t="s">
        <v>33</v>
      </c>
      <c r="X14" s="188" t="s">
        <v>48</v>
      </c>
      <c r="Y14" s="370"/>
      <c r="Z14" s="370"/>
      <c r="AA14" s="370"/>
      <c r="AB14" s="370"/>
      <c r="AC14" s="188" t="s">
        <v>49</v>
      </c>
      <c r="AD14" s="188" t="s">
        <v>50</v>
      </c>
      <c r="AE14" s="188" t="s">
        <v>51</v>
      </c>
      <c r="AF14" s="188" t="s">
        <v>52</v>
      </c>
      <c r="AG14" s="188" t="s">
        <v>53</v>
      </c>
      <c r="AH14" s="188" t="s">
        <v>54</v>
      </c>
      <c r="AI14" s="370"/>
      <c r="AJ14" s="370"/>
      <c r="AK14" s="370"/>
      <c r="AM14" s="189"/>
    </row>
    <row r="15" spans="1:39" x14ac:dyDescent="0.2">
      <c r="A15" s="41">
        <v>1</v>
      </c>
      <c r="B15" s="41">
        <v>2</v>
      </c>
      <c r="C15" s="41">
        <v>3</v>
      </c>
      <c r="D15" s="41">
        <v>4</v>
      </c>
      <c r="E15" s="41">
        <v>5</v>
      </c>
      <c r="F15" s="41">
        <v>6</v>
      </c>
      <c r="G15" s="41">
        <v>7</v>
      </c>
      <c r="H15" s="41">
        <v>8</v>
      </c>
      <c r="I15" s="41">
        <v>9</v>
      </c>
      <c r="J15" s="41">
        <v>10</v>
      </c>
      <c r="K15" s="41">
        <v>11</v>
      </c>
      <c r="L15" s="41">
        <v>12</v>
      </c>
      <c r="M15" s="41">
        <v>13</v>
      </c>
      <c r="N15" s="41">
        <v>14</v>
      </c>
      <c r="O15" s="41">
        <v>15</v>
      </c>
      <c r="P15" s="41">
        <v>16</v>
      </c>
      <c r="Q15" s="41">
        <v>17</v>
      </c>
      <c r="R15" s="41">
        <v>18</v>
      </c>
      <c r="S15" s="41">
        <v>19</v>
      </c>
      <c r="T15" s="41">
        <v>20</v>
      </c>
      <c r="U15" s="41">
        <v>21</v>
      </c>
      <c r="V15" s="41">
        <v>22</v>
      </c>
      <c r="W15" s="41">
        <v>23</v>
      </c>
      <c r="X15" s="41">
        <v>24</v>
      </c>
      <c r="Y15" s="41">
        <v>25</v>
      </c>
      <c r="Z15" s="41">
        <v>26</v>
      </c>
      <c r="AA15" s="41">
        <v>27</v>
      </c>
      <c r="AB15" s="41">
        <v>28</v>
      </c>
      <c r="AC15" s="41">
        <v>29</v>
      </c>
      <c r="AD15" s="41">
        <v>30</v>
      </c>
      <c r="AE15" s="41">
        <v>31</v>
      </c>
      <c r="AF15" s="41">
        <v>32</v>
      </c>
      <c r="AG15" s="41">
        <v>33</v>
      </c>
      <c r="AH15" s="41">
        <v>34</v>
      </c>
      <c r="AI15" s="41">
        <v>35</v>
      </c>
      <c r="AJ15" s="41">
        <v>36</v>
      </c>
      <c r="AK15" s="41">
        <v>37</v>
      </c>
    </row>
    <row r="16" spans="1:39" s="125" customFormat="1" ht="18" x14ac:dyDescent="0.2">
      <c r="A16" s="122"/>
      <c r="B16" s="123" t="s">
        <v>55</v>
      </c>
      <c r="C16" s="122"/>
      <c r="D16" s="122"/>
      <c r="E16" s="122"/>
      <c r="F16" s="124">
        <f>F452</f>
        <v>8460</v>
      </c>
      <c r="G16" s="124">
        <f t="shared" ref="G16:AJ16" si="0">G452</f>
        <v>6494</v>
      </c>
      <c r="H16" s="124">
        <f t="shared" si="0"/>
        <v>6764</v>
      </c>
      <c r="I16" s="124">
        <f t="shared" si="0"/>
        <v>6522</v>
      </c>
      <c r="J16" s="124">
        <f t="shared" si="0"/>
        <v>9570</v>
      </c>
      <c r="K16" s="124">
        <f t="shared" si="0"/>
        <v>962.1</v>
      </c>
      <c r="L16" s="124">
        <f t="shared" si="0"/>
        <v>0</v>
      </c>
      <c r="M16" s="124">
        <f t="shared" si="0"/>
        <v>771.60000000000014</v>
      </c>
      <c r="N16" s="124">
        <f t="shared" si="0"/>
        <v>0</v>
      </c>
      <c r="O16" s="124">
        <f t="shared" si="0"/>
        <v>0</v>
      </c>
      <c r="P16" s="124">
        <f t="shared" si="0"/>
        <v>0</v>
      </c>
      <c r="Q16" s="124">
        <f t="shared" si="0"/>
        <v>402.70000000000016</v>
      </c>
      <c r="R16" s="124">
        <f t="shared" si="0"/>
        <v>0</v>
      </c>
      <c r="S16" s="124">
        <f t="shared" si="0"/>
        <v>244</v>
      </c>
      <c r="T16" s="124">
        <f t="shared" si="0"/>
        <v>1338</v>
      </c>
      <c r="U16" s="124">
        <f t="shared" si="0"/>
        <v>292.5</v>
      </c>
      <c r="V16" s="124">
        <f t="shared" si="0"/>
        <v>87</v>
      </c>
      <c r="W16" s="124">
        <f t="shared" si="0"/>
        <v>1900</v>
      </c>
      <c r="X16" s="124">
        <f t="shared" si="0"/>
        <v>90</v>
      </c>
      <c r="Y16" s="124">
        <f t="shared" si="0"/>
        <v>0</v>
      </c>
      <c r="Z16" s="124">
        <f t="shared" si="0"/>
        <v>0</v>
      </c>
      <c r="AA16" s="124">
        <f t="shared" si="0"/>
        <v>0</v>
      </c>
      <c r="AB16" s="124">
        <f t="shared" si="0"/>
        <v>360.5</v>
      </c>
      <c r="AC16" s="124">
        <f t="shared" si="0"/>
        <v>0</v>
      </c>
      <c r="AD16" s="124">
        <f t="shared" si="0"/>
        <v>0</v>
      </c>
      <c r="AE16" s="124">
        <f t="shared" si="0"/>
        <v>150</v>
      </c>
      <c r="AF16" s="124">
        <f t="shared" si="0"/>
        <v>0</v>
      </c>
      <c r="AG16" s="124">
        <f t="shared" si="0"/>
        <v>0</v>
      </c>
      <c r="AH16" s="124">
        <f t="shared" si="0"/>
        <v>0</v>
      </c>
      <c r="AI16" s="124">
        <f t="shared" si="0"/>
        <v>667</v>
      </c>
      <c r="AJ16" s="124">
        <f t="shared" si="0"/>
        <v>29851.4</v>
      </c>
      <c r="AK16" s="122"/>
      <c r="AM16" s="126"/>
    </row>
    <row r="17" spans="1:41" s="125" customFormat="1" ht="18" x14ac:dyDescent="0.2">
      <c r="A17" s="122"/>
      <c r="B17" s="123" t="s">
        <v>56</v>
      </c>
      <c r="C17" s="122"/>
      <c r="D17" s="122"/>
      <c r="E17" s="122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2"/>
      <c r="AM17" s="126"/>
    </row>
    <row r="18" spans="1:41" s="125" customFormat="1" ht="18" x14ac:dyDescent="0.2">
      <c r="A18" s="122"/>
      <c r="B18" s="123" t="s">
        <v>57</v>
      </c>
      <c r="C18" s="122"/>
      <c r="D18" s="122"/>
      <c r="E18" s="122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2"/>
      <c r="AM18" s="126"/>
    </row>
    <row r="19" spans="1:41" s="125" customFormat="1" ht="18" x14ac:dyDescent="0.2">
      <c r="A19" s="122"/>
      <c r="B19" s="123" t="s">
        <v>58</v>
      </c>
      <c r="C19" s="122"/>
      <c r="D19" s="122"/>
      <c r="E19" s="122"/>
      <c r="F19" s="124">
        <f>F501</f>
        <v>402</v>
      </c>
      <c r="G19" s="124">
        <f t="shared" ref="G19:AJ19" si="1">G501</f>
        <v>284</v>
      </c>
      <c r="H19" s="124">
        <f t="shared" si="1"/>
        <v>20</v>
      </c>
      <c r="I19" s="124">
        <f t="shared" si="1"/>
        <v>20</v>
      </c>
      <c r="J19" s="124">
        <f t="shared" si="1"/>
        <v>809</v>
      </c>
      <c r="K19" s="124">
        <f t="shared" si="1"/>
        <v>86.4</v>
      </c>
      <c r="L19" s="124">
        <f t="shared" si="1"/>
        <v>0</v>
      </c>
      <c r="M19" s="124">
        <f t="shared" si="1"/>
        <v>40</v>
      </c>
      <c r="N19" s="124">
        <f t="shared" si="1"/>
        <v>0</v>
      </c>
      <c r="O19" s="124">
        <f t="shared" si="1"/>
        <v>0</v>
      </c>
      <c r="P19" s="124">
        <f t="shared" si="1"/>
        <v>0</v>
      </c>
      <c r="Q19" s="124">
        <f t="shared" si="1"/>
        <v>19.2</v>
      </c>
      <c r="R19" s="124">
        <f t="shared" si="1"/>
        <v>0</v>
      </c>
      <c r="S19" s="124">
        <f t="shared" si="1"/>
        <v>0</v>
      </c>
      <c r="T19" s="124">
        <f t="shared" si="1"/>
        <v>0</v>
      </c>
      <c r="U19" s="124">
        <f t="shared" si="1"/>
        <v>0</v>
      </c>
      <c r="V19" s="124">
        <f t="shared" si="1"/>
        <v>0</v>
      </c>
      <c r="W19" s="124">
        <f t="shared" si="1"/>
        <v>0</v>
      </c>
      <c r="X19" s="124">
        <f t="shared" si="1"/>
        <v>0</v>
      </c>
      <c r="Y19" s="124">
        <f t="shared" si="1"/>
        <v>0</v>
      </c>
      <c r="Z19" s="124">
        <f t="shared" si="1"/>
        <v>0</v>
      </c>
      <c r="AA19" s="124">
        <f t="shared" si="1"/>
        <v>0</v>
      </c>
      <c r="AB19" s="124">
        <f t="shared" si="1"/>
        <v>0</v>
      </c>
      <c r="AC19" s="124">
        <f t="shared" si="1"/>
        <v>0</v>
      </c>
      <c r="AD19" s="124">
        <f t="shared" si="1"/>
        <v>0</v>
      </c>
      <c r="AE19" s="124">
        <f t="shared" si="1"/>
        <v>0</v>
      </c>
      <c r="AF19" s="124">
        <f t="shared" si="1"/>
        <v>0</v>
      </c>
      <c r="AG19" s="124">
        <f t="shared" si="1"/>
        <v>0</v>
      </c>
      <c r="AH19" s="124">
        <f t="shared" si="1"/>
        <v>0</v>
      </c>
      <c r="AI19" s="124">
        <f t="shared" si="1"/>
        <v>29</v>
      </c>
      <c r="AJ19" s="124">
        <f t="shared" si="1"/>
        <v>1287.6000000000001</v>
      </c>
      <c r="AK19" s="127"/>
      <c r="AM19" s="126"/>
    </row>
    <row r="20" spans="1:41" s="129" customFormat="1" ht="18" x14ac:dyDescent="0.2">
      <c r="A20" s="128"/>
      <c r="B20" s="128" t="s">
        <v>59</v>
      </c>
      <c r="C20" s="128"/>
      <c r="D20" s="128"/>
      <c r="E20" s="128"/>
      <c r="F20" s="265">
        <f>SUM(F16:F19)</f>
        <v>8862</v>
      </c>
      <c r="G20" s="265">
        <f t="shared" ref="G20:AJ20" si="2">SUM(G16:G19)</f>
        <v>6778</v>
      </c>
      <c r="H20" s="265">
        <f t="shared" si="2"/>
        <v>6784</v>
      </c>
      <c r="I20" s="265">
        <f t="shared" si="2"/>
        <v>6542</v>
      </c>
      <c r="J20" s="265">
        <f t="shared" si="2"/>
        <v>10379</v>
      </c>
      <c r="K20" s="265">
        <f t="shared" si="2"/>
        <v>1048.5</v>
      </c>
      <c r="L20" s="265">
        <f t="shared" si="2"/>
        <v>0</v>
      </c>
      <c r="M20" s="265">
        <f t="shared" si="2"/>
        <v>811.60000000000014</v>
      </c>
      <c r="N20" s="265">
        <f t="shared" si="2"/>
        <v>0</v>
      </c>
      <c r="O20" s="265">
        <f t="shared" si="2"/>
        <v>0</v>
      </c>
      <c r="P20" s="265">
        <f t="shared" si="2"/>
        <v>0</v>
      </c>
      <c r="Q20" s="265">
        <f t="shared" si="2"/>
        <v>421.90000000000015</v>
      </c>
      <c r="R20" s="265">
        <f t="shared" si="2"/>
        <v>0</v>
      </c>
      <c r="S20" s="265">
        <f t="shared" si="2"/>
        <v>244</v>
      </c>
      <c r="T20" s="265">
        <f t="shared" si="2"/>
        <v>1338</v>
      </c>
      <c r="U20" s="265">
        <f t="shared" si="2"/>
        <v>292.5</v>
      </c>
      <c r="V20" s="265">
        <f t="shared" si="2"/>
        <v>87</v>
      </c>
      <c r="W20" s="265">
        <f t="shared" si="2"/>
        <v>1900</v>
      </c>
      <c r="X20" s="265">
        <f t="shared" si="2"/>
        <v>90</v>
      </c>
      <c r="Y20" s="265">
        <f t="shared" si="2"/>
        <v>0</v>
      </c>
      <c r="Z20" s="265">
        <f t="shared" si="2"/>
        <v>0</v>
      </c>
      <c r="AA20" s="265">
        <f t="shared" si="2"/>
        <v>0</v>
      </c>
      <c r="AB20" s="265">
        <f t="shared" si="2"/>
        <v>360.5</v>
      </c>
      <c r="AC20" s="265">
        <f t="shared" si="2"/>
        <v>0</v>
      </c>
      <c r="AD20" s="265">
        <f t="shared" si="2"/>
        <v>0</v>
      </c>
      <c r="AE20" s="265">
        <f t="shared" si="2"/>
        <v>150</v>
      </c>
      <c r="AF20" s="265">
        <f t="shared" si="2"/>
        <v>0</v>
      </c>
      <c r="AG20" s="265">
        <f t="shared" si="2"/>
        <v>0</v>
      </c>
      <c r="AH20" s="265">
        <f t="shared" si="2"/>
        <v>0</v>
      </c>
      <c r="AI20" s="265">
        <f t="shared" si="2"/>
        <v>696</v>
      </c>
      <c r="AJ20" s="265">
        <f t="shared" si="2"/>
        <v>31139</v>
      </c>
      <c r="AK20" s="128"/>
      <c r="AM20" s="130"/>
    </row>
    <row r="21" spans="1:41" s="129" customFormat="1" ht="18" x14ac:dyDescent="0.2">
      <c r="A21" s="128"/>
      <c r="B21" s="128"/>
      <c r="C21" s="128"/>
      <c r="D21" s="128"/>
      <c r="E21" s="128"/>
      <c r="F21" s="265">
        <f t="shared" ref="F21:AJ21" si="3">F20-F503</f>
        <v>0</v>
      </c>
      <c r="G21" s="265">
        <f t="shared" si="3"/>
        <v>0</v>
      </c>
      <c r="H21" s="265">
        <f t="shared" si="3"/>
        <v>0</v>
      </c>
      <c r="I21" s="265">
        <f t="shared" si="3"/>
        <v>0</v>
      </c>
      <c r="J21" s="265">
        <f t="shared" si="3"/>
        <v>0</v>
      </c>
      <c r="K21" s="265">
        <f t="shared" si="3"/>
        <v>0</v>
      </c>
      <c r="L21" s="265">
        <f t="shared" si="3"/>
        <v>0</v>
      </c>
      <c r="M21" s="265">
        <f t="shared" si="3"/>
        <v>0</v>
      </c>
      <c r="N21" s="265">
        <f t="shared" si="3"/>
        <v>0</v>
      </c>
      <c r="O21" s="265">
        <f t="shared" si="3"/>
        <v>0</v>
      </c>
      <c r="P21" s="265">
        <f t="shared" si="3"/>
        <v>0</v>
      </c>
      <c r="Q21" s="265">
        <f t="shared" si="3"/>
        <v>0</v>
      </c>
      <c r="R21" s="265">
        <f t="shared" si="3"/>
        <v>0</v>
      </c>
      <c r="S21" s="265">
        <f t="shared" si="3"/>
        <v>0</v>
      </c>
      <c r="T21" s="265">
        <f t="shared" si="3"/>
        <v>0</v>
      </c>
      <c r="U21" s="265">
        <f t="shared" si="3"/>
        <v>0</v>
      </c>
      <c r="V21" s="265">
        <f t="shared" si="3"/>
        <v>0</v>
      </c>
      <c r="W21" s="265">
        <f t="shared" si="3"/>
        <v>0</v>
      </c>
      <c r="X21" s="265">
        <f t="shared" si="3"/>
        <v>0</v>
      </c>
      <c r="Y21" s="265">
        <f t="shared" si="3"/>
        <v>0</v>
      </c>
      <c r="Z21" s="265">
        <f t="shared" si="3"/>
        <v>0</v>
      </c>
      <c r="AA21" s="265">
        <f t="shared" si="3"/>
        <v>0</v>
      </c>
      <c r="AB21" s="265">
        <f t="shared" si="3"/>
        <v>0</v>
      </c>
      <c r="AC21" s="265">
        <f t="shared" si="3"/>
        <v>0</v>
      </c>
      <c r="AD21" s="265">
        <f t="shared" si="3"/>
        <v>0</v>
      </c>
      <c r="AE21" s="265">
        <f t="shared" si="3"/>
        <v>0</v>
      </c>
      <c r="AF21" s="265">
        <f t="shared" si="3"/>
        <v>0</v>
      </c>
      <c r="AG21" s="265">
        <f t="shared" si="3"/>
        <v>0</v>
      </c>
      <c r="AH21" s="265">
        <f t="shared" si="3"/>
        <v>0</v>
      </c>
      <c r="AI21" s="265">
        <f t="shared" si="3"/>
        <v>0</v>
      </c>
      <c r="AJ21" s="265">
        <f t="shared" si="3"/>
        <v>0</v>
      </c>
      <c r="AK21" s="128"/>
      <c r="AM21" s="130"/>
    </row>
    <row r="22" spans="1:41" s="125" customFormat="1" ht="18" x14ac:dyDescent="0.2">
      <c r="A22" s="122"/>
      <c r="B22" s="122"/>
      <c r="C22" s="122"/>
      <c r="D22" s="122"/>
      <c r="E22" s="122"/>
      <c r="F22" s="124"/>
      <c r="G22" s="124"/>
      <c r="H22" s="124"/>
      <c r="I22" s="124"/>
      <c r="J22" s="124"/>
      <c r="K22" s="124"/>
      <c r="L22" s="124"/>
      <c r="M22" s="124"/>
      <c r="N22" s="383" t="s">
        <v>55</v>
      </c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2"/>
      <c r="AM22" s="126"/>
    </row>
    <row r="23" spans="1:41" s="125" customFormat="1" ht="18" customHeight="1" x14ac:dyDescent="0.2">
      <c r="A23" s="122"/>
      <c r="B23" s="122"/>
      <c r="C23" s="122"/>
      <c r="D23" s="122"/>
      <c r="E23" s="122"/>
      <c r="F23" s="124"/>
      <c r="G23" s="124"/>
      <c r="H23" s="124"/>
      <c r="I23" s="124"/>
      <c r="J23" s="124"/>
      <c r="K23" s="265"/>
      <c r="L23" s="362" t="s">
        <v>60</v>
      </c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265"/>
      <c r="AC23" s="124"/>
      <c r="AD23" s="124"/>
      <c r="AE23" s="124"/>
      <c r="AF23" s="124"/>
      <c r="AG23" s="124"/>
      <c r="AH23" s="124"/>
      <c r="AI23" s="124"/>
      <c r="AJ23" s="124"/>
      <c r="AK23" s="122"/>
      <c r="AM23" s="126"/>
    </row>
    <row r="24" spans="1:41" s="125" customFormat="1" ht="18" x14ac:dyDescent="0.2">
      <c r="A24" s="122"/>
      <c r="B24" s="122"/>
      <c r="C24" s="122"/>
      <c r="D24" s="122"/>
      <c r="E24" s="122"/>
      <c r="F24" s="124"/>
      <c r="G24" s="124"/>
      <c r="H24" s="124"/>
      <c r="I24" s="124"/>
      <c r="J24" s="124"/>
      <c r="K24" s="361" t="s">
        <v>606</v>
      </c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1"/>
      <c r="AC24" s="124"/>
      <c r="AD24" s="124"/>
      <c r="AE24" s="124"/>
      <c r="AF24" s="124"/>
      <c r="AG24" s="124"/>
      <c r="AH24" s="124"/>
      <c r="AI24" s="124"/>
      <c r="AJ24" s="124"/>
      <c r="AK24" s="122"/>
      <c r="AM24" s="126"/>
    </row>
    <row r="25" spans="1:41" s="125" customFormat="1" ht="17.25" customHeight="1" x14ac:dyDescent="0.2">
      <c r="A25" s="122" t="s">
        <v>338</v>
      </c>
      <c r="B25" s="131" t="s">
        <v>413</v>
      </c>
      <c r="C25" s="122" t="s">
        <v>61</v>
      </c>
      <c r="D25" s="122">
        <f>Бюджет_Конт!$B$7</f>
        <v>21</v>
      </c>
      <c r="E25" s="122">
        <f>Бюджет_Конт!$B$18</f>
        <v>1</v>
      </c>
      <c r="F25" s="124"/>
      <c r="G25" s="124"/>
      <c r="H25" s="124">
        <v>16</v>
      </c>
      <c r="I25" s="124">
        <f>E25*H25</f>
        <v>16</v>
      </c>
      <c r="J25" s="124"/>
      <c r="K25" s="124">
        <f>0.3*D25</f>
        <v>6.3</v>
      </c>
      <c r="L25" s="246"/>
      <c r="M25" s="121"/>
      <c r="N25" s="246"/>
      <c r="O25" s="246"/>
      <c r="P25" s="246"/>
      <c r="Q25" s="239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124"/>
      <c r="AD25" s="124"/>
      <c r="AE25" s="124"/>
      <c r="AF25" s="124"/>
      <c r="AG25" s="124"/>
      <c r="AH25" s="124"/>
      <c r="AI25" s="124"/>
      <c r="AJ25" s="124">
        <f>SUM(G25,I25:AI25)</f>
        <v>22.3</v>
      </c>
      <c r="AK25" s="122">
        <v>8</v>
      </c>
      <c r="AM25" s="126"/>
      <c r="AN25" s="126"/>
    </row>
    <row r="26" spans="1:41" s="125" customFormat="1" ht="17.25" customHeight="1" x14ac:dyDescent="0.2">
      <c r="A26" s="122" t="s">
        <v>188</v>
      </c>
      <c r="B26" s="131" t="s">
        <v>535</v>
      </c>
      <c r="C26" s="122" t="s">
        <v>61</v>
      </c>
      <c r="D26" s="122">
        <f>Бюджет_Конт!$B$7</f>
        <v>21</v>
      </c>
      <c r="E26" s="122">
        <f>Бюджет_Конт!$B$18</f>
        <v>1</v>
      </c>
      <c r="F26" s="124">
        <v>30</v>
      </c>
      <c r="G26" s="124">
        <f>F26</f>
        <v>30</v>
      </c>
      <c r="H26" s="124">
        <v>44</v>
      </c>
      <c r="I26" s="124">
        <f>E26*H26</f>
        <v>44</v>
      </c>
      <c r="J26" s="124">
        <f>30*(ROUNDUP(D26/15,0))</f>
        <v>60</v>
      </c>
      <c r="K26" s="124">
        <f>0.3*D26</f>
        <v>6.3</v>
      </c>
      <c r="L26" s="246"/>
      <c r="M26" s="121"/>
      <c r="N26" s="246"/>
      <c r="O26" s="246"/>
      <c r="P26" s="246"/>
      <c r="Q26" s="239">
        <f t="shared" ref="Q26:Q81" si="4">IF(K26&gt;0,0.05*G26,IF(M26&gt;0,0.05*G26+1*E26,0))</f>
        <v>1.5</v>
      </c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124"/>
      <c r="AD26" s="124"/>
      <c r="AE26" s="124"/>
      <c r="AF26" s="124"/>
      <c r="AG26" s="124"/>
      <c r="AH26" s="124"/>
      <c r="AI26" s="124">
        <f>22*E26</f>
        <v>22</v>
      </c>
      <c r="AJ26" s="124">
        <f>SUM(G26,I26:AI26)</f>
        <v>163.80000000000001</v>
      </c>
      <c r="AK26" s="122" t="s">
        <v>166</v>
      </c>
      <c r="AL26" s="253" t="s">
        <v>349</v>
      </c>
      <c r="AM26" s="126"/>
    </row>
    <row r="27" spans="1:41" s="125" customFormat="1" ht="17.25" customHeight="1" x14ac:dyDescent="0.2">
      <c r="A27" s="122" t="s">
        <v>201</v>
      </c>
      <c r="B27" s="131" t="s">
        <v>434</v>
      </c>
      <c r="C27" s="122" t="s">
        <v>62</v>
      </c>
      <c r="D27" s="122">
        <f>Бюджет_Конт!$B$7</f>
        <v>21</v>
      </c>
      <c r="E27" s="122">
        <f>Бюджет_Конт!$B$18</f>
        <v>1</v>
      </c>
      <c r="F27" s="124">
        <v>40</v>
      </c>
      <c r="G27" s="124">
        <f>F27</f>
        <v>40</v>
      </c>
      <c r="H27" s="124">
        <v>40</v>
      </c>
      <c r="I27" s="124">
        <f>E27*H27</f>
        <v>40</v>
      </c>
      <c r="J27" s="124">
        <f>40*(ROUNDUP(D27/15,0))</f>
        <v>80</v>
      </c>
      <c r="K27" s="124"/>
      <c r="L27" s="246"/>
      <c r="M27" s="121">
        <f>0.4*D27</f>
        <v>8.4</v>
      </c>
      <c r="N27" s="246"/>
      <c r="O27" s="246"/>
      <c r="P27" s="246"/>
      <c r="Q27" s="239">
        <f>IF(K27&gt;0,0.05*G27,IF(M27&gt;0,0.05*G27+1*E27,0))</f>
        <v>3</v>
      </c>
      <c r="R27" s="246"/>
      <c r="S27" s="246"/>
      <c r="T27" s="246"/>
      <c r="U27" s="246"/>
      <c r="V27" s="246"/>
      <c r="W27" s="245"/>
      <c r="X27" s="245"/>
      <c r="Y27" s="245"/>
      <c r="Z27" s="245"/>
      <c r="AA27" s="245"/>
      <c r="AB27" s="245"/>
      <c r="AC27" s="245"/>
      <c r="AD27" s="124"/>
      <c r="AE27" s="124"/>
      <c r="AF27" s="124"/>
      <c r="AG27" s="124"/>
      <c r="AH27" s="124"/>
      <c r="AI27" s="124"/>
      <c r="AJ27" s="124">
        <f>SUM(G27,I27:AI27)</f>
        <v>171.4</v>
      </c>
      <c r="AK27" s="122">
        <v>7</v>
      </c>
      <c r="AL27" s="253"/>
      <c r="AM27" s="126"/>
    </row>
    <row r="28" spans="1:41" s="125" customFormat="1" ht="17.25" customHeight="1" x14ac:dyDescent="0.2">
      <c r="A28" s="122" t="s">
        <v>220</v>
      </c>
      <c r="B28" s="131" t="s">
        <v>435</v>
      </c>
      <c r="C28" s="122" t="s">
        <v>61</v>
      </c>
      <c r="D28" s="122">
        <f>Бюджет_Конт!$B$7</f>
        <v>21</v>
      </c>
      <c r="E28" s="122">
        <f>Бюджет_Конт!$B$18</f>
        <v>1</v>
      </c>
      <c r="F28" s="124">
        <v>50</v>
      </c>
      <c r="G28" s="124">
        <f t="shared" ref="G28:G74" si="5">F28</f>
        <v>50</v>
      </c>
      <c r="H28" s="124">
        <v>68</v>
      </c>
      <c r="I28" s="124">
        <f t="shared" ref="I28:I74" si="6">H28*E28</f>
        <v>68</v>
      </c>
      <c r="J28" s="124"/>
      <c r="K28" s="124"/>
      <c r="L28" s="239"/>
      <c r="M28" s="239">
        <f>0.4*D28</f>
        <v>8.4</v>
      </c>
      <c r="N28" s="239"/>
      <c r="O28" s="239"/>
      <c r="P28" s="239"/>
      <c r="Q28" s="239">
        <f t="shared" si="4"/>
        <v>3.5</v>
      </c>
      <c r="R28" s="239"/>
      <c r="S28" s="239"/>
      <c r="T28" s="239"/>
      <c r="U28" s="239">
        <f>0.3*D28</f>
        <v>6.3</v>
      </c>
      <c r="V28" s="239"/>
      <c r="W28" s="245"/>
      <c r="X28" s="245"/>
      <c r="Y28" s="245"/>
      <c r="Z28" s="245"/>
      <c r="AA28" s="245"/>
      <c r="AB28" s="245"/>
      <c r="AC28" s="245"/>
      <c r="AD28" s="124"/>
      <c r="AE28" s="124"/>
      <c r="AF28" s="124"/>
      <c r="AG28" s="124"/>
      <c r="AH28" s="124"/>
      <c r="AI28" s="124">
        <f>8*E28</f>
        <v>8</v>
      </c>
      <c r="AJ28" s="124">
        <f t="shared" ref="AJ28:AJ87" si="7">SUM(G28,I28:AI28)</f>
        <v>144.20000000000002</v>
      </c>
      <c r="AK28" s="122">
        <v>12</v>
      </c>
      <c r="AM28" s="253"/>
      <c r="AN28" s="126"/>
      <c r="AO28" s="126"/>
    </row>
    <row r="29" spans="1:41" s="254" customFormat="1" ht="17.25" customHeight="1" x14ac:dyDescent="0.2">
      <c r="A29" s="122" t="s">
        <v>220</v>
      </c>
      <c r="B29" s="131" t="s">
        <v>435</v>
      </c>
      <c r="C29" s="122" t="s">
        <v>62</v>
      </c>
      <c r="D29" s="122">
        <f>Бюджет_Конт!$B$7</f>
        <v>21</v>
      </c>
      <c r="E29" s="122">
        <f>Бюджет_Конт!$B$18</f>
        <v>1</v>
      </c>
      <c r="F29" s="124">
        <v>40</v>
      </c>
      <c r="G29" s="124">
        <f>F29</f>
        <v>40</v>
      </c>
      <c r="H29" s="124">
        <v>60</v>
      </c>
      <c r="I29" s="124">
        <f>H29*E29</f>
        <v>60</v>
      </c>
      <c r="J29" s="124"/>
      <c r="K29" s="124"/>
      <c r="L29" s="239"/>
      <c r="M29" s="239">
        <f>0.4*D29</f>
        <v>8.4</v>
      </c>
      <c r="N29" s="239"/>
      <c r="O29" s="239"/>
      <c r="P29" s="239"/>
      <c r="Q29" s="239">
        <f t="shared" si="4"/>
        <v>3</v>
      </c>
      <c r="R29" s="239"/>
      <c r="S29" s="239"/>
      <c r="T29" s="239"/>
      <c r="U29" s="239">
        <f>0.3*D29</f>
        <v>6.3</v>
      </c>
      <c r="V29" s="239"/>
      <c r="W29" s="245"/>
      <c r="X29" s="245"/>
      <c r="Y29" s="245"/>
      <c r="Z29" s="245"/>
      <c r="AA29" s="245"/>
      <c r="AB29" s="245"/>
      <c r="AC29" s="245"/>
      <c r="AD29" s="124"/>
      <c r="AE29" s="124"/>
      <c r="AF29" s="124"/>
      <c r="AG29" s="124"/>
      <c r="AH29" s="124"/>
      <c r="AI29" s="124">
        <f>8*E29</f>
        <v>8</v>
      </c>
      <c r="AJ29" s="124">
        <f>SUM(G29,I29:AI29)</f>
        <v>125.7</v>
      </c>
      <c r="AK29" s="122">
        <v>12</v>
      </c>
      <c r="AM29" s="255"/>
      <c r="AN29" s="255"/>
    </row>
    <row r="30" spans="1:41" s="125" customFormat="1" ht="36" x14ac:dyDescent="0.2">
      <c r="A30" s="122" t="s">
        <v>249</v>
      </c>
      <c r="B30" s="131" t="s">
        <v>436</v>
      </c>
      <c r="C30" s="122" t="s">
        <v>61</v>
      </c>
      <c r="D30" s="122">
        <f>Бюджет_Конт!$B$7</f>
        <v>21</v>
      </c>
      <c r="E30" s="122">
        <f>Бюджет_Конт!$B$18</f>
        <v>1</v>
      </c>
      <c r="F30" s="124">
        <v>34</v>
      </c>
      <c r="G30" s="124">
        <f t="shared" si="5"/>
        <v>34</v>
      </c>
      <c r="H30" s="124">
        <v>34</v>
      </c>
      <c r="I30" s="124">
        <f t="shared" si="6"/>
        <v>34</v>
      </c>
      <c r="J30" s="124"/>
      <c r="K30" s="124">
        <f>0.3*D30</f>
        <v>6.3</v>
      </c>
      <c r="L30" s="239"/>
      <c r="M30" s="239"/>
      <c r="N30" s="239"/>
      <c r="O30" s="239"/>
      <c r="P30" s="239"/>
      <c r="Q30" s="239">
        <f t="shared" si="4"/>
        <v>1.7000000000000002</v>
      </c>
      <c r="R30" s="239"/>
      <c r="S30" s="239"/>
      <c r="T30" s="239"/>
      <c r="U30" s="239">
        <f>0.3*D30</f>
        <v>6.3</v>
      </c>
      <c r="V30" s="239"/>
      <c r="W30" s="239"/>
      <c r="X30" s="239"/>
      <c r="Y30" s="239"/>
      <c r="Z30" s="239"/>
      <c r="AA30" s="239"/>
      <c r="AB30" s="124"/>
      <c r="AC30" s="124"/>
      <c r="AD30" s="124"/>
      <c r="AE30" s="124"/>
      <c r="AF30" s="124"/>
      <c r="AG30" s="124"/>
      <c r="AH30" s="124"/>
      <c r="AI30" s="124">
        <f>8*E30</f>
        <v>8</v>
      </c>
      <c r="AJ30" s="124">
        <f t="shared" si="7"/>
        <v>90.3</v>
      </c>
      <c r="AK30" s="122">
        <v>12</v>
      </c>
      <c r="AM30" s="126"/>
      <c r="AN30" s="126"/>
    </row>
    <row r="31" spans="1:41" s="125" customFormat="1" ht="36" x14ac:dyDescent="0.2">
      <c r="A31" s="122" t="s">
        <v>223</v>
      </c>
      <c r="B31" s="131" t="s">
        <v>437</v>
      </c>
      <c r="C31" s="122" t="s">
        <v>61</v>
      </c>
      <c r="D31" s="122">
        <f>Бюджет_Конт!$B$7</f>
        <v>21</v>
      </c>
      <c r="E31" s="122">
        <f>Бюджет_Конт!$B$18</f>
        <v>1</v>
      </c>
      <c r="F31" s="124">
        <v>34</v>
      </c>
      <c r="G31" s="124">
        <f t="shared" si="5"/>
        <v>34</v>
      </c>
      <c r="H31" s="124"/>
      <c r="I31" s="124">
        <f t="shared" si="6"/>
        <v>0</v>
      </c>
      <c r="J31" s="124">
        <f>68*(ROUNDUP(D31/15,0))</f>
        <v>136</v>
      </c>
      <c r="K31" s="124">
        <f>0.3*D31</f>
        <v>6.3</v>
      </c>
      <c r="L31" s="239"/>
      <c r="M31" s="239"/>
      <c r="N31" s="239"/>
      <c r="O31" s="239"/>
      <c r="P31" s="239"/>
      <c r="Q31" s="239">
        <f t="shared" si="4"/>
        <v>1.7000000000000002</v>
      </c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124"/>
      <c r="AC31" s="124"/>
      <c r="AD31" s="124"/>
      <c r="AE31" s="124"/>
      <c r="AF31" s="124"/>
      <c r="AG31" s="124"/>
      <c r="AH31" s="124"/>
      <c r="AI31" s="124"/>
      <c r="AJ31" s="124">
        <f t="shared" si="7"/>
        <v>178</v>
      </c>
      <c r="AK31" s="122">
        <v>10</v>
      </c>
      <c r="AM31" s="126"/>
      <c r="AN31" s="126"/>
    </row>
    <row r="32" spans="1:41" s="125" customFormat="1" ht="36" x14ac:dyDescent="0.2">
      <c r="A32" s="122" t="s">
        <v>243</v>
      </c>
      <c r="B32" s="131" t="s">
        <v>438</v>
      </c>
      <c r="C32" s="122" t="s">
        <v>62</v>
      </c>
      <c r="D32" s="122">
        <f>Бюджет_Конт!$B$7</f>
        <v>21</v>
      </c>
      <c r="E32" s="122">
        <f>Бюджет_Конт!$B$18</f>
        <v>1</v>
      </c>
      <c r="F32" s="124">
        <v>20</v>
      </c>
      <c r="G32" s="124">
        <f t="shared" si="5"/>
        <v>20</v>
      </c>
      <c r="H32" s="124"/>
      <c r="I32" s="124">
        <f t="shared" si="6"/>
        <v>0</v>
      </c>
      <c r="J32" s="124">
        <f>60*(ROUNDUP(D32/15,0))</f>
        <v>120</v>
      </c>
      <c r="K32" s="124">
        <f>0.3*D32</f>
        <v>6.3</v>
      </c>
      <c r="L32" s="239"/>
      <c r="M32" s="239"/>
      <c r="N32" s="239"/>
      <c r="O32" s="239"/>
      <c r="P32" s="239"/>
      <c r="Q32" s="239">
        <f t="shared" si="4"/>
        <v>1</v>
      </c>
      <c r="R32" s="239"/>
      <c r="S32" s="239"/>
      <c r="T32" s="239"/>
      <c r="U32" s="239"/>
      <c r="V32" s="239"/>
      <c r="W32" s="239"/>
      <c r="X32" s="239"/>
      <c r="Y32" s="256"/>
      <c r="Z32" s="256"/>
      <c r="AA32" s="256"/>
      <c r="AB32" s="256"/>
      <c r="AC32" s="256"/>
      <c r="AD32" s="256"/>
      <c r="AE32" s="124"/>
      <c r="AF32" s="124"/>
      <c r="AG32" s="124"/>
      <c r="AH32" s="124"/>
      <c r="AI32" s="124"/>
      <c r="AJ32" s="124">
        <f t="shared" si="7"/>
        <v>147.30000000000001</v>
      </c>
      <c r="AK32" s="122">
        <v>10</v>
      </c>
      <c r="AM32" s="126"/>
      <c r="AN32" s="126"/>
    </row>
    <row r="33" spans="1:40" s="125" customFormat="1" ht="18" customHeight="1" x14ac:dyDescent="0.2">
      <c r="A33" s="122" t="s">
        <v>244</v>
      </c>
      <c r="B33" s="131" t="s">
        <v>172</v>
      </c>
      <c r="C33" s="122" t="s">
        <v>62</v>
      </c>
      <c r="D33" s="122">
        <f>Бюджет_Конт!$B$7</f>
        <v>21</v>
      </c>
      <c r="E33" s="122">
        <f>Бюджет_Конт!$B$18</f>
        <v>1</v>
      </c>
      <c r="F33" s="124"/>
      <c r="G33" s="124">
        <f t="shared" si="5"/>
        <v>0</v>
      </c>
      <c r="H33" s="124"/>
      <c r="I33" s="124">
        <f t="shared" si="6"/>
        <v>0</v>
      </c>
      <c r="J33" s="124">
        <f>60*(ROUNDUP(D33/15,0))</f>
        <v>120</v>
      </c>
      <c r="K33" s="124">
        <f>0.3*D33</f>
        <v>6.3</v>
      </c>
      <c r="L33" s="124"/>
      <c r="M33" s="239"/>
      <c r="N33" s="124"/>
      <c r="O33" s="124"/>
      <c r="P33" s="124"/>
      <c r="Q33" s="239">
        <f t="shared" si="4"/>
        <v>0</v>
      </c>
      <c r="R33" s="124"/>
      <c r="S33" s="124"/>
      <c r="T33" s="124"/>
      <c r="U33" s="124"/>
      <c r="V33" s="124"/>
      <c r="W33" s="124"/>
      <c r="X33" s="124"/>
      <c r="Y33" s="256"/>
      <c r="Z33" s="256"/>
      <c r="AA33" s="256"/>
      <c r="AB33" s="256"/>
      <c r="AC33" s="256"/>
      <c r="AD33" s="256"/>
      <c r="AE33" s="124"/>
      <c r="AF33" s="124"/>
      <c r="AG33" s="124"/>
      <c r="AH33" s="124"/>
      <c r="AI33" s="124"/>
      <c r="AJ33" s="124">
        <f t="shared" si="7"/>
        <v>126.3</v>
      </c>
      <c r="AK33" s="122">
        <v>10</v>
      </c>
      <c r="AM33" s="126"/>
      <c r="AN33" s="126"/>
    </row>
    <row r="34" spans="1:40" s="125" customFormat="1" ht="36" x14ac:dyDescent="0.2">
      <c r="A34" s="122" t="s">
        <v>253</v>
      </c>
      <c r="B34" s="131" t="s">
        <v>536</v>
      </c>
      <c r="C34" s="122" t="s">
        <v>62</v>
      </c>
      <c r="D34" s="122">
        <f>Бюджет_Конт!$B$7</f>
        <v>21</v>
      </c>
      <c r="E34" s="122">
        <f>Бюджет_Конт!$B$18</f>
        <v>1</v>
      </c>
      <c r="F34" s="124">
        <v>20</v>
      </c>
      <c r="G34" s="124">
        <f>F34</f>
        <v>20</v>
      </c>
      <c r="H34" s="124"/>
      <c r="I34" s="124">
        <f>H34*E34</f>
        <v>0</v>
      </c>
      <c r="J34" s="124">
        <f>40*(ROUNDUP(D34/15,0))</f>
        <v>80</v>
      </c>
      <c r="K34" s="124">
        <f>0.3*D34</f>
        <v>6.3</v>
      </c>
      <c r="L34" s="124"/>
      <c r="M34" s="239"/>
      <c r="N34" s="124"/>
      <c r="O34" s="124"/>
      <c r="P34" s="124"/>
      <c r="Q34" s="239">
        <f>IF(K34&gt;0,0.05*G34,IF(M34&gt;0,0.05*G34+1*E34,0))</f>
        <v>1</v>
      </c>
      <c r="R34" s="124"/>
      <c r="S34" s="124"/>
      <c r="T34" s="124"/>
      <c r="U34" s="124"/>
      <c r="V34" s="124"/>
      <c r="W34" s="124"/>
      <c r="X34" s="124"/>
      <c r="Y34" s="256"/>
      <c r="Z34" s="256"/>
      <c r="AA34" s="256"/>
      <c r="AB34" s="256"/>
      <c r="AC34" s="256"/>
      <c r="AD34" s="256"/>
      <c r="AE34" s="124"/>
      <c r="AF34" s="124"/>
      <c r="AG34" s="124"/>
      <c r="AH34" s="124"/>
      <c r="AI34" s="124"/>
      <c r="AJ34" s="124">
        <f>SUM(G34,I34:AI34)</f>
        <v>107.3</v>
      </c>
      <c r="AK34" s="122">
        <v>10</v>
      </c>
      <c r="AM34" s="126"/>
      <c r="AN34" s="126"/>
    </row>
    <row r="35" spans="1:40" s="125" customFormat="1" ht="18" x14ac:dyDescent="0.2">
      <c r="A35" s="122"/>
      <c r="B35" s="122"/>
      <c r="C35" s="122"/>
      <c r="D35" s="122"/>
      <c r="E35" s="122"/>
      <c r="F35" s="124"/>
      <c r="G35" s="124"/>
      <c r="H35" s="124"/>
      <c r="I35" s="124"/>
      <c r="J35" s="124"/>
      <c r="K35" s="361" t="s">
        <v>443</v>
      </c>
      <c r="L35" s="361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124"/>
      <c r="AD35" s="124"/>
      <c r="AE35" s="124"/>
      <c r="AF35" s="124"/>
      <c r="AG35" s="124"/>
      <c r="AH35" s="124"/>
      <c r="AI35" s="124"/>
      <c r="AJ35" s="124"/>
      <c r="AK35" s="122"/>
      <c r="AM35" s="126"/>
    </row>
    <row r="36" spans="1:40" s="125" customFormat="1" ht="18" x14ac:dyDescent="0.2">
      <c r="A36" s="122"/>
      <c r="B36" s="122"/>
      <c r="C36" s="122"/>
      <c r="D36" s="122"/>
      <c r="E36" s="122"/>
      <c r="F36" s="124"/>
      <c r="G36" s="124"/>
      <c r="H36" s="124"/>
      <c r="I36" s="124"/>
      <c r="J36" s="124"/>
      <c r="K36" s="361" t="s">
        <v>444</v>
      </c>
      <c r="L36" s="361"/>
      <c r="M36" s="361"/>
      <c r="N36" s="361"/>
      <c r="O36" s="361"/>
      <c r="P36" s="361"/>
      <c r="Q36" s="361"/>
      <c r="R36" s="361"/>
      <c r="S36" s="361"/>
      <c r="T36" s="361"/>
      <c r="U36" s="361"/>
      <c r="V36" s="361"/>
      <c r="W36" s="361"/>
      <c r="X36" s="361"/>
      <c r="Y36" s="361"/>
      <c r="Z36" s="361"/>
      <c r="AA36" s="361"/>
      <c r="AB36" s="361"/>
      <c r="AC36" s="124"/>
      <c r="AD36" s="124"/>
      <c r="AE36" s="124"/>
      <c r="AF36" s="124"/>
      <c r="AG36" s="124"/>
      <c r="AH36" s="124"/>
      <c r="AI36" s="124"/>
      <c r="AJ36" s="124"/>
      <c r="AK36" s="122"/>
      <c r="AM36" s="126"/>
    </row>
    <row r="37" spans="1:40" s="125" customFormat="1" ht="17.25" customHeight="1" x14ac:dyDescent="0.2">
      <c r="A37" s="122" t="s">
        <v>219</v>
      </c>
      <c r="B37" s="131" t="s">
        <v>504</v>
      </c>
      <c r="C37" s="122" t="s">
        <v>63</v>
      </c>
      <c r="D37" s="122">
        <f>Бюджет_Конт!$B$8</f>
        <v>12</v>
      </c>
      <c r="E37" s="122">
        <f>Бюджет_Конт!$B$19</f>
        <v>1</v>
      </c>
      <c r="F37" s="124">
        <v>32</v>
      </c>
      <c r="G37" s="124">
        <f t="shared" si="5"/>
        <v>32</v>
      </c>
      <c r="H37" s="124">
        <v>32</v>
      </c>
      <c r="I37" s="124">
        <f t="shared" si="6"/>
        <v>32</v>
      </c>
      <c r="J37" s="124">
        <f>32*(ROUNDUP(D37/15,0))</f>
        <v>32</v>
      </c>
      <c r="K37" s="124"/>
      <c r="L37" s="124"/>
      <c r="M37" s="239">
        <f>0.4*D37</f>
        <v>4.8000000000000007</v>
      </c>
      <c r="N37" s="124"/>
      <c r="O37" s="124"/>
      <c r="P37" s="124"/>
      <c r="Q37" s="239">
        <f t="shared" si="4"/>
        <v>2.6</v>
      </c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>
        <f t="shared" si="7"/>
        <v>103.39999999999999</v>
      </c>
      <c r="AK37" s="122">
        <v>7</v>
      </c>
      <c r="AM37" s="126"/>
      <c r="AN37" s="126"/>
    </row>
    <row r="38" spans="1:40" s="125" customFormat="1" ht="17.25" customHeight="1" x14ac:dyDescent="0.2">
      <c r="A38" s="122" t="s">
        <v>248</v>
      </c>
      <c r="B38" s="131" t="s">
        <v>537</v>
      </c>
      <c r="C38" s="122" t="s">
        <v>64</v>
      </c>
      <c r="D38" s="122">
        <f>Бюджет_Конт!$B$8</f>
        <v>12</v>
      </c>
      <c r="E38" s="122">
        <f>Бюджет_Конт!$B$19</f>
        <v>1</v>
      </c>
      <c r="F38" s="124">
        <v>40</v>
      </c>
      <c r="G38" s="124">
        <f t="shared" si="5"/>
        <v>40</v>
      </c>
      <c r="H38" s="124">
        <v>60</v>
      </c>
      <c r="I38" s="124">
        <f t="shared" si="6"/>
        <v>60</v>
      </c>
      <c r="J38" s="124">
        <f>40*(ROUNDUP(D38/15,0))</f>
        <v>40</v>
      </c>
      <c r="K38" s="124">
        <f>0.3*D38</f>
        <v>3.5999999999999996</v>
      </c>
      <c r="L38" s="124"/>
      <c r="M38" s="239"/>
      <c r="N38" s="124"/>
      <c r="O38" s="124"/>
      <c r="P38" s="124"/>
      <c r="Q38" s="239">
        <f t="shared" si="4"/>
        <v>2</v>
      </c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>
        <f>2*E38</f>
        <v>2</v>
      </c>
      <c r="AJ38" s="124">
        <f t="shared" si="7"/>
        <v>147.6</v>
      </c>
      <c r="AK38" s="122">
        <v>7</v>
      </c>
      <c r="AM38" s="126"/>
      <c r="AN38" s="126"/>
    </row>
    <row r="39" spans="1:40" s="125" customFormat="1" ht="18" x14ac:dyDescent="0.2">
      <c r="A39" s="122" t="s">
        <v>220</v>
      </c>
      <c r="B39" s="131" t="s">
        <v>538</v>
      </c>
      <c r="C39" s="122" t="s">
        <v>63</v>
      </c>
      <c r="D39" s="122">
        <f>Бюджет_Конт!$B$8</f>
        <v>12</v>
      </c>
      <c r="E39" s="122">
        <f>Бюджет_Конт!$B$19</f>
        <v>1</v>
      </c>
      <c r="F39" s="124">
        <v>32</v>
      </c>
      <c r="G39" s="124">
        <f t="shared" si="5"/>
        <v>32</v>
      </c>
      <c r="H39" s="124">
        <v>32</v>
      </c>
      <c r="I39" s="124">
        <f t="shared" si="6"/>
        <v>32</v>
      </c>
      <c r="J39" s="124"/>
      <c r="K39" s="124"/>
      <c r="L39" s="124"/>
      <c r="M39" s="239">
        <f>0.4*D39</f>
        <v>4.8000000000000007</v>
      </c>
      <c r="N39" s="124"/>
      <c r="O39" s="124"/>
      <c r="P39" s="124"/>
      <c r="Q39" s="239">
        <f t="shared" si="4"/>
        <v>2.6</v>
      </c>
      <c r="R39" s="124"/>
      <c r="S39" s="124"/>
      <c r="T39" s="124"/>
      <c r="U39" s="124">
        <f>0.3*D39</f>
        <v>3.5999999999999996</v>
      </c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>
        <f>12*E39</f>
        <v>12</v>
      </c>
      <c r="AJ39" s="124">
        <f>SUM(G39,I39:AI39)</f>
        <v>86.999999999999986</v>
      </c>
      <c r="AK39" s="122">
        <v>12</v>
      </c>
      <c r="AM39" s="126"/>
      <c r="AN39" s="126"/>
    </row>
    <row r="40" spans="1:40" s="125" customFormat="1" ht="36" x14ac:dyDescent="0.2">
      <c r="A40" s="122" t="s">
        <v>250</v>
      </c>
      <c r="B40" s="131" t="s">
        <v>546</v>
      </c>
      <c r="C40" s="122" t="s">
        <v>63</v>
      </c>
      <c r="D40" s="122">
        <f>Бюджет_Конт!$B$8</f>
        <v>12</v>
      </c>
      <c r="E40" s="122">
        <f>Бюджет_Конт!$B$19</f>
        <v>1</v>
      </c>
      <c r="F40" s="124">
        <v>32</v>
      </c>
      <c r="G40" s="124">
        <f t="shared" si="5"/>
        <v>32</v>
      </c>
      <c r="H40" s="124">
        <v>32</v>
      </c>
      <c r="I40" s="124">
        <f t="shared" si="6"/>
        <v>32</v>
      </c>
      <c r="J40" s="124"/>
      <c r="K40" s="124">
        <f>0.3*D40</f>
        <v>3.5999999999999996</v>
      </c>
      <c r="L40" s="124"/>
      <c r="M40" s="239"/>
      <c r="N40" s="124"/>
      <c r="O40" s="124"/>
      <c r="P40" s="124"/>
      <c r="Q40" s="239">
        <f t="shared" si="4"/>
        <v>1.6</v>
      </c>
      <c r="R40" s="124"/>
      <c r="S40" s="124"/>
      <c r="T40" s="124"/>
      <c r="U40" s="124">
        <f>0.3*D40</f>
        <v>3.5999999999999996</v>
      </c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>
        <f>12*E40</f>
        <v>12</v>
      </c>
      <c r="AJ40" s="124">
        <f t="shared" si="7"/>
        <v>84.799999999999983</v>
      </c>
      <c r="AK40" s="122">
        <v>12</v>
      </c>
      <c r="AM40" s="126"/>
      <c r="AN40" s="126"/>
    </row>
    <row r="41" spans="1:40" s="125" customFormat="1" ht="18" x14ac:dyDescent="0.2">
      <c r="A41" s="122" t="s">
        <v>221</v>
      </c>
      <c r="B41" s="131" t="s">
        <v>295</v>
      </c>
      <c r="C41" s="122" t="s">
        <v>64</v>
      </c>
      <c r="D41" s="122">
        <f>Бюджет_Конт!$B$8</f>
        <v>12</v>
      </c>
      <c r="E41" s="122">
        <f>Бюджет_Конт!$B$19</f>
        <v>1</v>
      </c>
      <c r="F41" s="124">
        <v>40</v>
      </c>
      <c r="G41" s="124">
        <f t="shared" si="5"/>
        <v>40</v>
      </c>
      <c r="H41" s="124">
        <v>40</v>
      </c>
      <c r="I41" s="124">
        <f t="shared" si="6"/>
        <v>40</v>
      </c>
      <c r="J41" s="124"/>
      <c r="K41" s="124"/>
      <c r="L41" s="124"/>
      <c r="M41" s="239">
        <f>0.4*D41</f>
        <v>4.8000000000000007</v>
      </c>
      <c r="N41" s="124"/>
      <c r="O41" s="124"/>
      <c r="P41" s="124"/>
      <c r="Q41" s="239">
        <f t="shared" si="4"/>
        <v>3</v>
      </c>
      <c r="R41" s="124"/>
      <c r="S41" s="124"/>
      <c r="T41" s="124"/>
      <c r="U41" s="124">
        <f>0.3*D41</f>
        <v>3.5999999999999996</v>
      </c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>
        <f t="shared" si="7"/>
        <v>91.399999999999991</v>
      </c>
      <c r="AK41" s="122">
        <v>12</v>
      </c>
      <c r="AM41" s="126"/>
      <c r="AN41" s="126"/>
    </row>
    <row r="42" spans="1:40" s="125" customFormat="1" ht="18" x14ac:dyDescent="0.2">
      <c r="A42" s="122" t="s">
        <v>245</v>
      </c>
      <c r="B42" s="131" t="s">
        <v>505</v>
      </c>
      <c r="C42" s="122" t="s">
        <v>63</v>
      </c>
      <c r="D42" s="122">
        <f>Бюджет_Конт!$B$8</f>
        <v>12</v>
      </c>
      <c r="E42" s="122">
        <f>Бюджет_Конт!$B$19</f>
        <v>1</v>
      </c>
      <c r="F42" s="124">
        <v>32</v>
      </c>
      <c r="G42" s="124">
        <f t="shared" si="5"/>
        <v>32</v>
      </c>
      <c r="H42" s="124">
        <v>32</v>
      </c>
      <c r="I42" s="124">
        <f t="shared" si="6"/>
        <v>32</v>
      </c>
      <c r="J42" s="124"/>
      <c r="K42" s="124">
        <f t="shared" ref="K42:K49" si="8">0.3*D42</f>
        <v>3.5999999999999996</v>
      </c>
      <c r="L42" s="124"/>
      <c r="M42" s="239"/>
      <c r="N42" s="124"/>
      <c r="O42" s="124"/>
      <c r="P42" s="124"/>
      <c r="Q42" s="239">
        <f t="shared" si="4"/>
        <v>1.6</v>
      </c>
      <c r="R42" s="124"/>
      <c r="S42" s="124"/>
      <c r="T42" s="124"/>
      <c r="U42" s="124">
        <f>0.3*D42</f>
        <v>3.5999999999999996</v>
      </c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>
        <f>2*E42</f>
        <v>2</v>
      </c>
      <c r="AJ42" s="124">
        <f t="shared" si="7"/>
        <v>74.799999999999983</v>
      </c>
      <c r="AK42" s="122">
        <v>12</v>
      </c>
      <c r="AM42" s="126"/>
      <c r="AN42" s="126"/>
    </row>
    <row r="43" spans="1:40" s="125" customFormat="1" ht="36" x14ac:dyDescent="0.2">
      <c r="A43" s="122" t="s">
        <v>296</v>
      </c>
      <c r="B43" s="131" t="s">
        <v>559</v>
      </c>
      <c r="C43" s="122" t="s">
        <v>64</v>
      </c>
      <c r="D43" s="122">
        <f>Бюджет_Конт!$B$8</f>
        <v>12</v>
      </c>
      <c r="E43" s="122">
        <f>Бюджет_Конт!$B$19</f>
        <v>1</v>
      </c>
      <c r="F43" s="124">
        <v>40</v>
      </c>
      <c r="G43" s="124">
        <f t="shared" si="5"/>
        <v>40</v>
      </c>
      <c r="H43" s="124">
        <v>40</v>
      </c>
      <c r="I43" s="124">
        <f t="shared" si="6"/>
        <v>40</v>
      </c>
      <c r="J43" s="124"/>
      <c r="K43" s="124">
        <f t="shared" si="8"/>
        <v>3.5999999999999996</v>
      </c>
      <c r="L43" s="124"/>
      <c r="M43" s="239"/>
      <c r="N43" s="124"/>
      <c r="O43" s="124"/>
      <c r="P43" s="124"/>
      <c r="Q43" s="239">
        <f t="shared" si="4"/>
        <v>2</v>
      </c>
      <c r="R43" s="124"/>
      <c r="S43" s="124"/>
      <c r="T43" s="124"/>
      <c r="U43" s="124">
        <f>0.3*D43</f>
        <v>3.5999999999999996</v>
      </c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>
        <f t="shared" si="7"/>
        <v>89.199999999999989</v>
      </c>
      <c r="AK43" s="122">
        <v>12</v>
      </c>
      <c r="AM43" s="126"/>
      <c r="AN43" s="126"/>
    </row>
    <row r="44" spans="1:40" s="125" customFormat="1" ht="18" x14ac:dyDescent="0.2">
      <c r="A44" s="122" t="s">
        <v>254</v>
      </c>
      <c r="B44" s="131" t="s">
        <v>539</v>
      </c>
      <c r="C44" s="122" t="s">
        <v>63</v>
      </c>
      <c r="D44" s="122">
        <f>Бюджет_Конт!$B$8</f>
        <v>12</v>
      </c>
      <c r="E44" s="122">
        <f>Бюджет_Конт!$B$19</f>
        <v>1</v>
      </c>
      <c r="F44" s="124">
        <v>32</v>
      </c>
      <c r="G44" s="124">
        <f t="shared" si="5"/>
        <v>32</v>
      </c>
      <c r="H44" s="124">
        <v>16</v>
      </c>
      <c r="I44" s="124">
        <f t="shared" si="6"/>
        <v>16</v>
      </c>
      <c r="J44" s="124">
        <f>16*(ROUNDUP(D44/15,0))</f>
        <v>16</v>
      </c>
      <c r="K44" s="124">
        <f t="shared" si="8"/>
        <v>3.5999999999999996</v>
      </c>
      <c r="L44" s="124"/>
      <c r="M44" s="239"/>
      <c r="N44" s="124"/>
      <c r="O44" s="124"/>
      <c r="P44" s="124"/>
      <c r="Q44" s="239">
        <f t="shared" si="4"/>
        <v>1.6</v>
      </c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>
        <f t="shared" si="7"/>
        <v>69.199999999999989</v>
      </c>
      <c r="AK44" s="122">
        <v>10</v>
      </c>
      <c r="AM44" s="126"/>
      <c r="AN44" s="126"/>
    </row>
    <row r="45" spans="1:40" s="125" customFormat="1" ht="18" x14ac:dyDescent="0.2">
      <c r="A45" s="122" t="s">
        <v>247</v>
      </c>
      <c r="B45" s="131" t="s">
        <v>297</v>
      </c>
      <c r="C45" s="122" t="s">
        <v>64</v>
      </c>
      <c r="D45" s="122">
        <f>Бюджет_Конт!$B$8</f>
        <v>12</v>
      </c>
      <c r="E45" s="122">
        <f>Бюджет_Конт!$B$19</f>
        <v>1</v>
      </c>
      <c r="F45" s="124">
        <v>40</v>
      </c>
      <c r="G45" s="124">
        <f t="shared" si="5"/>
        <v>40</v>
      </c>
      <c r="H45" s="124">
        <v>20</v>
      </c>
      <c r="I45" s="124">
        <f t="shared" si="6"/>
        <v>20</v>
      </c>
      <c r="J45" s="124"/>
      <c r="K45" s="124">
        <f t="shared" si="8"/>
        <v>3.5999999999999996</v>
      </c>
      <c r="L45" s="124"/>
      <c r="M45" s="239"/>
      <c r="N45" s="124"/>
      <c r="O45" s="124"/>
      <c r="P45" s="124"/>
      <c r="Q45" s="239">
        <f t="shared" si="4"/>
        <v>2</v>
      </c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>
        <f t="shared" si="7"/>
        <v>65.599999999999994</v>
      </c>
      <c r="AK45" s="122">
        <v>10</v>
      </c>
      <c r="AM45" s="126"/>
      <c r="AN45" s="126"/>
    </row>
    <row r="46" spans="1:40" s="125" customFormat="1" ht="36" x14ac:dyDescent="0.2">
      <c r="A46" s="122" t="s">
        <v>257</v>
      </c>
      <c r="B46" s="131" t="s">
        <v>540</v>
      </c>
      <c r="C46" s="122" t="s">
        <v>64</v>
      </c>
      <c r="D46" s="122">
        <f>Бюджет_Конт!$B$8</f>
        <v>12</v>
      </c>
      <c r="E46" s="122">
        <f>Бюджет_Конт!$B$19</f>
        <v>1</v>
      </c>
      <c r="F46" s="124">
        <v>20</v>
      </c>
      <c r="G46" s="124">
        <f t="shared" si="5"/>
        <v>20</v>
      </c>
      <c r="H46" s="124">
        <v>20</v>
      </c>
      <c r="I46" s="124">
        <f t="shared" si="6"/>
        <v>20</v>
      </c>
      <c r="J46" s="124"/>
      <c r="K46" s="124">
        <f t="shared" si="8"/>
        <v>3.5999999999999996</v>
      </c>
      <c r="L46" s="124"/>
      <c r="M46" s="239"/>
      <c r="N46" s="124"/>
      <c r="O46" s="124"/>
      <c r="P46" s="124"/>
      <c r="Q46" s="239">
        <f t="shared" si="4"/>
        <v>1</v>
      </c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>
        <f t="shared" si="7"/>
        <v>44.6</v>
      </c>
      <c r="AK46" s="122">
        <v>12</v>
      </c>
      <c r="AM46" s="126"/>
      <c r="AN46" s="126"/>
    </row>
    <row r="47" spans="1:40" s="125" customFormat="1" ht="18" x14ac:dyDescent="0.2">
      <c r="A47" s="122" t="s">
        <v>285</v>
      </c>
      <c r="B47" s="131" t="s">
        <v>541</v>
      </c>
      <c r="C47" s="122" t="s">
        <v>63</v>
      </c>
      <c r="D47" s="122">
        <f>Бюджет_Конт!$B$8</f>
        <v>12</v>
      </c>
      <c r="E47" s="122">
        <f>Бюджет_Конт!$B$19</f>
        <v>1</v>
      </c>
      <c r="F47" s="124">
        <v>32</v>
      </c>
      <c r="G47" s="124">
        <f t="shared" si="5"/>
        <v>32</v>
      </c>
      <c r="H47" s="124">
        <v>16</v>
      </c>
      <c r="I47" s="124">
        <f t="shared" si="6"/>
        <v>16</v>
      </c>
      <c r="J47" s="124">
        <f>32*(ROUNDUP(D47/15,0))</f>
        <v>32</v>
      </c>
      <c r="K47" s="124">
        <f t="shared" si="8"/>
        <v>3.5999999999999996</v>
      </c>
      <c r="L47" s="124"/>
      <c r="M47" s="239"/>
      <c r="N47" s="124"/>
      <c r="O47" s="124"/>
      <c r="P47" s="124"/>
      <c r="Q47" s="239">
        <f t="shared" si="4"/>
        <v>1.6</v>
      </c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>
        <f t="shared" si="7"/>
        <v>85.199999999999989</v>
      </c>
      <c r="AK47" s="122">
        <v>10</v>
      </c>
      <c r="AM47" s="126"/>
      <c r="AN47" s="126"/>
    </row>
    <row r="48" spans="1:40" s="125" customFormat="1" ht="18" x14ac:dyDescent="0.2">
      <c r="A48" s="122" t="s">
        <v>191</v>
      </c>
      <c r="B48" s="131" t="s">
        <v>542</v>
      </c>
      <c r="C48" s="122" t="s">
        <v>64</v>
      </c>
      <c r="D48" s="122">
        <f>Бюджет_Конт!$B$8</f>
        <v>12</v>
      </c>
      <c r="E48" s="122">
        <f>Бюджет_Конт!$B$19</f>
        <v>1</v>
      </c>
      <c r="F48" s="124">
        <v>40</v>
      </c>
      <c r="G48" s="124">
        <f t="shared" si="5"/>
        <v>40</v>
      </c>
      <c r="H48" s="124">
        <v>20</v>
      </c>
      <c r="I48" s="124">
        <f t="shared" si="6"/>
        <v>20</v>
      </c>
      <c r="J48" s="124">
        <f>40*(ROUNDUP(D48/15,0))</f>
        <v>40</v>
      </c>
      <c r="K48" s="124">
        <f t="shared" si="8"/>
        <v>3.5999999999999996</v>
      </c>
      <c r="L48" s="124"/>
      <c r="M48" s="239"/>
      <c r="N48" s="124"/>
      <c r="O48" s="124"/>
      <c r="P48" s="124"/>
      <c r="Q48" s="239">
        <f t="shared" si="4"/>
        <v>2</v>
      </c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>
        <f t="shared" si="7"/>
        <v>105.6</v>
      </c>
      <c r="AK48" s="122">
        <v>10</v>
      </c>
      <c r="AM48" s="126"/>
      <c r="AN48" s="126"/>
    </row>
    <row r="49" spans="1:40" s="125" customFormat="1" ht="54" x14ac:dyDescent="0.2">
      <c r="A49" s="122" t="s">
        <v>299</v>
      </c>
      <c r="B49" s="131" t="s">
        <v>300</v>
      </c>
      <c r="C49" s="122" t="s">
        <v>64</v>
      </c>
      <c r="D49" s="122">
        <f>Бюджет_Конт!$B$8</f>
        <v>12</v>
      </c>
      <c r="E49" s="122">
        <f>Бюджет_Конт!$B$19</f>
        <v>1</v>
      </c>
      <c r="F49" s="124"/>
      <c r="G49" s="124">
        <f t="shared" si="5"/>
        <v>0</v>
      </c>
      <c r="H49" s="124"/>
      <c r="I49" s="124">
        <f t="shared" si="6"/>
        <v>0</v>
      </c>
      <c r="J49" s="124">
        <f>40*(ROUNDUP(D49/15,0))</f>
        <v>40</v>
      </c>
      <c r="K49" s="124">
        <f t="shared" si="8"/>
        <v>3.5999999999999996</v>
      </c>
      <c r="L49" s="124"/>
      <c r="M49" s="239"/>
      <c r="N49" s="124"/>
      <c r="O49" s="124"/>
      <c r="P49" s="124"/>
      <c r="Q49" s="239">
        <f t="shared" si="4"/>
        <v>0</v>
      </c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>
        <f t="shared" si="7"/>
        <v>43.6</v>
      </c>
      <c r="AK49" s="122">
        <v>10</v>
      </c>
      <c r="AM49" s="126"/>
      <c r="AN49" s="126"/>
    </row>
    <row r="50" spans="1:40" s="125" customFormat="1" ht="54" x14ac:dyDescent="0.2">
      <c r="A50" s="321" t="s">
        <v>246</v>
      </c>
      <c r="B50" s="322" t="s">
        <v>300</v>
      </c>
      <c r="C50" s="321" t="s">
        <v>63</v>
      </c>
      <c r="D50" s="321">
        <f>Бюджет_Конт!$B$8</f>
        <v>12</v>
      </c>
      <c r="E50" s="321">
        <f>Бюджет_Конт!$B$19</f>
        <v>1</v>
      </c>
      <c r="F50" s="319"/>
      <c r="G50" s="319">
        <f t="shared" si="5"/>
        <v>0</v>
      </c>
      <c r="H50" s="319"/>
      <c r="I50" s="319">
        <f t="shared" si="6"/>
        <v>0</v>
      </c>
      <c r="J50" s="319"/>
      <c r="K50" s="319"/>
      <c r="L50" s="319"/>
      <c r="M50" s="323"/>
      <c r="N50" s="319"/>
      <c r="O50" s="319"/>
      <c r="P50" s="319"/>
      <c r="Q50" s="323">
        <f t="shared" si="4"/>
        <v>0</v>
      </c>
      <c r="R50" s="319"/>
      <c r="S50" s="124">
        <f>6*E50*6</f>
        <v>36</v>
      </c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>
        <v>0</v>
      </c>
      <c r="AJ50" s="124">
        <f t="shared" si="7"/>
        <v>36</v>
      </c>
      <c r="AK50" s="122">
        <v>10</v>
      </c>
      <c r="AM50" s="126"/>
      <c r="AN50" s="126"/>
    </row>
    <row r="51" spans="1:40" s="125" customFormat="1" ht="18" x14ac:dyDescent="0.2">
      <c r="A51" s="321" t="s">
        <v>201</v>
      </c>
      <c r="B51" s="322" t="s">
        <v>434</v>
      </c>
      <c r="C51" s="321" t="s">
        <v>65</v>
      </c>
      <c r="D51" s="321">
        <f>Бюджет_Конт!$B$9</f>
        <v>15</v>
      </c>
      <c r="E51" s="321">
        <f>Бюджет_Конт!$B$20</f>
        <v>1</v>
      </c>
      <c r="F51" s="319">
        <v>34</v>
      </c>
      <c r="G51" s="319">
        <f t="shared" si="5"/>
        <v>34</v>
      </c>
      <c r="H51" s="319">
        <v>34</v>
      </c>
      <c r="I51" s="319">
        <f t="shared" si="6"/>
        <v>34</v>
      </c>
      <c r="J51" s="319">
        <f>34*(ROUNDUP(D51/15,0))</f>
        <v>34</v>
      </c>
      <c r="K51" s="319"/>
      <c r="L51" s="319"/>
      <c r="M51" s="323">
        <f>0.4*D51</f>
        <v>6</v>
      </c>
      <c r="N51" s="319"/>
      <c r="O51" s="319"/>
      <c r="P51" s="319"/>
      <c r="Q51" s="323">
        <f t="shared" si="4"/>
        <v>2.7</v>
      </c>
      <c r="R51" s="319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>
        <f t="shared" si="7"/>
        <v>110.7</v>
      </c>
      <c r="AK51" s="122">
        <v>7</v>
      </c>
      <c r="AM51" s="126"/>
      <c r="AN51" s="126"/>
    </row>
    <row r="52" spans="1:40" s="125" customFormat="1" ht="18" x14ac:dyDescent="0.2">
      <c r="A52" s="321" t="s">
        <v>350</v>
      </c>
      <c r="B52" s="322" t="s">
        <v>439</v>
      </c>
      <c r="C52" s="321" t="s">
        <v>66</v>
      </c>
      <c r="D52" s="321">
        <f>Бюджет_Конт!$B$9</f>
        <v>15</v>
      </c>
      <c r="E52" s="321">
        <f>Бюджет_Конт!$B$20</f>
        <v>1</v>
      </c>
      <c r="F52" s="319">
        <v>36</v>
      </c>
      <c r="G52" s="319">
        <f>F52</f>
        <v>36</v>
      </c>
      <c r="H52" s="319">
        <v>36</v>
      </c>
      <c r="I52" s="319">
        <f t="shared" si="6"/>
        <v>36</v>
      </c>
      <c r="J52" s="319">
        <f>36*(ROUNDUP(D52/15,0))</f>
        <v>36</v>
      </c>
      <c r="K52" s="319">
        <f>0.3*D52</f>
        <v>4.5</v>
      </c>
      <c r="L52" s="319"/>
      <c r="M52" s="323"/>
      <c r="N52" s="319"/>
      <c r="O52" s="319"/>
      <c r="P52" s="319"/>
      <c r="Q52" s="323">
        <f t="shared" si="4"/>
        <v>1.8</v>
      </c>
      <c r="R52" s="319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>
        <f t="shared" si="7"/>
        <v>114.3</v>
      </c>
      <c r="AK52" s="122">
        <v>7</v>
      </c>
      <c r="AM52" s="126"/>
      <c r="AN52" s="126"/>
    </row>
    <row r="53" spans="1:40" s="125" customFormat="1" ht="18" x14ac:dyDescent="0.2">
      <c r="A53" s="321" t="s">
        <v>312</v>
      </c>
      <c r="B53" s="324" t="s">
        <v>351</v>
      </c>
      <c r="C53" s="321" t="s">
        <v>65</v>
      </c>
      <c r="D53" s="321">
        <f>Бюджет_Конт!$B$9</f>
        <v>15</v>
      </c>
      <c r="E53" s="321">
        <f>Бюджет_Конт!$B$20</f>
        <v>1</v>
      </c>
      <c r="F53" s="319">
        <v>34</v>
      </c>
      <c r="G53" s="319">
        <f t="shared" si="5"/>
        <v>34</v>
      </c>
      <c r="H53" s="319">
        <v>34</v>
      </c>
      <c r="I53" s="319">
        <f t="shared" si="6"/>
        <v>34</v>
      </c>
      <c r="J53" s="319"/>
      <c r="K53" s="319"/>
      <c r="L53" s="319"/>
      <c r="M53" s="323">
        <f>0.4*D53</f>
        <v>6</v>
      </c>
      <c r="N53" s="319"/>
      <c r="O53" s="319"/>
      <c r="P53" s="319"/>
      <c r="Q53" s="323">
        <f t="shared" si="4"/>
        <v>2.7</v>
      </c>
      <c r="R53" s="319"/>
      <c r="S53" s="124"/>
      <c r="T53" s="124"/>
      <c r="U53" s="124">
        <f>0.3*D53</f>
        <v>4.5</v>
      </c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>
        <f>4*E53</f>
        <v>4</v>
      </c>
      <c r="AJ53" s="124">
        <f t="shared" si="7"/>
        <v>85.2</v>
      </c>
      <c r="AK53" s="122">
        <v>12</v>
      </c>
      <c r="AM53" s="126"/>
      <c r="AN53" s="126"/>
    </row>
    <row r="54" spans="1:40" s="125" customFormat="1" ht="18" x14ac:dyDescent="0.2">
      <c r="A54" s="321" t="s">
        <v>313</v>
      </c>
      <c r="B54" s="324" t="s">
        <v>377</v>
      </c>
      <c r="C54" s="321" t="s">
        <v>66</v>
      </c>
      <c r="D54" s="321">
        <f>Бюджет_Конт!$B$9</f>
        <v>15</v>
      </c>
      <c r="E54" s="321">
        <f>Бюджет_Конт!$B$20</f>
        <v>1</v>
      </c>
      <c r="F54" s="319">
        <v>36</v>
      </c>
      <c r="G54" s="319">
        <f t="shared" si="5"/>
        <v>36</v>
      </c>
      <c r="H54" s="319">
        <v>36</v>
      </c>
      <c r="I54" s="319">
        <f t="shared" si="6"/>
        <v>36</v>
      </c>
      <c r="J54" s="319"/>
      <c r="K54" s="319"/>
      <c r="L54" s="319"/>
      <c r="M54" s="323">
        <f>0.4*D54</f>
        <v>6</v>
      </c>
      <c r="N54" s="319"/>
      <c r="O54" s="319"/>
      <c r="P54" s="319"/>
      <c r="Q54" s="323">
        <f t="shared" si="4"/>
        <v>2.8</v>
      </c>
      <c r="R54" s="319"/>
      <c r="S54" s="124"/>
      <c r="T54" s="124"/>
      <c r="U54" s="124">
        <f>0.3*D54</f>
        <v>4.5</v>
      </c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>
        <f>14*E54</f>
        <v>14</v>
      </c>
      <c r="AJ54" s="124">
        <f t="shared" si="7"/>
        <v>99.3</v>
      </c>
      <c r="AK54" s="122">
        <v>12</v>
      </c>
      <c r="AM54" s="126"/>
      <c r="AN54" s="126"/>
    </row>
    <row r="55" spans="1:40" s="125" customFormat="1" ht="18" x14ac:dyDescent="0.2">
      <c r="A55" s="122" t="s">
        <v>319</v>
      </c>
      <c r="B55" s="132" t="s">
        <v>440</v>
      </c>
      <c r="C55" s="122" t="s">
        <v>65</v>
      </c>
      <c r="D55" s="122">
        <f>Бюджет_Конт!$B$9</f>
        <v>15</v>
      </c>
      <c r="E55" s="122">
        <f>Бюджет_Конт!$B$20</f>
        <v>1</v>
      </c>
      <c r="F55" s="124">
        <v>34</v>
      </c>
      <c r="G55" s="124">
        <f t="shared" si="5"/>
        <v>34</v>
      </c>
      <c r="H55" s="124"/>
      <c r="I55" s="124">
        <f t="shared" si="6"/>
        <v>0</v>
      </c>
      <c r="J55" s="124">
        <f>34*(ROUNDUP(D55/15,0))</f>
        <v>34</v>
      </c>
      <c r="K55" s="124">
        <f>0.3*D55</f>
        <v>4.5</v>
      </c>
      <c r="L55" s="124"/>
      <c r="M55" s="239"/>
      <c r="N55" s="124"/>
      <c r="O55" s="124"/>
      <c r="P55" s="124"/>
      <c r="Q55" s="239">
        <f t="shared" si="4"/>
        <v>1.7000000000000002</v>
      </c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>
        <f t="shared" si="7"/>
        <v>74.2</v>
      </c>
      <c r="AK55" s="122">
        <v>10</v>
      </c>
      <c r="AM55" s="126"/>
      <c r="AN55" s="126"/>
    </row>
    <row r="56" spans="1:40" s="125" customFormat="1" ht="17.25" customHeight="1" x14ac:dyDescent="0.2">
      <c r="A56" s="122" t="s">
        <v>269</v>
      </c>
      <c r="B56" s="132" t="s">
        <v>70</v>
      </c>
      <c r="C56" s="122" t="s">
        <v>65</v>
      </c>
      <c r="D56" s="122">
        <f>Бюджет_Конт!$B$9</f>
        <v>15</v>
      </c>
      <c r="E56" s="122">
        <f>Бюджет_Конт!$B$20</f>
        <v>1</v>
      </c>
      <c r="F56" s="124">
        <v>34</v>
      </c>
      <c r="G56" s="124">
        <f t="shared" si="5"/>
        <v>34</v>
      </c>
      <c r="H56" s="124">
        <v>34</v>
      </c>
      <c r="I56" s="124">
        <f t="shared" si="6"/>
        <v>34</v>
      </c>
      <c r="J56" s="124"/>
      <c r="K56" s="124">
        <f>0.3*D56</f>
        <v>4.5</v>
      </c>
      <c r="L56" s="124"/>
      <c r="M56" s="239"/>
      <c r="N56" s="124"/>
      <c r="O56" s="124"/>
      <c r="P56" s="124"/>
      <c r="Q56" s="239">
        <f t="shared" si="4"/>
        <v>1.7000000000000002</v>
      </c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>
        <f t="shared" si="7"/>
        <v>74.2</v>
      </c>
      <c r="AK56" s="122">
        <v>10</v>
      </c>
      <c r="AM56" s="126"/>
      <c r="AN56" s="126"/>
    </row>
    <row r="57" spans="1:40" s="125" customFormat="1" ht="17.25" customHeight="1" x14ac:dyDescent="0.2">
      <c r="A57" s="122" t="s">
        <v>270</v>
      </c>
      <c r="B57" s="132" t="s">
        <v>67</v>
      </c>
      <c r="C57" s="122" t="s">
        <v>65</v>
      </c>
      <c r="D57" s="122">
        <f>Бюджет_Конт!$B$9</f>
        <v>15</v>
      </c>
      <c r="E57" s="122">
        <f>Бюджет_Конт!$B$20</f>
        <v>1</v>
      </c>
      <c r="F57" s="124">
        <v>34</v>
      </c>
      <c r="G57" s="124">
        <f t="shared" si="5"/>
        <v>34</v>
      </c>
      <c r="H57" s="124">
        <v>34</v>
      </c>
      <c r="I57" s="124">
        <f t="shared" si="6"/>
        <v>34</v>
      </c>
      <c r="J57" s="124"/>
      <c r="K57" s="124"/>
      <c r="L57" s="124"/>
      <c r="M57" s="239">
        <f>0.4*D57</f>
        <v>6</v>
      </c>
      <c r="N57" s="124"/>
      <c r="O57" s="124"/>
      <c r="P57" s="124"/>
      <c r="Q57" s="239">
        <f t="shared" si="4"/>
        <v>2.7</v>
      </c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>
        <f t="shared" si="7"/>
        <v>76.7</v>
      </c>
      <c r="AK57" s="122">
        <v>10</v>
      </c>
      <c r="AM57" s="126"/>
      <c r="AN57" s="126"/>
    </row>
    <row r="58" spans="1:40" s="125" customFormat="1" ht="17.25" customHeight="1" x14ac:dyDescent="0.2">
      <c r="A58" s="122" t="s">
        <v>258</v>
      </c>
      <c r="B58" s="132" t="s">
        <v>441</v>
      </c>
      <c r="C58" s="122" t="s">
        <v>65</v>
      </c>
      <c r="D58" s="122">
        <f>Бюджет_Конт!$B$9</f>
        <v>15</v>
      </c>
      <c r="E58" s="122">
        <f>Бюджет_Конт!$B$20</f>
        <v>1</v>
      </c>
      <c r="F58" s="124">
        <v>16</v>
      </c>
      <c r="G58" s="124">
        <f t="shared" si="5"/>
        <v>16</v>
      </c>
      <c r="H58" s="124">
        <v>34</v>
      </c>
      <c r="I58" s="124">
        <f t="shared" si="6"/>
        <v>34</v>
      </c>
      <c r="J58" s="124">
        <f>34*ROUNDUP(D58/15,0)</f>
        <v>34</v>
      </c>
      <c r="K58" s="124">
        <f t="shared" ref="K58:K64" si="9">0.3*D58</f>
        <v>4.5</v>
      </c>
      <c r="L58" s="124"/>
      <c r="M58" s="124"/>
      <c r="N58" s="124"/>
      <c r="O58" s="124"/>
      <c r="P58" s="124"/>
      <c r="Q58" s="239">
        <f t="shared" si="4"/>
        <v>0.8</v>
      </c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>
        <f t="shared" si="7"/>
        <v>89.3</v>
      </c>
      <c r="AK58" s="122">
        <v>10</v>
      </c>
      <c r="AM58" s="126"/>
      <c r="AN58" s="126"/>
    </row>
    <row r="59" spans="1:40" s="125" customFormat="1" ht="17.25" customHeight="1" x14ac:dyDescent="0.2">
      <c r="A59" s="122" t="s">
        <v>271</v>
      </c>
      <c r="B59" s="132" t="s">
        <v>353</v>
      </c>
      <c r="C59" s="122" t="s">
        <v>66</v>
      </c>
      <c r="D59" s="122">
        <f>Бюджет_Конт!$B$9</f>
        <v>15</v>
      </c>
      <c r="E59" s="122">
        <f>Бюджет_Конт!$B$20</f>
        <v>1</v>
      </c>
      <c r="F59" s="124">
        <v>18</v>
      </c>
      <c r="G59" s="124">
        <f>F59</f>
        <v>18</v>
      </c>
      <c r="H59" s="124"/>
      <c r="I59" s="124">
        <f t="shared" si="6"/>
        <v>0</v>
      </c>
      <c r="J59" s="124">
        <f>36*(ROUNDUP(D59/15,0))</f>
        <v>36</v>
      </c>
      <c r="K59" s="124">
        <f t="shared" si="9"/>
        <v>4.5</v>
      </c>
      <c r="L59" s="124"/>
      <c r="M59" s="239"/>
      <c r="N59" s="124"/>
      <c r="O59" s="124"/>
      <c r="P59" s="124"/>
      <c r="Q59" s="239">
        <f t="shared" si="4"/>
        <v>0.9</v>
      </c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>
        <f t="shared" si="7"/>
        <v>59.4</v>
      </c>
      <c r="AK59" s="122">
        <v>10</v>
      </c>
      <c r="AM59" s="126"/>
      <c r="AN59" s="126"/>
    </row>
    <row r="60" spans="1:40" s="125" customFormat="1" ht="17.25" customHeight="1" x14ac:dyDescent="0.2">
      <c r="A60" s="122" t="s">
        <v>354</v>
      </c>
      <c r="B60" s="132" t="s">
        <v>75</v>
      </c>
      <c r="C60" s="122" t="s">
        <v>66</v>
      </c>
      <c r="D60" s="122">
        <f>Бюджет_Конт!$B$9</f>
        <v>15</v>
      </c>
      <c r="E60" s="122">
        <f>Бюджет_Конт!$B$20</f>
        <v>1</v>
      </c>
      <c r="F60" s="124">
        <v>36</v>
      </c>
      <c r="G60" s="124">
        <f t="shared" si="5"/>
        <v>36</v>
      </c>
      <c r="H60" s="124">
        <v>18</v>
      </c>
      <c r="I60" s="124">
        <f t="shared" si="6"/>
        <v>18</v>
      </c>
      <c r="J60" s="124">
        <f>36*ROUNDUP(D60/15,0)</f>
        <v>36</v>
      </c>
      <c r="K60" s="124">
        <f t="shared" si="9"/>
        <v>4.5</v>
      </c>
      <c r="L60" s="124"/>
      <c r="M60" s="239"/>
      <c r="N60" s="124"/>
      <c r="O60" s="124"/>
      <c r="P60" s="124"/>
      <c r="Q60" s="239">
        <f t="shared" si="4"/>
        <v>1.8</v>
      </c>
      <c r="R60" s="124"/>
      <c r="S60" s="124"/>
      <c r="T60" s="124"/>
      <c r="U60" s="124">
        <v>0</v>
      </c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>
        <f t="shared" si="7"/>
        <v>96.3</v>
      </c>
      <c r="AK60" s="122">
        <v>10</v>
      </c>
      <c r="AM60" s="126"/>
      <c r="AN60" s="126"/>
    </row>
    <row r="61" spans="1:40" s="125" customFormat="1" ht="17.25" customHeight="1" x14ac:dyDescent="0.2">
      <c r="A61" s="122" t="s">
        <v>316</v>
      </c>
      <c r="B61" s="132" t="s">
        <v>355</v>
      </c>
      <c r="C61" s="122" t="s">
        <v>66</v>
      </c>
      <c r="D61" s="122">
        <f>Бюджет_Конт!$B$9</f>
        <v>15</v>
      </c>
      <c r="E61" s="122">
        <f>Бюджет_Конт!$B$20</f>
        <v>1</v>
      </c>
      <c r="F61" s="124">
        <v>54</v>
      </c>
      <c r="G61" s="124">
        <f t="shared" si="5"/>
        <v>54</v>
      </c>
      <c r="H61" s="124">
        <v>18</v>
      </c>
      <c r="I61" s="124">
        <f t="shared" si="6"/>
        <v>18</v>
      </c>
      <c r="J61" s="124"/>
      <c r="K61" s="124">
        <f t="shared" si="9"/>
        <v>4.5</v>
      </c>
      <c r="L61" s="124"/>
      <c r="M61" s="124"/>
      <c r="N61" s="124"/>
      <c r="O61" s="124"/>
      <c r="P61" s="124"/>
      <c r="Q61" s="239">
        <f t="shared" si="4"/>
        <v>2.7</v>
      </c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>
        <f t="shared" si="7"/>
        <v>79.2</v>
      </c>
      <c r="AK61" s="122">
        <v>10</v>
      </c>
      <c r="AM61" s="126"/>
      <c r="AN61" s="126"/>
    </row>
    <row r="62" spans="1:40" s="125" customFormat="1" ht="17.25" customHeight="1" x14ac:dyDescent="0.2">
      <c r="A62" s="122" t="s">
        <v>193</v>
      </c>
      <c r="B62" s="132" t="s">
        <v>356</v>
      </c>
      <c r="C62" s="122" t="s">
        <v>65</v>
      </c>
      <c r="D62" s="122">
        <f>Бюджет_Конт!$B$9</f>
        <v>15</v>
      </c>
      <c r="E62" s="122">
        <f>Бюджет_Конт!$B$20</f>
        <v>1</v>
      </c>
      <c r="F62" s="124">
        <v>34</v>
      </c>
      <c r="G62" s="124">
        <f t="shared" si="5"/>
        <v>34</v>
      </c>
      <c r="H62" s="124"/>
      <c r="I62" s="124">
        <f t="shared" si="6"/>
        <v>0</v>
      </c>
      <c r="J62" s="124">
        <f>34*ROUNDUP(D62/15,0)</f>
        <v>34</v>
      </c>
      <c r="K62" s="124">
        <f t="shared" si="9"/>
        <v>4.5</v>
      </c>
      <c r="L62" s="124"/>
      <c r="M62" s="124"/>
      <c r="N62" s="124"/>
      <c r="O62" s="124"/>
      <c r="P62" s="124"/>
      <c r="Q62" s="239">
        <f t="shared" si="4"/>
        <v>1.7000000000000002</v>
      </c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>
        <f t="shared" si="7"/>
        <v>74.2</v>
      </c>
      <c r="AK62" s="122">
        <v>10</v>
      </c>
      <c r="AM62" s="126"/>
      <c r="AN62" s="126"/>
    </row>
    <row r="63" spans="1:40" s="125" customFormat="1" ht="17.25" customHeight="1" x14ac:dyDescent="0.2">
      <c r="A63" s="122" t="s">
        <v>193</v>
      </c>
      <c r="B63" s="132" t="s">
        <v>356</v>
      </c>
      <c r="C63" s="122" t="s">
        <v>66</v>
      </c>
      <c r="D63" s="122">
        <f>Бюджет_Конт!$B$9</f>
        <v>15</v>
      </c>
      <c r="E63" s="122">
        <f>Бюджет_Конт!$B$20</f>
        <v>1</v>
      </c>
      <c r="F63" s="124">
        <v>18</v>
      </c>
      <c r="G63" s="124">
        <f>F63</f>
        <v>18</v>
      </c>
      <c r="H63" s="124"/>
      <c r="I63" s="124">
        <f>H63*E63</f>
        <v>0</v>
      </c>
      <c r="J63" s="124">
        <f>36*ROUNDUP(D63/15,0)</f>
        <v>36</v>
      </c>
      <c r="K63" s="124">
        <f t="shared" si="9"/>
        <v>4.5</v>
      </c>
      <c r="L63" s="124"/>
      <c r="M63" s="124"/>
      <c r="N63" s="124"/>
      <c r="O63" s="124"/>
      <c r="P63" s="124"/>
      <c r="Q63" s="239">
        <f>IF(K63&gt;0,0.05*G63,IF(M63&gt;0,0.05*G63+1*E63,0))</f>
        <v>0.9</v>
      </c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>
        <f>SUM(G63,I63:AI63)</f>
        <v>59.4</v>
      </c>
      <c r="AK63" s="122">
        <v>10</v>
      </c>
      <c r="AM63" s="126"/>
      <c r="AN63" s="126"/>
    </row>
    <row r="64" spans="1:40" s="125" customFormat="1" ht="17.25" customHeight="1" x14ac:dyDescent="0.2">
      <c r="A64" s="122" t="s">
        <v>286</v>
      </c>
      <c r="B64" s="132" t="s">
        <v>306</v>
      </c>
      <c r="C64" s="122" t="s">
        <v>66</v>
      </c>
      <c r="D64" s="122">
        <f>Бюджет_Конт!$B$9</f>
        <v>15</v>
      </c>
      <c r="E64" s="122">
        <f>Бюджет_Конт!$B$20</f>
        <v>1</v>
      </c>
      <c r="F64" s="124">
        <v>36</v>
      </c>
      <c r="G64" s="124">
        <f t="shared" si="5"/>
        <v>36</v>
      </c>
      <c r="H64" s="124">
        <v>18</v>
      </c>
      <c r="I64" s="124">
        <f t="shared" si="6"/>
        <v>18</v>
      </c>
      <c r="J64" s="124">
        <f>54*ROUNDUP(D64/15,0)</f>
        <v>54</v>
      </c>
      <c r="K64" s="124">
        <f t="shared" si="9"/>
        <v>4.5</v>
      </c>
      <c r="L64" s="124"/>
      <c r="M64" s="239"/>
      <c r="N64" s="124"/>
      <c r="O64" s="124"/>
      <c r="P64" s="124"/>
      <c r="Q64" s="239">
        <f t="shared" si="4"/>
        <v>1.8</v>
      </c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>
        <f t="shared" si="7"/>
        <v>114.3</v>
      </c>
      <c r="AK64" s="122">
        <v>10</v>
      </c>
      <c r="AM64" s="126"/>
      <c r="AN64" s="126"/>
    </row>
    <row r="65" spans="1:40" s="125" customFormat="1" ht="36" customHeight="1" x14ac:dyDescent="0.2">
      <c r="A65" s="122" t="s">
        <v>207</v>
      </c>
      <c r="B65" s="132" t="s">
        <v>442</v>
      </c>
      <c r="C65" s="122" t="s">
        <v>65</v>
      </c>
      <c r="D65" s="122">
        <f>Бюджет_Конт!$B$9</f>
        <v>15</v>
      </c>
      <c r="E65" s="122">
        <f>Бюджет_Конт!$B$20</f>
        <v>1</v>
      </c>
      <c r="F65" s="124"/>
      <c r="G65" s="124">
        <f t="shared" si="5"/>
        <v>0</v>
      </c>
      <c r="H65" s="124"/>
      <c r="I65" s="124">
        <f t="shared" si="6"/>
        <v>0</v>
      </c>
      <c r="J65" s="124"/>
      <c r="K65" s="124"/>
      <c r="L65" s="124"/>
      <c r="M65" s="239"/>
      <c r="N65" s="124"/>
      <c r="O65" s="124"/>
      <c r="P65" s="124"/>
      <c r="Q65" s="239">
        <f t="shared" si="4"/>
        <v>0</v>
      </c>
      <c r="R65" s="124"/>
      <c r="S65" s="124"/>
      <c r="T65" s="124">
        <f>1*(2/3)*D65</f>
        <v>10</v>
      </c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>
        <f t="shared" si="7"/>
        <v>10</v>
      </c>
      <c r="AK65" s="122">
        <v>10</v>
      </c>
      <c r="AM65" s="126"/>
      <c r="AN65" s="126"/>
    </row>
    <row r="66" spans="1:40" s="125" customFormat="1" ht="36" customHeight="1" x14ac:dyDescent="0.2">
      <c r="A66" s="122" t="s">
        <v>207</v>
      </c>
      <c r="B66" s="132" t="s">
        <v>442</v>
      </c>
      <c r="C66" s="122" t="s">
        <v>66</v>
      </c>
      <c r="D66" s="122">
        <f>Бюджет_Конт!$B$9</f>
        <v>15</v>
      </c>
      <c r="E66" s="122">
        <f>Бюджет_Конт!$B$20</f>
        <v>1</v>
      </c>
      <c r="F66" s="124"/>
      <c r="G66" s="124">
        <f>F66</f>
        <v>0</v>
      </c>
      <c r="H66" s="124"/>
      <c r="I66" s="124">
        <f>H66*E66</f>
        <v>0</v>
      </c>
      <c r="J66" s="124"/>
      <c r="K66" s="124"/>
      <c r="L66" s="124"/>
      <c r="M66" s="239"/>
      <c r="N66" s="124"/>
      <c r="O66" s="124"/>
      <c r="P66" s="124"/>
      <c r="Q66" s="239">
        <f>IF(K66&gt;0,0.05*G66,IF(M66&gt;0,0.05*G66+1*E66,0))</f>
        <v>0</v>
      </c>
      <c r="R66" s="124"/>
      <c r="S66" s="124"/>
      <c r="T66" s="124">
        <f>1*(2/3)*D66</f>
        <v>10</v>
      </c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>
        <f>SUM(G66,I66:AI66)</f>
        <v>10</v>
      </c>
      <c r="AK66" s="122">
        <v>10</v>
      </c>
      <c r="AM66" s="126"/>
      <c r="AN66" s="126"/>
    </row>
    <row r="67" spans="1:40" s="125" customFormat="1" ht="36" customHeight="1" x14ac:dyDescent="0.2">
      <c r="A67" s="122" t="s">
        <v>288</v>
      </c>
      <c r="B67" s="132" t="s">
        <v>235</v>
      </c>
      <c r="C67" s="122" t="s">
        <v>66</v>
      </c>
      <c r="D67" s="122">
        <f>Бюджет_Конт!$B$9</f>
        <v>15</v>
      </c>
      <c r="E67" s="122">
        <f>Бюджет_Конт!$B$20</f>
        <v>1</v>
      </c>
      <c r="F67" s="124"/>
      <c r="G67" s="124">
        <f>F67</f>
        <v>0</v>
      </c>
      <c r="H67" s="124"/>
      <c r="I67" s="124">
        <f>H67*E67</f>
        <v>0</v>
      </c>
      <c r="J67" s="124"/>
      <c r="K67" s="124"/>
      <c r="L67" s="124"/>
      <c r="M67" s="239"/>
      <c r="N67" s="124"/>
      <c r="O67" s="124"/>
      <c r="P67" s="124"/>
      <c r="Q67" s="239">
        <f>IF(K67&gt;0,0.05*G67,IF(M67&gt;0,0.05*G67+1*E67,0))</f>
        <v>0</v>
      </c>
      <c r="R67" s="124"/>
      <c r="S67" s="124"/>
      <c r="T67" s="124">
        <f>1*(2)*D67</f>
        <v>30</v>
      </c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>
        <f>SUM(G67,I67:AI67)</f>
        <v>30</v>
      </c>
      <c r="AK67" s="122">
        <v>10</v>
      </c>
      <c r="AM67" s="126"/>
      <c r="AN67" s="126"/>
    </row>
    <row r="68" spans="1:40" s="125" customFormat="1" ht="18" x14ac:dyDescent="0.2">
      <c r="A68" s="122" t="s">
        <v>543</v>
      </c>
      <c r="B68" s="132" t="s">
        <v>544</v>
      </c>
      <c r="C68" s="122" t="s">
        <v>68</v>
      </c>
      <c r="D68" s="122">
        <f>Бюджет_Конт!$B$10</f>
        <v>26</v>
      </c>
      <c r="E68" s="122">
        <f>Бюджет_Конт!$B$21</f>
        <v>1</v>
      </c>
      <c r="F68" s="124">
        <v>34</v>
      </c>
      <c r="G68" s="124">
        <f t="shared" ref="G68" si="10">F68</f>
        <v>34</v>
      </c>
      <c r="H68" s="124"/>
      <c r="I68" s="124">
        <f t="shared" ref="I68" si="11">H68*E68</f>
        <v>0</v>
      </c>
      <c r="J68" s="124">
        <f>50*ROUNDUP(D68/15,0)</f>
        <v>100</v>
      </c>
      <c r="K68" s="124">
        <f t="shared" ref="K68:K73" si="12">0.3*D68</f>
        <v>7.8</v>
      </c>
      <c r="L68" s="124"/>
      <c r="M68" s="239"/>
      <c r="N68" s="124"/>
      <c r="O68" s="124"/>
      <c r="P68" s="124"/>
      <c r="Q68" s="239">
        <f t="shared" ref="Q68" si="13">IF(K68&gt;0,0.05*G68,IF(M68&gt;0,0.05*G68+1*E68,0))</f>
        <v>1.7000000000000002</v>
      </c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>
        <f t="shared" ref="AJ68" si="14">SUM(G68,I68:AI68)</f>
        <v>143.5</v>
      </c>
      <c r="AK68" s="122">
        <v>10</v>
      </c>
      <c r="AM68" s="253"/>
      <c r="AN68" s="126"/>
    </row>
    <row r="69" spans="1:40" s="125" customFormat="1" ht="18" x14ac:dyDescent="0.2">
      <c r="A69" s="122" t="s">
        <v>316</v>
      </c>
      <c r="B69" s="132" t="s">
        <v>71</v>
      </c>
      <c r="C69" s="122" t="s">
        <v>68</v>
      </c>
      <c r="D69" s="122">
        <f>Бюджет_Конт!$B$10</f>
        <v>26</v>
      </c>
      <c r="E69" s="122">
        <f>Бюджет_Конт!$B$21</f>
        <v>1</v>
      </c>
      <c r="F69" s="124">
        <v>34</v>
      </c>
      <c r="G69" s="124">
        <f t="shared" si="5"/>
        <v>34</v>
      </c>
      <c r="H69" s="124"/>
      <c r="I69" s="124">
        <f t="shared" si="6"/>
        <v>0</v>
      </c>
      <c r="J69" s="124">
        <f>50*ROUNDUP(D69/15,0)</f>
        <v>100</v>
      </c>
      <c r="K69" s="124">
        <f t="shared" si="12"/>
        <v>7.8</v>
      </c>
      <c r="L69" s="124"/>
      <c r="M69" s="239"/>
      <c r="N69" s="124"/>
      <c r="O69" s="124"/>
      <c r="P69" s="124"/>
      <c r="Q69" s="239">
        <f t="shared" si="4"/>
        <v>1.7000000000000002</v>
      </c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>
        <f t="shared" si="7"/>
        <v>143.5</v>
      </c>
      <c r="AK69" s="122">
        <v>10</v>
      </c>
      <c r="AM69" s="253"/>
      <c r="AN69" s="126"/>
    </row>
    <row r="70" spans="1:40" s="125" customFormat="1" ht="18" x14ac:dyDescent="0.2">
      <c r="A70" s="122" t="s">
        <v>446</v>
      </c>
      <c r="B70" s="132" t="s">
        <v>445</v>
      </c>
      <c r="C70" s="122" t="s">
        <v>68</v>
      </c>
      <c r="D70" s="122">
        <f>Бюджет_Конт!$B$10</f>
        <v>26</v>
      </c>
      <c r="E70" s="122">
        <f>Бюджет_Конт!$B$21</f>
        <v>1</v>
      </c>
      <c r="F70" s="124">
        <v>34</v>
      </c>
      <c r="G70" s="124">
        <f>F70</f>
        <v>34</v>
      </c>
      <c r="H70" s="124"/>
      <c r="I70" s="124">
        <f>H70*E70</f>
        <v>0</v>
      </c>
      <c r="J70" s="124">
        <f>34*(ROUNDUP(D70/15,0))</f>
        <v>68</v>
      </c>
      <c r="K70" s="124">
        <f t="shared" si="12"/>
        <v>7.8</v>
      </c>
      <c r="L70" s="124"/>
      <c r="M70" s="239"/>
      <c r="N70" s="124"/>
      <c r="O70" s="124"/>
      <c r="P70" s="124"/>
      <c r="Q70" s="239">
        <f>IF(K70&gt;0,0.05*G70,IF(M70&gt;0,0.05*G70+1*E70,0))</f>
        <v>1.7000000000000002</v>
      </c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>
        <f>SUM(G70,I70:AI70)</f>
        <v>111.5</v>
      </c>
      <c r="AK70" s="122">
        <v>10</v>
      </c>
      <c r="AM70" s="126"/>
      <c r="AN70" s="126"/>
    </row>
    <row r="71" spans="1:40" s="125" customFormat="1" ht="36" x14ac:dyDescent="0.2">
      <c r="A71" s="122" t="s">
        <v>327</v>
      </c>
      <c r="B71" s="132" t="s">
        <v>447</v>
      </c>
      <c r="C71" s="122" t="s">
        <v>74</v>
      </c>
      <c r="D71" s="122">
        <f>Бюджет_Конт!$B$10</f>
        <v>26</v>
      </c>
      <c r="E71" s="122">
        <f>Бюджет_Конт!$B$21</f>
        <v>1</v>
      </c>
      <c r="F71" s="124">
        <v>22</v>
      </c>
      <c r="G71" s="124">
        <f t="shared" si="5"/>
        <v>22</v>
      </c>
      <c r="H71" s="124"/>
      <c r="I71" s="124">
        <f t="shared" si="6"/>
        <v>0</v>
      </c>
      <c r="J71" s="124">
        <f>22*(ROUNDUP(D71/15,0))</f>
        <v>44</v>
      </c>
      <c r="K71" s="124">
        <f t="shared" si="12"/>
        <v>7.8</v>
      </c>
      <c r="L71" s="124"/>
      <c r="M71" s="239"/>
      <c r="N71" s="124"/>
      <c r="O71" s="124"/>
      <c r="P71" s="124"/>
      <c r="Q71" s="239">
        <f t="shared" si="4"/>
        <v>1.1000000000000001</v>
      </c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>
        <f t="shared" si="7"/>
        <v>74.899999999999991</v>
      </c>
      <c r="AK71" s="122">
        <v>8</v>
      </c>
      <c r="AM71" s="126"/>
      <c r="AN71" s="126"/>
    </row>
    <row r="72" spans="1:40" s="125" customFormat="1" ht="18" x14ac:dyDescent="0.2">
      <c r="A72" s="122" t="s">
        <v>328</v>
      </c>
      <c r="B72" s="132" t="s">
        <v>448</v>
      </c>
      <c r="C72" s="122" t="s">
        <v>74</v>
      </c>
      <c r="D72" s="122">
        <f>Бюджет_Конт!$B$10</f>
        <v>26</v>
      </c>
      <c r="E72" s="122">
        <f>Бюджет_Конт!$B$21</f>
        <v>1</v>
      </c>
      <c r="F72" s="124">
        <v>24</v>
      </c>
      <c r="G72" s="124">
        <f t="shared" si="5"/>
        <v>24</v>
      </c>
      <c r="H72" s="124"/>
      <c r="I72" s="124">
        <f>H72*E72</f>
        <v>0</v>
      </c>
      <c r="J72" s="124"/>
      <c r="K72" s="124">
        <f t="shared" si="12"/>
        <v>7.8</v>
      </c>
      <c r="L72" s="124"/>
      <c r="M72" s="124"/>
      <c r="N72" s="124"/>
      <c r="O72" s="124"/>
      <c r="P72" s="124"/>
      <c r="Q72" s="239">
        <f t="shared" si="4"/>
        <v>1.2000000000000002</v>
      </c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>
        <f t="shared" si="7"/>
        <v>33</v>
      </c>
      <c r="AK72" s="122">
        <v>10</v>
      </c>
      <c r="AM72" s="126"/>
      <c r="AN72" s="126"/>
    </row>
    <row r="73" spans="1:40" s="125" customFormat="1" ht="18" x14ac:dyDescent="0.2">
      <c r="A73" s="122" t="s">
        <v>329</v>
      </c>
      <c r="B73" s="132" t="s">
        <v>449</v>
      </c>
      <c r="C73" s="122" t="s">
        <v>68</v>
      </c>
      <c r="D73" s="122">
        <f>Бюджет_Конт!$B$10</f>
        <v>26</v>
      </c>
      <c r="E73" s="122">
        <f>Бюджет_Конт!$B$21</f>
        <v>1</v>
      </c>
      <c r="F73" s="124">
        <v>16</v>
      </c>
      <c r="G73" s="124">
        <f t="shared" si="5"/>
        <v>16</v>
      </c>
      <c r="H73" s="124">
        <v>16</v>
      </c>
      <c r="I73" s="124">
        <f t="shared" si="6"/>
        <v>16</v>
      </c>
      <c r="J73" s="124"/>
      <c r="K73" s="124">
        <f t="shared" si="12"/>
        <v>7.8</v>
      </c>
      <c r="L73" s="124"/>
      <c r="M73" s="124"/>
      <c r="N73" s="124"/>
      <c r="O73" s="124"/>
      <c r="P73" s="124"/>
      <c r="Q73" s="239">
        <f t="shared" si="4"/>
        <v>0.8</v>
      </c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>
        <f t="shared" si="7"/>
        <v>40.599999999999994</v>
      </c>
      <c r="AK73" s="122">
        <v>10</v>
      </c>
      <c r="AM73" s="126"/>
      <c r="AN73" s="126"/>
    </row>
    <row r="74" spans="1:40" s="125" customFormat="1" ht="18" x14ac:dyDescent="0.2">
      <c r="A74" s="122" t="s">
        <v>199</v>
      </c>
      <c r="B74" s="132" t="s">
        <v>77</v>
      </c>
      <c r="C74" s="122" t="s">
        <v>68</v>
      </c>
      <c r="D74" s="122">
        <f>Бюджет_Конт!$B$10</f>
        <v>26</v>
      </c>
      <c r="E74" s="122">
        <f>Бюджет_Конт!$B$21</f>
        <v>1</v>
      </c>
      <c r="F74" s="124">
        <v>34</v>
      </c>
      <c r="G74" s="124">
        <f t="shared" si="5"/>
        <v>34</v>
      </c>
      <c r="H74" s="124">
        <v>16</v>
      </c>
      <c r="I74" s="124">
        <f t="shared" si="6"/>
        <v>16</v>
      </c>
      <c r="J74" s="124">
        <f>34*ROUNDUP(D74/15,0)</f>
        <v>68</v>
      </c>
      <c r="K74" s="124"/>
      <c r="L74" s="124"/>
      <c r="M74" s="124">
        <f>0.4*D74</f>
        <v>10.4</v>
      </c>
      <c r="N74" s="124"/>
      <c r="O74" s="124"/>
      <c r="P74" s="124"/>
      <c r="Q74" s="239">
        <f t="shared" si="4"/>
        <v>2.7</v>
      </c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>
        <f t="shared" si="7"/>
        <v>131.1</v>
      </c>
      <c r="AK74" s="122">
        <v>10</v>
      </c>
      <c r="AM74" s="126"/>
      <c r="AN74" s="126"/>
    </row>
    <row r="75" spans="1:40" s="125" customFormat="1" ht="18" x14ac:dyDescent="0.2">
      <c r="A75" s="122" t="s">
        <v>287</v>
      </c>
      <c r="B75" s="132" t="s">
        <v>450</v>
      </c>
      <c r="C75" s="122" t="s">
        <v>68</v>
      </c>
      <c r="D75" s="122">
        <f>Бюджет_Конт!$B$10</f>
        <v>26</v>
      </c>
      <c r="E75" s="122">
        <f>Бюджет_Конт!$B$21</f>
        <v>1</v>
      </c>
      <c r="F75" s="124">
        <v>34</v>
      </c>
      <c r="G75" s="124">
        <f>F75</f>
        <v>34</v>
      </c>
      <c r="H75" s="124">
        <v>34</v>
      </c>
      <c r="I75" s="124">
        <f>H75*E75</f>
        <v>34</v>
      </c>
      <c r="J75" s="124">
        <f>34*ROUNDUP(D75/15,0)</f>
        <v>68</v>
      </c>
      <c r="K75" s="124"/>
      <c r="L75" s="124"/>
      <c r="M75" s="124">
        <f>0.4*D75</f>
        <v>10.4</v>
      </c>
      <c r="N75" s="124"/>
      <c r="O75" s="124"/>
      <c r="P75" s="124"/>
      <c r="Q75" s="239">
        <f t="shared" si="4"/>
        <v>2.7</v>
      </c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>
        <f t="shared" ref="AJ75:AJ81" si="15">SUM(G75,I75:AI75)</f>
        <v>149.1</v>
      </c>
      <c r="AK75" s="122">
        <v>10</v>
      </c>
      <c r="AM75" s="126"/>
      <c r="AN75" s="126"/>
    </row>
    <row r="76" spans="1:40" s="125" customFormat="1" ht="18" x14ac:dyDescent="0.2">
      <c r="A76" s="122" t="s">
        <v>206</v>
      </c>
      <c r="B76" s="132" t="s">
        <v>69</v>
      </c>
      <c r="C76" s="122" t="s">
        <v>68</v>
      </c>
      <c r="D76" s="122">
        <f>Бюджет_Конт!$B$10</f>
        <v>26</v>
      </c>
      <c r="E76" s="122">
        <f>Бюджет_Конт!$B$21</f>
        <v>1</v>
      </c>
      <c r="F76" s="124">
        <v>50</v>
      </c>
      <c r="G76" s="124">
        <f>F76</f>
        <v>50</v>
      </c>
      <c r="H76" s="124">
        <v>16</v>
      </c>
      <c r="I76" s="124">
        <f>H76*E76</f>
        <v>16</v>
      </c>
      <c r="J76" s="124">
        <f>16*ROUNDUP(D76/15,0)</f>
        <v>32</v>
      </c>
      <c r="K76" s="124"/>
      <c r="L76" s="124"/>
      <c r="M76" s="124">
        <f>0.4*D76</f>
        <v>10.4</v>
      </c>
      <c r="N76" s="124"/>
      <c r="O76" s="124"/>
      <c r="P76" s="124"/>
      <c r="Q76" s="239">
        <f>IF(K76&gt;0,0.05*G76,IF(M76&gt;0,0.05*G76+1*E76,0))</f>
        <v>3.5</v>
      </c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>
        <f>SUM(G76,I76:AI76)</f>
        <v>111.9</v>
      </c>
      <c r="AK76" s="122">
        <v>10</v>
      </c>
      <c r="AM76" s="126"/>
      <c r="AN76" s="126"/>
    </row>
    <row r="77" spans="1:40" s="125" customFormat="1" ht="18" x14ac:dyDescent="0.2">
      <c r="A77" s="122" t="s">
        <v>307</v>
      </c>
      <c r="B77" s="132" t="s">
        <v>73</v>
      </c>
      <c r="C77" s="122" t="s">
        <v>74</v>
      </c>
      <c r="D77" s="122">
        <f>Бюджет_Конт!$B$10</f>
        <v>26</v>
      </c>
      <c r="E77" s="122">
        <f>Бюджет_Конт!$B$21</f>
        <v>1</v>
      </c>
      <c r="F77" s="124">
        <v>24</v>
      </c>
      <c r="G77" s="124">
        <f>F77</f>
        <v>24</v>
      </c>
      <c r="H77" s="124"/>
      <c r="I77" s="124">
        <f>H77*E77</f>
        <v>0</v>
      </c>
      <c r="J77" s="124">
        <f>24*ROUNDUP(D77/15,0)</f>
        <v>48</v>
      </c>
      <c r="K77" s="124"/>
      <c r="L77" s="124"/>
      <c r="M77" s="239">
        <f>0.4*D77</f>
        <v>10.4</v>
      </c>
      <c r="N77" s="124"/>
      <c r="O77" s="124"/>
      <c r="P77" s="124"/>
      <c r="Q77" s="239">
        <f t="shared" si="4"/>
        <v>2.2000000000000002</v>
      </c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>
        <f t="shared" si="15"/>
        <v>84.600000000000009</v>
      </c>
      <c r="AK77" s="122">
        <v>10</v>
      </c>
      <c r="AM77" s="126"/>
      <c r="AN77" s="126"/>
    </row>
    <row r="78" spans="1:40" s="125" customFormat="1" ht="18" x14ac:dyDescent="0.2">
      <c r="A78" s="122" t="s">
        <v>307</v>
      </c>
      <c r="B78" s="132" t="s">
        <v>76</v>
      </c>
      <c r="C78" s="122" t="s">
        <v>74</v>
      </c>
      <c r="D78" s="122">
        <f>Бюджет_Конт!$B$10</f>
        <v>26</v>
      </c>
      <c r="E78" s="122">
        <f>Бюджет_Конт!$B$21</f>
        <v>1</v>
      </c>
      <c r="F78" s="124">
        <v>12</v>
      </c>
      <c r="G78" s="124">
        <f>F78</f>
        <v>12</v>
      </c>
      <c r="H78" s="124">
        <v>12</v>
      </c>
      <c r="I78" s="124">
        <f>H78*E78</f>
        <v>12</v>
      </c>
      <c r="J78" s="124">
        <f>24*ROUNDUP(D78/15,0)</f>
        <v>48</v>
      </c>
      <c r="K78" s="124">
        <f>0.3*D78</f>
        <v>7.8</v>
      </c>
      <c r="L78" s="124"/>
      <c r="M78" s="239"/>
      <c r="N78" s="124"/>
      <c r="O78" s="124"/>
      <c r="P78" s="124"/>
      <c r="Q78" s="239">
        <f t="shared" si="4"/>
        <v>0.60000000000000009</v>
      </c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>
        <f t="shared" si="15"/>
        <v>80.399999999999991</v>
      </c>
      <c r="AK78" s="122" t="s">
        <v>185</v>
      </c>
      <c r="AL78" s="253" t="s">
        <v>491</v>
      </c>
      <c r="AM78" s="126"/>
    </row>
    <row r="79" spans="1:40" s="125" customFormat="1" ht="18" x14ac:dyDescent="0.2">
      <c r="A79" s="122" t="s">
        <v>453</v>
      </c>
      <c r="B79" s="131" t="s">
        <v>454</v>
      </c>
      <c r="C79" s="122" t="s">
        <v>74</v>
      </c>
      <c r="D79" s="122">
        <f>Бюджет_Конт!$B$10</f>
        <v>26</v>
      </c>
      <c r="E79" s="122">
        <f>Бюджет_Конт!$B$21</f>
        <v>1</v>
      </c>
      <c r="F79" s="111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239">
        <f t="shared" si="4"/>
        <v>0</v>
      </c>
      <c r="R79" s="124"/>
      <c r="S79" s="124"/>
      <c r="T79" s="124">
        <f>1*(5+1/3)*D79</f>
        <v>138.66666666666666</v>
      </c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>
        <f t="shared" si="15"/>
        <v>138.66666666666666</v>
      </c>
      <c r="AK79" s="122">
        <v>10</v>
      </c>
      <c r="AM79" s="126"/>
      <c r="AN79" s="126"/>
    </row>
    <row r="80" spans="1:40" s="125" customFormat="1" ht="18" x14ac:dyDescent="0.2">
      <c r="A80" s="122"/>
      <c r="B80" s="131" t="s">
        <v>171</v>
      </c>
      <c r="C80" s="122" t="s">
        <v>74</v>
      </c>
      <c r="D80" s="122">
        <f>Бюджет_Конт!$B$10</f>
        <v>26</v>
      </c>
      <c r="E80" s="122">
        <f>Бюджет_Конт!$B$21</f>
        <v>1</v>
      </c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239">
        <f t="shared" si="4"/>
        <v>0</v>
      </c>
      <c r="R80" s="124"/>
      <c r="S80" s="124"/>
      <c r="T80" s="124"/>
      <c r="U80" s="124"/>
      <c r="V80" s="124"/>
      <c r="W80" s="124">
        <f>16*D80</f>
        <v>416</v>
      </c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>
        <f t="shared" si="15"/>
        <v>416</v>
      </c>
      <c r="AK80" s="122">
        <v>10</v>
      </c>
      <c r="AM80" s="126"/>
      <c r="AN80" s="126"/>
    </row>
    <row r="81" spans="1:40" s="125" customFormat="1" ht="18" x14ac:dyDescent="0.2">
      <c r="A81" s="122"/>
      <c r="B81" s="131" t="s">
        <v>183</v>
      </c>
      <c r="C81" s="122" t="s">
        <v>74</v>
      </c>
      <c r="D81" s="122">
        <f>Бюджет_Конт!$B$10</f>
        <v>26</v>
      </c>
      <c r="E81" s="122">
        <f>Бюджет_Конт!$B$21</f>
        <v>1</v>
      </c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239">
        <f t="shared" si="4"/>
        <v>0</v>
      </c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>
        <f>0.5*7*D81</f>
        <v>91</v>
      </c>
      <c r="AC81" s="124"/>
      <c r="AD81" s="124"/>
      <c r="AE81" s="124"/>
      <c r="AF81" s="124"/>
      <c r="AG81" s="124"/>
      <c r="AH81" s="124"/>
      <c r="AI81" s="124"/>
      <c r="AJ81" s="124">
        <f t="shared" si="15"/>
        <v>91</v>
      </c>
      <c r="AK81" s="122">
        <v>10</v>
      </c>
      <c r="AM81" s="126"/>
      <c r="AN81" s="126"/>
    </row>
    <row r="82" spans="1:40" s="125" customFormat="1" ht="18" customHeight="1" x14ac:dyDescent="0.2">
      <c r="A82" s="122"/>
      <c r="B82" s="132"/>
      <c r="C82" s="122"/>
      <c r="D82" s="122"/>
      <c r="E82" s="122"/>
      <c r="F82" s="124"/>
      <c r="G82" s="124"/>
      <c r="H82" s="124"/>
      <c r="I82" s="124"/>
      <c r="J82" s="124"/>
      <c r="K82" s="361" t="s">
        <v>443</v>
      </c>
      <c r="L82" s="361"/>
      <c r="M82" s="361"/>
      <c r="N82" s="361"/>
      <c r="O82" s="361"/>
      <c r="P82" s="361"/>
      <c r="Q82" s="361"/>
      <c r="R82" s="361"/>
      <c r="S82" s="361"/>
      <c r="T82" s="361"/>
      <c r="U82" s="361"/>
      <c r="V82" s="361"/>
      <c r="W82" s="361"/>
      <c r="X82" s="361"/>
      <c r="Y82" s="361"/>
      <c r="Z82" s="361"/>
      <c r="AA82" s="361"/>
      <c r="AB82" s="361"/>
      <c r="AC82" s="124"/>
      <c r="AD82" s="124"/>
      <c r="AE82" s="124"/>
      <c r="AF82" s="124"/>
      <c r="AG82" s="124"/>
      <c r="AH82" s="124"/>
      <c r="AI82" s="124"/>
      <c r="AJ82" s="124">
        <f t="shared" si="7"/>
        <v>0</v>
      </c>
      <c r="AK82" s="122"/>
      <c r="AM82" s="126"/>
      <c r="AN82" s="126"/>
    </row>
    <row r="83" spans="1:40" s="125" customFormat="1" ht="18" x14ac:dyDescent="0.2">
      <c r="A83" s="122" t="s">
        <v>209</v>
      </c>
      <c r="B83" s="132" t="s">
        <v>455</v>
      </c>
      <c r="C83" s="122" t="s">
        <v>74</v>
      </c>
      <c r="D83" s="122">
        <f>Бюджет_Конт!$F$31</f>
        <v>15</v>
      </c>
      <c r="E83" s="122">
        <f>Бюджет_Конт!$B$21</f>
        <v>1</v>
      </c>
      <c r="F83" s="124">
        <v>24</v>
      </c>
      <c r="G83" s="124">
        <f>F83</f>
        <v>24</v>
      </c>
      <c r="H83" s="124">
        <v>24</v>
      </c>
      <c r="I83" s="124">
        <f>H83*E83</f>
        <v>24</v>
      </c>
      <c r="J83" s="124"/>
      <c r="K83" s="124">
        <f>0.3*D83</f>
        <v>4.5</v>
      </c>
      <c r="L83" s="124"/>
      <c r="M83" s="124"/>
      <c r="N83" s="124"/>
      <c r="O83" s="124"/>
      <c r="P83" s="124"/>
      <c r="Q83" s="239">
        <f>0.05*G83</f>
        <v>1.2000000000000002</v>
      </c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>
        <f>0*E83</f>
        <v>0</v>
      </c>
      <c r="AJ83" s="124">
        <f t="shared" si="7"/>
        <v>53.7</v>
      </c>
      <c r="AK83" s="122">
        <v>10</v>
      </c>
      <c r="AM83" s="126"/>
      <c r="AN83" s="126"/>
    </row>
    <row r="84" spans="1:40" s="125" customFormat="1" ht="18" x14ac:dyDescent="0.2">
      <c r="A84" s="122" t="s">
        <v>280</v>
      </c>
      <c r="B84" s="132" t="s">
        <v>456</v>
      </c>
      <c r="C84" s="122" t="s">
        <v>74</v>
      </c>
      <c r="D84" s="122">
        <f>Бюджет_Конт!$F$31</f>
        <v>15</v>
      </c>
      <c r="E84" s="122">
        <f>Бюджет_Конт!$B$21</f>
        <v>1</v>
      </c>
      <c r="F84" s="124">
        <v>12</v>
      </c>
      <c r="G84" s="124">
        <f>F84</f>
        <v>12</v>
      </c>
      <c r="H84" s="124"/>
      <c r="I84" s="124">
        <f>H84*E84</f>
        <v>0</v>
      </c>
      <c r="J84" s="124">
        <f>48*ROUNDUP(D84/15,0)</f>
        <v>48</v>
      </c>
      <c r="K84" s="124">
        <f>0.3*D84</f>
        <v>4.5</v>
      </c>
      <c r="L84" s="124"/>
      <c r="M84" s="124"/>
      <c r="N84" s="124"/>
      <c r="O84" s="124"/>
      <c r="P84" s="124"/>
      <c r="Q84" s="239">
        <f>0.05*G84</f>
        <v>0.60000000000000009</v>
      </c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>
        <f>0*E84</f>
        <v>0</v>
      </c>
      <c r="AJ84" s="124">
        <f t="shared" si="7"/>
        <v>65.099999999999994</v>
      </c>
      <c r="AK84" s="122">
        <v>10</v>
      </c>
      <c r="AM84" s="126"/>
      <c r="AN84" s="126"/>
    </row>
    <row r="85" spans="1:40" s="125" customFormat="1" ht="18" customHeight="1" x14ac:dyDescent="0.2">
      <c r="A85" s="122"/>
      <c r="B85" s="132"/>
      <c r="C85" s="122"/>
      <c r="D85" s="122"/>
      <c r="E85" s="122"/>
      <c r="F85" s="124"/>
      <c r="G85" s="124"/>
      <c r="H85" s="124"/>
      <c r="I85" s="124"/>
      <c r="J85" s="124"/>
      <c r="K85" s="361" t="s">
        <v>444</v>
      </c>
      <c r="L85" s="361"/>
      <c r="M85" s="361"/>
      <c r="N85" s="361"/>
      <c r="O85" s="361"/>
      <c r="P85" s="361"/>
      <c r="Q85" s="361"/>
      <c r="R85" s="361"/>
      <c r="S85" s="361"/>
      <c r="T85" s="361"/>
      <c r="U85" s="361"/>
      <c r="V85" s="361"/>
      <c r="W85" s="361"/>
      <c r="X85" s="361"/>
      <c r="Y85" s="361"/>
      <c r="Z85" s="361"/>
      <c r="AA85" s="361"/>
      <c r="AB85" s="361"/>
      <c r="AC85" s="124"/>
      <c r="AD85" s="124"/>
      <c r="AE85" s="124"/>
      <c r="AF85" s="124"/>
      <c r="AG85" s="124"/>
      <c r="AH85" s="124"/>
      <c r="AI85" s="124"/>
      <c r="AJ85" s="124">
        <f t="shared" si="7"/>
        <v>0</v>
      </c>
      <c r="AK85" s="122"/>
      <c r="AM85" s="126"/>
      <c r="AN85" s="126"/>
    </row>
    <row r="86" spans="1:40" s="125" customFormat="1" ht="18" x14ac:dyDescent="0.2">
      <c r="A86" s="122" t="s">
        <v>209</v>
      </c>
      <c r="B86" s="132" t="s">
        <v>451</v>
      </c>
      <c r="C86" s="122" t="s">
        <v>74</v>
      </c>
      <c r="D86" s="122">
        <f>Бюджет_Конт!$G$31</f>
        <v>11</v>
      </c>
      <c r="E86" s="122">
        <f>Бюджет_Конт!$B$21</f>
        <v>1</v>
      </c>
      <c r="F86" s="124">
        <v>12</v>
      </c>
      <c r="G86" s="124">
        <f>F86</f>
        <v>12</v>
      </c>
      <c r="H86" s="124"/>
      <c r="I86" s="124">
        <f>H86*E86</f>
        <v>0</v>
      </c>
      <c r="J86" s="124">
        <f>36*ROUNDUP(D86/15,0)</f>
        <v>36</v>
      </c>
      <c r="K86" s="124">
        <f>0.3*D86</f>
        <v>3.3</v>
      </c>
      <c r="L86" s="124"/>
      <c r="M86" s="124"/>
      <c r="N86" s="124"/>
      <c r="O86" s="124"/>
      <c r="P86" s="124"/>
      <c r="Q86" s="239">
        <f>0.05*G86</f>
        <v>0.60000000000000009</v>
      </c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>
        <f>0*E86</f>
        <v>0</v>
      </c>
      <c r="AJ86" s="124">
        <f t="shared" si="7"/>
        <v>51.9</v>
      </c>
      <c r="AK86" s="122">
        <v>10</v>
      </c>
      <c r="AM86" s="126"/>
      <c r="AN86" s="126"/>
    </row>
    <row r="87" spans="1:40" s="125" customFormat="1" ht="18" x14ac:dyDescent="0.2">
      <c r="A87" s="122" t="s">
        <v>280</v>
      </c>
      <c r="B87" s="132" t="s">
        <v>452</v>
      </c>
      <c r="C87" s="122" t="s">
        <v>74</v>
      </c>
      <c r="D87" s="122">
        <f>Бюджет_Конт!$G$31</f>
        <v>11</v>
      </c>
      <c r="E87" s="122">
        <f>Бюджет_Конт!$B$21</f>
        <v>1</v>
      </c>
      <c r="F87" s="124">
        <v>12</v>
      </c>
      <c r="G87" s="124">
        <f>F87</f>
        <v>12</v>
      </c>
      <c r="H87" s="124"/>
      <c r="I87" s="124">
        <f>H87*E87</f>
        <v>0</v>
      </c>
      <c r="J87" s="124">
        <f>48*ROUNDUP(D87/15,0)</f>
        <v>48</v>
      </c>
      <c r="K87" s="124">
        <f>0.3*D87</f>
        <v>3.3</v>
      </c>
      <c r="L87" s="124"/>
      <c r="M87" s="124"/>
      <c r="N87" s="124"/>
      <c r="O87" s="124"/>
      <c r="P87" s="124"/>
      <c r="Q87" s="239">
        <f>0.05*G87</f>
        <v>0.60000000000000009</v>
      </c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>
        <f>0*E87</f>
        <v>0</v>
      </c>
      <c r="AJ87" s="124">
        <f t="shared" si="7"/>
        <v>63.9</v>
      </c>
      <c r="AK87" s="122">
        <v>10</v>
      </c>
      <c r="AM87" s="126"/>
      <c r="AN87" s="126"/>
    </row>
    <row r="88" spans="1:40" s="125" customFormat="1" ht="18" x14ac:dyDescent="0.2">
      <c r="A88" s="122"/>
      <c r="B88" s="133" t="s">
        <v>228</v>
      </c>
      <c r="C88" s="134"/>
      <c r="D88" s="134"/>
      <c r="E88" s="134"/>
      <c r="F88" s="135">
        <f>SUM(F25:F87)</f>
        <v>1512</v>
      </c>
      <c r="G88" s="135">
        <f t="shared" ref="G88:AJ88" si="16">SUM(G25:G87)</f>
        <v>1512</v>
      </c>
      <c r="H88" s="135">
        <f t="shared" si="16"/>
        <v>1036</v>
      </c>
      <c r="I88" s="135">
        <f t="shared" si="16"/>
        <v>1036</v>
      </c>
      <c r="J88" s="135">
        <f t="shared" si="16"/>
        <v>1838</v>
      </c>
      <c r="K88" s="135">
        <f t="shared" si="16"/>
        <v>195.30000000000007</v>
      </c>
      <c r="L88" s="135">
        <f t="shared" si="16"/>
        <v>0</v>
      </c>
      <c r="M88" s="135">
        <f t="shared" si="16"/>
        <v>105.20000000000003</v>
      </c>
      <c r="N88" s="135">
        <f t="shared" si="16"/>
        <v>0</v>
      </c>
      <c r="O88" s="135">
        <f t="shared" si="16"/>
        <v>0</v>
      </c>
      <c r="P88" s="135">
        <f t="shared" si="16"/>
        <v>0</v>
      </c>
      <c r="Q88" s="135">
        <f t="shared" si="16"/>
        <v>89.600000000000009</v>
      </c>
      <c r="R88" s="135">
        <f t="shared" si="16"/>
        <v>0</v>
      </c>
      <c r="S88" s="135">
        <f t="shared" si="16"/>
        <v>36</v>
      </c>
      <c r="T88" s="135">
        <f t="shared" si="16"/>
        <v>188.66666666666666</v>
      </c>
      <c r="U88" s="135">
        <f t="shared" si="16"/>
        <v>45.900000000000006</v>
      </c>
      <c r="V88" s="135">
        <f t="shared" si="16"/>
        <v>0</v>
      </c>
      <c r="W88" s="135">
        <f t="shared" si="16"/>
        <v>416</v>
      </c>
      <c r="X88" s="135">
        <f t="shared" si="16"/>
        <v>0</v>
      </c>
      <c r="Y88" s="135">
        <f t="shared" si="16"/>
        <v>0</v>
      </c>
      <c r="Z88" s="135">
        <f t="shared" si="16"/>
        <v>0</v>
      </c>
      <c r="AA88" s="135">
        <f t="shared" si="16"/>
        <v>0</v>
      </c>
      <c r="AB88" s="135">
        <f t="shared" si="16"/>
        <v>91</v>
      </c>
      <c r="AC88" s="135">
        <f t="shared" si="16"/>
        <v>0</v>
      </c>
      <c r="AD88" s="135">
        <f t="shared" si="16"/>
        <v>0</v>
      </c>
      <c r="AE88" s="135">
        <f t="shared" si="16"/>
        <v>0</v>
      </c>
      <c r="AF88" s="135">
        <f t="shared" si="16"/>
        <v>0</v>
      </c>
      <c r="AG88" s="135">
        <f t="shared" si="16"/>
        <v>0</v>
      </c>
      <c r="AH88" s="135">
        <f t="shared" si="16"/>
        <v>0</v>
      </c>
      <c r="AI88" s="135">
        <f t="shared" si="16"/>
        <v>92</v>
      </c>
      <c r="AJ88" s="135">
        <f t="shared" si="16"/>
        <v>5645.6666666666661</v>
      </c>
      <c r="AK88" s="124"/>
      <c r="AL88" s="126">
        <f>AJ88-SUM(I88:AI88,G88)</f>
        <v>0</v>
      </c>
      <c r="AM88" s="126"/>
      <c r="AN88" s="126"/>
    </row>
    <row r="89" spans="1:40" s="125" customFormat="1" ht="18" x14ac:dyDescent="0.2">
      <c r="A89" s="122"/>
      <c r="B89" s="131"/>
      <c r="C89" s="122"/>
      <c r="D89" s="122"/>
      <c r="E89" s="122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>
        <f>SUM(G88,I88:AI88)-AJ88</f>
        <v>0</v>
      </c>
      <c r="AK89" s="122"/>
      <c r="AM89" s="126"/>
      <c r="AN89" s="126"/>
    </row>
    <row r="90" spans="1:40" s="125" customFormat="1" ht="18" x14ac:dyDescent="0.2">
      <c r="A90" s="122"/>
      <c r="B90" s="131"/>
      <c r="C90" s="122"/>
      <c r="D90" s="122"/>
      <c r="E90" s="122"/>
      <c r="F90" s="124"/>
      <c r="G90" s="124"/>
      <c r="H90" s="124"/>
      <c r="I90" s="124"/>
      <c r="J90" s="124"/>
      <c r="K90" s="265"/>
      <c r="L90" s="362" t="s">
        <v>79</v>
      </c>
      <c r="M90" s="362"/>
      <c r="N90" s="362"/>
      <c r="O90" s="362"/>
      <c r="P90" s="362"/>
      <c r="Q90" s="362"/>
      <c r="R90" s="362"/>
      <c r="S90" s="362"/>
      <c r="T90" s="362"/>
      <c r="U90" s="362"/>
      <c r="V90" s="362"/>
      <c r="W90" s="362"/>
      <c r="X90" s="362"/>
      <c r="Y90" s="362"/>
      <c r="Z90" s="362"/>
      <c r="AA90" s="362"/>
      <c r="AB90" s="265"/>
      <c r="AC90" s="124"/>
      <c r="AD90" s="124"/>
      <c r="AE90" s="124"/>
      <c r="AF90" s="124"/>
      <c r="AG90" s="124"/>
      <c r="AH90" s="124"/>
      <c r="AI90" s="124"/>
      <c r="AJ90" s="124"/>
      <c r="AK90" s="122"/>
      <c r="AM90" s="126"/>
      <c r="AN90" s="126"/>
    </row>
    <row r="91" spans="1:40" s="125" customFormat="1" ht="18" x14ac:dyDescent="0.2">
      <c r="A91" s="122"/>
      <c r="B91" s="131"/>
      <c r="C91" s="122"/>
      <c r="D91" s="122"/>
      <c r="E91" s="122"/>
      <c r="F91" s="124"/>
      <c r="G91" s="124"/>
      <c r="H91" s="124"/>
      <c r="I91" s="124"/>
      <c r="J91" s="124"/>
      <c r="K91" s="361" t="s">
        <v>549</v>
      </c>
      <c r="L91" s="361"/>
      <c r="M91" s="361"/>
      <c r="N91" s="361"/>
      <c r="O91" s="361"/>
      <c r="P91" s="361"/>
      <c r="Q91" s="361"/>
      <c r="R91" s="361"/>
      <c r="S91" s="361"/>
      <c r="T91" s="361"/>
      <c r="U91" s="361"/>
      <c r="V91" s="361"/>
      <c r="W91" s="361"/>
      <c r="X91" s="361"/>
      <c r="Y91" s="361"/>
      <c r="Z91" s="361"/>
      <c r="AA91" s="361"/>
      <c r="AB91" s="361"/>
      <c r="AC91" s="124"/>
      <c r="AD91" s="124"/>
      <c r="AE91" s="124"/>
      <c r="AF91" s="124"/>
      <c r="AG91" s="124"/>
      <c r="AH91" s="124"/>
      <c r="AI91" s="124"/>
      <c r="AJ91" s="124"/>
      <c r="AK91" s="122"/>
      <c r="AM91" s="126"/>
      <c r="AN91" s="126"/>
    </row>
    <row r="92" spans="1:40" s="125" customFormat="1" ht="18" x14ac:dyDescent="0.2">
      <c r="A92" s="122"/>
      <c r="B92" s="131"/>
      <c r="C92" s="122"/>
      <c r="D92" s="122"/>
      <c r="E92" s="122"/>
      <c r="F92" s="124"/>
      <c r="G92" s="124"/>
      <c r="H92" s="124"/>
      <c r="I92" s="124"/>
      <c r="J92" s="124"/>
      <c r="K92" s="361" t="s">
        <v>607</v>
      </c>
      <c r="L92" s="361"/>
      <c r="M92" s="361"/>
      <c r="N92" s="361"/>
      <c r="O92" s="361"/>
      <c r="P92" s="361"/>
      <c r="Q92" s="361"/>
      <c r="R92" s="361"/>
      <c r="S92" s="361"/>
      <c r="T92" s="361"/>
      <c r="U92" s="361"/>
      <c r="V92" s="361"/>
      <c r="W92" s="361"/>
      <c r="X92" s="361"/>
      <c r="Y92" s="361"/>
      <c r="Z92" s="361"/>
      <c r="AA92" s="361"/>
      <c r="AB92" s="361"/>
      <c r="AC92" s="124"/>
      <c r="AD92" s="124"/>
      <c r="AE92" s="124"/>
      <c r="AF92" s="124"/>
      <c r="AG92" s="124"/>
      <c r="AH92" s="124"/>
      <c r="AI92" s="124"/>
      <c r="AJ92" s="124"/>
      <c r="AK92" s="122"/>
      <c r="AM92" s="126"/>
      <c r="AN92" s="126"/>
    </row>
    <row r="93" spans="1:40" s="125" customFormat="1" ht="17.25" customHeight="1" x14ac:dyDescent="0.2">
      <c r="A93" s="122" t="s">
        <v>284</v>
      </c>
      <c r="B93" s="131" t="s">
        <v>487</v>
      </c>
      <c r="C93" s="122" t="s">
        <v>61</v>
      </c>
      <c r="D93" s="122">
        <f>Бюджет_Конт!$C$7</f>
        <v>23</v>
      </c>
      <c r="E93" s="122">
        <f>Бюджет_Конт!$C$18</f>
        <v>1</v>
      </c>
      <c r="F93" s="124"/>
      <c r="G93" s="124"/>
      <c r="H93" s="124">
        <v>34</v>
      </c>
      <c r="I93" s="124">
        <f>H93*E93</f>
        <v>34</v>
      </c>
      <c r="J93" s="124"/>
      <c r="K93" s="124">
        <f>0.3*D93</f>
        <v>6.8999999999999995</v>
      </c>
      <c r="L93" s="124"/>
      <c r="M93" s="239"/>
      <c r="N93" s="124"/>
      <c r="O93" s="124"/>
      <c r="P93" s="124"/>
      <c r="Q93" s="239">
        <f>IF(K93&gt;0,0.05*G93,IF(M93&gt;0,0.05*G93+1*E93,0))</f>
        <v>0</v>
      </c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>
        <f>SUM(G93,I93:AI93)</f>
        <v>40.9</v>
      </c>
      <c r="AK93" s="122">
        <v>12</v>
      </c>
      <c r="AM93" s="126"/>
      <c r="AN93" s="126"/>
    </row>
    <row r="94" spans="1:40" s="125" customFormat="1" ht="17.25" customHeight="1" x14ac:dyDescent="0.2">
      <c r="A94" s="122" t="s">
        <v>338</v>
      </c>
      <c r="B94" s="131" t="s">
        <v>413</v>
      </c>
      <c r="C94" s="122" t="s">
        <v>61</v>
      </c>
      <c r="D94" s="122">
        <f>Бюджет_Конт!$C$7</f>
        <v>23</v>
      </c>
      <c r="E94" s="122">
        <f>Бюджет_Конт!$C$18</f>
        <v>1</v>
      </c>
      <c r="F94" s="124"/>
      <c r="G94" s="124"/>
      <c r="H94" s="124">
        <v>16</v>
      </c>
      <c r="I94" s="124">
        <f>H94*E94</f>
        <v>16</v>
      </c>
      <c r="J94" s="124"/>
      <c r="K94" s="124">
        <f>0.3*D94</f>
        <v>6.8999999999999995</v>
      </c>
      <c r="L94" s="246"/>
      <c r="M94" s="121"/>
      <c r="N94" s="246"/>
      <c r="O94" s="246"/>
      <c r="P94" s="246"/>
      <c r="Q94" s="239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124"/>
      <c r="AD94" s="124"/>
      <c r="AE94" s="124"/>
      <c r="AF94" s="124"/>
      <c r="AG94" s="124"/>
      <c r="AH94" s="124"/>
      <c r="AI94" s="124"/>
      <c r="AJ94" s="124">
        <f>SUM(G94,I94:AI94)</f>
        <v>22.9</v>
      </c>
      <c r="AK94" s="122">
        <v>8</v>
      </c>
      <c r="AM94" s="126"/>
      <c r="AN94" s="126"/>
    </row>
    <row r="95" spans="1:40" s="125" customFormat="1" ht="17.25" customHeight="1" x14ac:dyDescent="0.2">
      <c r="A95" s="122" t="s">
        <v>188</v>
      </c>
      <c r="B95" s="322" t="s">
        <v>535</v>
      </c>
      <c r="C95" s="321" t="s">
        <v>61</v>
      </c>
      <c r="D95" s="321">
        <f>Бюджет_Конт!$C$7</f>
        <v>23</v>
      </c>
      <c r="E95" s="321">
        <f>Бюджет_Конт!$C$18</f>
        <v>1</v>
      </c>
      <c r="F95" s="319">
        <v>30</v>
      </c>
      <c r="G95" s="319"/>
      <c r="H95" s="319">
        <v>44</v>
      </c>
      <c r="I95" s="319">
        <f>H95*E95</f>
        <v>44</v>
      </c>
      <c r="J95" s="319">
        <f>30*ROUNDUP(D95/15,0)</f>
        <v>60</v>
      </c>
      <c r="K95" s="319"/>
      <c r="L95" s="323"/>
      <c r="M95" s="323">
        <f t="shared" ref="M95:M107" si="17">0.4*D95</f>
        <v>9.2000000000000011</v>
      </c>
      <c r="N95" s="323"/>
      <c r="O95" s="323"/>
      <c r="P95" s="323"/>
      <c r="Q95" s="323"/>
      <c r="R95" s="323"/>
      <c r="S95" s="323"/>
      <c r="T95" s="323"/>
      <c r="U95" s="239"/>
      <c r="V95" s="239"/>
      <c r="W95" s="239"/>
      <c r="X95" s="239"/>
      <c r="Y95" s="239"/>
      <c r="Z95" s="239"/>
      <c r="AA95" s="239"/>
      <c r="AB95" s="124"/>
      <c r="AC95" s="124"/>
      <c r="AD95" s="124"/>
      <c r="AE95" s="124"/>
      <c r="AF95" s="124"/>
      <c r="AG95" s="124"/>
      <c r="AH95" s="124"/>
      <c r="AI95" s="124">
        <v>4</v>
      </c>
      <c r="AJ95" s="124">
        <f t="shared" ref="AJ95:AJ168" si="18">SUM(G95,I95:AI95)</f>
        <v>117.2</v>
      </c>
      <c r="AK95" s="122">
        <v>7</v>
      </c>
      <c r="AM95" s="126"/>
      <c r="AN95" s="126"/>
    </row>
    <row r="96" spans="1:40" s="125" customFormat="1" ht="17.25" customHeight="1" x14ac:dyDescent="0.2">
      <c r="A96" s="122" t="s">
        <v>248</v>
      </c>
      <c r="B96" s="322" t="s">
        <v>434</v>
      </c>
      <c r="C96" s="321" t="s">
        <v>62</v>
      </c>
      <c r="D96" s="321">
        <f>Бюджет_Конт!$C$7</f>
        <v>23</v>
      </c>
      <c r="E96" s="321">
        <f>Бюджет_Конт!$C$18</f>
        <v>1</v>
      </c>
      <c r="F96" s="319">
        <v>40</v>
      </c>
      <c r="G96" s="319"/>
      <c r="H96" s="319">
        <v>40</v>
      </c>
      <c r="I96" s="319">
        <f>H96*E96</f>
        <v>40</v>
      </c>
      <c r="J96" s="319">
        <f>40*ROUNDUP(D96/15,0)</f>
        <v>80</v>
      </c>
      <c r="K96" s="319"/>
      <c r="L96" s="323"/>
      <c r="M96" s="323">
        <f>0.4*D96</f>
        <v>9.2000000000000011</v>
      </c>
      <c r="N96" s="323"/>
      <c r="O96" s="323"/>
      <c r="P96" s="323"/>
      <c r="Q96" s="323"/>
      <c r="R96" s="323"/>
      <c r="S96" s="323"/>
      <c r="T96" s="323"/>
      <c r="U96" s="239"/>
      <c r="V96" s="239"/>
      <c r="W96" s="239"/>
      <c r="X96" s="239"/>
      <c r="Y96" s="239"/>
      <c r="Z96" s="239"/>
      <c r="AA96" s="239"/>
      <c r="AB96" s="124"/>
      <c r="AC96" s="124"/>
      <c r="AD96" s="124"/>
      <c r="AE96" s="124"/>
      <c r="AF96" s="124"/>
      <c r="AG96" s="124"/>
      <c r="AH96" s="124"/>
      <c r="AI96" s="124"/>
      <c r="AJ96" s="124">
        <f>SUM(G96,I96:AI96)</f>
        <v>129.19999999999999</v>
      </c>
      <c r="AK96" s="122">
        <v>7</v>
      </c>
      <c r="AM96" s="126"/>
      <c r="AN96" s="126"/>
    </row>
    <row r="97" spans="1:40" s="125" customFormat="1" ht="17.25" customHeight="1" x14ac:dyDescent="0.2">
      <c r="A97" s="122" t="s">
        <v>220</v>
      </c>
      <c r="B97" s="322" t="s">
        <v>301</v>
      </c>
      <c r="C97" s="321" t="s">
        <v>61</v>
      </c>
      <c r="D97" s="321">
        <f>Бюджет_Конт!$C$7</f>
        <v>23</v>
      </c>
      <c r="E97" s="321">
        <f>Бюджет_Конт!$C$18</f>
        <v>1</v>
      </c>
      <c r="F97" s="319">
        <v>60</v>
      </c>
      <c r="G97" s="319">
        <f t="shared" ref="G97:G102" si="19">F97</f>
        <v>60</v>
      </c>
      <c r="H97" s="319">
        <v>60</v>
      </c>
      <c r="I97" s="319">
        <f t="shared" ref="I97:I144" si="20">H97*E97</f>
        <v>60</v>
      </c>
      <c r="J97" s="319"/>
      <c r="K97" s="319"/>
      <c r="L97" s="323"/>
      <c r="M97" s="323">
        <f t="shared" si="17"/>
        <v>9.2000000000000011</v>
      </c>
      <c r="N97" s="323"/>
      <c r="O97" s="323"/>
      <c r="P97" s="323"/>
      <c r="Q97" s="323">
        <f t="shared" ref="Q97:Q136" si="21">IF(K97&gt;0,0.05*G97,IF(M97&gt;0,0.05*G97+1*E97,0))</f>
        <v>4</v>
      </c>
      <c r="R97" s="323"/>
      <c r="S97" s="323"/>
      <c r="T97" s="323"/>
      <c r="U97" s="239">
        <f>0.3*D97</f>
        <v>6.8999999999999995</v>
      </c>
      <c r="V97" s="239"/>
      <c r="W97" s="239"/>
      <c r="X97" s="239"/>
      <c r="Y97" s="239"/>
      <c r="Z97" s="239"/>
      <c r="AA97" s="239"/>
      <c r="AB97" s="124"/>
      <c r="AC97" s="124"/>
      <c r="AD97" s="124"/>
      <c r="AE97" s="124"/>
      <c r="AF97" s="124"/>
      <c r="AG97" s="124"/>
      <c r="AH97" s="124"/>
      <c r="AI97" s="124">
        <f>12*E97</f>
        <v>12</v>
      </c>
      <c r="AJ97" s="124">
        <f t="shared" si="18"/>
        <v>152.1</v>
      </c>
      <c r="AK97" s="122">
        <v>12</v>
      </c>
      <c r="AM97" s="126"/>
      <c r="AN97" s="126"/>
    </row>
    <row r="98" spans="1:40" s="125" customFormat="1" ht="17.25" customHeight="1" x14ac:dyDescent="0.2">
      <c r="A98" s="122" t="s">
        <v>220</v>
      </c>
      <c r="B98" s="131" t="s">
        <v>301</v>
      </c>
      <c r="C98" s="122" t="s">
        <v>62</v>
      </c>
      <c r="D98" s="122">
        <f>Бюджет_Конт!$C$7</f>
        <v>23</v>
      </c>
      <c r="E98" s="122">
        <f>Бюджет_Конт!$C$18</f>
        <v>1</v>
      </c>
      <c r="F98" s="124">
        <v>60</v>
      </c>
      <c r="G98" s="124">
        <f t="shared" si="19"/>
        <v>60</v>
      </c>
      <c r="H98" s="124">
        <v>60</v>
      </c>
      <c r="I98" s="124">
        <f t="shared" si="20"/>
        <v>60</v>
      </c>
      <c r="J98" s="124"/>
      <c r="K98" s="124"/>
      <c r="L98" s="239"/>
      <c r="M98" s="239">
        <f t="shared" si="17"/>
        <v>9.2000000000000011</v>
      </c>
      <c r="N98" s="239"/>
      <c r="O98" s="239"/>
      <c r="P98" s="239"/>
      <c r="Q98" s="239">
        <f t="shared" si="21"/>
        <v>4</v>
      </c>
      <c r="R98" s="239"/>
      <c r="S98" s="239"/>
      <c r="T98" s="239"/>
      <c r="U98" s="239">
        <f>0.3*D98</f>
        <v>6.8999999999999995</v>
      </c>
      <c r="V98" s="239"/>
      <c r="W98" s="239"/>
      <c r="X98" s="239"/>
      <c r="Y98" s="239"/>
      <c r="Z98" s="239"/>
      <c r="AA98" s="239"/>
      <c r="AB98" s="124"/>
      <c r="AC98" s="124"/>
      <c r="AD98" s="124"/>
      <c r="AE98" s="124"/>
      <c r="AF98" s="124"/>
      <c r="AG98" s="124"/>
      <c r="AH98" s="124"/>
      <c r="AI98" s="124">
        <f>4*E98</f>
        <v>4</v>
      </c>
      <c r="AJ98" s="124">
        <f t="shared" si="18"/>
        <v>144.1</v>
      </c>
      <c r="AK98" s="122">
        <v>12</v>
      </c>
      <c r="AM98" s="126"/>
      <c r="AN98" s="126"/>
    </row>
    <row r="99" spans="1:40" s="125" customFormat="1" ht="17.25" customHeight="1" x14ac:dyDescent="0.2">
      <c r="A99" s="122" t="s">
        <v>249</v>
      </c>
      <c r="B99" s="131" t="s">
        <v>357</v>
      </c>
      <c r="C99" s="122" t="s">
        <v>61</v>
      </c>
      <c r="D99" s="122">
        <f>Бюджет_Конт!$C$7</f>
        <v>23</v>
      </c>
      <c r="E99" s="122">
        <f>Бюджет_Конт!$C$18</f>
        <v>1</v>
      </c>
      <c r="F99" s="124">
        <v>14</v>
      </c>
      <c r="G99" s="124">
        <f t="shared" si="19"/>
        <v>14</v>
      </c>
      <c r="H99" s="124">
        <v>30</v>
      </c>
      <c r="I99" s="124">
        <f t="shared" si="20"/>
        <v>30</v>
      </c>
      <c r="J99" s="124"/>
      <c r="K99" s="124"/>
      <c r="L99" s="239"/>
      <c r="M99" s="239">
        <f t="shared" si="17"/>
        <v>9.2000000000000011</v>
      </c>
      <c r="N99" s="239"/>
      <c r="O99" s="239"/>
      <c r="P99" s="239"/>
      <c r="Q99" s="239">
        <f t="shared" si="21"/>
        <v>1.7000000000000002</v>
      </c>
      <c r="R99" s="239"/>
      <c r="S99" s="239"/>
      <c r="T99" s="239"/>
      <c r="U99" s="239">
        <f>0.3*D99</f>
        <v>6.8999999999999995</v>
      </c>
      <c r="V99" s="239"/>
      <c r="W99" s="239"/>
      <c r="X99" s="239"/>
      <c r="Y99" s="239"/>
      <c r="Z99" s="239"/>
      <c r="AA99" s="239"/>
      <c r="AB99" s="124"/>
      <c r="AC99" s="124"/>
      <c r="AD99" s="124"/>
      <c r="AE99" s="124"/>
      <c r="AF99" s="124"/>
      <c r="AG99" s="124"/>
      <c r="AH99" s="124"/>
      <c r="AI99" s="124">
        <f>6*E99</f>
        <v>6</v>
      </c>
      <c r="AJ99" s="124">
        <f t="shared" si="18"/>
        <v>67.800000000000011</v>
      </c>
      <c r="AK99" s="122">
        <v>12</v>
      </c>
      <c r="AM99" s="126"/>
      <c r="AN99" s="126"/>
    </row>
    <row r="100" spans="1:40" s="125" customFormat="1" ht="17.25" customHeight="1" x14ac:dyDescent="0.2">
      <c r="A100" s="122" t="s">
        <v>250</v>
      </c>
      <c r="B100" s="131" t="s">
        <v>358</v>
      </c>
      <c r="C100" s="122" t="s">
        <v>62</v>
      </c>
      <c r="D100" s="122">
        <f>Бюджет_Конт!$C$7</f>
        <v>23</v>
      </c>
      <c r="E100" s="122">
        <f>Бюджет_Конт!$C$18</f>
        <v>1</v>
      </c>
      <c r="F100" s="124">
        <v>40</v>
      </c>
      <c r="G100" s="124">
        <f t="shared" si="19"/>
        <v>40</v>
      </c>
      <c r="H100" s="124">
        <v>40</v>
      </c>
      <c r="I100" s="124">
        <f t="shared" si="20"/>
        <v>40</v>
      </c>
      <c r="J100" s="124"/>
      <c r="K100" s="124"/>
      <c r="L100" s="239"/>
      <c r="M100" s="239">
        <f t="shared" si="17"/>
        <v>9.2000000000000011</v>
      </c>
      <c r="N100" s="239"/>
      <c r="O100" s="239"/>
      <c r="P100" s="239"/>
      <c r="Q100" s="239">
        <f t="shared" si="21"/>
        <v>3</v>
      </c>
      <c r="R100" s="239"/>
      <c r="S100" s="239"/>
      <c r="T100" s="239"/>
      <c r="U100" s="239">
        <f>0.3*D100</f>
        <v>6.8999999999999995</v>
      </c>
      <c r="V100" s="239"/>
      <c r="W100" s="239"/>
      <c r="X100" s="239"/>
      <c r="Y100" s="239"/>
      <c r="Z100" s="239"/>
      <c r="AA100" s="239"/>
      <c r="AB100" s="124"/>
      <c r="AC100" s="124"/>
      <c r="AD100" s="124"/>
      <c r="AE100" s="124"/>
      <c r="AF100" s="124"/>
      <c r="AG100" s="124"/>
      <c r="AH100" s="124"/>
      <c r="AI100" s="124">
        <f>4*E100</f>
        <v>4</v>
      </c>
      <c r="AJ100" s="124">
        <f t="shared" si="18"/>
        <v>103.10000000000001</v>
      </c>
      <c r="AK100" s="122">
        <v>12</v>
      </c>
      <c r="AM100" s="126"/>
      <c r="AN100" s="126"/>
    </row>
    <row r="101" spans="1:40" s="125" customFormat="1" ht="17.25" customHeight="1" x14ac:dyDescent="0.2">
      <c r="A101" s="122" t="s">
        <v>223</v>
      </c>
      <c r="B101" s="131" t="s">
        <v>545</v>
      </c>
      <c r="C101" s="122" t="s">
        <v>62</v>
      </c>
      <c r="D101" s="122">
        <f>Бюджет_Конт!$C$7</f>
        <v>23</v>
      </c>
      <c r="E101" s="122">
        <f>Бюджет_Конт!$C$18</f>
        <v>1</v>
      </c>
      <c r="F101" s="124">
        <v>20</v>
      </c>
      <c r="G101" s="124">
        <f t="shared" si="19"/>
        <v>20</v>
      </c>
      <c r="H101" s="124"/>
      <c r="I101" s="124">
        <f t="shared" si="20"/>
        <v>0</v>
      </c>
      <c r="J101" s="124">
        <f>60*ROUNDUP(D101/15,0)</f>
        <v>120</v>
      </c>
      <c r="K101" s="124">
        <f>0.3*D101</f>
        <v>6.8999999999999995</v>
      </c>
      <c r="L101" s="239"/>
      <c r="M101" s="239"/>
      <c r="N101" s="239"/>
      <c r="O101" s="239"/>
      <c r="P101" s="239"/>
      <c r="Q101" s="239">
        <f t="shared" si="21"/>
        <v>1</v>
      </c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124"/>
      <c r="AC101" s="124"/>
      <c r="AD101" s="124"/>
      <c r="AE101" s="124"/>
      <c r="AF101" s="124"/>
      <c r="AG101" s="124"/>
      <c r="AH101" s="124"/>
      <c r="AI101" s="124"/>
      <c r="AJ101" s="124">
        <f t="shared" si="18"/>
        <v>147.9</v>
      </c>
      <c r="AK101" s="122">
        <v>8</v>
      </c>
      <c r="AM101" s="126"/>
      <c r="AN101" s="126"/>
    </row>
    <row r="102" spans="1:40" s="125" customFormat="1" ht="17.25" customHeight="1" x14ac:dyDescent="0.2">
      <c r="A102" s="122" t="s">
        <v>253</v>
      </c>
      <c r="B102" s="131" t="s">
        <v>83</v>
      </c>
      <c r="C102" s="122" t="s">
        <v>62</v>
      </c>
      <c r="D102" s="122">
        <f>Бюджет_Конт!$C$7</f>
        <v>23</v>
      </c>
      <c r="E102" s="122">
        <f>Бюджет_Конт!$C$18</f>
        <v>1</v>
      </c>
      <c r="F102" s="124">
        <v>40</v>
      </c>
      <c r="G102" s="124">
        <f t="shared" si="19"/>
        <v>40</v>
      </c>
      <c r="H102" s="124">
        <v>20</v>
      </c>
      <c r="I102" s="124">
        <f t="shared" si="20"/>
        <v>20</v>
      </c>
      <c r="J102" s="124"/>
      <c r="K102" s="124">
        <f>0.3*D102</f>
        <v>6.8999999999999995</v>
      </c>
      <c r="L102" s="124"/>
      <c r="M102" s="239"/>
      <c r="N102" s="124"/>
      <c r="O102" s="124"/>
      <c r="P102" s="124"/>
      <c r="Q102" s="239">
        <f t="shared" si="21"/>
        <v>2</v>
      </c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>
        <f>4*E102</f>
        <v>4</v>
      </c>
      <c r="AJ102" s="124">
        <f t="shared" si="18"/>
        <v>72.900000000000006</v>
      </c>
      <c r="AK102" s="122">
        <v>8</v>
      </c>
      <c r="AM102" s="126"/>
      <c r="AN102" s="126"/>
    </row>
    <row r="103" spans="1:40" s="125" customFormat="1" ht="18" x14ac:dyDescent="0.2">
      <c r="A103" s="122"/>
      <c r="B103" s="131"/>
      <c r="C103" s="122"/>
      <c r="D103" s="122"/>
      <c r="E103" s="122"/>
      <c r="F103" s="124"/>
      <c r="G103" s="124"/>
      <c r="H103" s="124"/>
      <c r="I103" s="124"/>
      <c r="J103" s="124"/>
      <c r="K103" s="361" t="s">
        <v>80</v>
      </c>
      <c r="L103" s="361"/>
      <c r="M103" s="361"/>
      <c r="N103" s="361"/>
      <c r="O103" s="361"/>
      <c r="P103" s="361"/>
      <c r="Q103" s="361"/>
      <c r="R103" s="361"/>
      <c r="S103" s="361"/>
      <c r="T103" s="361"/>
      <c r="U103" s="361"/>
      <c r="V103" s="361"/>
      <c r="W103" s="361"/>
      <c r="X103" s="361"/>
      <c r="Y103" s="361"/>
      <c r="Z103" s="361"/>
      <c r="AA103" s="361"/>
      <c r="AB103" s="361"/>
      <c r="AC103" s="124"/>
      <c r="AD103" s="124"/>
      <c r="AE103" s="124"/>
      <c r="AF103" s="124"/>
      <c r="AG103" s="124"/>
      <c r="AH103" s="124"/>
      <c r="AI103" s="124"/>
      <c r="AJ103" s="124"/>
      <c r="AK103" s="122"/>
      <c r="AM103" s="126"/>
      <c r="AN103" s="126"/>
    </row>
    <row r="104" spans="1:40" s="125" customFormat="1" ht="18" x14ac:dyDescent="0.2">
      <c r="A104" s="122"/>
      <c r="B104" s="131"/>
      <c r="C104" s="122"/>
      <c r="D104" s="122"/>
      <c r="E104" s="122"/>
      <c r="F104" s="124"/>
      <c r="G104" s="124"/>
      <c r="H104" s="124"/>
      <c r="I104" s="124"/>
      <c r="J104" s="124"/>
      <c r="K104" s="361" t="s">
        <v>457</v>
      </c>
      <c r="L104" s="361"/>
      <c r="M104" s="361"/>
      <c r="N104" s="361"/>
      <c r="O104" s="361"/>
      <c r="P104" s="361"/>
      <c r="Q104" s="361"/>
      <c r="R104" s="361"/>
      <c r="S104" s="361"/>
      <c r="T104" s="361"/>
      <c r="U104" s="361"/>
      <c r="V104" s="361"/>
      <c r="W104" s="361"/>
      <c r="X104" s="361"/>
      <c r="Y104" s="361"/>
      <c r="Z104" s="361"/>
      <c r="AA104" s="361"/>
      <c r="AB104" s="361"/>
      <c r="AC104" s="124"/>
      <c r="AD104" s="124"/>
      <c r="AE104" s="124"/>
      <c r="AF104" s="124"/>
      <c r="AG104" s="124"/>
      <c r="AH104" s="124"/>
      <c r="AI104" s="124"/>
      <c r="AJ104" s="124"/>
      <c r="AK104" s="122"/>
      <c r="AM104" s="126"/>
      <c r="AN104" s="126"/>
    </row>
    <row r="105" spans="1:40" s="125" customFormat="1" ht="18" x14ac:dyDescent="0.2">
      <c r="A105" s="122"/>
      <c r="B105" s="131"/>
      <c r="C105" s="122"/>
      <c r="D105" s="122"/>
      <c r="E105" s="122"/>
      <c r="F105" s="124"/>
      <c r="G105" s="124"/>
      <c r="H105" s="124"/>
      <c r="I105" s="124"/>
      <c r="J105" s="124"/>
      <c r="K105" s="361" t="s">
        <v>82</v>
      </c>
      <c r="L105" s="361"/>
      <c r="M105" s="361"/>
      <c r="N105" s="361"/>
      <c r="O105" s="361"/>
      <c r="P105" s="361"/>
      <c r="Q105" s="361"/>
      <c r="R105" s="361"/>
      <c r="S105" s="361"/>
      <c r="T105" s="361"/>
      <c r="U105" s="361"/>
      <c r="V105" s="361"/>
      <c r="W105" s="361"/>
      <c r="X105" s="361"/>
      <c r="Y105" s="361"/>
      <c r="Z105" s="361"/>
      <c r="AA105" s="361"/>
      <c r="AB105" s="361"/>
      <c r="AC105" s="124"/>
      <c r="AD105" s="124"/>
      <c r="AE105" s="124"/>
      <c r="AF105" s="124"/>
      <c r="AG105" s="124"/>
      <c r="AH105" s="124"/>
      <c r="AI105" s="124"/>
      <c r="AJ105" s="124"/>
      <c r="AK105" s="122"/>
      <c r="AM105" s="126"/>
      <c r="AN105" s="126"/>
    </row>
    <row r="106" spans="1:40" s="125" customFormat="1" ht="17.25" customHeight="1" x14ac:dyDescent="0.2">
      <c r="A106" s="122" t="s">
        <v>201</v>
      </c>
      <c r="B106" s="131" t="s">
        <v>504</v>
      </c>
      <c r="C106" s="122" t="s">
        <v>63</v>
      </c>
      <c r="D106" s="122">
        <f>Бюджет_Конт!$C$8</f>
        <v>18</v>
      </c>
      <c r="E106" s="122">
        <f>Бюджет_Конт!$C$19</f>
        <v>1</v>
      </c>
      <c r="F106" s="124">
        <v>32</v>
      </c>
      <c r="G106" s="124"/>
      <c r="H106" s="124">
        <v>32</v>
      </c>
      <c r="I106" s="124"/>
      <c r="J106" s="124">
        <f>32*ROUNDUP(D106/12,0)</f>
        <v>64</v>
      </c>
      <c r="K106" s="124"/>
      <c r="L106" s="124"/>
      <c r="M106" s="239">
        <f t="shared" si="17"/>
        <v>7.2</v>
      </c>
      <c r="N106" s="124"/>
      <c r="O106" s="124"/>
      <c r="P106" s="124"/>
      <c r="Q106" s="323"/>
      <c r="R106" s="319"/>
      <c r="S106" s="319"/>
      <c r="T106" s="319"/>
      <c r="U106" s="319"/>
      <c r="V106" s="319"/>
      <c r="W106" s="319"/>
      <c r="X106" s="319"/>
      <c r="Y106" s="319"/>
      <c r="Z106" s="319"/>
      <c r="AA106" s="319"/>
      <c r="AB106" s="319"/>
      <c r="AC106" s="319"/>
      <c r="AD106" s="319"/>
      <c r="AE106" s="319"/>
      <c r="AF106" s="319"/>
      <c r="AG106" s="319"/>
      <c r="AH106" s="319"/>
      <c r="AI106" s="319">
        <f>6*E106</f>
        <v>6</v>
      </c>
      <c r="AJ106" s="319">
        <f t="shared" si="18"/>
        <v>77.2</v>
      </c>
      <c r="AK106" s="122" t="s">
        <v>166</v>
      </c>
      <c r="AL106" s="248" t="s">
        <v>345</v>
      </c>
      <c r="AM106" s="126"/>
      <c r="AN106" s="126"/>
    </row>
    <row r="107" spans="1:40" s="125" customFormat="1" ht="17.25" customHeight="1" x14ac:dyDescent="0.2">
      <c r="A107" s="122" t="s">
        <v>219</v>
      </c>
      <c r="B107" s="131" t="s">
        <v>537</v>
      </c>
      <c r="C107" s="122" t="s">
        <v>64</v>
      </c>
      <c r="D107" s="122">
        <f>Бюджет_Конт!$C$8</f>
        <v>18</v>
      </c>
      <c r="E107" s="122">
        <f>Бюджет_Конт!$C$19</f>
        <v>1</v>
      </c>
      <c r="F107" s="124">
        <v>40</v>
      </c>
      <c r="G107" s="124"/>
      <c r="H107" s="124">
        <v>60</v>
      </c>
      <c r="I107" s="124"/>
      <c r="J107" s="124">
        <f>40*ROUNDUP(D107/12,0)</f>
        <v>80</v>
      </c>
      <c r="K107" s="124"/>
      <c r="L107" s="124"/>
      <c r="M107" s="239">
        <f t="shared" si="17"/>
        <v>7.2</v>
      </c>
      <c r="N107" s="124"/>
      <c r="O107" s="124"/>
      <c r="P107" s="124"/>
      <c r="Q107" s="323"/>
      <c r="R107" s="319"/>
      <c r="S107" s="319"/>
      <c r="T107" s="319"/>
      <c r="U107" s="319"/>
      <c r="V107" s="319"/>
      <c r="W107" s="319"/>
      <c r="X107" s="319"/>
      <c r="Y107" s="319"/>
      <c r="Z107" s="319"/>
      <c r="AA107" s="319"/>
      <c r="AB107" s="319"/>
      <c r="AC107" s="319"/>
      <c r="AD107" s="319"/>
      <c r="AE107" s="319"/>
      <c r="AF107" s="319"/>
      <c r="AG107" s="319"/>
      <c r="AH107" s="319"/>
      <c r="AI107" s="319">
        <f>2*E107</f>
        <v>2</v>
      </c>
      <c r="AJ107" s="319">
        <f t="shared" si="18"/>
        <v>89.2</v>
      </c>
      <c r="AK107" s="122">
        <v>7</v>
      </c>
      <c r="AM107" s="126"/>
      <c r="AN107" s="126"/>
    </row>
    <row r="108" spans="1:40" s="125" customFormat="1" ht="17.25" customHeight="1" x14ac:dyDescent="0.2">
      <c r="A108" s="122" t="s">
        <v>211</v>
      </c>
      <c r="B108" s="131" t="s">
        <v>301</v>
      </c>
      <c r="C108" s="122" t="s">
        <v>63</v>
      </c>
      <c r="D108" s="122">
        <f>Бюджет_Конт!$C$8</f>
        <v>18</v>
      </c>
      <c r="E108" s="122">
        <f>Бюджет_Конт!$C$19</f>
        <v>1</v>
      </c>
      <c r="F108" s="124">
        <v>48</v>
      </c>
      <c r="G108" s="124">
        <f>F108</f>
        <v>48</v>
      </c>
      <c r="H108" s="468">
        <v>64</v>
      </c>
      <c r="I108" s="468">
        <f t="shared" si="20"/>
        <v>64</v>
      </c>
      <c r="J108" s="124"/>
      <c r="K108" s="124"/>
      <c r="L108" s="124"/>
      <c r="M108" s="239">
        <f>0.4*D108</f>
        <v>7.2</v>
      </c>
      <c r="N108" s="124"/>
      <c r="O108" s="124"/>
      <c r="P108" s="124"/>
      <c r="Q108" s="323">
        <f t="shared" si="21"/>
        <v>3.4000000000000004</v>
      </c>
      <c r="R108" s="319"/>
      <c r="S108" s="319"/>
      <c r="T108" s="319"/>
      <c r="U108" s="319">
        <f>0.3*D108</f>
        <v>5.3999999999999995</v>
      </c>
      <c r="V108" s="319"/>
      <c r="W108" s="319"/>
      <c r="X108" s="319"/>
      <c r="Y108" s="319"/>
      <c r="Z108" s="319"/>
      <c r="AA108" s="319"/>
      <c r="AB108" s="319"/>
      <c r="AC108" s="319"/>
      <c r="AD108" s="319"/>
      <c r="AE108" s="319"/>
      <c r="AF108" s="319"/>
      <c r="AG108" s="319"/>
      <c r="AH108" s="319"/>
      <c r="AI108" s="319">
        <f>12*E108</f>
        <v>12</v>
      </c>
      <c r="AJ108" s="319">
        <f t="shared" si="18"/>
        <v>140</v>
      </c>
      <c r="AK108" s="122">
        <v>12</v>
      </c>
      <c r="AM108" s="126"/>
      <c r="AN108" s="126"/>
    </row>
    <row r="109" spans="1:40" s="125" customFormat="1" ht="36" x14ac:dyDescent="0.2">
      <c r="A109" s="122" t="s">
        <v>221</v>
      </c>
      <c r="B109" s="131" t="s">
        <v>546</v>
      </c>
      <c r="C109" s="122" t="s">
        <v>63</v>
      </c>
      <c r="D109" s="122">
        <f>Бюджет_Конт!$C$8</f>
        <v>18</v>
      </c>
      <c r="E109" s="122">
        <f>Бюджет_Конт!$C$19</f>
        <v>1</v>
      </c>
      <c r="F109" s="124">
        <v>32</v>
      </c>
      <c r="G109" s="124"/>
      <c r="H109" s="124">
        <v>32</v>
      </c>
      <c r="I109" s="124"/>
      <c r="J109" s="124"/>
      <c r="K109" s="124"/>
      <c r="L109" s="124"/>
      <c r="M109" s="239">
        <f>0.4*D109</f>
        <v>7.2</v>
      </c>
      <c r="N109" s="124"/>
      <c r="O109" s="124"/>
      <c r="P109" s="124"/>
      <c r="Q109" s="323"/>
      <c r="R109" s="319"/>
      <c r="S109" s="319"/>
      <c r="T109" s="319"/>
      <c r="U109" s="319">
        <f>0.3*D109</f>
        <v>5.3999999999999995</v>
      </c>
      <c r="V109" s="319"/>
      <c r="W109" s="319"/>
      <c r="X109" s="319"/>
      <c r="Y109" s="319"/>
      <c r="Z109" s="319"/>
      <c r="AA109" s="319"/>
      <c r="AB109" s="319"/>
      <c r="AC109" s="319"/>
      <c r="AD109" s="319"/>
      <c r="AE109" s="319"/>
      <c r="AF109" s="319"/>
      <c r="AG109" s="319"/>
      <c r="AH109" s="319"/>
      <c r="AI109" s="319"/>
      <c r="AJ109" s="319">
        <f t="shared" si="18"/>
        <v>12.6</v>
      </c>
      <c r="AK109" s="122">
        <v>12</v>
      </c>
      <c r="AM109" s="126"/>
      <c r="AN109" s="126"/>
    </row>
    <row r="110" spans="1:40" s="125" customFormat="1" ht="18" x14ac:dyDescent="0.2">
      <c r="A110" s="122" t="s">
        <v>359</v>
      </c>
      <c r="B110" s="131" t="s">
        <v>458</v>
      </c>
      <c r="C110" s="122" t="s">
        <v>64</v>
      </c>
      <c r="D110" s="122">
        <f>Бюджет_Конт!$C$8</f>
        <v>18</v>
      </c>
      <c r="E110" s="122">
        <f>Бюджет_Конт!$C$19</f>
        <v>1</v>
      </c>
      <c r="F110" s="124">
        <v>40</v>
      </c>
      <c r="G110" s="124">
        <f>F110</f>
        <v>40</v>
      </c>
      <c r="H110" s="124">
        <v>60</v>
      </c>
      <c r="I110" s="124">
        <f t="shared" si="20"/>
        <v>60</v>
      </c>
      <c r="J110" s="124"/>
      <c r="K110" s="124"/>
      <c r="L110" s="124"/>
      <c r="M110" s="239">
        <f>0.4*D110</f>
        <v>7.2</v>
      </c>
      <c r="N110" s="124"/>
      <c r="O110" s="124"/>
      <c r="P110" s="124"/>
      <c r="Q110" s="323">
        <f t="shared" si="21"/>
        <v>3</v>
      </c>
      <c r="R110" s="319"/>
      <c r="S110" s="319"/>
      <c r="T110" s="319"/>
      <c r="U110" s="319">
        <f>0.3*D110</f>
        <v>5.3999999999999995</v>
      </c>
      <c r="V110" s="319"/>
      <c r="W110" s="319"/>
      <c r="X110" s="319"/>
      <c r="Y110" s="319"/>
      <c r="Z110" s="319"/>
      <c r="AA110" s="319"/>
      <c r="AB110" s="319"/>
      <c r="AC110" s="319"/>
      <c r="AD110" s="319"/>
      <c r="AE110" s="319"/>
      <c r="AF110" s="319"/>
      <c r="AG110" s="319"/>
      <c r="AH110" s="319"/>
      <c r="AI110" s="319"/>
      <c r="AJ110" s="319">
        <f t="shared" si="18"/>
        <v>115.60000000000001</v>
      </c>
      <c r="AK110" s="122">
        <v>12</v>
      </c>
      <c r="AM110" s="126"/>
      <c r="AN110" s="126"/>
    </row>
    <row r="111" spans="1:40" s="125" customFormat="1" ht="36" x14ac:dyDescent="0.2">
      <c r="A111" s="122" t="s">
        <v>243</v>
      </c>
      <c r="B111" s="131" t="s">
        <v>547</v>
      </c>
      <c r="C111" s="122" t="s">
        <v>63</v>
      </c>
      <c r="D111" s="122">
        <f>Бюджет_Конт!$C$8</f>
        <v>18</v>
      </c>
      <c r="E111" s="122">
        <f>Бюджет_Конт!$C$19</f>
        <v>1</v>
      </c>
      <c r="F111" s="124">
        <v>16</v>
      </c>
      <c r="G111" s="124">
        <f>F111</f>
        <v>16</v>
      </c>
      <c r="H111" s="124"/>
      <c r="I111" s="124">
        <f t="shared" ref="I111" si="22">H111*E111</f>
        <v>0</v>
      </c>
      <c r="J111" s="124">
        <f>54*ROUNDUP(D111/12,0)</f>
        <v>108</v>
      </c>
      <c r="K111" s="124">
        <f>0.3*D111</f>
        <v>5.3999999999999995</v>
      </c>
      <c r="L111" s="124"/>
      <c r="M111" s="239"/>
      <c r="N111" s="124"/>
      <c r="O111" s="124"/>
      <c r="P111" s="124"/>
      <c r="Q111" s="323">
        <f t="shared" ref="Q111" si="23">IF(K111&gt;0,0.05*G111,IF(M111&gt;0,0.05*G111+1*E111,0))</f>
        <v>0.8</v>
      </c>
      <c r="R111" s="319"/>
      <c r="S111" s="319"/>
      <c r="T111" s="319"/>
      <c r="U111" s="319"/>
      <c r="V111" s="319"/>
      <c r="W111" s="319"/>
      <c r="X111" s="319"/>
      <c r="Y111" s="319"/>
      <c r="Z111" s="319"/>
      <c r="AA111" s="319"/>
      <c r="AB111" s="319"/>
      <c r="AC111" s="319"/>
      <c r="AD111" s="319"/>
      <c r="AE111" s="319"/>
      <c r="AF111" s="319"/>
      <c r="AG111" s="319"/>
      <c r="AH111" s="319"/>
      <c r="AI111" s="319">
        <f>6*E111</f>
        <v>6</v>
      </c>
      <c r="AJ111" s="319">
        <f t="shared" ref="AJ111" si="24">SUM(G111,I111:AI111)</f>
        <v>136.20000000000002</v>
      </c>
      <c r="AK111" s="122">
        <v>8</v>
      </c>
      <c r="AM111" s="126"/>
      <c r="AN111" s="126"/>
    </row>
    <row r="112" spans="1:40" s="125" customFormat="1" ht="36" x14ac:dyDescent="0.2">
      <c r="A112" s="122" t="s">
        <v>244</v>
      </c>
      <c r="B112" s="131" t="s">
        <v>548</v>
      </c>
      <c r="C112" s="122" t="s">
        <v>64</v>
      </c>
      <c r="D112" s="122">
        <f>Бюджет_Конт!$C$8</f>
        <v>18</v>
      </c>
      <c r="E112" s="122">
        <f>Бюджет_Конт!$C$19</f>
        <v>1</v>
      </c>
      <c r="F112" s="124">
        <v>20</v>
      </c>
      <c r="G112" s="124">
        <f t="shared" ref="G112:G116" si="25">F112</f>
        <v>20</v>
      </c>
      <c r="H112" s="124"/>
      <c r="I112" s="124">
        <f t="shared" si="20"/>
        <v>0</v>
      </c>
      <c r="J112" s="124">
        <f>60*ROUNDUP(D112/12,0)</f>
        <v>120</v>
      </c>
      <c r="K112" s="124">
        <f>0.3*D112</f>
        <v>5.3999999999999995</v>
      </c>
      <c r="L112" s="124"/>
      <c r="M112" s="124"/>
      <c r="N112" s="124"/>
      <c r="O112" s="124"/>
      <c r="P112" s="124"/>
      <c r="Q112" s="323">
        <f t="shared" si="21"/>
        <v>1</v>
      </c>
      <c r="R112" s="319"/>
      <c r="S112" s="319"/>
      <c r="T112" s="319"/>
      <c r="U112" s="319"/>
      <c r="V112" s="319"/>
      <c r="W112" s="319"/>
      <c r="X112" s="319"/>
      <c r="Y112" s="319"/>
      <c r="Z112" s="319"/>
      <c r="AA112" s="319"/>
      <c r="AB112" s="319"/>
      <c r="AC112" s="319"/>
      <c r="AD112" s="319"/>
      <c r="AE112" s="319"/>
      <c r="AF112" s="319"/>
      <c r="AG112" s="319"/>
      <c r="AH112" s="319"/>
      <c r="AI112" s="319">
        <f>16*E112</f>
        <v>16</v>
      </c>
      <c r="AJ112" s="319">
        <f t="shared" si="18"/>
        <v>162.4</v>
      </c>
      <c r="AK112" s="122">
        <v>8</v>
      </c>
      <c r="AM112" s="126"/>
      <c r="AN112" s="126"/>
    </row>
    <row r="113" spans="1:40" s="125" customFormat="1" ht="18" x14ac:dyDescent="0.2">
      <c r="A113" s="122" t="s">
        <v>245</v>
      </c>
      <c r="B113" s="131" t="s">
        <v>505</v>
      </c>
      <c r="C113" s="122" t="s">
        <v>63</v>
      </c>
      <c r="D113" s="122">
        <f>Бюджет_Конт!$C$8</f>
        <v>18</v>
      </c>
      <c r="E113" s="122">
        <f>Бюджет_Конт!$C$19</f>
        <v>1</v>
      </c>
      <c r="F113" s="124">
        <v>32</v>
      </c>
      <c r="G113" s="124"/>
      <c r="H113" s="124">
        <v>32</v>
      </c>
      <c r="I113" s="124"/>
      <c r="J113" s="124"/>
      <c r="K113" s="124"/>
      <c r="L113" s="124"/>
      <c r="M113" s="239">
        <f>0.4*D113</f>
        <v>7.2</v>
      </c>
      <c r="N113" s="124"/>
      <c r="O113" s="124"/>
      <c r="P113" s="124"/>
      <c r="Q113" s="323"/>
      <c r="R113" s="319"/>
      <c r="S113" s="319"/>
      <c r="T113" s="319"/>
      <c r="U113" s="319">
        <f>0.3*D113</f>
        <v>5.3999999999999995</v>
      </c>
      <c r="V113" s="319"/>
      <c r="W113" s="319"/>
      <c r="X113" s="319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>
        <f t="shared" si="18"/>
        <v>12.6</v>
      </c>
      <c r="AK113" s="122">
        <v>12</v>
      </c>
      <c r="AM113" s="126"/>
      <c r="AN113" s="126"/>
    </row>
    <row r="114" spans="1:40" s="125" customFormat="1" ht="18" x14ac:dyDescent="0.2">
      <c r="A114" s="122" t="s">
        <v>296</v>
      </c>
      <c r="B114" s="131" t="s">
        <v>302</v>
      </c>
      <c r="C114" s="122" t="s">
        <v>64</v>
      </c>
      <c r="D114" s="122">
        <f>Бюджет_Конт!$C$8</f>
        <v>18</v>
      </c>
      <c r="E114" s="122">
        <f>Бюджет_Конт!$C$19</f>
        <v>1</v>
      </c>
      <c r="F114" s="124">
        <v>60</v>
      </c>
      <c r="G114" s="124">
        <f>F114</f>
        <v>60</v>
      </c>
      <c r="H114" s="124">
        <v>60</v>
      </c>
      <c r="I114" s="124">
        <f t="shared" si="20"/>
        <v>60</v>
      </c>
      <c r="J114" s="124"/>
      <c r="K114" s="124"/>
      <c r="L114" s="124"/>
      <c r="M114" s="239">
        <f>0.4*D114</f>
        <v>7.2</v>
      </c>
      <c r="N114" s="124"/>
      <c r="O114" s="124"/>
      <c r="P114" s="124"/>
      <c r="Q114" s="323">
        <f t="shared" si="21"/>
        <v>4</v>
      </c>
      <c r="R114" s="319"/>
      <c r="S114" s="319"/>
      <c r="T114" s="319"/>
      <c r="U114" s="319">
        <f>0.3*D114</f>
        <v>5.3999999999999995</v>
      </c>
      <c r="V114" s="319"/>
      <c r="W114" s="319"/>
      <c r="X114" s="319"/>
      <c r="Y114" s="319"/>
      <c r="Z114" s="319"/>
      <c r="AA114" s="319"/>
      <c r="AB114" s="319"/>
      <c r="AC114" s="319"/>
      <c r="AD114" s="319"/>
      <c r="AE114" s="319"/>
      <c r="AF114" s="319"/>
      <c r="AG114" s="319"/>
      <c r="AH114" s="319"/>
      <c r="AI114" s="319"/>
      <c r="AJ114" s="319">
        <f t="shared" si="18"/>
        <v>136.6</v>
      </c>
      <c r="AK114" s="122">
        <v>12</v>
      </c>
      <c r="AM114" s="126"/>
      <c r="AN114" s="126"/>
    </row>
    <row r="115" spans="1:40" s="125" customFormat="1" ht="54" x14ac:dyDescent="0.2">
      <c r="A115" s="122" t="s">
        <v>304</v>
      </c>
      <c r="B115" s="131" t="s">
        <v>303</v>
      </c>
      <c r="C115" s="122" t="s">
        <v>63</v>
      </c>
      <c r="D115" s="122">
        <f>Бюджет_Конт!$C$8</f>
        <v>18</v>
      </c>
      <c r="E115" s="122">
        <f>Бюджет_Конт!$C$19</f>
        <v>1</v>
      </c>
      <c r="F115" s="124"/>
      <c r="G115" s="124">
        <f t="shared" si="25"/>
        <v>0</v>
      </c>
      <c r="H115" s="124"/>
      <c r="I115" s="124">
        <f t="shared" si="20"/>
        <v>0</v>
      </c>
      <c r="J115" s="124"/>
      <c r="K115" s="124"/>
      <c r="L115" s="124"/>
      <c r="M115" s="239"/>
      <c r="N115" s="124"/>
      <c r="O115" s="124"/>
      <c r="P115" s="124"/>
      <c r="Q115" s="323">
        <f t="shared" si="21"/>
        <v>0</v>
      </c>
      <c r="R115" s="319"/>
      <c r="S115" s="319">
        <f>6*6*E115</f>
        <v>36</v>
      </c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  <c r="AD115" s="319"/>
      <c r="AE115" s="319"/>
      <c r="AF115" s="319"/>
      <c r="AG115" s="319"/>
      <c r="AH115" s="319"/>
      <c r="AI115" s="319"/>
      <c r="AJ115" s="319">
        <f t="shared" si="18"/>
        <v>36</v>
      </c>
      <c r="AK115" s="122">
        <v>8</v>
      </c>
      <c r="AM115" s="126"/>
      <c r="AN115" s="126"/>
    </row>
    <row r="116" spans="1:40" s="125" customFormat="1" ht="54" x14ac:dyDescent="0.2">
      <c r="A116" s="122" t="s">
        <v>299</v>
      </c>
      <c r="B116" s="131" t="s">
        <v>303</v>
      </c>
      <c r="C116" s="122" t="s">
        <v>64</v>
      </c>
      <c r="D116" s="122">
        <f>Бюджет_Конт!$C$8</f>
        <v>18</v>
      </c>
      <c r="E116" s="122">
        <f>Бюджет_Конт!$C$19</f>
        <v>1</v>
      </c>
      <c r="F116" s="124"/>
      <c r="G116" s="124">
        <f t="shared" si="25"/>
        <v>0</v>
      </c>
      <c r="H116" s="124"/>
      <c r="I116" s="124">
        <f t="shared" si="20"/>
        <v>0</v>
      </c>
      <c r="J116" s="124">
        <f>40*ROUNDUP(D116/12,0)</f>
        <v>80</v>
      </c>
      <c r="K116" s="124">
        <f>0.3*D116</f>
        <v>5.3999999999999995</v>
      </c>
      <c r="L116" s="124"/>
      <c r="M116" s="239"/>
      <c r="N116" s="124"/>
      <c r="O116" s="124"/>
      <c r="P116" s="124"/>
      <c r="Q116" s="323">
        <f t="shared" si="21"/>
        <v>0</v>
      </c>
      <c r="R116" s="319"/>
      <c r="S116" s="319"/>
      <c r="T116" s="319"/>
      <c r="U116" s="319"/>
      <c r="V116" s="319"/>
      <c r="W116" s="319"/>
      <c r="X116" s="319"/>
      <c r="Y116" s="319"/>
      <c r="Z116" s="319"/>
      <c r="AA116" s="319"/>
      <c r="AB116" s="319"/>
      <c r="AC116" s="319"/>
      <c r="AD116" s="319"/>
      <c r="AE116" s="319"/>
      <c r="AF116" s="319"/>
      <c r="AG116" s="319"/>
      <c r="AH116" s="319"/>
      <c r="AI116" s="319"/>
      <c r="AJ116" s="319">
        <f t="shared" si="18"/>
        <v>85.4</v>
      </c>
      <c r="AK116" s="122">
        <v>8</v>
      </c>
      <c r="AN116" s="126"/>
    </row>
    <row r="117" spans="1:40" s="125" customFormat="1" ht="18" x14ac:dyDescent="0.2">
      <c r="A117" s="122"/>
      <c r="B117" s="131"/>
      <c r="C117" s="122"/>
      <c r="D117" s="122"/>
      <c r="E117" s="122"/>
      <c r="F117" s="124"/>
      <c r="G117" s="124"/>
      <c r="H117" s="124"/>
      <c r="I117" s="124"/>
      <c r="J117" s="124"/>
      <c r="K117" s="361" t="s">
        <v>80</v>
      </c>
      <c r="L117" s="361"/>
      <c r="M117" s="361"/>
      <c r="N117" s="361"/>
      <c r="O117" s="361"/>
      <c r="P117" s="361"/>
      <c r="Q117" s="361"/>
      <c r="R117" s="361"/>
      <c r="S117" s="361"/>
      <c r="T117" s="361"/>
      <c r="U117" s="361"/>
      <c r="V117" s="361"/>
      <c r="W117" s="361"/>
      <c r="X117" s="361"/>
      <c r="Y117" s="361"/>
      <c r="Z117" s="361"/>
      <c r="AA117" s="361"/>
      <c r="AB117" s="361"/>
      <c r="AC117" s="124"/>
      <c r="AD117" s="124"/>
      <c r="AE117" s="124"/>
      <c r="AF117" s="124"/>
      <c r="AG117" s="124"/>
      <c r="AH117" s="124"/>
      <c r="AI117" s="124"/>
      <c r="AJ117" s="124"/>
      <c r="AK117" s="122"/>
      <c r="AM117" s="126"/>
      <c r="AN117" s="126"/>
    </row>
    <row r="118" spans="1:40" s="125" customFormat="1" ht="18" x14ac:dyDescent="0.2">
      <c r="A118" s="122"/>
      <c r="B118" s="131"/>
      <c r="C118" s="122"/>
      <c r="D118" s="122"/>
      <c r="E118" s="122"/>
      <c r="F118" s="124"/>
      <c r="G118" s="124"/>
      <c r="H118" s="124"/>
      <c r="I118" s="124"/>
      <c r="J118" s="124"/>
      <c r="K118" s="361" t="s">
        <v>81</v>
      </c>
      <c r="L118" s="361"/>
      <c r="M118" s="361"/>
      <c r="N118" s="361"/>
      <c r="O118" s="361"/>
      <c r="P118" s="361"/>
      <c r="Q118" s="361"/>
      <c r="R118" s="361"/>
      <c r="S118" s="361"/>
      <c r="T118" s="361"/>
      <c r="U118" s="361"/>
      <c r="V118" s="361"/>
      <c r="W118" s="361"/>
      <c r="X118" s="361"/>
      <c r="Y118" s="361"/>
      <c r="Z118" s="361"/>
      <c r="AA118" s="361"/>
      <c r="AB118" s="361"/>
      <c r="AC118" s="124"/>
      <c r="AD118" s="124"/>
      <c r="AE118" s="124"/>
      <c r="AF118" s="124"/>
      <c r="AG118" s="124"/>
      <c r="AH118" s="124"/>
      <c r="AI118" s="124"/>
      <c r="AJ118" s="124"/>
      <c r="AK118" s="122"/>
      <c r="AM118" s="126"/>
      <c r="AN118" s="126"/>
    </row>
    <row r="119" spans="1:40" s="125" customFormat="1" ht="18" x14ac:dyDescent="0.2">
      <c r="A119" s="122"/>
      <c r="B119" s="131"/>
      <c r="C119" s="122"/>
      <c r="D119" s="122"/>
      <c r="E119" s="122"/>
      <c r="F119" s="124"/>
      <c r="G119" s="124"/>
      <c r="H119" s="124"/>
      <c r="I119" s="124"/>
      <c r="J119" s="124"/>
      <c r="K119" s="361" t="s">
        <v>82</v>
      </c>
      <c r="L119" s="361"/>
      <c r="M119" s="361"/>
      <c r="N119" s="361"/>
      <c r="O119" s="361"/>
      <c r="P119" s="361"/>
      <c r="Q119" s="361"/>
      <c r="R119" s="361"/>
      <c r="S119" s="361"/>
      <c r="T119" s="361"/>
      <c r="U119" s="361"/>
      <c r="V119" s="361"/>
      <c r="W119" s="361"/>
      <c r="X119" s="361"/>
      <c r="Y119" s="361"/>
      <c r="Z119" s="361"/>
      <c r="AA119" s="361"/>
      <c r="AB119" s="361"/>
      <c r="AC119" s="124"/>
      <c r="AD119" s="124"/>
      <c r="AE119" s="124"/>
      <c r="AF119" s="124"/>
      <c r="AG119" s="124"/>
      <c r="AH119" s="124"/>
      <c r="AI119" s="124"/>
      <c r="AJ119" s="124"/>
      <c r="AK119" s="122"/>
      <c r="AM119" s="126"/>
      <c r="AN119" s="126"/>
    </row>
    <row r="120" spans="1:40" s="125" customFormat="1" ht="18" x14ac:dyDescent="0.2">
      <c r="A120" s="122" t="s">
        <v>248</v>
      </c>
      <c r="B120" s="322" t="s">
        <v>434</v>
      </c>
      <c r="C120" s="321" t="s">
        <v>65</v>
      </c>
      <c r="D120" s="321">
        <f>Бюджет_Конт!$C$9</f>
        <v>17</v>
      </c>
      <c r="E120" s="321">
        <f>Бюджет_Конт!$C$20</f>
        <v>1</v>
      </c>
      <c r="F120" s="319">
        <v>34</v>
      </c>
      <c r="G120" s="319"/>
      <c r="H120" s="319">
        <v>50</v>
      </c>
      <c r="I120" s="319">
        <f t="shared" si="20"/>
        <v>50</v>
      </c>
      <c r="J120" s="319">
        <f>50*ROUNDUP(D120/15,0)</f>
        <v>100</v>
      </c>
      <c r="K120" s="319"/>
      <c r="L120" s="319"/>
      <c r="M120" s="323">
        <f>0.4*D120</f>
        <v>6.8000000000000007</v>
      </c>
      <c r="N120" s="319"/>
      <c r="O120" s="319"/>
      <c r="P120" s="319"/>
      <c r="Q120" s="323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4"/>
      <c r="AJ120" s="124">
        <f>SUM(G120,I120:AI120)</f>
        <v>156.80000000000001</v>
      </c>
      <c r="AK120" s="136">
        <v>7</v>
      </c>
      <c r="AM120" s="253"/>
      <c r="AN120" s="126"/>
    </row>
    <row r="121" spans="1:40" s="125" customFormat="1" ht="18" x14ac:dyDescent="0.2">
      <c r="A121" s="122" t="s">
        <v>350</v>
      </c>
      <c r="B121" s="324" t="s">
        <v>439</v>
      </c>
      <c r="C121" s="321" t="s">
        <v>66</v>
      </c>
      <c r="D121" s="321">
        <f>Бюджет_Конт!$C$9</f>
        <v>17</v>
      </c>
      <c r="E121" s="321">
        <f>Бюджет_Конт!$C$20</f>
        <v>1</v>
      </c>
      <c r="F121" s="319">
        <v>36</v>
      </c>
      <c r="G121" s="319"/>
      <c r="H121" s="319">
        <v>54</v>
      </c>
      <c r="I121" s="319">
        <f t="shared" si="20"/>
        <v>54</v>
      </c>
      <c r="J121" s="319">
        <f>54*ROUNDUP(D121/12,0)</f>
        <v>108</v>
      </c>
      <c r="K121" s="319"/>
      <c r="L121" s="319"/>
      <c r="M121" s="323">
        <f>0.4*D121</f>
        <v>6.8000000000000007</v>
      </c>
      <c r="N121" s="319"/>
      <c r="O121" s="319"/>
      <c r="P121" s="319"/>
      <c r="Q121" s="323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>
        <f>18*E121</f>
        <v>18</v>
      </c>
      <c r="AJ121" s="124">
        <f t="shared" si="18"/>
        <v>186.8</v>
      </c>
      <c r="AK121" s="122">
        <v>7</v>
      </c>
      <c r="AM121" s="126"/>
      <c r="AN121" s="126"/>
    </row>
    <row r="122" spans="1:40" s="125" customFormat="1" ht="18" x14ac:dyDescent="0.2">
      <c r="A122" s="122" t="s">
        <v>360</v>
      </c>
      <c r="B122" s="324" t="s">
        <v>361</v>
      </c>
      <c r="C122" s="321" t="s">
        <v>65</v>
      </c>
      <c r="D122" s="321">
        <f>Бюджет_Конт!$C$9</f>
        <v>17</v>
      </c>
      <c r="E122" s="321">
        <f>Бюджет_Конт!$C$20</f>
        <v>1</v>
      </c>
      <c r="F122" s="319">
        <v>50</v>
      </c>
      <c r="G122" s="319">
        <f t="shared" ref="G122:G125" si="26">F122</f>
        <v>50</v>
      </c>
      <c r="H122" s="319">
        <v>50</v>
      </c>
      <c r="I122" s="319">
        <f t="shared" si="20"/>
        <v>50</v>
      </c>
      <c r="J122" s="319"/>
      <c r="K122" s="319"/>
      <c r="L122" s="319"/>
      <c r="M122" s="323">
        <f>0.4*D122</f>
        <v>6.8000000000000007</v>
      </c>
      <c r="N122" s="319"/>
      <c r="O122" s="319"/>
      <c r="P122" s="319"/>
      <c r="Q122" s="323">
        <f t="shared" si="21"/>
        <v>3.5</v>
      </c>
      <c r="R122" s="124"/>
      <c r="S122" s="124"/>
      <c r="T122" s="124"/>
      <c r="U122" s="124">
        <f>0.3*D122</f>
        <v>5.0999999999999996</v>
      </c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  <c r="AJ122" s="124">
        <f t="shared" si="18"/>
        <v>115.39999999999999</v>
      </c>
      <c r="AK122" s="122">
        <v>12</v>
      </c>
      <c r="AM122" s="126"/>
      <c r="AN122" s="126"/>
    </row>
    <row r="123" spans="1:40" s="125" customFormat="1" ht="18" x14ac:dyDescent="0.2">
      <c r="A123" s="122" t="s">
        <v>312</v>
      </c>
      <c r="B123" s="324" t="s">
        <v>362</v>
      </c>
      <c r="C123" s="321" t="s">
        <v>65</v>
      </c>
      <c r="D123" s="321">
        <f>Бюджет_Конт!$C$9</f>
        <v>17</v>
      </c>
      <c r="E123" s="321">
        <f>Бюджет_Конт!$C$20</f>
        <v>1</v>
      </c>
      <c r="F123" s="319">
        <v>50</v>
      </c>
      <c r="G123" s="319">
        <f t="shared" si="26"/>
        <v>50</v>
      </c>
      <c r="H123" s="319">
        <v>50</v>
      </c>
      <c r="I123" s="319">
        <f t="shared" si="20"/>
        <v>50</v>
      </c>
      <c r="J123" s="319"/>
      <c r="K123" s="319"/>
      <c r="L123" s="319"/>
      <c r="M123" s="323">
        <f>0.4*D123</f>
        <v>6.8000000000000007</v>
      </c>
      <c r="N123" s="319"/>
      <c r="O123" s="319"/>
      <c r="P123" s="319"/>
      <c r="Q123" s="323">
        <f t="shared" si="21"/>
        <v>3.5</v>
      </c>
      <c r="R123" s="124"/>
      <c r="S123" s="124"/>
      <c r="T123" s="124"/>
      <c r="U123" s="124">
        <f>0.3*D123</f>
        <v>5.0999999999999996</v>
      </c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4">
        <f>4*E123</f>
        <v>4</v>
      </c>
      <c r="AJ123" s="124">
        <f t="shared" si="18"/>
        <v>119.39999999999999</v>
      </c>
      <c r="AK123" s="122">
        <v>12</v>
      </c>
      <c r="AM123" s="126"/>
      <c r="AN123" s="126"/>
    </row>
    <row r="124" spans="1:40" s="125" customFormat="1" ht="18" x14ac:dyDescent="0.2">
      <c r="A124" s="122" t="s">
        <v>313</v>
      </c>
      <c r="B124" s="324" t="s">
        <v>352</v>
      </c>
      <c r="C124" s="321" t="s">
        <v>66</v>
      </c>
      <c r="D124" s="321">
        <f>Бюджет_Конт!$C$9</f>
        <v>17</v>
      </c>
      <c r="E124" s="321">
        <f>Бюджет_Конт!$C$20</f>
        <v>1</v>
      </c>
      <c r="F124" s="319">
        <v>54</v>
      </c>
      <c r="G124" s="319">
        <f t="shared" si="26"/>
        <v>54</v>
      </c>
      <c r="H124" s="319">
        <v>54</v>
      </c>
      <c r="I124" s="319">
        <f t="shared" si="20"/>
        <v>54</v>
      </c>
      <c r="J124" s="319"/>
      <c r="K124" s="319"/>
      <c r="L124" s="319"/>
      <c r="M124" s="323">
        <f>0.4*D124</f>
        <v>6.8000000000000007</v>
      </c>
      <c r="N124" s="319"/>
      <c r="O124" s="319"/>
      <c r="P124" s="319"/>
      <c r="Q124" s="323">
        <f t="shared" si="21"/>
        <v>3.7</v>
      </c>
      <c r="R124" s="124"/>
      <c r="S124" s="124"/>
      <c r="T124" s="124"/>
      <c r="U124" s="124">
        <f>0.3*D124</f>
        <v>5.0999999999999996</v>
      </c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  <c r="AG124" s="124"/>
      <c r="AH124" s="124"/>
      <c r="AI124" s="124">
        <f>18*E124</f>
        <v>18</v>
      </c>
      <c r="AJ124" s="124">
        <f t="shared" si="18"/>
        <v>141.6</v>
      </c>
      <c r="AK124" s="122">
        <v>12</v>
      </c>
      <c r="AM124" s="126"/>
      <c r="AN124" s="126"/>
    </row>
    <row r="125" spans="1:40" s="125" customFormat="1" ht="36" x14ac:dyDescent="0.2">
      <c r="A125" s="122" t="s">
        <v>366</v>
      </c>
      <c r="B125" s="322" t="s">
        <v>608</v>
      </c>
      <c r="C125" s="321" t="s">
        <v>66</v>
      </c>
      <c r="D125" s="321">
        <f>Бюджет_Конт!$B$30+Бюджет_Конт!$C$30</f>
        <v>11</v>
      </c>
      <c r="E125" s="321">
        <f>Бюджет_Конт!$C$20</f>
        <v>1</v>
      </c>
      <c r="F125" s="319"/>
      <c r="G125" s="319">
        <f t="shared" si="26"/>
        <v>0</v>
      </c>
      <c r="H125" s="319"/>
      <c r="I125" s="319">
        <f t="shared" si="20"/>
        <v>0</v>
      </c>
      <c r="J125" s="319">
        <f>54*ROUNDUP(D125/15,0)</f>
        <v>54</v>
      </c>
      <c r="K125" s="319">
        <f>0.3*D125</f>
        <v>3.3</v>
      </c>
      <c r="L125" s="319"/>
      <c r="M125" s="323"/>
      <c r="N125" s="319"/>
      <c r="O125" s="319"/>
      <c r="P125" s="319"/>
      <c r="Q125" s="323">
        <f t="shared" si="21"/>
        <v>0</v>
      </c>
      <c r="R125" s="124"/>
      <c r="S125" s="124"/>
      <c r="T125" s="124"/>
      <c r="U125" s="137"/>
      <c r="V125" s="137"/>
      <c r="W125" s="137"/>
      <c r="X125" s="137"/>
      <c r="Y125" s="137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>
        <f t="shared" si="18"/>
        <v>57.3</v>
      </c>
      <c r="AK125" s="122">
        <v>8</v>
      </c>
      <c r="AM125" s="126"/>
      <c r="AN125" s="126"/>
    </row>
    <row r="126" spans="1:40" s="125" customFormat="1" ht="17.25" customHeight="1" x14ac:dyDescent="0.2">
      <c r="A126" s="122" t="s">
        <v>199</v>
      </c>
      <c r="B126" s="322" t="s">
        <v>609</v>
      </c>
      <c r="C126" s="321" t="s">
        <v>66</v>
      </c>
      <c r="D126" s="321">
        <f>Бюджет_Конт!$B$30+Бюджет_Конт!$C$30</f>
        <v>11</v>
      </c>
      <c r="E126" s="321">
        <f>Бюджет_Конт!$C$20</f>
        <v>1</v>
      </c>
      <c r="F126" s="319">
        <v>18</v>
      </c>
      <c r="G126" s="319">
        <f>F126</f>
        <v>18</v>
      </c>
      <c r="H126" s="319">
        <v>18</v>
      </c>
      <c r="I126" s="319">
        <f>H126*E126</f>
        <v>18</v>
      </c>
      <c r="J126" s="319"/>
      <c r="K126" s="319">
        <f>0.3*D126</f>
        <v>3.3</v>
      </c>
      <c r="L126" s="319"/>
      <c r="M126" s="323"/>
      <c r="N126" s="319"/>
      <c r="O126" s="319"/>
      <c r="P126" s="319"/>
      <c r="Q126" s="323">
        <f>IF(K126&gt;0,0.05*G126,IF(M126&gt;0,0.05*G126+1*E126,0))</f>
        <v>0.9</v>
      </c>
      <c r="R126" s="124"/>
      <c r="S126" s="124"/>
      <c r="T126" s="124"/>
      <c r="U126" s="137"/>
      <c r="V126" s="137"/>
      <c r="W126" s="137"/>
      <c r="X126" s="137"/>
      <c r="Y126" s="137"/>
      <c r="Z126" s="124"/>
      <c r="AA126" s="124"/>
      <c r="AB126" s="124"/>
      <c r="AC126" s="124"/>
      <c r="AD126" s="124"/>
      <c r="AE126" s="124"/>
      <c r="AF126" s="124"/>
      <c r="AG126" s="124"/>
      <c r="AH126" s="124"/>
      <c r="AI126" s="124"/>
      <c r="AJ126" s="124">
        <f>SUM(G126,I126:AI126)</f>
        <v>40.199999999999996</v>
      </c>
      <c r="AK126" s="122">
        <v>8</v>
      </c>
      <c r="AM126" s="126"/>
      <c r="AN126" s="126"/>
    </row>
    <row r="127" spans="1:40" s="125" customFormat="1" ht="18" x14ac:dyDescent="0.2">
      <c r="A127" s="122" t="s">
        <v>206</v>
      </c>
      <c r="B127" s="322" t="s">
        <v>610</v>
      </c>
      <c r="C127" s="321" t="s">
        <v>66</v>
      </c>
      <c r="D127" s="321">
        <f>Бюджет_Конт!$B$30+Бюджет_Конт!$C$30</f>
        <v>11</v>
      </c>
      <c r="E127" s="321">
        <f>Бюджет_Конт!$C$20</f>
        <v>1</v>
      </c>
      <c r="F127" s="319">
        <v>18</v>
      </c>
      <c r="G127" s="319">
        <f>F127</f>
        <v>18</v>
      </c>
      <c r="H127" s="319"/>
      <c r="I127" s="319"/>
      <c r="J127" s="319">
        <f>36*ROUNDUP(D127/15,0)</f>
        <v>36</v>
      </c>
      <c r="K127" s="319"/>
      <c r="L127" s="319"/>
      <c r="M127" s="323">
        <f>0.4*D127</f>
        <v>4.4000000000000004</v>
      </c>
      <c r="N127" s="319"/>
      <c r="O127" s="319"/>
      <c r="P127" s="319"/>
      <c r="Q127" s="323">
        <f>IF(K127&gt;0,0.05*G127,IF(M127&gt;0,0.05*G127+1*E127,0))</f>
        <v>1.9</v>
      </c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>
        <f>SUM(G127,I127:AI127)</f>
        <v>60.3</v>
      </c>
      <c r="AK127" s="122">
        <v>8</v>
      </c>
      <c r="AM127" s="126"/>
      <c r="AN127" s="126"/>
    </row>
    <row r="128" spans="1:40" s="125" customFormat="1" ht="18" x14ac:dyDescent="0.2">
      <c r="A128" s="122" t="s">
        <v>255</v>
      </c>
      <c r="B128" s="322" t="s">
        <v>233</v>
      </c>
      <c r="C128" s="321" t="s">
        <v>74</v>
      </c>
      <c r="D128" s="321">
        <f>Бюджет_Конт!$C$10</f>
        <v>14</v>
      </c>
      <c r="E128" s="321">
        <f>Бюджет_Конт!$C$21</f>
        <v>1</v>
      </c>
      <c r="F128" s="319">
        <v>24</v>
      </c>
      <c r="G128" s="319">
        <f t="shared" ref="G128:G131" si="27">F128</f>
        <v>24</v>
      </c>
      <c r="H128" s="319">
        <v>48</v>
      </c>
      <c r="I128" s="319">
        <f>H128*E128</f>
        <v>48</v>
      </c>
      <c r="J128" s="319"/>
      <c r="K128" s="319">
        <f>0.3*D128</f>
        <v>4.2</v>
      </c>
      <c r="L128" s="319"/>
      <c r="M128" s="323"/>
      <c r="N128" s="319"/>
      <c r="O128" s="319"/>
      <c r="P128" s="319"/>
      <c r="Q128" s="323">
        <f t="shared" si="21"/>
        <v>1.2000000000000002</v>
      </c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>
        <f>2*E128</f>
        <v>2</v>
      </c>
      <c r="AJ128" s="124">
        <f t="shared" si="18"/>
        <v>79.400000000000006</v>
      </c>
      <c r="AK128" s="122">
        <v>8</v>
      </c>
      <c r="AM128" s="126"/>
      <c r="AN128" s="126"/>
    </row>
    <row r="129" spans="1:40" s="125" customFormat="1" ht="36" x14ac:dyDescent="0.2">
      <c r="A129" s="122" t="s">
        <v>247</v>
      </c>
      <c r="B129" s="324" t="s">
        <v>447</v>
      </c>
      <c r="C129" s="321" t="s">
        <v>74</v>
      </c>
      <c r="D129" s="321">
        <f>Бюджет_Конт!$C$10</f>
        <v>14</v>
      </c>
      <c r="E129" s="321">
        <f>Бюджет_Конт!$C$21</f>
        <v>1</v>
      </c>
      <c r="F129" s="319">
        <v>22</v>
      </c>
      <c r="G129" s="319"/>
      <c r="H129" s="319"/>
      <c r="I129" s="319">
        <f>H129*E129</f>
        <v>0</v>
      </c>
      <c r="J129" s="319">
        <f>22*ROUNDUP(D129/15,0)</f>
        <v>22</v>
      </c>
      <c r="K129" s="319">
        <f>0.3*D129</f>
        <v>4.2</v>
      </c>
      <c r="L129" s="319"/>
      <c r="M129" s="323"/>
      <c r="N129" s="319"/>
      <c r="O129" s="319"/>
      <c r="P129" s="319"/>
      <c r="Q129" s="323">
        <f>IF(K129&gt;0,0.05*G129,IF(M129&gt;0,0.05*G129+1*E129,0))</f>
        <v>0</v>
      </c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4"/>
      <c r="AJ129" s="124">
        <f>SUM(G129,I129:AI129)</f>
        <v>26.2</v>
      </c>
      <c r="AK129" s="122">
        <v>8</v>
      </c>
      <c r="AM129" s="126"/>
      <c r="AN129" s="126"/>
    </row>
    <row r="130" spans="1:40" s="125" customFormat="1" ht="36" x14ac:dyDescent="0.2">
      <c r="A130" s="122" t="s">
        <v>257</v>
      </c>
      <c r="B130" s="322" t="s">
        <v>459</v>
      </c>
      <c r="C130" s="321" t="s">
        <v>74</v>
      </c>
      <c r="D130" s="321">
        <f>Бюджет_Конт!$B$31+Бюджет_Конт!$C$31</f>
        <v>7</v>
      </c>
      <c r="E130" s="321">
        <f>Бюджет_Конт!$C$21</f>
        <v>1</v>
      </c>
      <c r="F130" s="319"/>
      <c r="G130" s="319">
        <f>F130</f>
        <v>0</v>
      </c>
      <c r="H130" s="319"/>
      <c r="I130" s="319"/>
      <c r="J130" s="319">
        <f>48*ROUNDUP(D130/15,0)</f>
        <v>48</v>
      </c>
      <c r="K130" s="319">
        <f t="shared" ref="K130" si="28">0.3*D130</f>
        <v>2.1</v>
      </c>
      <c r="L130" s="319"/>
      <c r="M130" s="323"/>
      <c r="N130" s="319"/>
      <c r="O130" s="319"/>
      <c r="P130" s="319"/>
      <c r="Q130" s="323">
        <f>IF(K130&gt;0,0.05*G130,IF(M130&gt;0,0.05*G130+1*E130,0))</f>
        <v>0</v>
      </c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>
        <v>2</v>
      </c>
      <c r="AJ130" s="124">
        <f>SUM(G130,I130:AI130)</f>
        <v>52.1</v>
      </c>
      <c r="AK130" s="122">
        <v>8</v>
      </c>
      <c r="AM130" s="126"/>
      <c r="AN130" s="126"/>
    </row>
    <row r="131" spans="1:40" s="125" customFormat="1" ht="18" x14ac:dyDescent="0.2">
      <c r="A131" s="122" t="s">
        <v>285</v>
      </c>
      <c r="B131" s="322" t="s">
        <v>85</v>
      </c>
      <c r="C131" s="321" t="s">
        <v>68</v>
      </c>
      <c r="D131" s="321">
        <f>Бюджет_Конт!$C$10</f>
        <v>14</v>
      </c>
      <c r="E131" s="321">
        <f>Бюджет_Конт!$C$21</f>
        <v>1</v>
      </c>
      <c r="F131" s="319">
        <v>50</v>
      </c>
      <c r="G131" s="319">
        <f t="shared" si="27"/>
        <v>50</v>
      </c>
      <c r="H131" s="319">
        <v>34</v>
      </c>
      <c r="I131" s="319">
        <f>H131*E131</f>
        <v>34</v>
      </c>
      <c r="J131" s="319"/>
      <c r="K131" s="319"/>
      <c r="L131" s="319"/>
      <c r="M131" s="323">
        <f>0.4*D131</f>
        <v>5.6000000000000005</v>
      </c>
      <c r="N131" s="319"/>
      <c r="O131" s="319"/>
      <c r="P131" s="319"/>
      <c r="Q131" s="323">
        <f t="shared" si="21"/>
        <v>3.5</v>
      </c>
      <c r="R131" s="124"/>
      <c r="S131" s="124"/>
      <c r="T131" s="124"/>
      <c r="U131" s="124">
        <f>0.3*D131</f>
        <v>4.2</v>
      </c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/>
      <c r="AG131" s="124"/>
      <c r="AH131" s="124"/>
      <c r="AI131" s="124">
        <f>4*E131</f>
        <v>4</v>
      </c>
      <c r="AJ131" s="124">
        <f t="shared" si="18"/>
        <v>101.3</v>
      </c>
      <c r="AK131" s="122">
        <v>12</v>
      </c>
      <c r="AM131" s="126"/>
      <c r="AN131" s="126"/>
    </row>
    <row r="132" spans="1:40" s="125" customFormat="1" ht="18" x14ac:dyDescent="0.2">
      <c r="A132" s="122" t="s">
        <v>309</v>
      </c>
      <c r="B132" s="322" t="s">
        <v>611</v>
      </c>
      <c r="C132" s="321" t="s">
        <v>68</v>
      </c>
      <c r="D132" s="321">
        <f>Бюджет_Конт!$B$31+Бюджет_Конт!$C$31</f>
        <v>7</v>
      </c>
      <c r="E132" s="321">
        <f>Бюджет_Конт!$C$21</f>
        <v>1</v>
      </c>
      <c r="F132" s="319">
        <v>16</v>
      </c>
      <c r="G132" s="319">
        <f>F132</f>
        <v>16</v>
      </c>
      <c r="H132" s="319"/>
      <c r="I132" s="319"/>
      <c r="J132" s="319">
        <f>34*ROUNDUP(D132/15,0)</f>
        <v>34</v>
      </c>
      <c r="K132" s="319">
        <f t="shared" ref="K132:K135" si="29">0.3*D132</f>
        <v>2.1</v>
      </c>
      <c r="L132" s="319"/>
      <c r="M132" s="323"/>
      <c r="N132" s="319"/>
      <c r="O132" s="319"/>
      <c r="P132" s="319"/>
      <c r="Q132" s="323">
        <f>IF(K132&gt;0,0.05*G132,IF(M132&gt;0,0.05*G132+1*E132,0))</f>
        <v>0.8</v>
      </c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I132" s="124"/>
      <c r="AJ132" s="124">
        <f>SUM(G132,I132:AI132)</f>
        <v>52.9</v>
      </c>
      <c r="AK132" s="122">
        <v>8</v>
      </c>
      <c r="AM132" s="126"/>
      <c r="AN132" s="126"/>
    </row>
    <row r="133" spans="1:40" s="125" customFormat="1" ht="36" x14ac:dyDescent="0.2">
      <c r="A133" s="122" t="s">
        <v>375</v>
      </c>
      <c r="B133" s="322" t="s">
        <v>612</v>
      </c>
      <c r="C133" s="321" t="s">
        <v>74</v>
      </c>
      <c r="D133" s="321">
        <f>Бюджет_Конт!$B$31+Бюджет_Конт!$D$31</f>
        <v>10</v>
      </c>
      <c r="E133" s="321">
        <f>Бюджет_Конт!$C$21</f>
        <v>1</v>
      </c>
      <c r="F133" s="319">
        <v>24</v>
      </c>
      <c r="G133" s="319">
        <f t="shared" ref="G133:G135" si="30">F133</f>
        <v>24</v>
      </c>
      <c r="H133" s="319"/>
      <c r="I133" s="319"/>
      <c r="J133" s="319"/>
      <c r="K133" s="319">
        <f t="shared" si="29"/>
        <v>3</v>
      </c>
      <c r="L133" s="319"/>
      <c r="M133" s="323"/>
      <c r="N133" s="319"/>
      <c r="O133" s="319"/>
      <c r="P133" s="319"/>
      <c r="Q133" s="323">
        <f t="shared" ref="Q133:Q135" si="31">IF(K133&gt;0,0.05*G133,IF(M133&gt;0,0.05*G133+1*E133,0))</f>
        <v>1.2000000000000002</v>
      </c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24">
        <f t="shared" ref="AJ133:AJ135" si="32">SUM(G133,I133:AI133)</f>
        <v>28.2</v>
      </c>
      <c r="AK133" s="122">
        <v>8</v>
      </c>
      <c r="AM133" s="126"/>
      <c r="AN133" s="126"/>
    </row>
    <row r="134" spans="1:40" s="125" customFormat="1" ht="36" x14ac:dyDescent="0.2">
      <c r="A134" s="122" t="s">
        <v>305</v>
      </c>
      <c r="B134" s="322" t="s">
        <v>613</v>
      </c>
      <c r="C134" s="321" t="s">
        <v>74</v>
      </c>
      <c r="D134" s="321">
        <f>Бюджет_Конт!$B$31+Бюджет_Конт!$D$31</f>
        <v>10</v>
      </c>
      <c r="E134" s="321">
        <f>Бюджет_Конт!$C$21</f>
        <v>1</v>
      </c>
      <c r="F134" s="319"/>
      <c r="G134" s="319">
        <f t="shared" si="30"/>
        <v>0</v>
      </c>
      <c r="H134" s="319"/>
      <c r="I134" s="319"/>
      <c r="J134" s="319">
        <f>48*ROUNDUP(D134/15,0)</f>
        <v>48</v>
      </c>
      <c r="K134" s="319">
        <f t="shared" si="29"/>
        <v>3</v>
      </c>
      <c r="L134" s="319"/>
      <c r="M134" s="323"/>
      <c r="N134" s="319"/>
      <c r="O134" s="319"/>
      <c r="P134" s="319"/>
      <c r="Q134" s="323">
        <f t="shared" si="31"/>
        <v>0</v>
      </c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  <c r="AG134" s="124"/>
      <c r="AH134" s="124"/>
      <c r="AI134" s="124"/>
      <c r="AJ134" s="124">
        <f t="shared" si="32"/>
        <v>51</v>
      </c>
      <c r="AK134" s="122">
        <v>8</v>
      </c>
      <c r="AM134" s="126"/>
      <c r="AN134" s="126"/>
    </row>
    <row r="135" spans="1:40" s="125" customFormat="1" ht="36" x14ac:dyDescent="0.2">
      <c r="A135" s="122" t="s">
        <v>550</v>
      </c>
      <c r="B135" s="322" t="s">
        <v>614</v>
      </c>
      <c r="C135" s="321" t="s">
        <v>68</v>
      </c>
      <c r="D135" s="321">
        <f>Бюджет_Конт!$B$31+Бюджет_Конт!$D$31</f>
        <v>10</v>
      </c>
      <c r="E135" s="321">
        <f>Бюджет_Конт!$C$21</f>
        <v>1</v>
      </c>
      <c r="F135" s="319">
        <v>16</v>
      </c>
      <c r="G135" s="319">
        <f t="shared" si="30"/>
        <v>16</v>
      </c>
      <c r="H135" s="319"/>
      <c r="I135" s="319"/>
      <c r="J135" s="319"/>
      <c r="K135" s="319">
        <f t="shared" si="29"/>
        <v>3</v>
      </c>
      <c r="L135" s="319"/>
      <c r="M135" s="323"/>
      <c r="N135" s="319"/>
      <c r="O135" s="319"/>
      <c r="P135" s="319"/>
      <c r="Q135" s="323">
        <f t="shared" si="31"/>
        <v>0.8</v>
      </c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>
        <f t="shared" si="32"/>
        <v>19.8</v>
      </c>
      <c r="AK135" s="122">
        <v>8</v>
      </c>
      <c r="AM135" s="126"/>
      <c r="AN135" s="126"/>
    </row>
    <row r="136" spans="1:40" s="125" customFormat="1" ht="18" x14ac:dyDescent="0.2">
      <c r="A136" s="122"/>
      <c r="B136" s="131" t="s">
        <v>183</v>
      </c>
      <c r="C136" s="122" t="s">
        <v>74</v>
      </c>
      <c r="D136" s="122">
        <f>Бюджет_Конт!$C$10</f>
        <v>14</v>
      </c>
      <c r="E136" s="122">
        <f>Бюджет_Конт!$C$21</f>
        <v>1</v>
      </c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239">
        <f t="shared" si="21"/>
        <v>0</v>
      </c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>
        <f>0.5*7*D136</f>
        <v>49</v>
      </c>
      <c r="AC136" s="124"/>
      <c r="AD136" s="124"/>
      <c r="AE136" s="124"/>
      <c r="AF136" s="124"/>
      <c r="AG136" s="124"/>
      <c r="AH136" s="124"/>
      <c r="AI136" s="124"/>
      <c r="AJ136" s="124">
        <f>SUM(G136,I136:AI136)</f>
        <v>49</v>
      </c>
      <c r="AK136" s="136" t="s">
        <v>182</v>
      </c>
      <c r="AL136" s="248" t="s">
        <v>503</v>
      </c>
      <c r="AM136" s="126"/>
      <c r="AN136" s="126"/>
    </row>
    <row r="137" spans="1:40" s="125" customFormat="1" ht="18" x14ac:dyDescent="0.2">
      <c r="A137" s="122"/>
      <c r="B137" s="131"/>
      <c r="C137" s="122"/>
      <c r="D137" s="122"/>
      <c r="E137" s="122"/>
      <c r="F137" s="124"/>
      <c r="G137" s="124"/>
      <c r="H137" s="124"/>
      <c r="I137" s="124"/>
      <c r="J137" s="124"/>
      <c r="K137" s="363" t="s">
        <v>80</v>
      </c>
      <c r="L137" s="363"/>
      <c r="M137" s="363"/>
      <c r="N137" s="363"/>
      <c r="O137" s="363"/>
      <c r="P137" s="363"/>
      <c r="Q137" s="363"/>
      <c r="R137" s="363"/>
      <c r="S137" s="363"/>
      <c r="T137" s="363"/>
      <c r="U137" s="363"/>
      <c r="V137" s="363"/>
      <c r="W137" s="363"/>
      <c r="X137" s="363"/>
      <c r="Y137" s="363"/>
      <c r="Z137" s="363"/>
      <c r="AA137" s="363"/>
      <c r="AB137" s="363"/>
      <c r="AC137" s="124"/>
      <c r="AD137" s="124"/>
      <c r="AE137" s="124"/>
      <c r="AF137" s="124"/>
      <c r="AG137" s="124"/>
      <c r="AH137" s="124"/>
      <c r="AI137" s="124"/>
      <c r="AJ137" s="124"/>
      <c r="AK137" s="122"/>
      <c r="AM137" s="126"/>
      <c r="AN137" s="126"/>
    </row>
    <row r="138" spans="1:40" s="125" customFormat="1" ht="18" x14ac:dyDescent="0.2">
      <c r="A138" s="122" t="s">
        <v>192</v>
      </c>
      <c r="B138" s="131" t="s">
        <v>106</v>
      </c>
      <c r="C138" s="122" t="s">
        <v>64</v>
      </c>
      <c r="D138" s="122">
        <f>Бюджет_Конт!$B$29</f>
        <v>6</v>
      </c>
      <c r="E138" s="122">
        <f>Бюджет_Конт!$C$19</f>
        <v>1</v>
      </c>
      <c r="F138" s="124"/>
      <c r="G138" s="124"/>
      <c r="H138" s="124"/>
      <c r="I138" s="124">
        <f t="shared" ref="I138" si="33">H138*E138</f>
        <v>0</v>
      </c>
      <c r="J138" s="124"/>
      <c r="K138" s="124"/>
      <c r="L138" s="124"/>
      <c r="M138" s="239"/>
      <c r="N138" s="124"/>
      <c r="O138" s="124"/>
      <c r="P138" s="124"/>
      <c r="Q138" s="239">
        <f t="shared" ref="Q138" si="34">IF(K138&gt;0,0.05*G138,IF(M138&gt;0,0.05*G138+1*E138,0))</f>
        <v>0</v>
      </c>
      <c r="R138" s="124"/>
      <c r="S138" s="124"/>
      <c r="T138" s="124"/>
      <c r="U138" s="124"/>
      <c r="V138" s="124">
        <f>4*D138</f>
        <v>24</v>
      </c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124"/>
      <c r="AJ138" s="124">
        <f t="shared" ref="AJ138" si="35">SUM(G138,I138:AI138)</f>
        <v>24</v>
      </c>
      <c r="AK138" s="122">
        <v>8</v>
      </c>
      <c r="AM138" s="126"/>
      <c r="AN138" s="126"/>
    </row>
    <row r="139" spans="1:40" s="125" customFormat="1" ht="18" x14ac:dyDescent="0.2">
      <c r="A139" s="122" t="s">
        <v>193</v>
      </c>
      <c r="B139" s="131" t="s">
        <v>88</v>
      </c>
      <c r="C139" s="122" t="s">
        <v>64</v>
      </c>
      <c r="D139" s="122">
        <f>Бюджет_Конт!$B$29</f>
        <v>6</v>
      </c>
      <c r="E139" s="122">
        <f>Бюджет_Конт!$C$19</f>
        <v>1</v>
      </c>
      <c r="F139" s="124">
        <v>20</v>
      </c>
      <c r="G139" s="124">
        <f t="shared" ref="G139:G144" si="36">F139</f>
        <v>20</v>
      </c>
      <c r="H139" s="124">
        <v>20</v>
      </c>
      <c r="I139" s="124">
        <f>H139*E139</f>
        <v>20</v>
      </c>
      <c r="J139" s="124"/>
      <c r="K139" s="124">
        <f t="shared" ref="K139:K144" si="37">0.3*D139</f>
        <v>1.7999999999999998</v>
      </c>
      <c r="L139" s="124"/>
      <c r="M139" s="239"/>
      <c r="N139" s="124"/>
      <c r="O139" s="124"/>
      <c r="P139" s="124"/>
      <c r="Q139" s="239">
        <f t="shared" ref="Q139:Q156" si="38">IF(K139&gt;0,0.05*G139,IF(M139&gt;0,0.05*G139+1*E139,0))</f>
        <v>1</v>
      </c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>
        <f t="shared" si="18"/>
        <v>42.8</v>
      </c>
      <c r="AK139" s="122">
        <v>8</v>
      </c>
      <c r="AM139" s="126"/>
      <c r="AN139" s="126"/>
    </row>
    <row r="140" spans="1:40" s="125" customFormat="1" ht="18" x14ac:dyDescent="0.2">
      <c r="A140" s="122" t="s">
        <v>364</v>
      </c>
      <c r="B140" s="131" t="s">
        <v>86</v>
      </c>
      <c r="C140" s="122" t="s">
        <v>65</v>
      </c>
      <c r="D140" s="122">
        <f>Бюджет_Конт!$B$30</f>
        <v>6</v>
      </c>
      <c r="E140" s="122">
        <f>Бюджет_Конт!$C$20</f>
        <v>1</v>
      </c>
      <c r="F140" s="124"/>
      <c r="G140" s="124">
        <f t="shared" si="36"/>
        <v>0</v>
      </c>
      <c r="H140" s="124"/>
      <c r="I140" s="124">
        <f t="shared" si="20"/>
        <v>0</v>
      </c>
      <c r="J140" s="124">
        <f>68*ROUNDUP(D140/15,0)</f>
        <v>68</v>
      </c>
      <c r="K140" s="124">
        <f t="shared" si="37"/>
        <v>1.7999999999999998</v>
      </c>
      <c r="L140" s="124"/>
      <c r="M140" s="239"/>
      <c r="N140" s="124"/>
      <c r="O140" s="124"/>
      <c r="P140" s="124"/>
      <c r="Q140" s="239">
        <f t="shared" si="38"/>
        <v>0</v>
      </c>
      <c r="R140" s="124"/>
      <c r="S140" s="124"/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124"/>
      <c r="AJ140" s="124">
        <f t="shared" si="18"/>
        <v>69.8</v>
      </c>
      <c r="AK140" s="122">
        <v>8</v>
      </c>
      <c r="AM140" s="126"/>
      <c r="AN140" s="126"/>
    </row>
    <row r="141" spans="1:40" s="125" customFormat="1" ht="18" x14ac:dyDescent="0.2">
      <c r="A141" s="122" t="s">
        <v>286</v>
      </c>
      <c r="B141" s="131" t="s">
        <v>93</v>
      </c>
      <c r="C141" s="122" t="s">
        <v>65</v>
      </c>
      <c r="D141" s="122">
        <f>Бюджет_Конт!$B$30</f>
        <v>6</v>
      </c>
      <c r="E141" s="122">
        <f>Бюджет_Конт!$C$20</f>
        <v>1</v>
      </c>
      <c r="F141" s="124">
        <v>34</v>
      </c>
      <c r="G141" s="124">
        <f t="shared" si="36"/>
        <v>34</v>
      </c>
      <c r="H141" s="124"/>
      <c r="I141" s="124">
        <f t="shared" si="20"/>
        <v>0</v>
      </c>
      <c r="J141" s="124"/>
      <c r="K141" s="124">
        <f t="shared" si="37"/>
        <v>1.7999999999999998</v>
      </c>
      <c r="L141" s="124"/>
      <c r="M141" s="239"/>
      <c r="N141" s="124"/>
      <c r="O141" s="124"/>
      <c r="P141" s="124"/>
      <c r="Q141" s="239">
        <f t="shared" si="38"/>
        <v>1.7000000000000002</v>
      </c>
      <c r="R141" s="124"/>
      <c r="S141" s="124"/>
      <c r="T141" s="124"/>
      <c r="U141" s="124"/>
      <c r="V141" s="124"/>
      <c r="W141" s="124"/>
      <c r="X141" s="124"/>
      <c r="Y141" s="124"/>
      <c r="Z141" s="124"/>
      <c r="AA141" s="124"/>
      <c r="AB141" s="124"/>
      <c r="AC141" s="124"/>
      <c r="AD141" s="124"/>
      <c r="AE141" s="124"/>
      <c r="AF141" s="124"/>
      <c r="AG141" s="124"/>
      <c r="AH141" s="124"/>
      <c r="AI141" s="124">
        <f>6*E141</f>
        <v>6</v>
      </c>
      <c r="AJ141" s="124">
        <f t="shared" si="18"/>
        <v>43.5</v>
      </c>
      <c r="AK141" s="122">
        <v>8</v>
      </c>
      <c r="AM141" s="126"/>
      <c r="AN141" s="126"/>
    </row>
    <row r="142" spans="1:40" s="125" customFormat="1" ht="18" x14ac:dyDescent="0.2">
      <c r="A142" s="122" t="s">
        <v>287</v>
      </c>
      <c r="B142" s="131" t="s">
        <v>87</v>
      </c>
      <c r="C142" s="122" t="s">
        <v>66</v>
      </c>
      <c r="D142" s="122">
        <f>Бюджет_Конт!$B$30</f>
        <v>6</v>
      </c>
      <c r="E142" s="122">
        <f>Бюджет_Конт!$C$20</f>
        <v>1</v>
      </c>
      <c r="F142" s="124"/>
      <c r="G142" s="124">
        <f>F142</f>
        <v>0</v>
      </c>
      <c r="H142" s="124"/>
      <c r="I142" s="124">
        <f>H142*E142</f>
        <v>0</v>
      </c>
      <c r="J142" s="124">
        <f>36*ROUNDUP(D142/15,0)</f>
        <v>36</v>
      </c>
      <c r="K142" s="124">
        <f t="shared" si="37"/>
        <v>1.7999999999999998</v>
      </c>
      <c r="L142" s="124"/>
      <c r="M142" s="239"/>
      <c r="N142" s="124"/>
      <c r="O142" s="124"/>
      <c r="P142" s="124"/>
      <c r="Q142" s="239">
        <f>IF(K142&gt;0,0.05*G142,IF(M142&gt;0,0.05*G142+1*E142,0))</f>
        <v>0</v>
      </c>
      <c r="R142" s="124"/>
      <c r="S142" s="124"/>
      <c r="T142" s="124"/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  <c r="AE142" s="124"/>
      <c r="AF142" s="124"/>
      <c r="AG142" s="124"/>
      <c r="AH142" s="124"/>
      <c r="AI142" s="124"/>
      <c r="AJ142" s="124">
        <f>SUM(G142,I142:AI142)</f>
        <v>37.799999999999997</v>
      </c>
      <c r="AK142" s="122">
        <v>8</v>
      </c>
      <c r="AM142" s="126"/>
      <c r="AN142" s="126"/>
    </row>
    <row r="143" spans="1:40" s="125" customFormat="1" ht="18" x14ac:dyDescent="0.2">
      <c r="A143" s="122" t="s">
        <v>307</v>
      </c>
      <c r="B143" s="131" t="s">
        <v>89</v>
      </c>
      <c r="C143" s="122" t="s">
        <v>66</v>
      </c>
      <c r="D143" s="122">
        <f>Бюджет_Конт!$B$30</f>
        <v>6</v>
      </c>
      <c r="E143" s="122">
        <f>Бюджет_Конт!$C$20</f>
        <v>1</v>
      </c>
      <c r="F143" s="124"/>
      <c r="G143" s="124">
        <f t="shared" si="36"/>
        <v>0</v>
      </c>
      <c r="H143" s="124"/>
      <c r="I143" s="124">
        <f t="shared" si="20"/>
        <v>0</v>
      </c>
      <c r="J143" s="124">
        <f>54*ROUNDUP(D143/15,0)</f>
        <v>54</v>
      </c>
      <c r="K143" s="124">
        <f t="shared" si="37"/>
        <v>1.7999999999999998</v>
      </c>
      <c r="L143" s="124"/>
      <c r="M143" s="239"/>
      <c r="N143" s="124"/>
      <c r="O143" s="124"/>
      <c r="P143" s="124"/>
      <c r="Q143" s="239">
        <f t="shared" si="38"/>
        <v>0</v>
      </c>
      <c r="R143" s="124"/>
      <c r="S143" s="124"/>
      <c r="T143" s="124"/>
      <c r="U143" s="124"/>
      <c r="V143" s="124"/>
      <c r="W143" s="124"/>
      <c r="X143" s="124"/>
      <c r="Y143" s="124"/>
      <c r="Z143" s="124"/>
      <c r="AA143" s="124"/>
      <c r="AB143" s="124"/>
      <c r="AC143" s="124"/>
      <c r="AD143" s="124"/>
      <c r="AE143" s="124"/>
      <c r="AF143" s="124"/>
      <c r="AG143" s="124"/>
      <c r="AH143" s="124"/>
      <c r="AI143" s="124"/>
      <c r="AJ143" s="124">
        <f t="shared" si="18"/>
        <v>55.8</v>
      </c>
      <c r="AK143" s="122">
        <v>10</v>
      </c>
      <c r="AM143" s="126"/>
      <c r="AN143" s="126"/>
    </row>
    <row r="144" spans="1:40" s="125" customFormat="1" ht="18" x14ac:dyDescent="0.2">
      <c r="A144" s="122" t="s">
        <v>369</v>
      </c>
      <c r="B144" s="131" t="s">
        <v>90</v>
      </c>
      <c r="C144" s="122" t="s">
        <v>66</v>
      </c>
      <c r="D144" s="122">
        <f>Бюджет_Конт!$B$30</f>
        <v>6</v>
      </c>
      <c r="E144" s="122">
        <f>Бюджет_Конт!$C$20</f>
        <v>1</v>
      </c>
      <c r="F144" s="124">
        <v>18</v>
      </c>
      <c r="G144" s="124">
        <f t="shared" si="36"/>
        <v>18</v>
      </c>
      <c r="H144" s="124">
        <v>18</v>
      </c>
      <c r="I144" s="124">
        <f t="shared" si="20"/>
        <v>18</v>
      </c>
      <c r="J144" s="124"/>
      <c r="K144" s="124">
        <f t="shared" si="37"/>
        <v>1.7999999999999998</v>
      </c>
      <c r="L144" s="124"/>
      <c r="M144" s="239"/>
      <c r="N144" s="124"/>
      <c r="O144" s="124"/>
      <c r="P144" s="124"/>
      <c r="Q144" s="239">
        <f t="shared" si="38"/>
        <v>0.9</v>
      </c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>
        <f t="shared" si="18"/>
        <v>38.699999999999996</v>
      </c>
      <c r="AK144" s="122">
        <v>8</v>
      </c>
      <c r="AM144" s="126"/>
      <c r="AN144" s="126"/>
    </row>
    <row r="145" spans="1:40" s="125" customFormat="1" ht="36" x14ac:dyDescent="0.2">
      <c r="A145" s="122" t="s">
        <v>207</v>
      </c>
      <c r="B145" s="131" t="s">
        <v>368</v>
      </c>
      <c r="C145" s="122" t="s">
        <v>65</v>
      </c>
      <c r="D145" s="122">
        <f>Бюджет_Конт!$B$30</f>
        <v>6</v>
      </c>
      <c r="E145" s="122">
        <f>Бюджет_Конт!$C$20</f>
        <v>1</v>
      </c>
      <c r="F145" s="124"/>
      <c r="G145" s="256"/>
      <c r="H145" s="256"/>
      <c r="I145" s="256"/>
      <c r="J145" s="256"/>
      <c r="K145" s="256"/>
      <c r="L145" s="256"/>
      <c r="M145" s="239"/>
      <c r="N145" s="124"/>
      <c r="O145" s="124"/>
      <c r="P145" s="124"/>
      <c r="Q145" s="239">
        <f>IF(K145&gt;0,0.05*G145,IF(M145&gt;0,0.05*G145+1*E145,0))</f>
        <v>0</v>
      </c>
      <c r="R145" s="124"/>
      <c r="S145" s="124"/>
      <c r="T145" s="124">
        <f>1*(4/3)*D145</f>
        <v>8</v>
      </c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>
        <f>SUM(G145,I145:AI145)</f>
        <v>8</v>
      </c>
      <c r="AK145" s="122">
        <v>8</v>
      </c>
      <c r="AM145" s="126"/>
      <c r="AN145" s="126"/>
    </row>
    <row r="146" spans="1:40" s="125" customFormat="1" ht="36" x14ac:dyDescent="0.2">
      <c r="A146" s="122" t="s">
        <v>288</v>
      </c>
      <c r="B146" s="131" t="s">
        <v>367</v>
      </c>
      <c r="C146" s="122" t="s">
        <v>66</v>
      </c>
      <c r="D146" s="122">
        <f>Бюджет_Конт!$B$30</f>
        <v>6</v>
      </c>
      <c r="E146" s="122">
        <f>Бюджет_Конт!$C$20</f>
        <v>1</v>
      </c>
      <c r="F146" s="124"/>
      <c r="G146" s="124"/>
      <c r="H146" s="124"/>
      <c r="I146" s="124"/>
      <c r="J146" s="124"/>
      <c r="K146" s="124"/>
      <c r="L146" s="124"/>
      <c r="M146" s="239"/>
      <c r="N146" s="124"/>
      <c r="O146" s="124"/>
      <c r="P146" s="124"/>
      <c r="Q146" s="239">
        <f t="shared" ref="Q146" si="39">IF(K146&gt;0,0.05*G146,IF(M146&gt;0,0.05*G146+1*E146,0))</f>
        <v>0</v>
      </c>
      <c r="R146" s="124"/>
      <c r="S146" s="124"/>
      <c r="T146" s="124">
        <f>1*(2)*D146</f>
        <v>12</v>
      </c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>
        <f t="shared" ref="AJ146" si="40">SUM(G146,I146:AI146)</f>
        <v>12</v>
      </c>
      <c r="AK146" s="122">
        <v>8</v>
      </c>
      <c r="AM146" s="126"/>
      <c r="AN146" s="126"/>
    </row>
    <row r="147" spans="1:40" s="125" customFormat="1" ht="18" x14ac:dyDescent="0.2">
      <c r="A147" s="122" t="s">
        <v>308</v>
      </c>
      <c r="B147" s="131" t="s">
        <v>234</v>
      </c>
      <c r="C147" s="122" t="s">
        <v>68</v>
      </c>
      <c r="D147" s="122">
        <f>Бюджет_Конт!$B$31</f>
        <v>3</v>
      </c>
      <c r="E147" s="122">
        <f>Бюджет_Конт!$C$20</f>
        <v>1</v>
      </c>
      <c r="F147" s="124">
        <v>34</v>
      </c>
      <c r="G147" s="124">
        <f t="shared" ref="G147:G155" si="41">F147</f>
        <v>34</v>
      </c>
      <c r="H147" s="124"/>
      <c r="I147" s="124">
        <f t="shared" ref="I147:I154" si="42">H147*E147</f>
        <v>0</v>
      </c>
      <c r="J147" s="124">
        <f>50*ROUNDUP(D147/15,0)</f>
        <v>50</v>
      </c>
      <c r="K147" s="124">
        <f t="shared" ref="K147:K150" si="43">0.3*D147</f>
        <v>0.89999999999999991</v>
      </c>
      <c r="L147" s="124"/>
      <c r="M147" s="239"/>
      <c r="N147" s="124"/>
      <c r="O147" s="124"/>
      <c r="P147" s="124"/>
      <c r="Q147" s="239">
        <f t="shared" si="38"/>
        <v>1.7000000000000002</v>
      </c>
      <c r="R147" s="124"/>
      <c r="S147" s="124"/>
      <c r="T147" s="124"/>
      <c r="U147" s="124"/>
      <c r="V147" s="124"/>
      <c r="W147" s="137"/>
      <c r="X147" s="137"/>
      <c r="Y147" s="137"/>
      <c r="Z147" s="137"/>
      <c r="AA147" s="137"/>
      <c r="AB147" s="137"/>
      <c r="AC147" s="124"/>
      <c r="AD147" s="124"/>
      <c r="AE147" s="124"/>
      <c r="AF147" s="124"/>
      <c r="AG147" s="124"/>
      <c r="AH147" s="124"/>
      <c r="AI147" s="124"/>
      <c r="AJ147" s="124">
        <f t="shared" si="18"/>
        <v>86.600000000000009</v>
      </c>
      <c r="AK147" s="122">
        <v>8</v>
      </c>
      <c r="AM147" s="126"/>
      <c r="AN147" s="126"/>
    </row>
    <row r="148" spans="1:40" s="125" customFormat="1" ht="18" x14ac:dyDescent="0.2">
      <c r="A148" s="122" t="s">
        <v>461</v>
      </c>
      <c r="B148" s="131" t="s">
        <v>91</v>
      </c>
      <c r="C148" s="122" t="s">
        <v>68</v>
      </c>
      <c r="D148" s="122">
        <f>Бюджет_Конт!$B$31</f>
        <v>3</v>
      </c>
      <c r="E148" s="122">
        <f>Бюджет_Конт!$C$20</f>
        <v>1</v>
      </c>
      <c r="F148" s="124">
        <v>34</v>
      </c>
      <c r="G148" s="124">
        <f t="shared" si="41"/>
        <v>34</v>
      </c>
      <c r="H148" s="124">
        <v>34</v>
      </c>
      <c r="I148" s="124">
        <f t="shared" si="42"/>
        <v>34</v>
      </c>
      <c r="J148" s="124"/>
      <c r="K148" s="124">
        <f t="shared" si="43"/>
        <v>0.89999999999999991</v>
      </c>
      <c r="L148" s="124"/>
      <c r="M148" s="239"/>
      <c r="N148" s="124"/>
      <c r="O148" s="124"/>
      <c r="P148" s="124"/>
      <c r="Q148" s="239">
        <f t="shared" si="38"/>
        <v>1.7000000000000002</v>
      </c>
      <c r="R148" s="124"/>
      <c r="S148" s="124"/>
      <c r="T148" s="124"/>
      <c r="U148" s="124"/>
      <c r="V148" s="124"/>
      <c r="W148" s="137"/>
      <c r="X148" s="137"/>
      <c r="Y148" s="137"/>
      <c r="Z148" s="137"/>
      <c r="AA148" s="137"/>
      <c r="AB148" s="137"/>
      <c r="AC148" s="124"/>
      <c r="AD148" s="124"/>
      <c r="AE148" s="124"/>
      <c r="AF148" s="124"/>
      <c r="AG148" s="124"/>
      <c r="AH148" s="124"/>
      <c r="AI148" s="124"/>
      <c r="AJ148" s="124">
        <f t="shared" si="18"/>
        <v>70.600000000000009</v>
      </c>
      <c r="AK148" s="122">
        <v>8</v>
      </c>
      <c r="AM148" s="126"/>
      <c r="AN148" s="126"/>
    </row>
    <row r="149" spans="1:40" s="125" customFormat="1" ht="18" x14ac:dyDescent="0.2">
      <c r="A149" s="122" t="s">
        <v>262</v>
      </c>
      <c r="B149" s="131" t="s">
        <v>198</v>
      </c>
      <c r="C149" s="122" t="s">
        <v>68</v>
      </c>
      <c r="D149" s="122">
        <f>Бюджет_Конт!$B$31</f>
        <v>3</v>
      </c>
      <c r="E149" s="122">
        <f>Бюджет_Конт!$C$20</f>
        <v>1</v>
      </c>
      <c r="F149" s="124"/>
      <c r="G149" s="124">
        <f t="shared" si="41"/>
        <v>0</v>
      </c>
      <c r="H149" s="124">
        <v>16</v>
      </c>
      <c r="I149" s="124">
        <f t="shared" si="42"/>
        <v>16</v>
      </c>
      <c r="J149" s="124"/>
      <c r="K149" s="124">
        <f t="shared" si="43"/>
        <v>0.89999999999999991</v>
      </c>
      <c r="L149" s="124"/>
      <c r="M149" s="239"/>
      <c r="N149" s="124"/>
      <c r="O149" s="124"/>
      <c r="P149" s="124"/>
      <c r="Q149" s="239">
        <f t="shared" si="38"/>
        <v>0</v>
      </c>
      <c r="R149" s="124"/>
      <c r="S149" s="124"/>
      <c r="T149" s="124"/>
      <c r="U149" s="124"/>
      <c r="V149" s="124"/>
      <c r="W149" s="137"/>
      <c r="X149" s="137"/>
      <c r="Y149" s="137"/>
      <c r="Z149" s="137"/>
      <c r="AA149" s="137"/>
      <c r="AB149" s="137"/>
      <c r="AC149" s="124"/>
      <c r="AD149" s="124"/>
      <c r="AE149" s="111"/>
      <c r="AF149" s="124"/>
      <c r="AG149" s="124"/>
      <c r="AH149" s="124"/>
      <c r="AI149" s="124">
        <f>4*E149</f>
        <v>4</v>
      </c>
      <c r="AJ149" s="124">
        <f t="shared" si="18"/>
        <v>20.9</v>
      </c>
      <c r="AK149" s="122">
        <v>8</v>
      </c>
      <c r="AM149" s="126"/>
      <c r="AN149" s="126"/>
    </row>
    <row r="150" spans="1:40" s="125" customFormat="1" ht="36" x14ac:dyDescent="0.2">
      <c r="A150" s="122" t="s">
        <v>462</v>
      </c>
      <c r="B150" s="140" t="s">
        <v>527</v>
      </c>
      <c r="C150" s="259" t="s">
        <v>74</v>
      </c>
      <c r="D150" s="122">
        <f>Бюджет_Конт!$B$31</f>
        <v>3</v>
      </c>
      <c r="E150" s="122">
        <f>Бюджет_Конт!$C$21</f>
        <v>1</v>
      </c>
      <c r="F150" s="124">
        <v>18</v>
      </c>
      <c r="G150" s="124">
        <f t="shared" si="41"/>
        <v>18</v>
      </c>
      <c r="H150" s="124"/>
      <c r="I150" s="124">
        <f t="shared" si="42"/>
        <v>0</v>
      </c>
      <c r="J150" s="124">
        <v>36</v>
      </c>
      <c r="K150" s="124">
        <f t="shared" si="43"/>
        <v>0.89999999999999991</v>
      </c>
      <c r="L150" s="124"/>
      <c r="M150" s="239"/>
      <c r="N150" s="124"/>
      <c r="O150" s="124"/>
      <c r="P150" s="124"/>
      <c r="Q150" s="239">
        <f t="shared" si="38"/>
        <v>0.9</v>
      </c>
      <c r="R150" s="124"/>
      <c r="S150" s="124"/>
      <c r="T150" s="124"/>
      <c r="U150" s="124"/>
      <c r="V150" s="124"/>
      <c r="W150" s="124"/>
      <c r="X150" s="124"/>
      <c r="Y150" s="124"/>
      <c r="Z150" s="124"/>
      <c r="AA150" s="124"/>
      <c r="AB150" s="124"/>
      <c r="AC150" s="124"/>
      <c r="AD150" s="124"/>
      <c r="AE150" s="111"/>
      <c r="AF150" s="124"/>
      <c r="AG150" s="124"/>
      <c r="AH150" s="124"/>
      <c r="AI150" s="124"/>
      <c r="AJ150" s="124">
        <f t="shared" si="18"/>
        <v>55.8</v>
      </c>
      <c r="AK150" s="122">
        <v>8</v>
      </c>
      <c r="AM150" s="126"/>
      <c r="AN150" s="126"/>
    </row>
    <row r="151" spans="1:40" s="125" customFormat="1" ht="18" x14ac:dyDescent="0.2">
      <c r="A151" s="122" t="s">
        <v>551</v>
      </c>
      <c r="B151" s="131" t="s">
        <v>615</v>
      </c>
      <c r="C151" s="122" t="s">
        <v>68</v>
      </c>
      <c r="D151" s="122">
        <f>Бюджет_Конт!$B$31</f>
        <v>3</v>
      </c>
      <c r="E151" s="122">
        <f>Бюджет_Конт!$C$21</f>
        <v>1</v>
      </c>
      <c r="F151" s="124">
        <v>50</v>
      </c>
      <c r="G151" s="124">
        <f t="shared" ref="G151" si="44">F151</f>
        <v>50</v>
      </c>
      <c r="H151" s="124"/>
      <c r="I151" s="124"/>
      <c r="J151" s="124"/>
      <c r="K151" s="124"/>
      <c r="L151" s="124"/>
      <c r="M151" s="239">
        <f>0.4*D151</f>
        <v>1.2000000000000002</v>
      </c>
      <c r="N151" s="124"/>
      <c r="O151" s="124"/>
      <c r="P151" s="124"/>
      <c r="Q151" s="239">
        <f t="shared" ref="Q151" si="45">IF(K151&gt;0,0.05*G151,IF(M151&gt;0,0.05*G151+1*E151,0))</f>
        <v>3.5</v>
      </c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24"/>
      <c r="AF151" s="124"/>
      <c r="AG151" s="124"/>
      <c r="AH151" s="124"/>
      <c r="AI151" s="124"/>
      <c r="AJ151" s="124">
        <f t="shared" ref="AJ151" si="46">SUM(G151,I151:AI151)</f>
        <v>54.7</v>
      </c>
      <c r="AK151" s="122">
        <v>12</v>
      </c>
      <c r="AM151" s="126"/>
      <c r="AN151" s="126"/>
    </row>
    <row r="152" spans="1:40" s="125" customFormat="1" ht="18" x14ac:dyDescent="0.2">
      <c r="A152" s="122" t="s">
        <v>552</v>
      </c>
      <c r="B152" s="131" t="s">
        <v>616</v>
      </c>
      <c r="C152" s="122" t="s">
        <v>68</v>
      </c>
      <c r="D152" s="122">
        <f>Бюджет_Конт!$B$31</f>
        <v>3</v>
      </c>
      <c r="E152" s="122">
        <f>Бюджет_Конт!$C$21</f>
        <v>1</v>
      </c>
      <c r="F152" s="124">
        <v>24</v>
      </c>
      <c r="G152" s="124">
        <f t="shared" ref="G152" si="47">F152</f>
        <v>24</v>
      </c>
      <c r="H152" s="124"/>
      <c r="I152" s="124"/>
      <c r="J152" s="124"/>
      <c r="K152" s="124"/>
      <c r="L152" s="124"/>
      <c r="M152" s="239">
        <f>0.4*D152</f>
        <v>1.2000000000000002</v>
      </c>
      <c r="N152" s="124"/>
      <c r="O152" s="124"/>
      <c r="P152" s="124"/>
      <c r="Q152" s="239">
        <f t="shared" ref="Q152" si="48">IF(K152&gt;0,0.05*G152,IF(M152&gt;0,0.05*G152+1*E152,0))</f>
        <v>2.2000000000000002</v>
      </c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  <c r="AG152" s="124"/>
      <c r="AH152" s="124"/>
      <c r="AI152" s="124"/>
      <c r="AJ152" s="124">
        <f t="shared" ref="AJ152" si="49">SUM(G152,I152:AI152)</f>
        <v>27.4</v>
      </c>
      <c r="AK152" s="122">
        <v>12</v>
      </c>
      <c r="AM152" s="126"/>
      <c r="AN152" s="126"/>
    </row>
    <row r="153" spans="1:40" s="125" customFormat="1" ht="18" x14ac:dyDescent="0.2">
      <c r="A153" s="122" t="s">
        <v>209</v>
      </c>
      <c r="B153" s="131" t="s">
        <v>92</v>
      </c>
      <c r="C153" s="259" t="s">
        <v>68</v>
      </c>
      <c r="D153" s="122">
        <f>Бюджет_Конт!$B$31</f>
        <v>3</v>
      </c>
      <c r="E153" s="122">
        <f>Бюджет_Конт!$C$21</f>
        <v>1</v>
      </c>
      <c r="F153" s="124">
        <v>34</v>
      </c>
      <c r="G153" s="124">
        <f t="shared" si="41"/>
        <v>34</v>
      </c>
      <c r="H153" s="124">
        <v>50</v>
      </c>
      <c r="I153" s="124">
        <f>H153*E153</f>
        <v>50</v>
      </c>
      <c r="J153" s="124"/>
      <c r="K153" s="124"/>
      <c r="L153" s="124"/>
      <c r="M153" s="239">
        <f>0.4*D153</f>
        <v>1.2000000000000002</v>
      </c>
      <c r="N153" s="124"/>
      <c r="O153" s="124"/>
      <c r="P153" s="124"/>
      <c r="Q153" s="239">
        <f t="shared" si="38"/>
        <v>2.7</v>
      </c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  <c r="AB153" s="124"/>
      <c r="AC153" s="124"/>
      <c r="AD153" s="124"/>
      <c r="AE153" s="111"/>
      <c r="AF153" s="124"/>
      <c r="AG153" s="124"/>
      <c r="AH153" s="124"/>
      <c r="AI153" s="124">
        <v>4</v>
      </c>
      <c r="AJ153" s="124">
        <f>SUM(G153,I153:AI153)</f>
        <v>91.9</v>
      </c>
      <c r="AK153" s="122">
        <v>8</v>
      </c>
      <c r="AM153" s="126"/>
      <c r="AN153" s="126"/>
    </row>
    <row r="154" spans="1:40" s="125" customFormat="1" ht="18" x14ac:dyDescent="0.2">
      <c r="A154" s="122" t="s">
        <v>280</v>
      </c>
      <c r="B154" s="131" t="s">
        <v>94</v>
      </c>
      <c r="C154" s="259" t="s">
        <v>68</v>
      </c>
      <c r="D154" s="122">
        <f>Бюджет_Конт!$B$31</f>
        <v>3</v>
      </c>
      <c r="E154" s="122">
        <f>Бюджет_Конт!$C$21</f>
        <v>1</v>
      </c>
      <c r="F154" s="124"/>
      <c r="G154" s="124">
        <f t="shared" si="41"/>
        <v>0</v>
      </c>
      <c r="H154" s="124"/>
      <c r="I154" s="124">
        <f t="shared" si="42"/>
        <v>0</v>
      </c>
      <c r="J154" s="124">
        <v>68</v>
      </c>
      <c r="K154" s="124">
        <f>0.3*D154</f>
        <v>0.89999999999999991</v>
      </c>
      <c r="L154" s="124"/>
      <c r="M154" s="239"/>
      <c r="N154" s="124"/>
      <c r="O154" s="124"/>
      <c r="P154" s="124"/>
      <c r="Q154" s="239">
        <f t="shared" si="38"/>
        <v>0</v>
      </c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  <c r="AE154" s="111"/>
      <c r="AF154" s="124"/>
      <c r="AG154" s="124"/>
      <c r="AH154" s="124"/>
      <c r="AI154" s="124">
        <v>16</v>
      </c>
      <c r="AJ154" s="124">
        <f t="shared" si="18"/>
        <v>84.9</v>
      </c>
      <c r="AK154" s="122">
        <v>8</v>
      </c>
      <c r="AM154" s="126"/>
      <c r="AN154" s="126"/>
    </row>
    <row r="155" spans="1:40" s="125" customFormat="1" ht="18" x14ac:dyDescent="0.2">
      <c r="A155" s="122" t="s">
        <v>553</v>
      </c>
      <c r="B155" s="131" t="s">
        <v>454</v>
      </c>
      <c r="C155" s="122" t="s">
        <v>74</v>
      </c>
      <c r="D155" s="122">
        <f>Бюджет_Конт!$B$31</f>
        <v>3</v>
      </c>
      <c r="E155" s="122">
        <f>Бюджет_Конт!$C$21</f>
        <v>1</v>
      </c>
      <c r="F155" s="124"/>
      <c r="G155" s="124">
        <f t="shared" si="41"/>
        <v>0</v>
      </c>
      <c r="H155" s="124"/>
      <c r="I155" s="124">
        <f>H155*E155</f>
        <v>0</v>
      </c>
      <c r="J155" s="124"/>
      <c r="K155" s="124"/>
      <c r="L155" s="124"/>
      <c r="M155" s="239"/>
      <c r="N155" s="124"/>
      <c r="O155" s="124"/>
      <c r="P155" s="124"/>
      <c r="Q155" s="239">
        <f t="shared" si="38"/>
        <v>0</v>
      </c>
      <c r="R155" s="124"/>
      <c r="S155" s="124"/>
      <c r="T155" s="124">
        <f>1*(5+1/3)*D155</f>
        <v>16</v>
      </c>
      <c r="U155" s="124"/>
      <c r="V155" s="124"/>
      <c r="W155" s="124"/>
      <c r="X155" s="124"/>
      <c r="Y155" s="124"/>
      <c r="Z155" s="124"/>
      <c r="AA155" s="124"/>
      <c r="AB155" s="124"/>
      <c r="AC155" s="124"/>
      <c r="AD155" s="124"/>
      <c r="AE155" s="124"/>
      <c r="AF155" s="124"/>
      <c r="AG155" s="124"/>
      <c r="AH155" s="124"/>
      <c r="AI155" s="124">
        <f>0*E155</f>
        <v>0</v>
      </c>
      <c r="AJ155" s="124">
        <f>SUM(G155,I155:AI155)</f>
        <v>16</v>
      </c>
      <c r="AK155" s="136">
        <v>8</v>
      </c>
      <c r="AL155" s="248"/>
      <c r="AM155" s="126"/>
      <c r="AN155" s="126"/>
    </row>
    <row r="156" spans="1:40" s="125" customFormat="1" ht="18" x14ac:dyDescent="0.2">
      <c r="A156" s="122"/>
      <c r="B156" s="131" t="s">
        <v>171</v>
      </c>
      <c r="C156" s="122" t="s">
        <v>74</v>
      </c>
      <c r="D156" s="122">
        <f>Бюджет_Конт!$B$31</f>
        <v>3</v>
      </c>
      <c r="E156" s="122">
        <f>Бюджет_Конт!$C$21</f>
        <v>1</v>
      </c>
      <c r="F156" s="124"/>
      <c r="G156" s="124" t="s">
        <v>184</v>
      </c>
      <c r="H156" s="124"/>
      <c r="I156" s="124"/>
      <c r="J156" s="124"/>
      <c r="K156" s="124"/>
      <c r="L156" s="124"/>
      <c r="M156" s="124"/>
      <c r="N156" s="124"/>
      <c r="O156" s="124"/>
      <c r="P156" s="124"/>
      <c r="Q156" s="239">
        <f t="shared" si="38"/>
        <v>0</v>
      </c>
      <c r="R156" s="124"/>
      <c r="S156" s="124"/>
      <c r="T156" s="124"/>
      <c r="U156" s="124"/>
      <c r="V156" s="124"/>
      <c r="W156" s="124">
        <f>16*D156</f>
        <v>48</v>
      </c>
      <c r="X156" s="124"/>
      <c r="Y156" s="124"/>
      <c r="Z156" s="124"/>
      <c r="AA156" s="124"/>
      <c r="AB156" s="124"/>
      <c r="AC156" s="124"/>
      <c r="AD156" s="124"/>
      <c r="AE156" s="124"/>
      <c r="AF156" s="124"/>
      <c r="AG156" s="124"/>
      <c r="AH156" s="124"/>
      <c r="AI156" s="124"/>
      <c r="AJ156" s="124">
        <f>SUM(G156,I156:AI156)</f>
        <v>48</v>
      </c>
      <c r="AK156" s="136">
        <v>8</v>
      </c>
      <c r="AL156" s="253">
        <f>SUM(AJ153:AJ156,AJ144:AJ150,AJ138:AJ142)</f>
        <v>751.29999999999984</v>
      </c>
      <c r="AM156" s="126"/>
      <c r="AN156" s="126"/>
    </row>
    <row r="157" spans="1:40" s="125" customFormat="1" ht="18" x14ac:dyDescent="0.2">
      <c r="A157" s="122"/>
      <c r="B157" s="131"/>
      <c r="C157" s="122"/>
      <c r="D157" s="122"/>
      <c r="E157" s="122"/>
      <c r="F157" s="124"/>
      <c r="G157" s="124"/>
      <c r="H157" s="124"/>
      <c r="I157" s="124"/>
      <c r="J157" s="124"/>
      <c r="K157" s="367" t="s">
        <v>457</v>
      </c>
      <c r="L157" s="367"/>
      <c r="M157" s="367"/>
      <c r="N157" s="367"/>
      <c r="O157" s="367"/>
      <c r="P157" s="367"/>
      <c r="Q157" s="367"/>
      <c r="R157" s="367"/>
      <c r="S157" s="367"/>
      <c r="T157" s="367"/>
      <c r="U157" s="367"/>
      <c r="V157" s="367"/>
      <c r="W157" s="367"/>
      <c r="X157" s="367"/>
      <c r="Y157" s="367"/>
      <c r="Z157" s="367"/>
      <c r="AA157" s="367"/>
      <c r="AB157" s="367"/>
      <c r="AC157" s="124"/>
      <c r="AD157" s="124"/>
      <c r="AE157" s="111"/>
      <c r="AF157" s="124"/>
      <c r="AG157" s="124"/>
      <c r="AH157" s="124"/>
      <c r="AI157" s="124"/>
      <c r="AJ157" s="124">
        <f t="shared" si="18"/>
        <v>0</v>
      </c>
      <c r="AK157" s="122"/>
      <c r="AL157" s="126"/>
      <c r="AM157" s="126"/>
      <c r="AN157" s="126"/>
    </row>
    <row r="158" spans="1:40" s="125" customFormat="1" ht="18" x14ac:dyDescent="0.2">
      <c r="A158" s="122" t="s">
        <v>192</v>
      </c>
      <c r="B158" s="131" t="s">
        <v>106</v>
      </c>
      <c r="C158" s="122" t="s">
        <v>64</v>
      </c>
      <c r="D158" s="122">
        <f>Бюджет_Конт!$C$29</f>
        <v>6</v>
      </c>
      <c r="E158" s="122">
        <f>Бюджет_Конт!$C$19</f>
        <v>1</v>
      </c>
      <c r="F158" s="124"/>
      <c r="G158" s="124"/>
      <c r="H158" s="124"/>
      <c r="I158" s="124">
        <f t="shared" ref="I158" si="50">H158*E158</f>
        <v>0</v>
      </c>
      <c r="J158" s="124"/>
      <c r="K158" s="124"/>
      <c r="L158" s="124"/>
      <c r="M158" s="239"/>
      <c r="N158" s="124"/>
      <c r="O158" s="124"/>
      <c r="P158" s="124"/>
      <c r="Q158" s="239">
        <f t="shared" ref="Q158" si="51">IF(K158&gt;0,0.05*G158,IF(M158&gt;0,0.05*G158+1*E158,0))</f>
        <v>0</v>
      </c>
      <c r="R158" s="124"/>
      <c r="S158" s="124"/>
      <c r="T158" s="124"/>
      <c r="U158" s="124"/>
      <c r="V158" s="124">
        <f>4*D158</f>
        <v>24</v>
      </c>
      <c r="W158" s="137"/>
      <c r="X158" s="137"/>
      <c r="Y158" s="137"/>
      <c r="Z158" s="137"/>
      <c r="AA158" s="137"/>
      <c r="AB158" s="137"/>
      <c r="AC158" s="137"/>
      <c r="AD158" s="124"/>
      <c r="AE158" s="124"/>
      <c r="AF158" s="124"/>
      <c r="AG158" s="124"/>
      <c r="AH158" s="124"/>
      <c r="AI158" s="124"/>
      <c r="AJ158" s="124">
        <f t="shared" si="18"/>
        <v>24</v>
      </c>
      <c r="AK158" s="122">
        <v>7</v>
      </c>
      <c r="AM158" s="126"/>
      <c r="AN158" s="126"/>
    </row>
    <row r="159" spans="1:40" s="125" customFormat="1" ht="18" x14ac:dyDescent="0.2">
      <c r="A159" s="122"/>
      <c r="B159" s="131"/>
      <c r="C159" s="122"/>
      <c r="D159" s="122"/>
      <c r="E159" s="122"/>
      <c r="F159" s="124"/>
      <c r="G159" s="124"/>
      <c r="H159" s="124"/>
      <c r="I159" s="124"/>
      <c r="J159" s="124"/>
      <c r="K159" s="367" t="s">
        <v>81</v>
      </c>
      <c r="L159" s="367"/>
      <c r="M159" s="367"/>
      <c r="N159" s="367"/>
      <c r="O159" s="367"/>
      <c r="P159" s="367"/>
      <c r="Q159" s="367"/>
      <c r="R159" s="367"/>
      <c r="S159" s="367"/>
      <c r="T159" s="367"/>
      <c r="U159" s="367"/>
      <c r="V159" s="367"/>
      <c r="W159" s="367"/>
      <c r="X159" s="367"/>
      <c r="Y159" s="367"/>
      <c r="Z159" s="367"/>
      <c r="AA159" s="367"/>
      <c r="AB159" s="367"/>
      <c r="AC159" s="124"/>
      <c r="AD159" s="124"/>
      <c r="AE159" s="111"/>
      <c r="AF159" s="124"/>
      <c r="AG159" s="124"/>
      <c r="AH159" s="124"/>
      <c r="AI159" s="124"/>
      <c r="AJ159" s="124">
        <f t="shared" ref="AJ159" si="52">SUM(G159,I159:AI159)</f>
        <v>0</v>
      </c>
      <c r="AK159" s="122"/>
      <c r="AL159" s="126"/>
      <c r="AM159" s="126"/>
      <c r="AN159" s="126"/>
    </row>
    <row r="160" spans="1:40" s="125" customFormat="1" ht="18" x14ac:dyDescent="0.2">
      <c r="A160" s="122" t="s">
        <v>285</v>
      </c>
      <c r="B160" s="131" t="s">
        <v>363</v>
      </c>
      <c r="C160" s="122" t="s">
        <v>66</v>
      </c>
      <c r="D160" s="122">
        <f>Бюджет_Конт!$C$30</f>
        <v>5</v>
      </c>
      <c r="E160" s="122">
        <f>Бюджет_Конт!$C$20</f>
        <v>1</v>
      </c>
      <c r="F160" s="124">
        <v>54</v>
      </c>
      <c r="G160" s="124">
        <f t="shared" ref="G160:G174" si="53">F160</f>
        <v>54</v>
      </c>
      <c r="H160" s="124">
        <v>36</v>
      </c>
      <c r="I160" s="124">
        <f t="shared" ref="I160:I173" si="54">H160*E160</f>
        <v>36</v>
      </c>
      <c r="J160" s="124"/>
      <c r="K160" s="124"/>
      <c r="L160" s="124"/>
      <c r="M160" s="239">
        <f>0.4*D160</f>
        <v>2</v>
      </c>
      <c r="N160" s="124"/>
      <c r="O160" s="124"/>
      <c r="P160" s="124"/>
      <c r="Q160" s="239">
        <f t="shared" ref="Q160:Q175" si="55">IF(K160&gt;0,0.05*G160,IF(M160&gt;0,0.05*G160+1*E160,0))</f>
        <v>3.7</v>
      </c>
      <c r="R160" s="124"/>
      <c r="S160" s="124"/>
      <c r="T160" s="124"/>
      <c r="U160" s="124"/>
      <c r="V160" s="124"/>
      <c r="W160" s="124"/>
      <c r="X160" s="124"/>
      <c r="Y160" s="124"/>
      <c r="Z160" s="124"/>
      <c r="AA160" s="124"/>
      <c r="AB160" s="124"/>
      <c r="AC160" s="124"/>
      <c r="AD160" s="124"/>
      <c r="AE160" s="111"/>
      <c r="AF160" s="124"/>
      <c r="AG160" s="124"/>
      <c r="AH160" s="124"/>
      <c r="AI160" s="124">
        <f>8*E160</f>
        <v>8</v>
      </c>
      <c r="AJ160" s="124">
        <f t="shared" si="18"/>
        <v>103.7</v>
      </c>
      <c r="AK160" s="122">
        <v>7</v>
      </c>
      <c r="AM160" s="126"/>
      <c r="AN160" s="126"/>
    </row>
    <row r="161" spans="1:239" s="126" customFormat="1" ht="18" x14ac:dyDescent="0.2">
      <c r="A161" s="122" t="s">
        <v>364</v>
      </c>
      <c r="B161" s="131" t="s">
        <v>365</v>
      </c>
      <c r="C161" s="122" t="s">
        <v>65</v>
      </c>
      <c r="D161" s="122">
        <f>Бюджет_Конт!$C$30</f>
        <v>5</v>
      </c>
      <c r="E161" s="122">
        <f>Бюджет_Конт!$C$20</f>
        <v>1</v>
      </c>
      <c r="F161" s="124"/>
      <c r="G161" s="124">
        <f t="shared" si="53"/>
        <v>0</v>
      </c>
      <c r="H161" s="124"/>
      <c r="I161" s="124">
        <f t="shared" si="54"/>
        <v>0</v>
      </c>
      <c r="J161" s="124">
        <f>50*ROUNDUP(D161/15,0)</f>
        <v>50</v>
      </c>
      <c r="K161" s="124">
        <f>0.3*D161</f>
        <v>1.5</v>
      </c>
      <c r="L161" s="124"/>
      <c r="M161" s="239"/>
      <c r="N161" s="124"/>
      <c r="O161" s="124"/>
      <c r="P161" s="124"/>
      <c r="Q161" s="239">
        <f t="shared" si="55"/>
        <v>0</v>
      </c>
      <c r="R161" s="124"/>
      <c r="S161" s="124"/>
      <c r="T161" s="124"/>
      <c r="U161" s="124"/>
      <c r="V161" s="124"/>
      <c r="W161" s="124"/>
      <c r="X161" s="124"/>
      <c r="Y161" s="124"/>
      <c r="Z161" s="124"/>
      <c r="AA161" s="124"/>
      <c r="AB161" s="124"/>
      <c r="AC161" s="124"/>
      <c r="AD161" s="124"/>
      <c r="AE161" s="124"/>
      <c r="AF161" s="124"/>
      <c r="AG161" s="124"/>
      <c r="AH161" s="124"/>
      <c r="AI161" s="124"/>
      <c r="AJ161" s="124">
        <f t="shared" si="18"/>
        <v>51.5</v>
      </c>
      <c r="AK161" s="122">
        <v>7</v>
      </c>
      <c r="AL161" s="125"/>
      <c r="AO161" s="125"/>
      <c r="AP161" s="125"/>
      <c r="AX161" s="257"/>
      <c r="BB161" s="257"/>
      <c r="BV161" s="125"/>
      <c r="BW161" s="125"/>
      <c r="BX161" s="258"/>
      <c r="BY161" s="125"/>
      <c r="BZ161" s="125"/>
      <c r="CA161" s="125"/>
      <c r="CI161" s="257"/>
      <c r="CM161" s="257"/>
      <c r="DG161" s="125"/>
      <c r="DH161" s="125"/>
      <c r="DI161" s="258"/>
      <c r="DJ161" s="125"/>
      <c r="DK161" s="125"/>
      <c r="DL161" s="125"/>
      <c r="DT161" s="257"/>
      <c r="DX161" s="257"/>
      <c r="ER161" s="125"/>
      <c r="ES161" s="125"/>
      <c r="ET161" s="258"/>
      <c r="EU161" s="125"/>
      <c r="EV161" s="125"/>
      <c r="EW161" s="125"/>
      <c r="FE161" s="257"/>
      <c r="FI161" s="257"/>
      <c r="GC161" s="125"/>
      <c r="GD161" s="125"/>
      <c r="GE161" s="258"/>
      <c r="GF161" s="125"/>
      <c r="GG161" s="125"/>
      <c r="GH161" s="125"/>
      <c r="GP161" s="257"/>
      <c r="GT161" s="257"/>
      <c r="HN161" s="125"/>
      <c r="HO161" s="125"/>
      <c r="HP161" s="258"/>
      <c r="HQ161" s="125"/>
      <c r="HR161" s="125"/>
      <c r="HS161" s="125"/>
      <c r="IA161" s="257"/>
      <c r="IE161" s="257"/>
    </row>
    <row r="162" spans="1:239" s="125" customFormat="1" ht="18" x14ac:dyDescent="0.2">
      <c r="A162" s="122" t="s">
        <v>193</v>
      </c>
      <c r="B162" s="131" t="s">
        <v>371</v>
      </c>
      <c r="C162" s="122" t="s">
        <v>65</v>
      </c>
      <c r="D162" s="122">
        <f>Бюджет_Конт!$C$30</f>
        <v>5</v>
      </c>
      <c r="E162" s="122">
        <f>Бюджет_Конт!$C$20</f>
        <v>1</v>
      </c>
      <c r="F162" s="124">
        <v>34</v>
      </c>
      <c r="G162" s="124">
        <f t="shared" si="53"/>
        <v>34</v>
      </c>
      <c r="H162" s="124">
        <v>16</v>
      </c>
      <c r="I162" s="124">
        <f t="shared" si="54"/>
        <v>16</v>
      </c>
      <c r="J162" s="124"/>
      <c r="K162" s="239">
        <f>0.3*D162</f>
        <v>1.5</v>
      </c>
      <c r="L162" s="239"/>
      <c r="M162" s="239"/>
      <c r="N162" s="239"/>
      <c r="O162" s="239"/>
      <c r="P162" s="239"/>
      <c r="Q162" s="239">
        <f t="shared" si="55"/>
        <v>1.7000000000000002</v>
      </c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124"/>
      <c r="AD162" s="124"/>
      <c r="AE162" s="111"/>
      <c r="AF162" s="124"/>
      <c r="AG162" s="124"/>
      <c r="AH162" s="124"/>
      <c r="AI162" s="124"/>
      <c r="AJ162" s="124">
        <f t="shared" si="18"/>
        <v>53.2</v>
      </c>
      <c r="AK162" s="122">
        <v>7</v>
      </c>
      <c r="AM162" s="126"/>
      <c r="AN162" s="126"/>
    </row>
    <row r="163" spans="1:239" s="125" customFormat="1" ht="18" x14ac:dyDescent="0.2">
      <c r="A163" s="122" t="s">
        <v>286</v>
      </c>
      <c r="B163" s="131" t="s">
        <v>370</v>
      </c>
      <c r="C163" s="122" t="s">
        <v>66</v>
      </c>
      <c r="D163" s="122">
        <f>Бюджет_Конт!$C$30</f>
        <v>5</v>
      </c>
      <c r="E163" s="122">
        <f>Бюджет_Конт!$C$20</f>
        <v>1</v>
      </c>
      <c r="F163" s="124">
        <v>18</v>
      </c>
      <c r="G163" s="124">
        <f t="shared" si="53"/>
        <v>18</v>
      </c>
      <c r="H163" s="124">
        <v>18</v>
      </c>
      <c r="I163" s="124">
        <f t="shared" si="54"/>
        <v>18</v>
      </c>
      <c r="J163" s="124"/>
      <c r="K163" s="239">
        <f>0.3*D163</f>
        <v>1.5</v>
      </c>
      <c r="L163" s="239"/>
      <c r="M163" s="239"/>
      <c r="N163" s="124"/>
      <c r="O163" s="124"/>
      <c r="P163" s="124"/>
      <c r="Q163" s="239">
        <f t="shared" si="55"/>
        <v>0.9</v>
      </c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124"/>
      <c r="AD163" s="124"/>
      <c r="AE163" s="111"/>
      <c r="AF163" s="124"/>
      <c r="AG163" s="124"/>
      <c r="AH163" s="124"/>
      <c r="AI163" s="124"/>
      <c r="AJ163" s="124">
        <f t="shared" si="18"/>
        <v>38.4</v>
      </c>
      <c r="AK163" s="122">
        <v>7</v>
      </c>
      <c r="AM163" s="126"/>
      <c r="AN163" s="126"/>
    </row>
    <row r="164" spans="1:239" s="125" customFormat="1" ht="36" x14ac:dyDescent="0.2">
      <c r="A164" s="122" t="s">
        <v>207</v>
      </c>
      <c r="B164" s="131" t="s">
        <v>368</v>
      </c>
      <c r="C164" s="122" t="s">
        <v>65</v>
      </c>
      <c r="D164" s="122">
        <f>Бюджет_Конт!$C$30</f>
        <v>5</v>
      </c>
      <c r="E164" s="122">
        <f>Бюджет_Конт!$C$20</f>
        <v>1</v>
      </c>
      <c r="F164" s="124"/>
      <c r="G164" s="256"/>
      <c r="H164" s="256"/>
      <c r="I164" s="256"/>
      <c r="J164" s="256"/>
      <c r="K164" s="256"/>
      <c r="L164" s="256"/>
      <c r="M164" s="239"/>
      <c r="N164" s="124"/>
      <c r="O164" s="124"/>
      <c r="P164" s="124"/>
      <c r="Q164" s="239">
        <f>IF(K164&gt;0,0.05*G164,IF(M164&gt;0,0.05*G164+1*E164,0))</f>
        <v>0</v>
      </c>
      <c r="R164" s="124"/>
      <c r="S164" s="124"/>
      <c r="T164" s="124">
        <f>1*(4/3)*D164</f>
        <v>6.6666666666666661</v>
      </c>
      <c r="U164" s="124"/>
      <c r="V164" s="124"/>
      <c r="W164" s="124"/>
      <c r="X164" s="124"/>
      <c r="Y164" s="124"/>
      <c r="Z164" s="124"/>
      <c r="AA164" s="124"/>
      <c r="AB164" s="124"/>
      <c r="AC164" s="124"/>
      <c r="AD164" s="124"/>
      <c r="AE164" s="124"/>
      <c r="AF164" s="124"/>
      <c r="AG164" s="124"/>
      <c r="AH164" s="124"/>
      <c r="AI164" s="124"/>
      <c r="AJ164" s="124">
        <f>SUM(G164,I164:AI164)</f>
        <v>6.6666666666666661</v>
      </c>
      <c r="AK164" s="122">
        <v>7</v>
      </c>
      <c r="AM164" s="126"/>
      <c r="AN164" s="126"/>
    </row>
    <row r="165" spans="1:239" s="125" customFormat="1" ht="36" x14ac:dyDescent="0.2">
      <c r="A165" s="122" t="s">
        <v>288</v>
      </c>
      <c r="B165" s="131" t="s">
        <v>367</v>
      </c>
      <c r="C165" s="122" t="s">
        <v>66</v>
      </c>
      <c r="D165" s="122">
        <f>Бюджет_Конт!$C$30</f>
        <v>5</v>
      </c>
      <c r="E165" s="122">
        <f>Бюджет_Конт!$C$20</f>
        <v>1</v>
      </c>
      <c r="F165" s="124"/>
      <c r="G165" s="124"/>
      <c r="H165" s="124"/>
      <c r="I165" s="124"/>
      <c r="J165" s="124"/>
      <c r="K165" s="124"/>
      <c r="L165" s="124"/>
      <c r="M165" s="239"/>
      <c r="N165" s="124"/>
      <c r="O165" s="124"/>
      <c r="P165" s="124"/>
      <c r="Q165" s="239">
        <f t="shared" ref="Q165" si="56">IF(K165&gt;0,0.05*G165,IF(M165&gt;0,0.05*G165+1*E165,0))</f>
        <v>0</v>
      </c>
      <c r="R165" s="124"/>
      <c r="S165" s="124"/>
      <c r="T165" s="124">
        <f>1*(2)*D165</f>
        <v>10</v>
      </c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  <c r="AE165" s="124"/>
      <c r="AF165" s="124"/>
      <c r="AG165" s="124"/>
      <c r="AH165" s="124"/>
      <c r="AI165" s="124"/>
      <c r="AJ165" s="124">
        <f t="shared" ref="AJ165" si="57">SUM(G165,I165:AI165)</f>
        <v>10</v>
      </c>
      <c r="AK165" s="122">
        <v>7</v>
      </c>
      <c r="AM165" s="126"/>
      <c r="AN165" s="126"/>
    </row>
    <row r="166" spans="1:239" s="125" customFormat="1" ht="36" x14ac:dyDescent="0.2">
      <c r="A166" s="122" t="s">
        <v>460</v>
      </c>
      <c r="B166" s="131" t="s">
        <v>95</v>
      </c>
      <c r="C166" s="122" t="s">
        <v>74</v>
      </c>
      <c r="D166" s="122">
        <f>Бюджет_Конт!$C$31</f>
        <v>4</v>
      </c>
      <c r="E166" s="122">
        <f>Бюджет_Конт!$C$21</f>
        <v>1</v>
      </c>
      <c r="F166" s="124"/>
      <c r="G166" s="124">
        <f t="shared" si="53"/>
        <v>0</v>
      </c>
      <c r="H166" s="124"/>
      <c r="I166" s="124">
        <f t="shared" si="54"/>
        <v>0</v>
      </c>
      <c r="J166" s="124">
        <f>48*ROUNDUP(D166/15,0)</f>
        <v>48</v>
      </c>
      <c r="K166" s="239">
        <f>0.3*D166</f>
        <v>1.2</v>
      </c>
      <c r="L166" s="239"/>
      <c r="M166" s="239"/>
      <c r="N166" s="239"/>
      <c r="O166" s="239"/>
      <c r="P166" s="239"/>
      <c r="Q166" s="239">
        <f t="shared" si="55"/>
        <v>0</v>
      </c>
      <c r="R166" s="239"/>
      <c r="S166" s="239"/>
      <c r="T166" s="239"/>
      <c r="U166" s="239"/>
      <c r="V166" s="124"/>
      <c r="W166" s="239"/>
      <c r="X166" s="239"/>
      <c r="Y166" s="239"/>
      <c r="Z166" s="239"/>
      <c r="AA166" s="239"/>
      <c r="AB166" s="239"/>
      <c r="AC166" s="124"/>
      <c r="AD166" s="124"/>
      <c r="AE166" s="111"/>
      <c r="AF166" s="124"/>
      <c r="AG166" s="124"/>
      <c r="AH166" s="124"/>
      <c r="AI166" s="124"/>
      <c r="AJ166" s="124">
        <f t="shared" si="18"/>
        <v>49.2</v>
      </c>
      <c r="AK166" s="122">
        <v>8</v>
      </c>
      <c r="AM166" s="126"/>
      <c r="AN166" s="126"/>
    </row>
    <row r="167" spans="1:239" s="125" customFormat="1" ht="18" x14ac:dyDescent="0.2">
      <c r="A167" s="122" t="s">
        <v>307</v>
      </c>
      <c r="B167" s="131" t="s">
        <v>97</v>
      </c>
      <c r="C167" s="122" t="s">
        <v>68</v>
      </c>
      <c r="D167" s="122">
        <f>Бюджет_Конт!$C$31</f>
        <v>4</v>
      </c>
      <c r="E167" s="122">
        <f>Бюджет_Конт!$C$21</f>
        <v>1</v>
      </c>
      <c r="F167" s="124">
        <v>34</v>
      </c>
      <c r="G167" s="124">
        <f t="shared" si="53"/>
        <v>34</v>
      </c>
      <c r="H167" s="124"/>
      <c r="I167" s="124">
        <f t="shared" si="54"/>
        <v>0</v>
      </c>
      <c r="J167" s="124">
        <f>50*ROUNDUP(D167/15,0)</f>
        <v>50</v>
      </c>
      <c r="K167" s="239">
        <f>0.3*D167</f>
        <v>1.2</v>
      </c>
      <c r="L167" s="239"/>
      <c r="M167" s="239"/>
      <c r="N167" s="239"/>
      <c r="O167" s="239"/>
      <c r="P167" s="239"/>
      <c r="Q167" s="239">
        <f t="shared" si="55"/>
        <v>1.7000000000000002</v>
      </c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124"/>
      <c r="AD167" s="124"/>
      <c r="AE167" s="111"/>
      <c r="AF167" s="124"/>
      <c r="AG167" s="124"/>
      <c r="AH167" s="124"/>
      <c r="AI167" s="124">
        <f>0*E167</f>
        <v>0</v>
      </c>
      <c r="AJ167" s="124">
        <f t="shared" si="18"/>
        <v>86.9</v>
      </c>
      <c r="AK167" s="122">
        <v>7</v>
      </c>
      <c r="AM167" s="126"/>
      <c r="AN167" s="126"/>
    </row>
    <row r="168" spans="1:239" s="125" customFormat="1" ht="18" x14ac:dyDescent="0.2">
      <c r="A168" s="122" t="s">
        <v>369</v>
      </c>
      <c r="B168" s="131" t="s">
        <v>98</v>
      </c>
      <c r="C168" s="122" t="s">
        <v>68</v>
      </c>
      <c r="D168" s="122">
        <f>Бюджет_Конт!$C$31</f>
        <v>4</v>
      </c>
      <c r="E168" s="122">
        <f>Бюджет_Конт!$C$21</f>
        <v>1</v>
      </c>
      <c r="F168" s="124">
        <v>16</v>
      </c>
      <c r="G168" s="124">
        <f t="shared" si="53"/>
        <v>16</v>
      </c>
      <c r="H168" s="124">
        <v>50</v>
      </c>
      <c r="I168" s="124">
        <f t="shared" si="54"/>
        <v>50</v>
      </c>
      <c r="J168" s="124"/>
      <c r="K168" s="239"/>
      <c r="L168" s="239"/>
      <c r="M168" s="239">
        <f>0.4*D168</f>
        <v>1.6</v>
      </c>
      <c r="N168" s="239"/>
      <c r="O168" s="239"/>
      <c r="P168" s="239"/>
      <c r="Q168" s="239">
        <f t="shared" si="55"/>
        <v>1.8</v>
      </c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124"/>
      <c r="AD168" s="124"/>
      <c r="AE168" s="111"/>
      <c r="AF168" s="124"/>
      <c r="AG168" s="124"/>
      <c r="AH168" s="124"/>
      <c r="AI168" s="124"/>
      <c r="AJ168" s="124">
        <f t="shared" si="18"/>
        <v>69.399999999999991</v>
      </c>
      <c r="AK168" s="122">
        <v>7</v>
      </c>
      <c r="AM168" s="126"/>
      <c r="AN168" s="126"/>
    </row>
    <row r="169" spans="1:239" s="125" customFormat="1" ht="18" x14ac:dyDescent="0.2">
      <c r="A169" s="122" t="s">
        <v>308</v>
      </c>
      <c r="B169" s="131" t="s">
        <v>99</v>
      </c>
      <c r="C169" s="122" t="s">
        <v>68</v>
      </c>
      <c r="D169" s="122">
        <f>Бюджет_Конт!$C$31</f>
        <v>4</v>
      </c>
      <c r="E169" s="122">
        <f>Бюджет_Конт!$C$21</f>
        <v>1</v>
      </c>
      <c r="F169" s="124">
        <v>34</v>
      </c>
      <c r="G169" s="124">
        <f t="shared" si="53"/>
        <v>34</v>
      </c>
      <c r="H169" s="124">
        <v>50</v>
      </c>
      <c r="I169" s="124">
        <f t="shared" si="54"/>
        <v>50</v>
      </c>
      <c r="J169" s="124"/>
      <c r="K169" s="239"/>
      <c r="L169" s="239"/>
      <c r="M169" s="239">
        <f>0.4*D169</f>
        <v>1.6</v>
      </c>
      <c r="N169" s="239"/>
      <c r="O169" s="239"/>
      <c r="P169" s="239"/>
      <c r="Q169" s="239">
        <f t="shared" si="55"/>
        <v>2.7</v>
      </c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124"/>
      <c r="AD169" s="124"/>
      <c r="AE169" s="111"/>
      <c r="AF169" s="124"/>
      <c r="AG169" s="124"/>
      <c r="AH169" s="124"/>
      <c r="AI169" s="124"/>
      <c r="AJ169" s="124">
        <f t="shared" ref="AJ169:AJ195" si="58">SUM(G169,I169:AI169)</f>
        <v>88.3</v>
      </c>
      <c r="AK169" s="122">
        <v>7</v>
      </c>
      <c r="AM169" s="126"/>
      <c r="AN169" s="126"/>
    </row>
    <row r="170" spans="1:239" s="125" customFormat="1" ht="18" x14ac:dyDescent="0.2">
      <c r="A170" s="122" t="s">
        <v>262</v>
      </c>
      <c r="B170" s="131" t="s">
        <v>463</v>
      </c>
      <c r="C170" s="122" t="s">
        <v>74</v>
      </c>
      <c r="D170" s="122">
        <f>Бюджет_Конт!$C$31</f>
        <v>4</v>
      </c>
      <c r="E170" s="122">
        <f>Бюджет_Конт!$C$21</f>
        <v>1</v>
      </c>
      <c r="F170" s="124">
        <v>24</v>
      </c>
      <c r="G170" s="124">
        <f t="shared" si="53"/>
        <v>24</v>
      </c>
      <c r="H170" s="124">
        <v>24</v>
      </c>
      <c r="I170" s="124">
        <f t="shared" si="54"/>
        <v>24</v>
      </c>
      <c r="J170" s="124"/>
      <c r="K170" s="239"/>
      <c r="L170" s="239"/>
      <c r="M170" s="239">
        <f>0.4*D170</f>
        <v>1.6</v>
      </c>
      <c r="N170" s="239"/>
      <c r="O170" s="239"/>
      <c r="P170" s="239"/>
      <c r="Q170" s="239">
        <f t="shared" si="55"/>
        <v>2.2000000000000002</v>
      </c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124"/>
      <c r="AD170" s="124"/>
      <c r="AE170" s="111"/>
      <c r="AF170" s="124"/>
      <c r="AG170" s="124"/>
      <c r="AH170" s="124"/>
      <c r="AI170" s="124"/>
      <c r="AJ170" s="124">
        <f t="shared" si="58"/>
        <v>51.800000000000004</v>
      </c>
      <c r="AK170" s="122">
        <v>7</v>
      </c>
      <c r="AM170" s="126"/>
      <c r="AN170" s="126"/>
    </row>
    <row r="171" spans="1:239" s="125" customFormat="1" ht="18" x14ac:dyDescent="0.2">
      <c r="A171" s="122" t="s">
        <v>309</v>
      </c>
      <c r="B171" s="131" t="s">
        <v>101</v>
      </c>
      <c r="C171" s="122" t="s">
        <v>74</v>
      </c>
      <c r="D171" s="122">
        <f>Бюджет_Конт!$C$31</f>
        <v>4</v>
      </c>
      <c r="E171" s="122">
        <f>Бюджет_Конт!$C$21</f>
        <v>1</v>
      </c>
      <c r="F171" s="124">
        <v>24</v>
      </c>
      <c r="G171" s="124">
        <f t="shared" si="53"/>
        <v>24</v>
      </c>
      <c r="H171" s="124">
        <v>36</v>
      </c>
      <c r="I171" s="124">
        <f t="shared" si="54"/>
        <v>36</v>
      </c>
      <c r="J171" s="124"/>
      <c r="K171" s="239">
        <f>0.3*D171</f>
        <v>1.2</v>
      </c>
      <c r="L171" s="239"/>
      <c r="M171" s="239"/>
      <c r="N171" s="239"/>
      <c r="O171" s="239"/>
      <c r="P171" s="239"/>
      <c r="Q171" s="239">
        <f t="shared" si="55"/>
        <v>1.2000000000000002</v>
      </c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124"/>
      <c r="AD171" s="124"/>
      <c r="AE171" s="111"/>
      <c r="AF171" s="124"/>
      <c r="AG171" s="124"/>
      <c r="AH171" s="124"/>
      <c r="AI171" s="124"/>
      <c r="AJ171" s="124">
        <f t="shared" si="58"/>
        <v>62.400000000000006</v>
      </c>
      <c r="AK171" s="122">
        <v>7</v>
      </c>
      <c r="AM171" s="126"/>
      <c r="AN171" s="126"/>
    </row>
    <row r="172" spans="1:239" s="125" customFormat="1" ht="36" x14ac:dyDescent="0.2">
      <c r="A172" s="122" t="s">
        <v>209</v>
      </c>
      <c r="B172" s="131" t="s">
        <v>468</v>
      </c>
      <c r="C172" s="122" t="s">
        <v>68</v>
      </c>
      <c r="D172" s="122">
        <f>Бюджет_Конт!$C$31</f>
        <v>4</v>
      </c>
      <c r="E172" s="122">
        <f>Бюджет_Конт!$C$21</f>
        <v>1</v>
      </c>
      <c r="F172" s="124">
        <v>34</v>
      </c>
      <c r="G172" s="124">
        <f t="shared" si="53"/>
        <v>34</v>
      </c>
      <c r="H172" s="124"/>
      <c r="I172" s="124">
        <f t="shared" si="54"/>
        <v>0</v>
      </c>
      <c r="J172" s="124">
        <f>34*ROUNDUP(D172/15,0)</f>
        <v>34</v>
      </c>
      <c r="K172" s="239">
        <f>0.3*D172</f>
        <v>1.2</v>
      </c>
      <c r="L172" s="239"/>
      <c r="M172" s="239"/>
      <c r="N172" s="239"/>
      <c r="O172" s="239"/>
      <c r="P172" s="239"/>
      <c r="Q172" s="239">
        <f t="shared" si="55"/>
        <v>1.7000000000000002</v>
      </c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124"/>
      <c r="AD172" s="124"/>
      <c r="AE172" s="111"/>
      <c r="AF172" s="124"/>
      <c r="AG172" s="124"/>
      <c r="AH172" s="124"/>
      <c r="AI172" s="124"/>
      <c r="AJ172" s="124">
        <f t="shared" si="58"/>
        <v>70.900000000000006</v>
      </c>
      <c r="AK172" s="122">
        <v>7</v>
      </c>
      <c r="AM172" s="126"/>
      <c r="AN172" s="126"/>
    </row>
    <row r="173" spans="1:239" s="125" customFormat="1" ht="18" x14ac:dyDescent="0.2">
      <c r="A173" s="122" t="s">
        <v>280</v>
      </c>
      <c r="B173" s="131" t="s">
        <v>100</v>
      </c>
      <c r="C173" s="122" t="s">
        <v>68</v>
      </c>
      <c r="D173" s="122">
        <f>Бюджет_Конт!$C$31</f>
        <v>4</v>
      </c>
      <c r="E173" s="122">
        <f>Бюджет_Конт!$C$21</f>
        <v>1</v>
      </c>
      <c r="F173" s="124">
        <v>34</v>
      </c>
      <c r="G173" s="124">
        <f t="shared" si="53"/>
        <v>34</v>
      </c>
      <c r="H173" s="124">
        <v>34</v>
      </c>
      <c r="I173" s="124">
        <f t="shared" si="54"/>
        <v>34</v>
      </c>
      <c r="J173" s="124"/>
      <c r="K173" s="239"/>
      <c r="L173" s="124"/>
      <c r="M173" s="239">
        <f>0.4*D173</f>
        <v>1.6</v>
      </c>
      <c r="N173" s="124"/>
      <c r="O173" s="124"/>
      <c r="P173" s="124"/>
      <c r="Q173" s="239">
        <f t="shared" si="55"/>
        <v>2.7</v>
      </c>
      <c r="R173" s="124"/>
      <c r="S173" s="124"/>
      <c r="T173" s="124"/>
      <c r="U173" s="124"/>
      <c r="V173" s="124"/>
      <c r="W173" s="124"/>
      <c r="X173" s="124"/>
      <c r="Y173" s="124"/>
      <c r="Z173" s="124"/>
      <c r="AA173" s="124"/>
      <c r="AB173" s="124"/>
      <c r="AC173" s="124"/>
      <c r="AD173" s="124"/>
      <c r="AE173" s="124"/>
      <c r="AF173" s="124"/>
      <c r="AG173" s="124"/>
      <c r="AH173" s="124"/>
      <c r="AI173" s="124"/>
      <c r="AJ173" s="124">
        <f t="shared" si="58"/>
        <v>72.3</v>
      </c>
      <c r="AK173" s="122">
        <v>7</v>
      </c>
      <c r="AM173" s="126"/>
      <c r="AN173" s="126"/>
    </row>
    <row r="174" spans="1:239" s="125" customFormat="1" ht="18" x14ac:dyDescent="0.2">
      <c r="A174" s="122" t="s">
        <v>553</v>
      </c>
      <c r="B174" s="131" t="s">
        <v>454</v>
      </c>
      <c r="C174" s="122" t="s">
        <v>74</v>
      </c>
      <c r="D174" s="122">
        <f>Бюджет_Конт!$C$31</f>
        <v>4</v>
      </c>
      <c r="E174" s="122">
        <f>Бюджет_Конт!$C$21</f>
        <v>1</v>
      </c>
      <c r="F174" s="124"/>
      <c r="G174" s="124">
        <f t="shared" si="53"/>
        <v>0</v>
      </c>
      <c r="H174" s="124"/>
      <c r="I174" s="124">
        <f>H174*E174</f>
        <v>0</v>
      </c>
      <c r="J174" s="124"/>
      <c r="K174" s="124"/>
      <c r="L174" s="124"/>
      <c r="M174" s="239"/>
      <c r="N174" s="124"/>
      <c r="O174" s="124"/>
      <c r="P174" s="124"/>
      <c r="Q174" s="239">
        <f t="shared" si="55"/>
        <v>0</v>
      </c>
      <c r="R174" s="124"/>
      <c r="S174" s="124"/>
      <c r="T174" s="124">
        <f>1*(5+1/3)*D174</f>
        <v>21.333333333333332</v>
      </c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>
        <f>0*E174</f>
        <v>0</v>
      </c>
      <c r="AJ174" s="124">
        <f>SUM(G174,I174:AI174)</f>
        <v>21.333333333333332</v>
      </c>
      <c r="AK174" s="136">
        <v>7</v>
      </c>
      <c r="AL174" s="248"/>
      <c r="AM174" s="126"/>
      <c r="AN174" s="126"/>
    </row>
    <row r="175" spans="1:239" s="125" customFormat="1" ht="18" x14ac:dyDescent="0.2">
      <c r="A175" s="122"/>
      <c r="B175" s="131" t="s">
        <v>171</v>
      </c>
      <c r="C175" s="122" t="s">
        <v>74</v>
      </c>
      <c r="D175" s="122">
        <f>Бюджет_Конт!$C$31</f>
        <v>4</v>
      </c>
      <c r="E175" s="122">
        <f>Бюджет_Конт!$C$21</f>
        <v>1</v>
      </c>
      <c r="F175" s="124"/>
      <c r="G175" s="124" t="s">
        <v>184</v>
      </c>
      <c r="H175" s="124"/>
      <c r="I175" s="124"/>
      <c r="J175" s="124"/>
      <c r="K175" s="124"/>
      <c r="L175" s="124"/>
      <c r="M175" s="124"/>
      <c r="N175" s="124"/>
      <c r="O175" s="124"/>
      <c r="P175" s="124"/>
      <c r="Q175" s="239">
        <f t="shared" si="55"/>
        <v>0</v>
      </c>
      <c r="R175" s="124"/>
      <c r="S175" s="124"/>
      <c r="T175" s="124"/>
      <c r="U175" s="124"/>
      <c r="V175" s="124"/>
      <c r="W175" s="124">
        <f>16*D175</f>
        <v>64</v>
      </c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  <c r="AJ175" s="124">
        <f>SUM(G175,I175:AI175)</f>
        <v>64</v>
      </c>
      <c r="AK175" s="136">
        <v>7</v>
      </c>
      <c r="AL175" s="253" t="e">
        <f>#REF!+#REF!+#REF!+#REF!+AJ166+#REF!</f>
        <v>#REF!</v>
      </c>
      <c r="AM175" s="126"/>
      <c r="AN175" s="126"/>
    </row>
    <row r="176" spans="1:239" s="125" customFormat="1" ht="18" x14ac:dyDescent="0.2">
      <c r="A176" s="122"/>
      <c r="B176" s="131"/>
      <c r="C176" s="122"/>
      <c r="D176" s="122"/>
      <c r="E176" s="122"/>
      <c r="F176" s="124"/>
      <c r="G176" s="124">
        <f t="shared" ref="G176:G184" si="59">F176</f>
        <v>0</v>
      </c>
      <c r="H176" s="124"/>
      <c r="I176" s="124">
        <f t="shared" ref="I176:I195" si="60">H176*E176</f>
        <v>0</v>
      </c>
      <c r="J176" s="124"/>
      <c r="K176" s="361" t="s">
        <v>82</v>
      </c>
      <c r="L176" s="361"/>
      <c r="M176" s="361"/>
      <c r="N176" s="361"/>
      <c r="O176" s="361"/>
      <c r="P176" s="361"/>
      <c r="Q176" s="361"/>
      <c r="R176" s="361"/>
      <c r="S176" s="361"/>
      <c r="T176" s="361"/>
      <c r="U176" s="361"/>
      <c r="V176" s="361"/>
      <c r="W176" s="361"/>
      <c r="X176" s="361"/>
      <c r="Y176" s="361"/>
      <c r="Z176" s="361"/>
      <c r="AA176" s="361"/>
      <c r="AB176" s="361"/>
      <c r="AC176" s="124"/>
      <c r="AD176" s="124"/>
      <c r="AE176" s="124"/>
      <c r="AF176" s="124"/>
      <c r="AG176" s="124"/>
      <c r="AH176" s="124"/>
      <c r="AI176" s="124"/>
      <c r="AJ176" s="124">
        <f t="shared" si="58"/>
        <v>0</v>
      </c>
      <c r="AK176" s="122"/>
      <c r="AM176" s="126"/>
      <c r="AN176" s="126"/>
    </row>
    <row r="177" spans="1:40" s="125" customFormat="1" ht="18" x14ac:dyDescent="0.2">
      <c r="A177" s="122" t="s">
        <v>192</v>
      </c>
      <c r="B177" s="131" t="s">
        <v>106</v>
      </c>
      <c r="C177" s="122" t="s">
        <v>64</v>
      </c>
      <c r="D177" s="122">
        <f>Бюджет_Конт!$D$29</f>
        <v>6</v>
      </c>
      <c r="E177" s="122">
        <f>Бюджет_Конт!$C$19</f>
        <v>1</v>
      </c>
      <c r="F177" s="124"/>
      <c r="G177" s="124"/>
      <c r="H177" s="124"/>
      <c r="I177" s="124">
        <f t="shared" si="60"/>
        <v>0</v>
      </c>
      <c r="J177" s="124"/>
      <c r="K177" s="124"/>
      <c r="L177" s="124"/>
      <c r="M177" s="239"/>
      <c r="N177" s="124"/>
      <c r="O177" s="124"/>
      <c r="P177" s="124"/>
      <c r="Q177" s="239">
        <f t="shared" ref="Q177" si="61">IF(K177&gt;0,0.05*G177,IF(M177&gt;0,0.05*G177+1*E177,0))</f>
        <v>0</v>
      </c>
      <c r="R177" s="124"/>
      <c r="S177" s="124"/>
      <c r="T177" s="124"/>
      <c r="U177" s="124"/>
      <c r="V177" s="124">
        <f>4*D177</f>
        <v>24</v>
      </c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  <c r="AG177" s="124"/>
      <c r="AH177" s="124"/>
      <c r="AI177" s="124"/>
      <c r="AJ177" s="124">
        <f t="shared" si="58"/>
        <v>24</v>
      </c>
      <c r="AK177" s="122">
        <v>12</v>
      </c>
      <c r="AM177" s="126"/>
      <c r="AN177" s="126"/>
    </row>
    <row r="178" spans="1:40" s="125" customFormat="1" ht="18" x14ac:dyDescent="0.2">
      <c r="A178" s="122" t="s">
        <v>462</v>
      </c>
      <c r="B178" s="131" t="s">
        <v>241</v>
      </c>
      <c r="C178" s="122" t="s">
        <v>64</v>
      </c>
      <c r="D178" s="122">
        <f>Бюджет_Конт!$D$29</f>
        <v>6</v>
      </c>
      <c r="E178" s="122">
        <f>Бюджет_Конт!$C$19</f>
        <v>1</v>
      </c>
      <c r="F178" s="124"/>
      <c r="G178" s="124">
        <f t="shared" si="59"/>
        <v>0</v>
      </c>
      <c r="H178" s="124">
        <v>40</v>
      </c>
      <c r="I178" s="124">
        <f t="shared" si="60"/>
        <v>40</v>
      </c>
      <c r="J178" s="124"/>
      <c r="K178" s="239">
        <f t="shared" ref="K178:K185" si="62">0.3*D178</f>
        <v>1.7999999999999998</v>
      </c>
      <c r="L178" s="124"/>
      <c r="M178" s="239"/>
      <c r="N178" s="124"/>
      <c r="O178" s="124"/>
      <c r="P178" s="124"/>
      <c r="Q178" s="239">
        <f t="shared" ref="Q178:Q195" si="63">IF(K178&gt;0,0.05*G178,IF(M178&gt;0,0.05*G178+1*E178,0))</f>
        <v>0</v>
      </c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>
        <f>4*E178</f>
        <v>4</v>
      </c>
      <c r="AJ178" s="124">
        <f t="shared" si="58"/>
        <v>45.8</v>
      </c>
      <c r="AK178" s="122">
        <v>12</v>
      </c>
      <c r="AM178" s="126"/>
      <c r="AN178" s="126"/>
    </row>
    <row r="179" spans="1:40" s="125" customFormat="1" ht="18" x14ac:dyDescent="0.2">
      <c r="A179" s="122" t="s">
        <v>364</v>
      </c>
      <c r="B179" s="131" t="s">
        <v>372</v>
      </c>
      <c r="C179" s="122" t="s">
        <v>65</v>
      </c>
      <c r="D179" s="122">
        <f>Бюджет_Конт!$D$30</f>
        <v>6</v>
      </c>
      <c r="E179" s="122">
        <f>Бюджет_Конт!$C$20</f>
        <v>1</v>
      </c>
      <c r="F179" s="124"/>
      <c r="G179" s="124">
        <f t="shared" si="59"/>
        <v>0</v>
      </c>
      <c r="H179" s="124"/>
      <c r="I179" s="124">
        <f t="shared" si="60"/>
        <v>0</v>
      </c>
      <c r="J179" s="124">
        <f>68*ROUNDUP(D179/15,0)</f>
        <v>68</v>
      </c>
      <c r="K179" s="239"/>
      <c r="L179" s="124"/>
      <c r="M179" s="239"/>
      <c r="N179" s="124"/>
      <c r="O179" s="124"/>
      <c r="P179" s="124"/>
      <c r="Q179" s="239">
        <f t="shared" si="63"/>
        <v>0</v>
      </c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4"/>
      <c r="AJ179" s="124">
        <f t="shared" si="58"/>
        <v>68</v>
      </c>
      <c r="AK179" s="122">
        <v>12</v>
      </c>
      <c r="AM179" s="126"/>
      <c r="AN179" s="126"/>
    </row>
    <row r="180" spans="1:40" s="125" customFormat="1" ht="18" x14ac:dyDescent="0.2">
      <c r="A180" s="122" t="s">
        <v>364</v>
      </c>
      <c r="B180" s="131" t="s">
        <v>372</v>
      </c>
      <c r="C180" s="122" t="s">
        <v>66</v>
      </c>
      <c r="D180" s="122">
        <f>Бюджет_Конт!$D$30</f>
        <v>6</v>
      </c>
      <c r="E180" s="122">
        <f>Бюджет_Конт!$C$20</f>
        <v>1</v>
      </c>
      <c r="F180" s="124"/>
      <c r="G180" s="124">
        <f>F180</f>
        <v>0</v>
      </c>
      <c r="H180" s="124"/>
      <c r="I180" s="124">
        <f>H180*E180</f>
        <v>0</v>
      </c>
      <c r="J180" s="124">
        <f>18*ROUNDUP(D180/15,0)</f>
        <v>18</v>
      </c>
      <c r="K180" s="239">
        <f>0.3*D180</f>
        <v>1.7999999999999998</v>
      </c>
      <c r="L180" s="124"/>
      <c r="M180" s="239"/>
      <c r="N180" s="124"/>
      <c r="O180" s="124"/>
      <c r="P180" s="124"/>
      <c r="Q180" s="239">
        <f t="shared" si="63"/>
        <v>0</v>
      </c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  <c r="AJ180" s="124">
        <f>SUM(G180,I180:AI180)</f>
        <v>19.8</v>
      </c>
      <c r="AK180" s="122">
        <v>12</v>
      </c>
      <c r="AM180" s="126"/>
      <c r="AN180" s="126"/>
    </row>
    <row r="181" spans="1:40" s="125" customFormat="1" ht="18" x14ac:dyDescent="0.2">
      <c r="A181" s="122" t="s">
        <v>193</v>
      </c>
      <c r="B181" s="131" t="s">
        <v>373</v>
      </c>
      <c r="C181" s="122" t="s">
        <v>65</v>
      </c>
      <c r="D181" s="122">
        <f>Бюджет_Конт!$D$30</f>
        <v>6</v>
      </c>
      <c r="E181" s="122">
        <f>Бюджет_Конт!$C$20</f>
        <v>1</v>
      </c>
      <c r="F181" s="124">
        <v>16</v>
      </c>
      <c r="G181" s="124">
        <f t="shared" si="59"/>
        <v>16</v>
      </c>
      <c r="H181" s="124">
        <v>16</v>
      </c>
      <c r="I181" s="124">
        <f t="shared" si="60"/>
        <v>16</v>
      </c>
      <c r="J181" s="124"/>
      <c r="K181" s="239">
        <f t="shared" si="62"/>
        <v>1.7999999999999998</v>
      </c>
      <c r="L181" s="124"/>
      <c r="M181" s="239"/>
      <c r="N181" s="124"/>
      <c r="O181" s="124"/>
      <c r="P181" s="124"/>
      <c r="Q181" s="239">
        <f t="shared" si="63"/>
        <v>0.8</v>
      </c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  <c r="AG181" s="124"/>
      <c r="AH181" s="124"/>
      <c r="AI181" s="124">
        <f>6*E181</f>
        <v>6</v>
      </c>
      <c r="AJ181" s="124">
        <f t="shared" si="58"/>
        <v>40.599999999999994</v>
      </c>
      <c r="AK181" s="122">
        <v>12</v>
      </c>
      <c r="AM181" s="126"/>
      <c r="AN181" s="126"/>
    </row>
    <row r="182" spans="1:40" s="125" customFormat="1" ht="18" customHeight="1" x14ac:dyDescent="0.2">
      <c r="A182" s="122" t="s">
        <v>286</v>
      </c>
      <c r="B182" s="131" t="s">
        <v>104</v>
      </c>
      <c r="C182" s="122" t="s">
        <v>66</v>
      </c>
      <c r="D182" s="122">
        <f>Бюджет_Конт!$D$30</f>
        <v>6</v>
      </c>
      <c r="E182" s="122">
        <f>Бюджет_Конт!$C$20</f>
        <v>1</v>
      </c>
      <c r="F182" s="124">
        <v>36</v>
      </c>
      <c r="G182" s="124">
        <f t="shared" si="59"/>
        <v>36</v>
      </c>
      <c r="H182" s="124">
        <v>36</v>
      </c>
      <c r="I182" s="124">
        <f t="shared" si="60"/>
        <v>36</v>
      </c>
      <c r="J182" s="124"/>
      <c r="K182" s="239"/>
      <c r="L182" s="124"/>
      <c r="M182" s="239">
        <f>0.4*D182</f>
        <v>2.4000000000000004</v>
      </c>
      <c r="N182" s="124"/>
      <c r="O182" s="124"/>
      <c r="P182" s="124"/>
      <c r="Q182" s="239">
        <f t="shared" si="63"/>
        <v>2.8</v>
      </c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  <c r="AH182" s="124"/>
      <c r="AI182" s="124">
        <f>4*E182</f>
        <v>4</v>
      </c>
      <c r="AJ182" s="124">
        <f t="shared" si="58"/>
        <v>81.2</v>
      </c>
      <c r="AK182" s="122">
        <v>12</v>
      </c>
      <c r="AM182" s="126"/>
      <c r="AN182" s="126"/>
    </row>
    <row r="183" spans="1:40" s="125" customFormat="1" ht="18" customHeight="1" x14ac:dyDescent="0.2">
      <c r="A183" s="122" t="s">
        <v>199</v>
      </c>
      <c r="B183" s="131" t="s">
        <v>374</v>
      </c>
      <c r="C183" s="122" t="s">
        <v>65</v>
      </c>
      <c r="D183" s="122">
        <f>Бюджет_Конт!$D$30</f>
        <v>6</v>
      </c>
      <c r="E183" s="122">
        <f>Бюджет_Конт!$C$20</f>
        <v>1</v>
      </c>
      <c r="F183" s="124">
        <v>16</v>
      </c>
      <c r="G183" s="124">
        <f t="shared" si="59"/>
        <v>16</v>
      </c>
      <c r="H183" s="124">
        <v>16</v>
      </c>
      <c r="I183" s="124">
        <f t="shared" si="60"/>
        <v>16</v>
      </c>
      <c r="J183" s="124"/>
      <c r="K183" s="239">
        <f t="shared" si="62"/>
        <v>1.7999999999999998</v>
      </c>
      <c r="L183" s="124"/>
      <c r="M183" s="239"/>
      <c r="N183" s="124"/>
      <c r="O183" s="124"/>
      <c r="P183" s="124"/>
      <c r="Q183" s="239">
        <f t="shared" si="63"/>
        <v>0.8</v>
      </c>
      <c r="R183" s="124"/>
      <c r="S183" s="124"/>
      <c r="T183" s="124"/>
      <c r="U183" s="124"/>
      <c r="V183" s="124"/>
      <c r="W183" s="124"/>
      <c r="X183" s="124"/>
      <c r="Y183" s="124"/>
      <c r="Z183" s="124"/>
      <c r="AA183" s="124"/>
      <c r="AB183" s="124"/>
      <c r="AC183" s="124"/>
      <c r="AD183" s="124"/>
      <c r="AE183" s="124"/>
      <c r="AF183" s="124"/>
      <c r="AG183" s="124"/>
      <c r="AH183" s="124"/>
      <c r="AI183" s="124">
        <f>6*E183</f>
        <v>6</v>
      </c>
      <c r="AJ183" s="124">
        <f t="shared" si="58"/>
        <v>40.599999999999994</v>
      </c>
      <c r="AK183" s="122">
        <v>12</v>
      </c>
      <c r="AM183" s="126"/>
      <c r="AN183" s="126"/>
    </row>
    <row r="184" spans="1:40" s="125" customFormat="1" ht="18" x14ac:dyDescent="0.2">
      <c r="A184" s="122" t="s">
        <v>287</v>
      </c>
      <c r="B184" s="131" t="s">
        <v>107</v>
      </c>
      <c r="C184" s="122" t="s">
        <v>66</v>
      </c>
      <c r="D184" s="122">
        <f>Бюджет_Конт!$D$30</f>
        <v>6</v>
      </c>
      <c r="E184" s="122">
        <f>Бюджет_Конт!$C$20</f>
        <v>1</v>
      </c>
      <c r="F184" s="124">
        <v>18</v>
      </c>
      <c r="G184" s="124">
        <f t="shared" si="59"/>
        <v>18</v>
      </c>
      <c r="H184" s="124">
        <v>36</v>
      </c>
      <c r="I184" s="124">
        <f t="shared" si="60"/>
        <v>36</v>
      </c>
      <c r="J184" s="124"/>
      <c r="K184" s="239">
        <f t="shared" si="62"/>
        <v>1.7999999999999998</v>
      </c>
      <c r="L184" s="124"/>
      <c r="M184" s="239"/>
      <c r="N184" s="124"/>
      <c r="O184" s="124"/>
      <c r="P184" s="124"/>
      <c r="Q184" s="239">
        <f t="shared" si="63"/>
        <v>0.9</v>
      </c>
      <c r="R184" s="124"/>
      <c r="S184" s="124"/>
      <c r="T184" s="124"/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  <c r="AE184" s="124"/>
      <c r="AF184" s="124"/>
      <c r="AG184" s="124"/>
      <c r="AH184" s="124"/>
      <c r="AI184" s="124">
        <f>4*E184</f>
        <v>4</v>
      </c>
      <c r="AJ184" s="124">
        <f t="shared" si="58"/>
        <v>60.699999999999996</v>
      </c>
      <c r="AK184" s="122">
        <v>12</v>
      </c>
      <c r="AM184" s="126"/>
      <c r="AN184" s="126"/>
    </row>
    <row r="185" spans="1:40" s="125" customFormat="1" ht="18" x14ac:dyDescent="0.2">
      <c r="A185" s="122" t="s">
        <v>206</v>
      </c>
      <c r="B185" s="131" t="s">
        <v>103</v>
      </c>
      <c r="C185" s="122" t="s">
        <v>66</v>
      </c>
      <c r="D185" s="122">
        <f>Бюджет_Конт!$D$30</f>
        <v>6</v>
      </c>
      <c r="E185" s="122">
        <f>Бюджет_Конт!$C$20</f>
        <v>1</v>
      </c>
      <c r="F185" s="124">
        <v>36</v>
      </c>
      <c r="G185" s="124">
        <f t="shared" ref="G185:G195" si="64">F185</f>
        <v>36</v>
      </c>
      <c r="H185" s="124">
        <v>18</v>
      </c>
      <c r="I185" s="124">
        <f t="shared" si="60"/>
        <v>18</v>
      </c>
      <c r="J185" s="124"/>
      <c r="K185" s="239">
        <f t="shared" si="62"/>
        <v>1.7999999999999998</v>
      </c>
      <c r="L185" s="124"/>
      <c r="M185" s="239"/>
      <c r="N185" s="124"/>
      <c r="O185" s="124"/>
      <c r="P185" s="124"/>
      <c r="Q185" s="239">
        <f t="shared" si="63"/>
        <v>1.8</v>
      </c>
      <c r="R185" s="124"/>
      <c r="S185" s="124"/>
      <c r="T185" s="124"/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4"/>
      <c r="AG185" s="124"/>
      <c r="AH185" s="124"/>
      <c r="AI185" s="124">
        <f>4*E185</f>
        <v>4</v>
      </c>
      <c r="AJ185" s="124">
        <f t="shared" si="58"/>
        <v>61.599999999999994</v>
      </c>
      <c r="AK185" s="122">
        <v>12</v>
      </c>
      <c r="AM185" s="126"/>
      <c r="AN185" s="126"/>
    </row>
    <row r="186" spans="1:40" s="125" customFormat="1" ht="18" x14ac:dyDescent="0.2">
      <c r="A186" s="122" t="s">
        <v>307</v>
      </c>
      <c r="B186" s="131" t="s">
        <v>102</v>
      </c>
      <c r="C186" s="122" t="s">
        <v>66</v>
      </c>
      <c r="D186" s="122">
        <f>Бюджет_Конт!$D$30</f>
        <v>6</v>
      </c>
      <c r="E186" s="122">
        <f>Бюджет_Конт!$C$20</f>
        <v>1</v>
      </c>
      <c r="F186" s="124">
        <v>36</v>
      </c>
      <c r="G186" s="124">
        <f>F186</f>
        <v>36</v>
      </c>
      <c r="H186" s="124">
        <v>18</v>
      </c>
      <c r="I186" s="124">
        <f>H186*E186</f>
        <v>18</v>
      </c>
      <c r="J186" s="124"/>
      <c r="K186" s="239">
        <f>0.3*D186</f>
        <v>1.7999999999999998</v>
      </c>
      <c r="L186" s="124"/>
      <c r="M186" s="239"/>
      <c r="N186" s="124"/>
      <c r="O186" s="124"/>
      <c r="P186" s="124"/>
      <c r="Q186" s="239">
        <f>IF(K186&gt;0,0.05*G186,IF(M186&gt;0,0.05*G186+1*E186,0))</f>
        <v>1.8</v>
      </c>
      <c r="R186" s="124"/>
      <c r="S186" s="124"/>
      <c r="T186" s="124"/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4"/>
      <c r="AG186" s="124"/>
      <c r="AH186" s="124"/>
      <c r="AI186" s="124"/>
      <c r="AJ186" s="124">
        <f>SUM(G186,I186:AI186)</f>
        <v>57.599999999999994</v>
      </c>
      <c r="AK186" s="122">
        <v>12</v>
      </c>
      <c r="AM186" s="126"/>
      <c r="AN186" s="126"/>
    </row>
    <row r="187" spans="1:40" s="125" customFormat="1" ht="36" x14ac:dyDescent="0.2">
      <c r="A187" s="122" t="s">
        <v>207</v>
      </c>
      <c r="B187" s="131" t="s">
        <v>368</v>
      </c>
      <c r="C187" s="122" t="s">
        <v>65</v>
      </c>
      <c r="D187" s="122">
        <f>Бюджет_Конт!$D$30</f>
        <v>6</v>
      </c>
      <c r="E187" s="122">
        <f>Бюджет_Конт!$C$20</f>
        <v>1</v>
      </c>
      <c r="F187" s="124"/>
      <c r="G187" s="256"/>
      <c r="H187" s="256"/>
      <c r="I187" s="256"/>
      <c r="J187" s="256"/>
      <c r="K187" s="256"/>
      <c r="L187" s="256"/>
      <c r="M187" s="239"/>
      <c r="N187" s="124"/>
      <c r="O187" s="124"/>
      <c r="P187" s="124"/>
      <c r="Q187" s="239">
        <f>IF(K187&gt;0,0.05*G187,IF(M187&gt;0,0.05*G187+1*E187,0))</f>
        <v>0</v>
      </c>
      <c r="R187" s="124"/>
      <c r="S187" s="124"/>
      <c r="T187" s="124">
        <f>1*(4/3)*D187</f>
        <v>8</v>
      </c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4"/>
      <c r="AG187" s="124"/>
      <c r="AH187" s="124"/>
      <c r="AI187" s="124"/>
      <c r="AJ187" s="124">
        <f>SUM(G187,I187:AI187)</f>
        <v>8</v>
      </c>
      <c r="AK187" s="122">
        <v>12</v>
      </c>
      <c r="AM187" s="126"/>
      <c r="AN187" s="126"/>
    </row>
    <row r="188" spans="1:40" s="125" customFormat="1" ht="36" x14ac:dyDescent="0.2">
      <c r="A188" s="122" t="s">
        <v>288</v>
      </c>
      <c r="B188" s="131" t="s">
        <v>367</v>
      </c>
      <c r="C188" s="122" t="s">
        <v>66</v>
      </c>
      <c r="D188" s="122">
        <f>Бюджет_Конт!$D$30</f>
        <v>6</v>
      </c>
      <c r="E188" s="122">
        <f>Бюджет_Конт!$C$20</f>
        <v>1</v>
      </c>
      <c r="F188" s="124"/>
      <c r="G188" s="124"/>
      <c r="H188" s="124"/>
      <c r="I188" s="124"/>
      <c r="J188" s="124"/>
      <c r="K188" s="124"/>
      <c r="L188" s="124"/>
      <c r="M188" s="239"/>
      <c r="N188" s="124"/>
      <c r="O188" s="124"/>
      <c r="P188" s="124"/>
      <c r="Q188" s="239">
        <f t="shared" ref="Q188" si="65">IF(K188&gt;0,0.05*G188,IF(M188&gt;0,0.05*G188+1*E188,0))</f>
        <v>0</v>
      </c>
      <c r="R188" s="124"/>
      <c r="S188" s="124"/>
      <c r="T188" s="124">
        <f>1*(2)*D188</f>
        <v>12</v>
      </c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  <c r="AJ188" s="124">
        <f t="shared" ref="AJ188" si="66">SUM(G188,I188:AI188)</f>
        <v>12</v>
      </c>
      <c r="AK188" s="122">
        <v>12</v>
      </c>
      <c r="AM188" s="126"/>
      <c r="AN188" s="126"/>
    </row>
    <row r="189" spans="1:40" s="125" customFormat="1" ht="18" x14ac:dyDescent="0.2">
      <c r="A189" s="122" t="s">
        <v>366</v>
      </c>
      <c r="B189" s="131" t="s">
        <v>464</v>
      </c>
      <c r="C189" s="122" t="s">
        <v>74</v>
      </c>
      <c r="D189" s="122">
        <f>Бюджет_Конт!$D$31</f>
        <v>7</v>
      </c>
      <c r="E189" s="122">
        <f>Бюджет_Конт!$C$21</f>
        <v>1</v>
      </c>
      <c r="F189" s="124"/>
      <c r="G189" s="124">
        <f t="shared" si="64"/>
        <v>0</v>
      </c>
      <c r="H189" s="124"/>
      <c r="I189" s="124">
        <f t="shared" si="60"/>
        <v>0</v>
      </c>
      <c r="J189" s="124">
        <f>48*ROUNDUP(D189/15,0)</f>
        <v>48</v>
      </c>
      <c r="K189" s="239">
        <f>0.3*D189</f>
        <v>2.1</v>
      </c>
      <c r="L189" s="124"/>
      <c r="M189" s="239"/>
      <c r="N189" s="124"/>
      <c r="O189" s="124"/>
      <c r="P189" s="124"/>
      <c r="Q189" s="239">
        <f t="shared" si="63"/>
        <v>0</v>
      </c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  <c r="AJ189" s="124">
        <f t="shared" si="58"/>
        <v>50.1</v>
      </c>
      <c r="AK189" s="122">
        <v>12</v>
      </c>
      <c r="AM189" s="126"/>
      <c r="AN189" s="126"/>
    </row>
    <row r="190" spans="1:40" s="325" customFormat="1" ht="18" x14ac:dyDescent="0.2">
      <c r="A190" s="321" t="s">
        <v>369</v>
      </c>
      <c r="B190" s="322" t="s">
        <v>617</v>
      </c>
      <c r="C190" s="321" t="s">
        <v>68</v>
      </c>
      <c r="D190" s="321">
        <f>Бюджет_Конт!$D$31</f>
        <v>7</v>
      </c>
      <c r="E190" s="321">
        <f>Бюджет_Конт!$C$21</f>
        <v>1</v>
      </c>
      <c r="F190" s="319">
        <v>34</v>
      </c>
      <c r="G190" s="319">
        <f>F190</f>
        <v>34</v>
      </c>
      <c r="H190" s="319">
        <v>50</v>
      </c>
      <c r="I190" s="319">
        <f>H190*E190</f>
        <v>50</v>
      </c>
      <c r="J190" s="319"/>
      <c r="K190" s="323"/>
      <c r="L190" s="319"/>
      <c r="M190" s="323">
        <f>D190*0.4</f>
        <v>2.8000000000000003</v>
      </c>
      <c r="N190" s="319"/>
      <c r="O190" s="319"/>
      <c r="P190" s="319"/>
      <c r="Q190" s="323">
        <f t="shared" si="63"/>
        <v>2.7</v>
      </c>
      <c r="R190" s="319"/>
      <c r="S190" s="319"/>
      <c r="T190" s="319"/>
      <c r="U190" s="319"/>
      <c r="V190" s="319"/>
      <c r="W190" s="319"/>
      <c r="X190" s="319"/>
      <c r="Y190" s="319"/>
      <c r="Z190" s="319"/>
      <c r="AA190" s="319"/>
      <c r="AB190" s="319"/>
      <c r="AC190" s="319"/>
      <c r="AD190" s="319"/>
      <c r="AE190" s="319"/>
      <c r="AF190" s="319"/>
      <c r="AG190" s="319"/>
      <c r="AH190" s="319"/>
      <c r="AI190" s="319"/>
      <c r="AJ190" s="319">
        <f t="shared" si="58"/>
        <v>89.5</v>
      </c>
      <c r="AK190" s="321">
        <v>12</v>
      </c>
      <c r="AM190" s="326"/>
      <c r="AN190" s="326"/>
    </row>
    <row r="191" spans="1:40" s="325" customFormat="1" ht="18" x14ac:dyDescent="0.2">
      <c r="A191" s="321" t="s">
        <v>308</v>
      </c>
      <c r="B191" s="322" t="s">
        <v>615</v>
      </c>
      <c r="C191" s="321" t="s">
        <v>68</v>
      </c>
      <c r="D191" s="321">
        <f>Бюджет_Конт!$D$31</f>
        <v>7</v>
      </c>
      <c r="E191" s="321">
        <f>Бюджет_Конт!$C$21</f>
        <v>1</v>
      </c>
      <c r="F191" s="319">
        <v>50</v>
      </c>
      <c r="G191" s="319"/>
      <c r="H191" s="319"/>
      <c r="I191" s="319"/>
      <c r="J191" s="319"/>
      <c r="K191" s="319"/>
      <c r="L191" s="319"/>
      <c r="M191" s="323">
        <f>0.4*D191</f>
        <v>2.8000000000000003</v>
      </c>
      <c r="N191" s="319"/>
      <c r="O191" s="319"/>
      <c r="P191" s="319"/>
      <c r="Q191" s="323"/>
      <c r="R191" s="319"/>
      <c r="S191" s="319"/>
      <c r="T191" s="319"/>
      <c r="U191" s="319"/>
      <c r="V191" s="319"/>
      <c r="W191" s="319"/>
      <c r="X191" s="319"/>
      <c r="Y191" s="319"/>
      <c r="Z191" s="319"/>
      <c r="AA191" s="319"/>
      <c r="AB191" s="319"/>
      <c r="AC191" s="319"/>
      <c r="AD191" s="319"/>
      <c r="AE191" s="319"/>
      <c r="AF191" s="319"/>
      <c r="AG191" s="319"/>
      <c r="AH191" s="319"/>
      <c r="AI191" s="319"/>
      <c r="AJ191" s="319">
        <f t="shared" si="58"/>
        <v>2.8000000000000003</v>
      </c>
      <c r="AK191" s="321">
        <v>12</v>
      </c>
      <c r="AM191" s="326"/>
      <c r="AN191" s="326"/>
    </row>
    <row r="192" spans="1:40" s="325" customFormat="1" ht="18" x14ac:dyDescent="0.2">
      <c r="A192" s="321" t="s">
        <v>461</v>
      </c>
      <c r="B192" s="322" t="s">
        <v>465</v>
      </c>
      <c r="C192" s="321" t="s">
        <v>68</v>
      </c>
      <c r="D192" s="321">
        <f>Бюджет_Конт!$D$31</f>
        <v>7</v>
      </c>
      <c r="E192" s="321">
        <f>Бюджет_Конт!$C$21</f>
        <v>1</v>
      </c>
      <c r="F192" s="319">
        <v>16</v>
      </c>
      <c r="G192" s="319">
        <f t="shared" si="64"/>
        <v>16</v>
      </c>
      <c r="H192" s="319">
        <v>50</v>
      </c>
      <c r="I192" s="319">
        <f t="shared" si="60"/>
        <v>50</v>
      </c>
      <c r="J192" s="319"/>
      <c r="K192" s="323"/>
      <c r="L192" s="319"/>
      <c r="M192" s="323">
        <f>D192*0.4</f>
        <v>2.8000000000000003</v>
      </c>
      <c r="N192" s="319"/>
      <c r="O192" s="319"/>
      <c r="P192" s="319"/>
      <c r="Q192" s="323">
        <f t="shared" si="63"/>
        <v>1.8</v>
      </c>
      <c r="R192" s="319"/>
      <c r="S192" s="319"/>
      <c r="T192" s="319"/>
      <c r="U192" s="319"/>
      <c r="V192" s="319"/>
      <c r="W192" s="319"/>
      <c r="X192" s="319"/>
      <c r="Y192" s="319"/>
      <c r="Z192" s="319"/>
      <c r="AA192" s="319"/>
      <c r="AB192" s="319"/>
      <c r="AC192" s="319"/>
      <c r="AD192" s="319"/>
      <c r="AE192" s="319"/>
      <c r="AF192" s="319"/>
      <c r="AG192" s="319"/>
      <c r="AH192" s="319"/>
      <c r="AI192" s="319"/>
      <c r="AJ192" s="319">
        <f t="shared" si="58"/>
        <v>70.599999999999994</v>
      </c>
      <c r="AK192" s="321">
        <v>12</v>
      </c>
      <c r="AM192" s="326"/>
      <c r="AN192" s="326"/>
    </row>
    <row r="193" spans="1:40" s="325" customFormat="1" ht="18" x14ac:dyDescent="0.2">
      <c r="A193" s="321" t="s">
        <v>262</v>
      </c>
      <c r="B193" s="322" t="s">
        <v>105</v>
      </c>
      <c r="C193" s="321" t="s">
        <v>68</v>
      </c>
      <c r="D193" s="321">
        <f>Бюджет_Конт!$D$31</f>
        <v>7</v>
      </c>
      <c r="E193" s="321">
        <f>Бюджет_Конт!$C$21</f>
        <v>1</v>
      </c>
      <c r="F193" s="319">
        <v>16</v>
      </c>
      <c r="G193" s="319">
        <f t="shared" si="64"/>
        <v>16</v>
      </c>
      <c r="H193" s="319">
        <v>50</v>
      </c>
      <c r="I193" s="319">
        <f t="shared" si="60"/>
        <v>50</v>
      </c>
      <c r="J193" s="319"/>
      <c r="K193" s="323">
        <f t="shared" ref="K193:K197" si="67">0.3*D193</f>
        <v>2.1</v>
      </c>
      <c r="L193" s="319"/>
      <c r="M193" s="323"/>
      <c r="N193" s="319"/>
      <c r="O193" s="319"/>
      <c r="P193" s="319"/>
      <c r="Q193" s="323">
        <f t="shared" si="63"/>
        <v>0.8</v>
      </c>
      <c r="R193" s="319"/>
      <c r="S193" s="319"/>
      <c r="T193" s="319"/>
      <c r="U193" s="319"/>
      <c r="V193" s="319"/>
      <c r="W193" s="319"/>
      <c r="X193" s="319"/>
      <c r="Y193" s="319"/>
      <c r="Z193" s="319"/>
      <c r="AA193" s="319"/>
      <c r="AB193" s="319"/>
      <c r="AC193" s="319"/>
      <c r="AD193" s="319"/>
      <c r="AE193" s="319"/>
      <c r="AF193" s="319"/>
      <c r="AG193" s="319"/>
      <c r="AH193" s="319"/>
      <c r="AI193" s="319">
        <f>4*E193</f>
        <v>4</v>
      </c>
      <c r="AJ193" s="319">
        <f t="shared" si="58"/>
        <v>72.899999999999991</v>
      </c>
      <c r="AK193" s="321">
        <v>12</v>
      </c>
      <c r="AM193" s="326"/>
      <c r="AN193" s="326"/>
    </row>
    <row r="194" spans="1:40" s="325" customFormat="1" ht="18" x14ac:dyDescent="0.2">
      <c r="A194" s="321" t="s">
        <v>309</v>
      </c>
      <c r="B194" s="322" t="s">
        <v>109</v>
      </c>
      <c r="C194" s="321" t="s">
        <v>74</v>
      </c>
      <c r="D194" s="321">
        <f>Бюджет_Конт!$D$31</f>
        <v>7</v>
      </c>
      <c r="E194" s="321">
        <f>Бюджет_Конт!$C$21</f>
        <v>1</v>
      </c>
      <c r="F194" s="319">
        <v>24</v>
      </c>
      <c r="G194" s="319">
        <f t="shared" si="64"/>
        <v>24</v>
      </c>
      <c r="H194" s="319">
        <v>36</v>
      </c>
      <c r="I194" s="319">
        <f t="shared" si="60"/>
        <v>36</v>
      </c>
      <c r="J194" s="319"/>
      <c r="K194" s="319">
        <f t="shared" si="67"/>
        <v>2.1</v>
      </c>
      <c r="L194" s="319"/>
      <c r="M194" s="323"/>
      <c r="N194" s="319"/>
      <c r="O194" s="319"/>
      <c r="P194" s="319"/>
      <c r="Q194" s="323">
        <f t="shared" si="63"/>
        <v>1.2000000000000002</v>
      </c>
      <c r="R194" s="319"/>
      <c r="S194" s="319"/>
      <c r="T194" s="319"/>
      <c r="U194" s="319"/>
      <c r="V194" s="319"/>
      <c r="W194" s="319"/>
      <c r="X194" s="319"/>
      <c r="Y194" s="319"/>
      <c r="Z194" s="319"/>
      <c r="AA194" s="319"/>
      <c r="AB194" s="319"/>
      <c r="AC194" s="319"/>
      <c r="AD194" s="319"/>
      <c r="AE194" s="319"/>
      <c r="AF194" s="319"/>
      <c r="AG194" s="319"/>
      <c r="AH194" s="319"/>
      <c r="AI194" s="319"/>
      <c r="AJ194" s="319">
        <f t="shared" si="58"/>
        <v>63.300000000000004</v>
      </c>
      <c r="AK194" s="321">
        <v>12</v>
      </c>
      <c r="AM194" s="326"/>
      <c r="AN194" s="326"/>
    </row>
    <row r="195" spans="1:40" s="325" customFormat="1" ht="18" x14ac:dyDescent="0.2">
      <c r="A195" s="321" t="s">
        <v>375</v>
      </c>
      <c r="B195" s="322" t="s">
        <v>84</v>
      </c>
      <c r="C195" s="321" t="s">
        <v>68</v>
      </c>
      <c r="D195" s="321">
        <f>Бюджет_Конт!$D$31</f>
        <v>7</v>
      </c>
      <c r="E195" s="321">
        <f>Бюджет_Конт!$C$21</f>
        <v>1</v>
      </c>
      <c r="F195" s="319">
        <v>34</v>
      </c>
      <c r="G195" s="319">
        <f t="shared" si="64"/>
        <v>34</v>
      </c>
      <c r="H195" s="319">
        <v>34</v>
      </c>
      <c r="I195" s="319">
        <f t="shared" si="60"/>
        <v>34</v>
      </c>
      <c r="J195" s="319"/>
      <c r="K195" s="319">
        <f t="shared" si="67"/>
        <v>2.1</v>
      </c>
      <c r="L195" s="319"/>
      <c r="M195" s="323"/>
      <c r="N195" s="319"/>
      <c r="O195" s="319"/>
      <c r="P195" s="319"/>
      <c r="Q195" s="323">
        <f t="shared" si="63"/>
        <v>1.7000000000000002</v>
      </c>
      <c r="R195" s="319"/>
      <c r="S195" s="319"/>
      <c r="T195" s="319"/>
      <c r="U195" s="319"/>
      <c r="V195" s="319"/>
      <c r="W195" s="319"/>
      <c r="X195" s="319"/>
      <c r="Y195" s="319"/>
      <c r="Z195" s="319"/>
      <c r="AA195" s="319"/>
      <c r="AB195" s="319"/>
      <c r="AC195" s="319"/>
      <c r="AD195" s="319"/>
      <c r="AE195" s="319"/>
      <c r="AF195" s="319"/>
      <c r="AG195" s="319"/>
      <c r="AH195" s="319"/>
      <c r="AI195" s="319"/>
      <c r="AJ195" s="319">
        <f t="shared" si="58"/>
        <v>71.8</v>
      </c>
      <c r="AK195" s="321">
        <v>12</v>
      </c>
      <c r="AM195" s="326"/>
      <c r="AN195" s="326"/>
    </row>
    <row r="196" spans="1:40" s="325" customFormat="1" ht="18" x14ac:dyDescent="0.2">
      <c r="A196" s="321" t="s">
        <v>462</v>
      </c>
      <c r="B196" s="322" t="s">
        <v>466</v>
      </c>
      <c r="C196" s="321" t="s">
        <v>68</v>
      </c>
      <c r="D196" s="321">
        <f>Бюджет_Конт!$D$31</f>
        <v>7</v>
      </c>
      <c r="E196" s="321">
        <f>Бюджет_Конт!$C$21</f>
        <v>1</v>
      </c>
      <c r="F196" s="319">
        <v>16</v>
      </c>
      <c r="G196" s="319">
        <f>F196</f>
        <v>16</v>
      </c>
      <c r="H196" s="319">
        <v>16</v>
      </c>
      <c r="I196" s="319">
        <f>H196*E196</f>
        <v>16</v>
      </c>
      <c r="J196" s="319"/>
      <c r="K196" s="319">
        <f t="shared" si="67"/>
        <v>2.1</v>
      </c>
      <c r="L196" s="319"/>
      <c r="M196" s="323"/>
      <c r="N196" s="319"/>
      <c r="O196" s="319"/>
      <c r="P196" s="319"/>
      <c r="Q196" s="323">
        <f>IF(K196&gt;0,0.05*G196,IF(M196&gt;0,0.05*G196+1*E196,0))</f>
        <v>0.8</v>
      </c>
      <c r="R196" s="319"/>
      <c r="S196" s="319"/>
      <c r="T196" s="319"/>
      <c r="U196" s="319"/>
      <c r="V196" s="319"/>
      <c r="W196" s="319"/>
      <c r="X196" s="319"/>
      <c r="Y196" s="319"/>
      <c r="Z196" s="319"/>
      <c r="AA196" s="319"/>
      <c r="AB196" s="319"/>
      <c r="AC196" s="319"/>
      <c r="AD196" s="319"/>
      <c r="AE196" s="319"/>
      <c r="AF196" s="319"/>
      <c r="AG196" s="319"/>
      <c r="AH196" s="319"/>
      <c r="AI196" s="319">
        <v>4</v>
      </c>
      <c r="AJ196" s="319">
        <f>SUM(G196,I196:AI196)</f>
        <v>38.9</v>
      </c>
      <c r="AK196" s="321">
        <v>12</v>
      </c>
      <c r="AM196" s="326"/>
      <c r="AN196" s="326"/>
    </row>
    <row r="197" spans="1:40" s="325" customFormat="1" ht="36" x14ac:dyDescent="0.2">
      <c r="A197" s="321" t="s">
        <v>209</v>
      </c>
      <c r="B197" s="322" t="s">
        <v>467</v>
      </c>
      <c r="C197" s="321" t="s">
        <v>68</v>
      </c>
      <c r="D197" s="321">
        <f>Бюджет_Конт!$D$31</f>
        <v>7</v>
      </c>
      <c r="E197" s="321">
        <f>Бюджет_Конт!$C$21</f>
        <v>1</v>
      </c>
      <c r="F197" s="319">
        <v>16</v>
      </c>
      <c r="G197" s="319">
        <f>F197</f>
        <v>16</v>
      </c>
      <c r="H197" s="319"/>
      <c r="I197" s="319">
        <f>H197*E197</f>
        <v>0</v>
      </c>
      <c r="J197" s="319">
        <v>16</v>
      </c>
      <c r="K197" s="319">
        <f t="shared" si="67"/>
        <v>2.1</v>
      </c>
      <c r="L197" s="319"/>
      <c r="M197" s="323"/>
      <c r="N197" s="319"/>
      <c r="O197" s="319"/>
      <c r="P197" s="319"/>
      <c r="Q197" s="323">
        <f>IF(K197&gt;0,0.05*G197,IF(M197&gt;0,0.05*G197+1*E197,0))</f>
        <v>0.8</v>
      </c>
      <c r="R197" s="319"/>
      <c r="S197" s="319"/>
      <c r="T197" s="327"/>
      <c r="U197" s="327"/>
      <c r="V197" s="327"/>
      <c r="W197" s="327"/>
      <c r="X197" s="327"/>
      <c r="Y197" s="327"/>
      <c r="Z197" s="319"/>
      <c r="AA197" s="319"/>
      <c r="AB197" s="319"/>
      <c r="AC197" s="319"/>
      <c r="AD197" s="319"/>
      <c r="AE197" s="319"/>
      <c r="AF197" s="319"/>
      <c r="AG197" s="319"/>
      <c r="AH197" s="319"/>
      <c r="AI197" s="319"/>
      <c r="AJ197" s="319">
        <f>SUM(G197,I197:AI197)</f>
        <v>34.9</v>
      </c>
      <c r="AK197" s="321">
        <v>12</v>
      </c>
      <c r="AM197" s="326"/>
      <c r="AN197" s="326"/>
    </row>
    <row r="198" spans="1:40" s="325" customFormat="1" ht="18" x14ac:dyDescent="0.2">
      <c r="A198" s="321" t="s">
        <v>280</v>
      </c>
      <c r="B198" s="322" t="s">
        <v>616</v>
      </c>
      <c r="C198" s="321" t="s">
        <v>68</v>
      </c>
      <c r="D198" s="321">
        <f>Бюджет_Конт!$D$31</f>
        <v>7</v>
      </c>
      <c r="E198" s="321">
        <f>Бюджет_Конт!$C$21</f>
        <v>1</v>
      </c>
      <c r="F198" s="319">
        <v>24</v>
      </c>
      <c r="G198" s="319"/>
      <c r="H198" s="319"/>
      <c r="I198" s="319"/>
      <c r="J198" s="319"/>
      <c r="K198" s="319"/>
      <c r="L198" s="319"/>
      <c r="M198" s="323">
        <f>0.4*D198</f>
        <v>2.8000000000000003</v>
      </c>
      <c r="N198" s="319"/>
      <c r="O198" s="319"/>
      <c r="P198" s="319"/>
      <c r="Q198" s="323"/>
      <c r="R198" s="319"/>
      <c r="S198" s="319"/>
      <c r="T198" s="319"/>
      <c r="U198" s="319"/>
      <c r="V198" s="319"/>
      <c r="W198" s="319"/>
      <c r="X198" s="319"/>
      <c r="Y198" s="319"/>
      <c r="Z198" s="319"/>
      <c r="AA198" s="319"/>
      <c r="AB198" s="319"/>
      <c r="AC198" s="319"/>
      <c r="AD198" s="319"/>
      <c r="AE198" s="319"/>
      <c r="AF198" s="319"/>
      <c r="AG198" s="319"/>
      <c r="AH198" s="319"/>
      <c r="AI198" s="319"/>
      <c r="AJ198" s="319">
        <f t="shared" ref="AJ198" si="68">SUM(G198,I198:AI198)</f>
        <v>2.8000000000000003</v>
      </c>
      <c r="AK198" s="321">
        <v>12</v>
      </c>
      <c r="AM198" s="326"/>
      <c r="AN198" s="326"/>
    </row>
    <row r="199" spans="1:40" s="325" customFormat="1" ht="18" x14ac:dyDescent="0.2">
      <c r="A199" s="321" t="s">
        <v>553</v>
      </c>
      <c r="B199" s="322" t="s">
        <v>454</v>
      </c>
      <c r="C199" s="321" t="s">
        <v>74</v>
      </c>
      <c r="D199" s="321">
        <f>Бюджет_Конт!$D$31</f>
        <v>7</v>
      </c>
      <c r="E199" s="321">
        <f>Бюджет_Конт!$C$21</f>
        <v>1</v>
      </c>
      <c r="F199" s="319"/>
      <c r="G199" s="319">
        <f t="shared" ref="G199" si="69">F199</f>
        <v>0</v>
      </c>
      <c r="H199" s="319"/>
      <c r="I199" s="319">
        <f>H199*E199</f>
        <v>0</v>
      </c>
      <c r="J199" s="319"/>
      <c r="K199" s="319"/>
      <c r="L199" s="319"/>
      <c r="M199" s="323"/>
      <c r="N199" s="319"/>
      <c r="O199" s="319"/>
      <c r="P199" s="319"/>
      <c r="Q199" s="323">
        <f t="shared" ref="Q199:Q200" si="70">IF(K199&gt;0,0.05*G199,IF(M199&gt;0,0.05*G199+1*E199,0))</f>
        <v>0</v>
      </c>
      <c r="R199" s="319"/>
      <c r="S199" s="319"/>
      <c r="T199" s="319">
        <f>1*(5+1/3)*D199</f>
        <v>37.333333333333329</v>
      </c>
      <c r="U199" s="319"/>
      <c r="V199" s="319"/>
      <c r="W199" s="319"/>
      <c r="X199" s="319"/>
      <c r="Y199" s="319"/>
      <c r="Z199" s="319"/>
      <c r="AA199" s="319"/>
      <c r="AB199" s="319"/>
      <c r="AC199" s="319"/>
      <c r="AD199" s="319"/>
      <c r="AE199" s="319"/>
      <c r="AF199" s="319"/>
      <c r="AG199" s="319"/>
      <c r="AH199" s="319"/>
      <c r="AI199" s="319">
        <f>0*E199</f>
        <v>0</v>
      </c>
      <c r="AJ199" s="319">
        <f>SUM(G199,I199:AI199)</f>
        <v>37.333333333333329</v>
      </c>
      <c r="AK199" s="328">
        <v>12</v>
      </c>
      <c r="AL199" s="329"/>
      <c r="AM199" s="326"/>
      <c r="AN199" s="326"/>
    </row>
    <row r="200" spans="1:40" s="125" customFormat="1" ht="18" x14ac:dyDescent="0.2">
      <c r="A200" s="122"/>
      <c r="B200" s="131" t="s">
        <v>171</v>
      </c>
      <c r="C200" s="122" t="s">
        <v>74</v>
      </c>
      <c r="D200" s="122">
        <f>Бюджет_Конт!$D$31</f>
        <v>7</v>
      </c>
      <c r="E200" s="122">
        <f>Бюджет_Конт!$C$21</f>
        <v>1</v>
      </c>
      <c r="F200" s="124"/>
      <c r="G200" s="124" t="s">
        <v>184</v>
      </c>
      <c r="H200" s="124"/>
      <c r="I200" s="124"/>
      <c r="J200" s="124"/>
      <c r="K200" s="124"/>
      <c r="L200" s="124"/>
      <c r="M200" s="124"/>
      <c r="N200" s="124"/>
      <c r="O200" s="124"/>
      <c r="P200" s="124"/>
      <c r="Q200" s="239">
        <f t="shared" si="70"/>
        <v>0</v>
      </c>
      <c r="R200" s="124"/>
      <c r="S200" s="124"/>
      <c r="T200" s="124"/>
      <c r="U200" s="124"/>
      <c r="V200" s="124"/>
      <c r="W200" s="124">
        <f>16*D200</f>
        <v>112</v>
      </c>
      <c r="X200" s="124"/>
      <c r="Y200" s="124"/>
      <c r="Z200" s="124"/>
      <c r="AA200" s="124"/>
      <c r="AB200" s="124"/>
      <c r="AC200" s="124"/>
      <c r="AD200" s="124"/>
      <c r="AE200" s="124"/>
      <c r="AF200" s="124"/>
      <c r="AG200" s="124"/>
      <c r="AH200" s="124"/>
      <c r="AI200" s="124"/>
      <c r="AJ200" s="124">
        <f>SUM(G200,I200:AI200)</f>
        <v>112</v>
      </c>
      <c r="AK200" s="136">
        <v>12</v>
      </c>
      <c r="AL200" s="248"/>
      <c r="AM200" s="126"/>
      <c r="AN200" s="126"/>
    </row>
    <row r="201" spans="1:40" s="125" customFormat="1" ht="18" x14ac:dyDescent="0.2">
      <c r="A201" s="122"/>
      <c r="B201" s="133" t="s">
        <v>229</v>
      </c>
      <c r="C201" s="134"/>
      <c r="D201" s="134"/>
      <c r="E201" s="134"/>
      <c r="F201" s="135">
        <f t="shared" ref="F201:AJ201" si="71">SUM(F93:F200)</f>
        <v>1996</v>
      </c>
      <c r="G201" s="135">
        <f t="shared" si="71"/>
        <v>1624</v>
      </c>
      <c r="H201" s="135">
        <f t="shared" si="71"/>
        <v>1860</v>
      </c>
      <c r="I201" s="135">
        <f t="shared" si="71"/>
        <v>1704</v>
      </c>
      <c r="J201" s="135">
        <f t="shared" si="71"/>
        <v>1806</v>
      </c>
      <c r="K201" s="135">
        <f t="shared" si="71"/>
        <v>121.79999999999997</v>
      </c>
      <c r="L201" s="135">
        <f t="shared" si="71"/>
        <v>0</v>
      </c>
      <c r="M201" s="135">
        <f t="shared" si="71"/>
        <v>175.20000000000002</v>
      </c>
      <c r="N201" s="135">
        <f t="shared" si="71"/>
        <v>0</v>
      </c>
      <c r="O201" s="135">
        <f t="shared" si="71"/>
        <v>0</v>
      </c>
      <c r="P201" s="135">
        <f t="shared" si="71"/>
        <v>0</v>
      </c>
      <c r="Q201" s="135">
        <f t="shared" si="71"/>
        <v>104.20000000000003</v>
      </c>
      <c r="R201" s="135">
        <f t="shared" si="71"/>
        <v>0</v>
      </c>
      <c r="S201" s="135">
        <f t="shared" si="71"/>
        <v>36</v>
      </c>
      <c r="T201" s="135">
        <f t="shared" si="71"/>
        <v>131.33333333333331</v>
      </c>
      <c r="U201" s="135">
        <f t="shared" si="71"/>
        <v>74.099999999999994</v>
      </c>
      <c r="V201" s="135">
        <f t="shared" si="71"/>
        <v>72</v>
      </c>
      <c r="W201" s="135">
        <f t="shared" si="71"/>
        <v>224</v>
      </c>
      <c r="X201" s="135">
        <f t="shared" si="71"/>
        <v>0</v>
      </c>
      <c r="Y201" s="135">
        <f t="shared" si="71"/>
        <v>0</v>
      </c>
      <c r="Z201" s="135">
        <f t="shared" si="71"/>
        <v>0</v>
      </c>
      <c r="AA201" s="135">
        <f t="shared" si="71"/>
        <v>0</v>
      </c>
      <c r="AB201" s="135">
        <f t="shared" si="71"/>
        <v>49</v>
      </c>
      <c r="AC201" s="135">
        <f t="shared" si="71"/>
        <v>0</v>
      </c>
      <c r="AD201" s="135">
        <f t="shared" si="71"/>
        <v>0</v>
      </c>
      <c r="AE201" s="135">
        <f t="shared" si="71"/>
        <v>0</v>
      </c>
      <c r="AF201" s="135">
        <f t="shared" si="71"/>
        <v>0</v>
      </c>
      <c r="AG201" s="135">
        <f t="shared" si="71"/>
        <v>0</v>
      </c>
      <c r="AH201" s="135">
        <f t="shared" si="71"/>
        <v>0</v>
      </c>
      <c r="AI201" s="135">
        <f t="shared" si="71"/>
        <v>198</v>
      </c>
      <c r="AJ201" s="135">
        <f t="shared" si="71"/>
        <v>6319.6333333333341</v>
      </c>
      <c r="AK201" s="124"/>
      <c r="AL201" s="126">
        <f>AJ201-SUM(I201:AI201,G201)</f>
        <v>0</v>
      </c>
      <c r="AM201" s="126"/>
      <c r="AN201" s="126"/>
    </row>
    <row r="202" spans="1:40" s="125" customFormat="1" ht="18" x14ac:dyDescent="0.2">
      <c r="A202" s="122"/>
      <c r="B202" s="131"/>
      <c r="C202" s="122"/>
      <c r="D202" s="122"/>
      <c r="E202" s="122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  <c r="AB202" s="124"/>
      <c r="AC202" s="124"/>
      <c r="AD202" s="124"/>
      <c r="AE202" s="124"/>
      <c r="AF202" s="124"/>
      <c r="AG202" s="124"/>
      <c r="AH202" s="124"/>
      <c r="AI202" s="124"/>
      <c r="AJ202" s="124"/>
      <c r="AK202" s="122"/>
      <c r="AM202" s="126"/>
      <c r="AN202" s="126"/>
    </row>
    <row r="203" spans="1:40" s="125" customFormat="1" ht="18" x14ac:dyDescent="0.2">
      <c r="A203" s="122"/>
      <c r="B203" s="131"/>
      <c r="C203" s="122"/>
      <c r="D203" s="122"/>
      <c r="E203" s="122"/>
      <c r="F203" s="124"/>
      <c r="G203" s="124"/>
      <c r="H203" s="124"/>
      <c r="I203" s="124"/>
      <c r="J203" s="124"/>
      <c r="K203" s="265"/>
      <c r="L203" s="362" t="s">
        <v>110</v>
      </c>
      <c r="M203" s="362"/>
      <c r="N203" s="362"/>
      <c r="O203" s="362"/>
      <c r="P203" s="362"/>
      <c r="Q203" s="362"/>
      <c r="R203" s="362"/>
      <c r="S203" s="362"/>
      <c r="T203" s="362"/>
      <c r="U203" s="362"/>
      <c r="V203" s="362"/>
      <c r="W203" s="362"/>
      <c r="X203" s="362"/>
      <c r="Y203" s="362"/>
      <c r="Z203" s="362"/>
      <c r="AA203" s="362"/>
      <c r="AB203" s="265"/>
      <c r="AC203" s="124"/>
      <c r="AD203" s="124"/>
      <c r="AE203" s="124"/>
      <c r="AF203" s="124"/>
      <c r="AG203" s="124"/>
      <c r="AH203" s="124"/>
      <c r="AI203" s="124"/>
      <c r="AJ203" s="124"/>
      <c r="AK203" s="122"/>
      <c r="AM203" s="126"/>
      <c r="AN203" s="126"/>
    </row>
    <row r="204" spans="1:40" s="125" customFormat="1" ht="18" x14ac:dyDescent="0.2">
      <c r="A204" s="122"/>
      <c r="B204" s="131"/>
      <c r="C204" s="122"/>
      <c r="D204" s="122"/>
      <c r="E204" s="122"/>
      <c r="F204" s="124"/>
      <c r="G204" s="124"/>
      <c r="H204" s="124"/>
      <c r="I204" s="124"/>
      <c r="J204" s="124"/>
      <c r="K204" s="361" t="s">
        <v>577</v>
      </c>
      <c r="L204" s="361"/>
      <c r="M204" s="361"/>
      <c r="N204" s="361"/>
      <c r="O204" s="361"/>
      <c r="P204" s="361"/>
      <c r="Q204" s="361"/>
      <c r="R204" s="361"/>
      <c r="S204" s="361"/>
      <c r="T204" s="361"/>
      <c r="U204" s="361"/>
      <c r="V204" s="361"/>
      <c r="W204" s="361"/>
      <c r="X204" s="361"/>
      <c r="Y204" s="361"/>
      <c r="Z204" s="361"/>
      <c r="AA204" s="361"/>
      <c r="AB204" s="361"/>
      <c r="AC204" s="124"/>
      <c r="AD204" s="124"/>
      <c r="AE204" s="124"/>
      <c r="AF204" s="124"/>
      <c r="AG204" s="124"/>
      <c r="AH204" s="124"/>
      <c r="AI204" s="124"/>
      <c r="AJ204" s="124"/>
      <c r="AK204" s="122"/>
      <c r="AM204" s="126"/>
      <c r="AN204" s="126"/>
    </row>
    <row r="205" spans="1:40" s="125" customFormat="1" ht="17.25" customHeight="1" x14ac:dyDescent="0.2">
      <c r="A205" s="122" t="s">
        <v>338</v>
      </c>
      <c r="B205" s="131" t="s">
        <v>413</v>
      </c>
      <c r="C205" s="122" t="s">
        <v>61</v>
      </c>
      <c r="D205" s="122">
        <f>Бюджет_Конт!$D$7</f>
        <v>32</v>
      </c>
      <c r="E205" s="122">
        <f>Бюджет_Конт!$D$18</f>
        <v>1</v>
      </c>
      <c r="F205" s="124"/>
      <c r="G205" s="124"/>
      <c r="H205" s="124">
        <v>16</v>
      </c>
      <c r="I205" s="124">
        <f>E205*H205</f>
        <v>16</v>
      </c>
      <c r="J205" s="124"/>
      <c r="K205" s="124">
        <f>0.3*D205</f>
        <v>9.6</v>
      </c>
      <c r="L205" s="246"/>
      <c r="M205" s="121"/>
      <c r="N205" s="246"/>
      <c r="O205" s="246"/>
      <c r="P205" s="246"/>
      <c r="Q205" s="239"/>
      <c r="R205" s="246"/>
      <c r="S205" s="246"/>
      <c r="T205" s="246"/>
      <c r="U205" s="246"/>
      <c r="V205" s="246"/>
      <c r="W205" s="246"/>
      <c r="X205" s="246"/>
      <c r="Y205" s="246"/>
      <c r="Z205" s="246"/>
      <c r="AA205" s="246"/>
      <c r="AB205" s="246"/>
      <c r="AC205" s="124"/>
      <c r="AD205" s="124"/>
      <c r="AE205" s="124"/>
      <c r="AF205" s="124"/>
      <c r="AG205" s="124"/>
      <c r="AH205" s="124"/>
      <c r="AI205" s="124"/>
      <c r="AJ205" s="124">
        <f>SUM(G205,I205:AI205)</f>
        <v>25.6</v>
      </c>
      <c r="AK205" s="122">
        <v>8</v>
      </c>
      <c r="AM205" s="126"/>
      <c r="AN205" s="126"/>
    </row>
    <row r="206" spans="1:40" s="125" customFormat="1" ht="17.25" customHeight="1" x14ac:dyDescent="0.2">
      <c r="A206" s="321" t="s">
        <v>242</v>
      </c>
      <c r="B206" s="322" t="s">
        <v>469</v>
      </c>
      <c r="C206" s="321" t="s">
        <v>61</v>
      </c>
      <c r="D206" s="321">
        <f>Бюджет_Конт!$D$7</f>
        <v>32</v>
      </c>
      <c r="E206" s="321">
        <f>Бюджет_Конт!$D$18</f>
        <v>1</v>
      </c>
      <c r="F206" s="319">
        <v>16</v>
      </c>
      <c r="G206" s="319">
        <f>F206</f>
        <v>16</v>
      </c>
      <c r="H206" s="319"/>
      <c r="I206" s="319">
        <f>H206*E206</f>
        <v>0</v>
      </c>
      <c r="J206" s="319">
        <f>16*ROUNDUP(D206/16,0)</f>
        <v>32</v>
      </c>
      <c r="K206" s="319">
        <f>0.3*D206</f>
        <v>9.6</v>
      </c>
      <c r="L206" s="319"/>
      <c r="M206" s="323"/>
      <c r="N206" s="319"/>
      <c r="O206" s="319"/>
      <c r="P206" s="319"/>
      <c r="Q206" s="323">
        <f t="shared" ref="Q206:Q256" si="72">IF(K206&gt;0,0.05*G206,IF(M206&gt;0,0.05*G206+1*E206,0))</f>
        <v>0.8</v>
      </c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  <c r="AB206" s="124"/>
      <c r="AC206" s="124"/>
      <c r="AD206" s="124"/>
      <c r="AE206" s="124"/>
      <c r="AF206" s="124"/>
      <c r="AG206" s="124"/>
      <c r="AH206" s="124"/>
      <c r="AI206" s="124"/>
      <c r="AJ206" s="124">
        <f t="shared" ref="AJ206:AJ256" si="73">SUM(G206,I206:AI206)</f>
        <v>58.4</v>
      </c>
      <c r="AK206" s="122">
        <v>7</v>
      </c>
      <c r="AL206" s="249"/>
      <c r="AM206" s="250"/>
      <c r="AN206" s="126"/>
    </row>
    <row r="207" spans="1:40" s="125" customFormat="1" ht="17.25" customHeight="1" x14ac:dyDescent="0.2">
      <c r="A207" s="321" t="s">
        <v>220</v>
      </c>
      <c r="B207" s="322" t="s">
        <v>435</v>
      </c>
      <c r="C207" s="321" t="s">
        <v>61</v>
      </c>
      <c r="D207" s="321">
        <f>Бюджет_Конт!$D$7</f>
        <v>32</v>
      </c>
      <c r="E207" s="321">
        <f>Бюджет_Конт!$D$18</f>
        <v>1</v>
      </c>
      <c r="F207" s="319">
        <v>50</v>
      </c>
      <c r="G207" s="319"/>
      <c r="H207" s="319">
        <v>68</v>
      </c>
      <c r="I207" s="319">
        <f t="shared" ref="I207:I252" si="74">H207*E207</f>
        <v>68</v>
      </c>
      <c r="J207" s="319"/>
      <c r="K207" s="319"/>
      <c r="L207" s="319"/>
      <c r="M207" s="323">
        <f>0.4*D207</f>
        <v>12.8</v>
      </c>
      <c r="N207" s="319"/>
      <c r="O207" s="319"/>
      <c r="P207" s="319"/>
      <c r="Q207" s="323"/>
      <c r="R207" s="124"/>
      <c r="S207" s="124"/>
      <c r="T207" s="124"/>
      <c r="U207" s="124">
        <f>0.3*D207</f>
        <v>9.6</v>
      </c>
      <c r="V207" s="12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4"/>
      <c r="AG207" s="124"/>
      <c r="AH207" s="124"/>
      <c r="AI207" s="124">
        <f>8*E207</f>
        <v>8</v>
      </c>
      <c r="AJ207" s="124">
        <f t="shared" si="73"/>
        <v>98.399999999999991</v>
      </c>
      <c r="AK207" s="122">
        <v>12</v>
      </c>
      <c r="AL207" s="249"/>
      <c r="AM207" s="250"/>
      <c r="AN207" s="126"/>
    </row>
    <row r="208" spans="1:40" s="125" customFormat="1" ht="17.25" customHeight="1" x14ac:dyDescent="0.2">
      <c r="A208" s="321" t="s">
        <v>220</v>
      </c>
      <c r="B208" s="322" t="s">
        <v>435</v>
      </c>
      <c r="C208" s="321" t="s">
        <v>62</v>
      </c>
      <c r="D208" s="321">
        <f>Бюджет_Конт!$D$7</f>
        <v>32</v>
      </c>
      <c r="E208" s="321">
        <f>Бюджет_Конт!$D$18</f>
        <v>1</v>
      </c>
      <c r="F208" s="319">
        <v>40</v>
      </c>
      <c r="G208" s="319"/>
      <c r="H208" s="319">
        <v>60</v>
      </c>
      <c r="I208" s="319">
        <f t="shared" si="74"/>
        <v>60</v>
      </c>
      <c r="J208" s="319"/>
      <c r="K208" s="319"/>
      <c r="L208" s="319"/>
      <c r="M208" s="323">
        <f>0.4*D208</f>
        <v>12.8</v>
      </c>
      <c r="N208" s="319"/>
      <c r="O208" s="319"/>
      <c r="P208" s="319"/>
      <c r="Q208" s="323"/>
      <c r="R208" s="124"/>
      <c r="S208" s="124"/>
      <c r="T208" s="124"/>
      <c r="U208" s="124">
        <f>0.3*D208</f>
        <v>9.6</v>
      </c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>
        <f>8*E208</f>
        <v>8</v>
      </c>
      <c r="AJ208" s="124">
        <f t="shared" si="73"/>
        <v>90.399999999999991</v>
      </c>
      <c r="AK208" s="122">
        <v>12</v>
      </c>
      <c r="AL208" s="249"/>
      <c r="AM208" s="250"/>
      <c r="AN208" s="126"/>
    </row>
    <row r="209" spans="1:40" s="125" customFormat="1" ht="36" x14ac:dyDescent="0.2">
      <c r="A209" s="321" t="s">
        <v>249</v>
      </c>
      <c r="B209" s="322" t="s">
        <v>436</v>
      </c>
      <c r="C209" s="321" t="s">
        <v>61</v>
      </c>
      <c r="D209" s="321">
        <f>Бюджет_Конт!$D$7</f>
        <v>32</v>
      </c>
      <c r="E209" s="321">
        <f>Бюджет_Конт!$D$18</f>
        <v>1</v>
      </c>
      <c r="F209" s="319">
        <v>34</v>
      </c>
      <c r="G209" s="319"/>
      <c r="H209" s="319">
        <v>34</v>
      </c>
      <c r="I209" s="319">
        <f t="shared" si="74"/>
        <v>34</v>
      </c>
      <c r="J209" s="319"/>
      <c r="K209" s="319"/>
      <c r="L209" s="319"/>
      <c r="M209" s="323">
        <f>0.4*D209</f>
        <v>12.8</v>
      </c>
      <c r="N209" s="319"/>
      <c r="O209" s="319"/>
      <c r="P209" s="319"/>
      <c r="Q209" s="323">
        <f t="shared" si="72"/>
        <v>1</v>
      </c>
      <c r="R209" s="124"/>
      <c r="S209" s="124"/>
      <c r="T209" s="124"/>
      <c r="U209" s="124">
        <f>0.3*D209</f>
        <v>9.6</v>
      </c>
      <c r="V209" s="124"/>
      <c r="W209" s="124"/>
      <c r="X209" s="124"/>
      <c r="Y209" s="124"/>
      <c r="Z209" s="124"/>
      <c r="AA209" s="124"/>
      <c r="AB209" s="124"/>
      <c r="AC209" s="124"/>
      <c r="AD209" s="124"/>
      <c r="AE209" s="124"/>
      <c r="AF209" s="124"/>
      <c r="AG209" s="124"/>
      <c r="AH209" s="124"/>
      <c r="AI209" s="124">
        <f>6*E209</f>
        <v>6</v>
      </c>
      <c r="AJ209" s="124">
        <f t="shared" si="73"/>
        <v>63.4</v>
      </c>
      <c r="AK209" s="122">
        <v>12</v>
      </c>
      <c r="AL209" s="249"/>
      <c r="AM209" s="250"/>
      <c r="AN209" s="126"/>
    </row>
    <row r="210" spans="1:40" s="125" customFormat="1" ht="18" x14ac:dyDescent="0.2">
      <c r="A210" s="321" t="s">
        <v>223</v>
      </c>
      <c r="B210" s="322" t="s">
        <v>488</v>
      </c>
      <c r="C210" s="321" t="s">
        <v>62</v>
      </c>
      <c r="D210" s="321">
        <f>Бюджет_Конт!$D$7</f>
        <v>32</v>
      </c>
      <c r="E210" s="321">
        <f>Бюджет_Конт!$D$18</f>
        <v>1</v>
      </c>
      <c r="F210" s="319">
        <v>60</v>
      </c>
      <c r="G210" s="319">
        <v>60</v>
      </c>
      <c r="H210" s="319">
        <v>60</v>
      </c>
      <c r="I210" s="319">
        <f t="shared" si="74"/>
        <v>60</v>
      </c>
      <c r="J210" s="319">
        <f>20*ROUNDUP(D210/16,0)</f>
        <v>40</v>
      </c>
      <c r="K210" s="319"/>
      <c r="L210" s="319"/>
      <c r="M210" s="323">
        <f>0.4*D210</f>
        <v>12.8</v>
      </c>
      <c r="N210" s="319"/>
      <c r="O210" s="319"/>
      <c r="P210" s="319"/>
      <c r="Q210" s="323">
        <f t="shared" si="72"/>
        <v>4</v>
      </c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24"/>
      <c r="AH210" s="124"/>
      <c r="AI210" s="124"/>
      <c r="AJ210" s="124">
        <f t="shared" si="73"/>
        <v>176.8</v>
      </c>
      <c r="AK210" s="122" t="s">
        <v>166</v>
      </c>
      <c r="AL210" s="138" t="s">
        <v>291</v>
      </c>
      <c r="AM210" s="126"/>
    </row>
    <row r="211" spans="1:40" s="125" customFormat="1" ht="17.25" customHeight="1" x14ac:dyDescent="0.2">
      <c r="A211" s="321" t="s">
        <v>243</v>
      </c>
      <c r="B211" s="322" t="s">
        <v>222</v>
      </c>
      <c r="C211" s="321" t="s">
        <v>62</v>
      </c>
      <c r="D211" s="321">
        <f>Бюджет_Конт!$D$7</f>
        <v>32</v>
      </c>
      <c r="E211" s="321">
        <f>Бюджет_Конт!$D$18</f>
        <v>1</v>
      </c>
      <c r="F211" s="319">
        <v>20</v>
      </c>
      <c r="G211" s="319">
        <f t="shared" ref="G211:G216" si="75">F211</f>
        <v>20</v>
      </c>
      <c r="H211" s="319">
        <v>20</v>
      </c>
      <c r="I211" s="319">
        <f t="shared" si="74"/>
        <v>20</v>
      </c>
      <c r="J211" s="319">
        <f>20*ROUNDUP(D211/16,0)</f>
        <v>40</v>
      </c>
      <c r="K211" s="319">
        <f t="shared" ref="K211:K216" si="76">0.3*D211</f>
        <v>9.6</v>
      </c>
      <c r="L211" s="319"/>
      <c r="M211" s="323"/>
      <c r="N211" s="319"/>
      <c r="O211" s="319"/>
      <c r="P211" s="319"/>
      <c r="Q211" s="323">
        <f t="shared" si="72"/>
        <v>1</v>
      </c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  <c r="AG211" s="124"/>
      <c r="AH211" s="124"/>
      <c r="AI211" s="124"/>
      <c r="AJ211" s="124">
        <f t="shared" si="73"/>
        <v>90.6</v>
      </c>
      <c r="AK211" s="122">
        <v>7</v>
      </c>
      <c r="AL211" s="249"/>
      <c r="AM211" s="250"/>
      <c r="AN211" s="126"/>
    </row>
    <row r="212" spans="1:40" s="125" customFormat="1" ht="17.25" customHeight="1" x14ac:dyDescent="0.2">
      <c r="A212" s="321" t="s">
        <v>245</v>
      </c>
      <c r="B212" s="322" t="s">
        <v>489</v>
      </c>
      <c r="C212" s="321" t="s">
        <v>61</v>
      </c>
      <c r="D212" s="321">
        <f>Бюджет_Конт!$D$7</f>
        <v>32</v>
      </c>
      <c r="E212" s="321">
        <f>Бюджет_Конт!$D$18</f>
        <v>1</v>
      </c>
      <c r="F212" s="319">
        <v>16</v>
      </c>
      <c r="G212" s="319">
        <f t="shared" si="75"/>
        <v>16</v>
      </c>
      <c r="H212" s="319"/>
      <c r="I212" s="319">
        <f t="shared" si="74"/>
        <v>0</v>
      </c>
      <c r="J212" s="319">
        <f>68*ROUNDUP(D212/16,0)</f>
        <v>136</v>
      </c>
      <c r="K212" s="319">
        <f t="shared" si="76"/>
        <v>9.6</v>
      </c>
      <c r="L212" s="319"/>
      <c r="M212" s="323"/>
      <c r="N212" s="319"/>
      <c r="O212" s="319"/>
      <c r="P212" s="319"/>
      <c r="Q212" s="323">
        <f t="shared" si="72"/>
        <v>0.8</v>
      </c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>
        <f t="shared" si="73"/>
        <v>162.4</v>
      </c>
      <c r="AK212" s="122">
        <v>8</v>
      </c>
      <c r="AL212" s="249"/>
      <c r="AM212" s="250"/>
      <c r="AN212" s="126"/>
    </row>
    <row r="213" spans="1:40" s="125" customFormat="1" ht="17.25" customHeight="1" x14ac:dyDescent="0.2">
      <c r="A213" s="321" t="s">
        <v>296</v>
      </c>
      <c r="B213" s="322" t="s">
        <v>545</v>
      </c>
      <c r="C213" s="321" t="s">
        <v>62</v>
      </c>
      <c r="D213" s="321">
        <f>Бюджет_Конт!$D$7</f>
        <v>32</v>
      </c>
      <c r="E213" s="321">
        <f>Бюджет_Конт!$D$18</f>
        <v>1</v>
      </c>
      <c r="F213" s="319">
        <v>20</v>
      </c>
      <c r="G213" s="319"/>
      <c r="H213" s="319"/>
      <c r="I213" s="319">
        <f>H213*E213</f>
        <v>0</v>
      </c>
      <c r="J213" s="319">
        <f>60*ROUNDUP(D213/16,0)</f>
        <v>120</v>
      </c>
      <c r="K213" s="319">
        <f t="shared" si="76"/>
        <v>9.6</v>
      </c>
      <c r="L213" s="319"/>
      <c r="M213" s="323"/>
      <c r="N213" s="319"/>
      <c r="O213" s="319"/>
      <c r="P213" s="319"/>
      <c r="Q213" s="323">
        <f>IF(K213&gt;0,0.05*G213,IF(M213&gt;0,0.05*G213+1*E213,0))</f>
        <v>0</v>
      </c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>
        <f>SUM(G213,I213:AI213)</f>
        <v>129.6</v>
      </c>
      <c r="AK213" s="122">
        <v>8</v>
      </c>
      <c r="AL213" s="249"/>
      <c r="AM213" s="250"/>
      <c r="AN213" s="126"/>
    </row>
    <row r="214" spans="1:40" s="125" customFormat="1" ht="17.25" customHeight="1" x14ac:dyDescent="0.2">
      <c r="A214" s="321" t="s">
        <v>253</v>
      </c>
      <c r="B214" s="322" t="s">
        <v>224</v>
      </c>
      <c r="C214" s="321" t="s">
        <v>61</v>
      </c>
      <c r="D214" s="321">
        <f>Бюджет_Конт!$D$7</f>
        <v>32</v>
      </c>
      <c r="E214" s="321">
        <f>Бюджет_Конт!$D$18</f>
        <v>1</v>
      </c>
      <c r="F214" s="319">
        <v>16</v>
      </c>
      <c r="G214" s="319">
        <f t="shared" si="75"/>
        <v>16</v>
      </c>
      <c r="H214" s="319">
        <v>16</v>
      </c>
      <c r="I214" s="319">
        <f t="shared" si="74"/>
        <v>16</v>
      </c>
      <c r="J214" s="319">
        <f>16*ROUNDUP(D214/16,0)</f>
        <v>32</v>
      </c>
      <c r="K214" s="319">
        <f t="shared" si="76"/>
        <v>9.6</v>
      </c>
      <c r="L214" s="319"/>
      <c r="M214" s="323"/>
      <c r="N214" s="319"/>
      <c r="O214" s="319"/>
      <c r="P214" s="319"/>
      <c r="Q214" s="323">
        <f t="shared" si="72"/>
        <v>0.8</v>
      </c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  <c r="AG214" s="124"/>
      <c r="AH214" s="124"/>
      <c r="AI214" s="124"/>
      <c r="AJ214" s="124">
        <f t="shared" si="73"/>
        <v>74.399999999999991</v>
      </c>
      <c r="AK214" s="122">
        <v>7</v>
      </c>
      <c r="AL214" s="249"/>
      <c r="AM214" s="250"/>
      <c r="AN214" s="126"/>
    </row>
    <row r="215" spans="1:40" s="125" customFormat="1" ht="17.25" customHeight="1" x14ac:dyDescent="0.2">
      <c r="A215" s="321" t="s">
        <v>285</v>
      </c>
      <c r="B215" s="322" t="s">
        <v>310</v>
      </c>
      <c r="C215" s="321" t="s">
        <v>62</v>
      </c>
      <c r="D215" s="321">
        <f>Бюджет_Конт!$D$7</f>
        <v>32</v>
      </c>
      <c r="E215" s="321">
        <f>Бюджет_Конт!$D$18</f>
        <v>1</v>
      </c>
      <c r="F215" s="319">
        <v>20</v>
      </c>
      <c r="G215" s="319">
        <f t="shared" si="75"/>
        <v>20</v>
      </c>
      <c r="H215" s="319">
        <v>40</v>
      </c>
      <c r="I215" s="319">
        <f>H215*E215</f>
        <v>40</v>
      </c>
      <c r="J215" s="319"/>
      <c r="K215" s="319">
        <f t="shared" si="76"/>
        <v>9.6</v>
      </c>
      <c r="L215" s="319"/>
      <c r="M215" s="323"/>
      <c r="N215" s="319"/>
      <c r="O215" s="319"/>
      <c r="P215" s="319"/>
      <c r="Q215" s="323">
        <f>IF(K215&gt;0,0.05*G215,IF(M215&gt;0,0.05*G215+1*E215,0))</f>
        <v>1</v>
      </c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124"/>
      <c r="AC215" s="124"/>
      <c r="AD215" s="124"/>
      <c r="AE215" s="124"/>
      <c r="AF215" s="124"/>
      <c r="AG215" s="124"/>
      <c r="AH215" s="124"/>
      <c r="AI215" s="124"/>
      <c r="AJ215" s="124">
        <f>SUM(G215,I215:AI215)</f>
        <v>70.599999999999994</v>
      </c>
      <c r="AK215" s="122">
        <v>7</v>
      </c>
      <c r="AL215" s="260"/>
      <c r="AM215" s="250"/>
      <c r="AN215" s="126"/>
    </row>
    <row r="216" spans="1:40" s="125" customFormat="1" ht="36" x14ac:dyDescent="0.2">
      <c r="A216" s="321" t="s">
        <v>284</v>
      </c>
      <c r="B216" s="322" t="s">
        <v>470</v>
      </c>
      <c r="C216" s="321" t="s">
        <v>64</v>
      </c>
      <c r="D216" s="321">
        <f>Бюджет_Конт!$D$8</f>
        <v>23</v>
      </c>
      <c r="E216" s="321">
        <f>Бюджет_Конт!$D$19</f>
        <v>1</v>
      </c>
      <c r="F216" s="319">
        <v>20</v>
      </c>
      <c r="G216" s="319">
        <f t="shared" si="75"/>
        <v>20</v>
      </c>
      <c r="H216" s="319">
        <v>20</v>
      </c>
      <c r="I216" s="319">
        <f t="shared" si="74"/>
        <v>20</v>
      </c>
      <c r="J216" s="319"/>
      <c r="K216" s="319">
        <f t="shared" si="76"/>
        <v>6.8999999999999995</v>
      </c>
      <c r="L216" s="319"/>
      <c r="M216" s="323"/>
      <c r="N216" s="319"/>
      <c r="O216" s="319"/>
      <c r="P216" s="319"/>
      <c r="Q216" s="323">
        <f t="shared" si="72"/>
        <v>1</v>
      </c>
      <c r="R216" s="124"/>
      <c r="S216" s="124"/>
      <c r="T216" s="124"/>
      <c r="U216" s="124"/>
      <c r="V216" s="124"/>
      <c r="W216" s="124"/>
      <c r="X216" s="124"/>
      <c r="Y216" s="124"/>
      <c r="Z216" s="124"/>
      <c r="AA216" s="124"/>
      <c r="AB216" s="124"/>
      <c r="AC216" s="124"/>
      <c r="AD216" s="124"/>
      <c r="AE216" s="124"/>
      <c r="AF216" s="124"/>
      <c r="AG216" s="124"/>
      <c r="AH216" s="124"/>
      <c r="AI216" s="124"/>
      <c r="AJ216" s="124">
        <f t="shared" si="73"/>
        <v>47.9</v>
      </c>
      <c r="AK216" s="122">
        <v>7</v>
      </c>
      <c r="AL216" s="249"/>
      <c r="AM216" s="250"/>
      <c r="AN216" s="126"/>
    </row>
    <row r="217" spans="1:40" s="125" customFormat="1" ht="18" customHeight="1" x14ac:dyDescent="0.2">
      <c r="A217" s="321" t="s">
        <v>220</v>
      </c>
      <c r="B217" s="322" t="s">
        <v>538</v>
      </c>
      <c r="C217" s="321" t="s">
        <v>63</v>
      </c>
      <c r="D217" s="321">
        <f>Бюджет_Конт!$D$8</f>
        <v>23</v>
      </c>
      <c r="E217" s="321">
        <f>Бюджет_Конт!$D$19</f>
        <v>1</v>
      </c>
      <c r="F217" s="319">
        <v>32</v>
      </c>
      <c r="G217" s="319"/>
      <c r="H217" s="319">
        <v>32</v>
      </c>
      <c r="I217" s="319">
        <f t="shared" si="74"/>
        <v>32</v>
      </c>
      <c r="J217" s="319"/>
      <c r="K217" s="319"/>
      <c r="L217" s="319"/>
      <c r="M217" s="323">
        <f>0.4*D217</f>
        <v>9.2000000000000011</v>
      </c>
      <c r="N217" s="319"/>
      <c r="O217" s="319"/>
      <c r="P217" s="319"/>
      <c r="Q217" s="323"/>
      <c r="R217" s="124"/>
      <c r="S217" s="124"/>
      <c r="T217" s="124"/>
      <c r="U217" s="124">
        <f>0.3*D217</f>
        <v>6.8999999999999995</v>
      </c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>
        <f>12*E217</f>
        <v>12</v>
      </c>
      <c r="AJ217" s="124">
        <f t="shared" si="73"/>
        <v>60.1</v>
      </c>
      <c r="AK217" s="122">
        <v>12</v>
      </c>
      <c r="AL217" s="249"/>
      <c r="AM217" s="250"/>
      <c r="AN217" s="126"/>
    </row>
    <row r="218" spans="1:40" s="125" customFormat="1" ht="36" x14ac:dyDescent="0.2">
      <c r="A218" s="321" t="s">
        <v>250</v>
      </c>
      <c r="B218" s="322" t="s">
        <v>554</v>
      </c>
      <c r="C218" s="321" t="s">
        <v>63</v>
      </c>
      <c r="D218" s="321">
        <f>Бюджет_Конт!$D$8</f>
        <v>23</v>
      </c>
      <c r="E218" s="321">
        <f>Бюджет_Конт!$D$19</f>
        <v>1</v>
      </c>
      <c r="F218" s="319">
        <v>32</v>
      </c>
      <c r="G218" s="319"/>
      <c r="H218" s="319">
        <v>32</v>
      </c>
      <c r="I218" s="319">
        <f t="shared" si="74"/>
        <v>32</v>
      </c>
      <c r="J218" s="319"/>
      <c r="K218" s="319"/>
      <c r="L218" s="319"/>
      <c r="M218" s="323">
        <f>0.4*D218</f>
        <v>9.2000000000000011</v>
      </c>
      <c r="N218" s="319"/>
      <c r="O218" s="319"/>
      <c r="P218" s="319"/>
      <c r="Q218" s="323"/>
      <c r="R218" s="124"/>
      <c r="S218" s="124"/>
      <c r="T218" s="124"/>
      <c r="U218" s="124">
        <f>0.3*D218</f>
        <v>6.8999999999999995</v>
      </c>
      <c r="V218" s="124"/>
      <c r="W218" s="124"/>
      <c r="X218" s="124"/>
      <c r="Y218" s="124"/>
      <c r="Z218" s="124"/>
      <c r="AA218" s="124"/>
      <c r="AB218" s="124"/>
      <c r="AC218" s="124"/>
      <c r="AD218" s="124"/>
      <c r="AE218" s="124"/>
      <c r="AF218" s="124"/>
      <c r="AG218" s="124"/>
      <c r="AH218" s="124"/>
      <c r="AI218" s="124">
        <f>12*E218</f>
        <v>12</v>
      </c>
      <c r="AJ218" s="124">
        <f t="shared" si="73"/>
        <v>60.1</v>
      </c>
      <c r="AK218" s="122">
        <v>12</v>
      </c>
      <c r="AM218" s="126"/>
      <c r="AN218" s="126"/>
    </row>
    <row r="219" spans="1:40" s="125" customFormat="1" ht="36" x14ac:dyDescent="0.2">
      <c r="A219" s="321" t="s">
        <v>221</v>
      </c>
      <c r="B219" s="322" t="s">
        <v>540</v>
      </c>
      <c r="C219" s="321" t="s">
        <v>64</v>
      </c>
      <c r="D219" s="321">
        <f>Бюджет_Конт!$D$8</f>
        <v>23</v>
      </c>
      <c r="E219" s="321">
        <f>Бюджет_Конт!$D$19</f>
        <v>1</v>
      </c>
      <c r="F219" s="319">
        <v>20</v>
      </c>
      <c r="G219" s="319"/>
      <c r="H219" s="319">
        <v>20</v>
      </c>
      <c r="I219" s="319"/>
      <c r="J219" s="319"/>
      <c r="K219" s="319">
        <f>0.3*D219</f>
        <v>6.8999999999999995</v>
      </c>
      <c r="L219" s="319"/>
      <c r="M219" s="323"/>
      <c r="N219" s="319"/>
      <c r="O219" s="319"/>
      <c r="P219" s="319"/>
      <c r="Q219" s="323">
        <f t="shared" si="72"/>
        <v>0</v>
      </c>
      <c r="R219" s="124"/>
      <c r="S219" s="124"/>
      <c r="T219" s="124"/>
      <c r="U219" s="124">
        <f>0.3*D219</f>
        <v>6.8999999999999995</v>
      </c>
      <c r="V219" s="124"/>
      <c r="W219" s="124"/>
      <c r="X219" s="124"/>
      <c r="Y219" s="124"/>
      <c r="Z219" s="124"/>
      <c r="AA219" s="124"/>
      <c r="AB219" s="124"/>
      <c r="AC219" s="124"/>
      <c r="AD219" s="124"/>
      <c r="AE219" s="124"/>
      <c r="AF219" s="124"/>
      <c r="AG219" s="124"/>
      <c r="AH219" s="124"/>
      <c r="AI219" s="124"/>
      <c r="AJ219" s="124">
        <f t="shared" si="73"/>
        <v>13.799999999999999</v>
      </c>
      <c r="AK219" s="122">
        <v>12</v>
      </c>
      <c r="AL219" s="249"/>
      <c r="AM219" s="250"/>
      <c r="AN219" s="126"/>
    </row>
    <row r="220" spans="1:40" s="125" customFormat="1" ht="36" x14ac:dyDescent="0.2">
      <c r="A220" s="321" t="s">
        <v>244</v>
      </c>
      <c r="B220" s="322" t="s">
        <v>511</v>
      </c>
      <c r="C220" s="321" t="s">
        <v>63</v>
      </c>
      <c r="D220" s="321">
        <f>Бюджет_Конт!$D$8</f>
        <v>23</v>
      </c>
      <c r="E220" s="321">
        <f>Бюджет_Конт!$D$19</f>
        <v>1</v>
      </c>
      <c r="F220" s="319">
        <v>50</v>
      </c>
      <c r="G220" s="319">
        <f>F220</f>
        <v>50</v>
      </c>
      <c r="H220" s="319">
        <v>50</v>
      </c>
      <c r="I220" s="319">
        <f t="shared" si="74"/>
        <v>50</v>
      </c>
      <c r="J220" s="319">
        <f>16*ROUNDUP(D220/15,0)</f>
        <v>32</v>
      </c>
      <c r="K220" s="319"/>
      <c r="L220" s="319"/>
      <c r="M220" s="323">
        <f>0.4*D220</f>
        <v>9.2000000000000011</v>
      </c>
      <c r="N220" s="319"/>
      <c r="O220" s="319"/>
      <c r="P220" s="319"/>
      <c r="Q220" s="323">
        <f t="shared" si="72"/>
        <v>3.5</v>
      </c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  <c r="AB220" s="124"/>
      <c r="AC220" s="124"/>
      <c r="AD220" s="124"/>
      <c r="AE220" s="124"/>
      <c r="AF220" s="124"/>
      <c r="AG220" s="124"/>
      <c r="AH220" s="124"/>
      <c r="AI220" s="124"/>
      <c r="AJ220" s="124">
        <f t="shared" si="73"/>
        <v>144.69999999999999</v>
      </c>
      <c r="AK220" s="122">
        <v>7</v>
      </c>
      <c r="AL220" s="249"/>
      <c r="AM220" s="250"/>
      <c r="AN220" s="126"/>
    </row>
    <row r="221" spans="1:40" s="125" customFormat="1" ht="18" customHeight="1" x14ac:dyDescent="0.2">
      <c r="A221" s="321" t="s">
        <v>252</v>
      </c>
      <c r="B221" s="322" t="s">
        <v>326</v>
      </c>
      <c r="C221" s="321" t="s">
        <v>64</v>
      </c>
      <c r="D221" s="321">
        <f>Бюджет_Конт!$D$8</f>
        <v>23</v>
      </c>
      <c r="E221" s="321">
        <f>Бюджет_Конт!$D$19</f>
        <v>1</v>
      </c>
      <c r="F221" s="319">
        <v>60</v>
      </c>
      <c r="G221" s="319">
        <f>F221</f>
        <v>60</v>
      </c>
      <c r="H221" s="319">
        <v>60</v>
      </c>
      <c r="I221" s="319">
        <f>H221*E221</f>
        <v>60</v>
      </c>
      <c r="J221" s="319">
        <f>20*ROUNDUP(D221/15,0)</f>
        <v>40</v>
      </c>
      <c r="K221" s="319"/>
      <c r="L221" s="319"/>
      <c r="M221" s="323">
        <f>0.4*D221</f>
        <v>9.2000000000000011</v>
      </c>
      <c r="N221" s="319"/>
      <c r="O221" s="319"/>
      <c r="P221" s="319"/>
      <c r="Q221" s="323">
        <f t="shared" si="72"/>
        <v>4</v>
      </c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124"/>
      <c r="AG221" s="124"/>
      <c r="AH221" s="124"/>
      <c r="AI221" s="124"/>
      <c r="AJ221" s="124">
        <f>SUM(G221,I221:AI221)</f>
        <v>173.2</v>
      </c>
      <c r="AK221" s="122">
        <v>7</v>
      </c>
      <c r="AL221" s="249"/>
      <c r="AM221" s="250"/>
      <c r="AN221" s="126"/>
    </row>
    <row r="222" spans="1:40" s="125" customFormat="1" ht="36" x14ac:dyDescent="0.2">
      <c r="A222" s="321" t="s">
        <v>311</v>
      </c>
      <c r="B222" s="322" t="s">
        <v>559</v>
      </c>
      <c r="C222" s="321" t="s">
        <v>64</v>
      </c>
      <c r="D222" s="321">
        <f>Бюджет_Конт!$D$8</f>
        <v>23</v>
      </c>
      <c r="E222" s="321">
        <f>Бюджет_Конт!$D$19</f>
        <v>1</v>
      </c>
      <c r="F222" s="319">
        <v>40</v>
      </c>
      <c r="G222" s="319"/>
      <c r="H222" s="319">
        <v>40</v>
      </c>
      <c r="I222" s="319"/>
      <c r="J222" s="319"/>
      <c r="K222" s="319"/>
      <c r="L222" s="319"/>
      <c r="M222" s="323">
        <f>0.4*D222</f>
        <v>9.2000000000000011</v>
      </c>
      <c r="N222" s="319"/>
      <c r="O222" s="319"/>
      <c r="P222" s="319"/>
      <c r="Q222" s="323"/>
      <c r="R222" s="124"/>
      <c r="S222" s="124"/>
      <c r="T222" s="124"/>
      <c r="U222" s="124"/>
      <c r="V222" s="124"/>
      <c r="W222" s="124"/>
      <c r="X222" s="124"/>
      <c r="Y222" s="124"/>
      <c r="Z222" s="124"/>
      <c r="AA222" s="124"/>
      <c r="AB222" s="124"/>
      <c r="AC222" s="124"/>
      <c r="AD222" s="124"/>
      <c r="AE222" s="124"/>
      <c r="AF222" s="124"/>
      <c r="AG222" s="124"/>
      <c r="AH222" s="124"/>
      <c r="AI222" s="124"/>
      <c r="AJ222" s="124">
        <f>SUM(G222,I222:AI222)</f>
        <v>9.2000000000000011</v>
      </c>
      <c r="AK222" s="122">
        <v>12</v>
      </c>
      <c r="AM222" s="126"/>
      <c r="AN222" s="126"/>
    </row>
    <row r="223" spans="1:40" s="125" customFormat="1" ht="36" x14ac:dyDescent="0.2">
      <c r="A223" s="321" t="s">
        <v>312</v>
      </c>
      <c r="B223" s="322" t="s">
        <v>547</v>
      </c>
      <c r="C223" s="321" t="s">
        <v>63</v>
      </c>
      <c r="D223" s="321">
        <f>Бюджет_Конт!$D$8</f>
        <v>23</v>
      </c>
      <c r="E223" s="321">
        <f>Бюджет_Конт!$D$19</f>
        <v>1</v>
      </c>
      <c r="F223" s="319">
        <v>16</v>
      </c>
      <c r="G223" s="319"/>
      <c r="H223" s="319"/>
      <c r="I223" s="319">
        <f t="shared" si="74"/>
        <v>0</v>
      </c>
      <c r="J223" s="319">
        <f>50*ROUNDUP(D223/15,0)</f>
        <v>100</v>
      </c>
      <c r="K223" s="319">
        <f>0.3*D223</f>
        <v>6.8999999999999995</v>
      </c>
      <c r="L223" s="319"/>
      <c r="M223" s="319"/>
      <c r="N223" s="319"/>
      <c r="O223" s="319"/>
      <c r="P223" s="319"/>
      <c r="Q223" s="323">
        <f t="shared" si="72"/>
        <v>0</v>
      </c>
      <c r="R223" s="124"/>
      <c r="S223" s="124"/>
      <c r="T223" s="124"/>
      <c r="U223" s="124"/>
      <c r="V223" s="124"/>
      <c r="W223" s="124"/>
      <c r="X223" s="124"/>
      <c r="Y223" s="124"/>
      <c r="Z223" s="124"/>
      <c r="AA223" s="124"/>
      <c r="AB223" s="124"/>
      <c r="AC223" s="124"/>
      <c r="AD223" s="124"/>
      <c r="AE223" s="124"/>
      <c r="AF223" s="124"/>
      <c r="AG223" s="124"/>
      <c r="AH223" s="124"/>
      <c r="AI223" s="124"/>
      <c r="AJ223" s="124">
        <f t="shared" si="73"/>
        <v>106.9</v>
      </c>
      <c r="AK223" s="122">
        <v>8</v>
      </c>
      <c r="AL223" s="249"/>
      <c r="AM223" s="250"/>
      <c r="AN223" s="126"/>
    </row>
    <row r="224" spans="1:40" s="125" customFormat="1" ht="18" x14ac:dyDescent="0.2">
      <c r="A224" s="321" t="s">
        <v>313</v>
      </c>
      <c r="B224" s="322" t="s">
        <v>251</v>
      </c>
      <c r="C224" s="321" t="s">
        <v>63</v>
      </c>
      <c r="D224" s="321">
        <f>Бюджет_Конт!$D$8</f>
        <v>23</v>
      </c>
      <c r="E224" s="321">
        <f>Бюджет_Конт!$D$19</f>
        <v>1</v>
      </c>
      <c r="F224" s="319">
        <v>16</v>
      </c>
      <c r="G224" s="319">
        <f>F224</f>
        <v>16</v>
      </c>
      <c r="H224" s="319"/>
      <c r="I224" s="319">
        <f>H224*E224</f>
        <v>0</v>
      </c>
      <c r="J224" s="319">
        <f>50*ROUNDUP(D224/15,0)</f>
        <v>100</v>
      </c>
      <c r="K224" s="319"/>
      <c r="L224" s="319"/>
      <c r="M224" s="323">
        <f>0.4*D224</f>
        <v>9.2000000000000011</v>
      </c>
      <c r="N224" s="319"/>
      <c r="O224" s="319"/>
      <c r="P224" s="319"/>
      <c r="Q224" s="323">
        <f t="shared" si="72"/>
        <v>1.8</v>
      </c>
      <c r="R224" s="124"/>
      <c r="S224" s="124"/>
      <c r="T224" s="124"/>
      <c r="U224" s="124"/>
      <c r="V224" s="124"/>
      <c r="W224" s="124"/>
      <c r="X224" s="124"/>
      <c r="Y224" s="124"/>
      <c r="Z224" s="124"/>
      <c r="AA224" s="124"/>
      <c r="AB224" s="124"/>
      <c r="AC224" s="124"/>
      <c r="AD224" s="124"/>
      <c r="AE224" s="124"/>
      <c r="AF224" s="124"/>
      <c r="AG224" s="124"/>
      <c r="AH224" s="124"/>
      <c r="AI224" s="124"/>
      <c r="AJ224" s="124">
        <f t="shared" si="73"/>
        <v>127</v>
      </c>
      <c r="AK224" s="122">
        <v>7</v>
      </c>
      <c r="AL224" s="249"/>
      <c r="AM224" s="250"/>
      <c r="AN224" s="126"/>
    </row>
    <row r="225" spans="1:40" s="125" customFormat="1" ht="36" x14ac:dyDescent="0.2">
      <c r="A225" s="321" t="s">
        <v>376</v>
      </c>
      <c r="B225" s="322" t="s">
        <v>548</v>
      </c>
      <c r="C225" s="321" t="s">
        <v>64</v>
      </c>
      <c r="D225" s="321">
        <f>Бюджет_Конт!$D$8</f>
        <v>23</v>
      </c>
      <c r="E225" s="321">
        <f>Бюджет_Конт!$D$19</f>
        <v>1</v>
      </c>
      <c r="F225" s="319">
        <v>20</v>
      </c>
      <c r="G225" s="319"/>
      <c r="H225" s="319"/>
      <c r="I225" s="319">
        <f t="shared" si="74"/>
        <v>0</v>
      </c>
      <c r="J225" s="319">
        <f>60*ROUNDUP(D225/15,0)</f>
        <v>120</v>
      </c>
      <c r="K225" s="319"/>
      <c r="L225" s="319"/>
      <c r="M225" s="323">
        <f>0.4*D225</f>
        <v>9.2000000000000011</v>
      </c>
      <c r="N225" s="319"/>
      <c r="O225" s="319"/>
      <c r="P225" s="319"/>
      <c r="Q225" s="323"/>
      <c r="R225" s="124"/>
      <c r="S225" s="124"/>
      <c r="T225" s="124"/>
      <c r="U225" s="124"/>
      <c r="V225" s="124"/>
      <c r="W225" s="124"/>
      <c r="X225" s="124"/>
      <c r="Y225" s="124"/>
      <c r="Z225" s="124"/>
      <c r="AA225" s="124"/>
      <c r="AB225" s="124"/>
      <c r="AC225" s="124"/>
      <c r="AD225" s="124"/>
      <c r="AE225" s="124"/>
      <c r="AF225" s="124"/>
      <c r="AG225" s="124"/>
      <c r="AH225" s="124"/>
      <c r="AI225" s="124"/>
      <c r="AJ225" s="124">
        <f t="shared" si="73"/>
        <v>129.19999999999999</v>
      </c>
      <c r="AK225" s="122">
        <v>8</v>
      </c>
      <c r="AL225" s="249"/>
      <c r="AM225" s="250"/>
      <c r="AN225" s="126"/>
    </row>
    <row r="226" spans="1:40" s="125" customFormat="1" ht="18" x14ac:dyDescent="0.2">
      <c r="A226" s="321" t="s">
        <v>203</v>
      </c>
      <c r="B226" s="322" t="s">
        <v>332</v>
      </c>
      <c r="C226" s="321" t="s">
        <v>64</v>
      </c>
      <c r="D226" s="321">
        <f>Бюджет_Конт!$D$8</f>
        <v>23</v>
      </c>
      <c r="E226" s="321">
        <f>Бюджет_Конт!$D$19</f>
        <v>1</v>
      </c>
      <c r="F226" s="319"/>
      <c r="G226" s="319">
        <f t="shared" ref="G226:G233" si="77">F226</f>
        <v>0</v>
      </c>
      <c r="H226" s="319">
        <v>20</v>
      </c>
      <c r="I226" s="319">
        <f t="shared" si="74"/>
        <v>20</v>
      </c>
      <c r="J226" s="319"/>
      <c r="K226" s="319">
        <f>0.3*D226</f>
        <v>6.8999999999999995</v>
      </c>
      <c r="L226" s="319"/>
      <c r="M226" s="319"/>
      <c r="N226" s="319"/>
      <c r="O226" s="319"/>
      <c r="P226" s="319"/>
      <c r="Q226" s="323">
        <f t="shared" si="72"/>
        <v>0</v>
      </c>
      <c r="R226" s="124"/>
      <c r="S226" s="124"/>
      <c r="T226" s="124"/>
      <c r="U226" s="124"/>
      <c r="V226" s="124"/>
      <c r="W226" s="124"/>
      <c r="X226" s="124"/>
      <c r="Y226" s="124"/>
      <c r="Z226" s="124"/>
      <c r="AA226" s="124"/>
      <c r="AB226" s="124"/>
      <c r="AC226" s="124"/>
      <c r="AD226" s="124"/>
      <c r="AE226" s="124"/>
      <c r="AF226" s="124"/>
      <c r="AG226" s="124"/>
      <c r="AH226" s="124"/>
      <c r="AI226" s="124"/>
      <c r="AJ226" s="124">
        <f t="shared" si="73"/>
        <v>26.9</v>
      </c>
      <c r="AK226" s="122">
        <v>7</v>
      </c>
      <c r="AL226" s="126"/>
      <c r="AM226" s="126"/>
      <c r="AN226" s="126"/>
    </row>
    <row r="227" spans="1:40" s="125" customFormat="1" ht="36" x14ac:dyDescent="0.2">
      <c r="A227" s="321" t="s">
        <v>378</v>
      </c>
      <c r="B227" s="324" t="s">
        <v>377</v>
      </c>
      <c r="C227" s="321" t="s">
        <v>66</v>
      </c>
      <c r="D227" s="321">
        <f>Бюджет_Конт!$D$9</f>
        <v>23</v>
      </c>
      <c r="E227" s="321">
        <f>Бюджет_Конт!$D$20</f>
        <v>1</v>
      </c>
      <c r="F227" s="319">
        <v>36</v>
      </c>
      <c r="G227" s="319"/>
      <c r="H227" s="319">
        <v>36</v>
      </c>
      <c r="I227" s="319">
        <f t="shared" si="74"/>
        <v>36</v>
      </c>
      <c r="J227" s="319"/>
      <c r="K227" s="319"/>
      <c r="L227" s="319"/>
      <c r="M227" s="323">
        <f>0.4*D227</f>
        <v>9.2000000000000011</v>
      </c>
      <c r="N227" s="319"/>
      <c r="O227" s="319"/>
      <c r="P227" s="319"/>
      <c r="Q227" s="323"/>
      <c r="R227" s="124"/>
      <c r="S227" s="124"/>
      <c r="T227" s="124"/>
      <c r="U227" s="124">
        <f>0.3*D227</f>
        <v>6.8999999999999995</v>
      </c>
      <c r="V227" s="124"/>
      <c r="W227" s="124"/>
      <c r="X227" s="124"/>
      <c r="Y227" s="124"/>
      <c r="Z227" s="124"/>
      <c r="AA227" s="124"/>
      <c r="AB227" s="124"/>
      <c r="AC227" s="124"/>
      <c r="AD227" s="124"/>
      <c r="AE227" s="124"/>
      <c r="AF227" s="124"/>
      <c r="AG227" s="124"/>
      <c r="AH227" s="124"/>
      <c r="AI227" s="124">
        <f>14*E227</f>
        <v>14</v>
      </c>
      <c r="AJ227" s="124">
        <f t="shared" si="73"/>
        <v>66.099999999999994</v>
      </c>
      <c r="AK227" s="122">
        <v>12</v>
      </c>
      <c r="AM227" s="126"/>
      <c r="AN227" s="126"/>
    </row>
    <row r="228" spans="1:40" s="125" customFormat="1" ht="18" x14ac:dyDescent="0.2">
      <c r="A228" s="321" t="s">
        <v>254</v>
      </c>
      <c r="B228" s="322" t="s">
        <v>111</v>
      </c>
      <c r="C228" s="321" t="s">
        <v>65</v>
      </c>
      <c r="D228" s="321">
        <f>Бюджет_Конт!$D$9</f>
        <v>23</v>
      </c>
      <c r="E228" s="321">
        <f>Бюджет_Конт!$D$20</f>
        <v>1</v>
      </c>
      <c r="F228" s="319">
        <v>34</v>
      </c>
      <c r="G228" s="319">
        <f t="shared" si="77"/>
        <v>34</v>
      </c>
      <c r="H228" s="319">
        <v>34</v>
      </c>
      <c r="I228" s="319">
        <f t="shared" si="74"/>
        <v>34</v>
      </c>
      <c r="J228" s="319"/>
      <c r="K228" s="319">
        <f>0.3*D228</f>
        <v>6.8999999999999995</v>
      </c>
      <c r="L228" s="319"/>
      <c r="M228" s="323"/>
      <c r="N228" s="319"/>
      <c r="O228" s="319"/>
      <c r="P228" s="319"/>
      <c r="Q228" s="323">
        <f t="shared" si="72"/>
        <v>1.7000000000000002</v>
      </c>
      <c r="R228" s="124"/>
      <c r="S228" s="124"/>
      <c r="T228" s="124"/>
      <c r="U228" s="124"/>
      <c r="V228" s="124"/>
      <c r="W228" s="124"/>
      <c r="X228" s="124"/>
      <c r="Y228" s="124"/>
      <c r="Z228" s="124"/>
      <c r="AA228" s="124"/>
      <c r="AB228" s="124"/>
      <c r="AC228" s="124"/>
      <c r="AD228" s="124"/>
      <c r="AE228" s="124"/>
      <c r="AF228" s="124"/>
      <c r="AG228" s="124"/>
      <c r="AH228" s="124"/>
      <c r="AI228" s="124"/>
      <c r="AJ228" s="124">
        <f t="shared" si="73"/>
        <v>76.600000000000009</v>
      </c>
      <c r="AK228" s="122">
        <v>7</v>
      </c>
      <c r="AM228" s="126"/>
      <c r="AN228" s="126"/>
    </row>
    <row r="229" spans="1:40" s="125" customFormat="1" ht="18" x14ac:dyDescent="0.2">
      <c r="A229" s="321" t="s">
        <v>255</v>
      </c>
      <c r="B229" s="324" t="s">
        <v>362</v>
      </c>
      <c r="C229" s="321" t="s">
        <v>65</v>
      </c>
      <c r="D229" s="321">
        <f>Бюджет_Конт!$D$9</f>
        <v>23</v>
      </c>
      <c r="E229" s="321">
        <f>Бюджет_Конт!$D$20</f>
        <v>1</v>
      </c>
      <c r="F229" s="319">
        <v>50</v>
      </c>
      <c r="G229" s="319"/>
      <c r="H229" s="319">
        <v>68</v>
      </c>
      <c r="I229" s="319">
        <f t="shared" si="74"/>
        <v>68</v>
      </c>
      <c r="J229" s="319"/>
      <c r="K229" s="319"/>
      <c r="L229" s="319"/>
      <c r="M229" s="323">
        <f>0.4*D229</f>
        <v>9.2000000000000011</v>
      </c>
      <c r="N229" s="319"/>
      <c r="O229" s="319"/>
      <c r="P229" s="319"/>
      <c r="Q229" s="323"/>
      <c r="R229" s="124"/>
      <c r="S229" s="124"/>
      <c r="T229" s="124"/>
      <c r="U229" s="124">
        <f>0.3*D229</f>
        <v>6.8999999999999995</v>
      </c>
      <c r="V229" s="124"/>
      <c r="W229" s="124"/>
      <c r="X229" s="124"/>
      <c r="Y229" s="124"/>
      <c r="Z229" s="124"/>
      <c r="AA229" s="124"/>
      <c r="AB229" s="124"/>
      <c r="AC229" s="124"/>
      <c r="AD229" s="124"/>
      <c r="AE229" s="124"/>
      <c r="AF229" s="124"/>
      <c r="AG229" s="124"/>
      <c r="AH229" s="124"/>
      <c r="AI229" s="124"/>
      <c r="AJ229" s="124">
        <f t="shared" si="73"/>
        <v>84.100000000000009</v>
      </c>
      <c r="AK229" s="122">
        <v>12</v>
      </c>
      <c r="AM229" s="126"/>
      <c r="AN229" s="126"/>
    </row>
    <row r="230" spans="1:40" s="125" customFormat="1" ht="18" x14ac:dyDescent="0.2">
      <c r="A230" s="321" t="s">
        <v>247</v>
      </c>
      <c r="B230" s="322" t="s">
        <v>555</v>
      </c>
      <c r="C230" s="321" t="s">
        <v>66</v>
      </c>
      <c r="D230" s="321">
        <f>Бюджет_Конт!$D$9</f>
        <v>23</v>
      </c>
      <c r="E230" s="321">
        <f>Бюджет_Конт!$D$20</f>
        <v>1</v>
      </c>
      <c r="F230" s="319"/>
      <c r="G230" s="319">
        <f t="shared" si="77"/>
        <v>0</v>
      </c>
      <c r="H230" s="319"/>
      <c r="I230" s="319">
        <f t="shared" si="74"/>
        <v>0</v>
      </c>
      <c r="J230" s="319">
        <f>38*ROUNDUP(D230/15,0)</f>
        <v>76</v>
      </c>
      <c r="K230" s="319">
        <f>0.3*D230</f>
        <v>6.8999999999999995</v>
      </c>
      <c r="L230" s="319"/>
      <c r="M230" s="323"/>
      <c r="N230" s="319"/>
      <c r="O230" s="319"/>
      <c r="P230" s="319"/>
      <c r="Q230" s="323">
        <f t="shared" si="72"/>
        <v>0</v>
      </c>
      <c r="R230" s="124"/>
      <c r="S230" s="124"/>
      <c r="T230" s="124"/>
      <c r="U230" s="124"/>
      <c r="V230" s="124"/>
      <c r="W230" s="124"/>
      <c r="X230" s="124"/>
      <c r="Y230" s="124"/>
      <c r="Z230" s="124"/>
      <c r="AA230" s="124"/>
      <c r="AB230" s="124"/>
      <c r="AC230" s="124"/>
      <c r="AD230" s="124"/>
      <c r="AE230" s="124"/>
      <c r="AF230" s="124"/>
      <c r="AG230" s="124"/>
      <c r="AH230" s="124"/>
      <c r="AI230" s="124"/>
      <c r="AJ230" s="124">
        <f t="shared" si="73"/>
        <v>82.9</v>
      </c>
      <c r="AK230" s="122">
        <v>8</v>
      </c>
      <c r="AL230" s="253"/>
      <c r="AM230" s="126"/>
    </row>
    <row r="231" spans="1:40" s="125" customFormat="1" ht="18" x14ac:dyDescent="0.2">
      <c r="A231" s="321" t="s">
        <v>257</v>
      </c>
      <c r="B231" s="322" t="s">
        <v>256</v>
      </c>
      <c r="C231" s="321" t="s">
        <v>65</v>
      </c>
      <c r="D231" s="321">
        <f>Бюджет_Конт!$D$9</f>
        <v>23</v>
      </c>
      <c r="E231" s="321">
        <f>Бюджет_Конт!$D$20</f>
        <v>1</v>
      </c>
      <c r="F231" s="319">
        <v>34</v>
      </c>
      <c r="G231" s="319">
        <f t="shared" si="77"/>
        <v>34</v>
      </c>
      <c r="H231" s="319">
        <v>34</v>
      </c>
      <c r="I231" s="319">
        <f t="shared" si="74"/>
        <v>34</v>
      </c>
      <c r="J231" s="319"/>
      <c r="K231" s="319">
        <f>0.3*D231</f>
        <v>6.8999999999999995</v>
      </c>
      <c r="L231" s="319"/>
      <c r="M231" s="319"/>
      <c r="N231" s="319"/>
      <c r="O231" s="319"/>
      <c r="P231" s="319"/>
      <c r="Q231" s="323">
        <f t="shared" si="72"/>
        <v>1.7000000000000002</v>
      </c>
      <c r="R231" s="124"/>
      <c r="S231" s="124"/>
      <c r="T231" s="124"/>
      <c r="U231" s="124"/>
      <c r="V231" s="124"/>
      <c r="W231" s="124"/>
      <c r="X231" s="124"/>
      <c r="Y231" s="124"/>
      <c r="Z231" s="124"/>
      <c r="AA231" s="124"/>
      <c r="AB231" s="124"/>
      <c r="AC231" s="124"/>
      <c r="AD231" s="124"/>
      <c r="AE231" s="124"/>
      <c r="AF231" s="124"/>
      <c r="AG231" s="124"/>
      <c r="AH231" s="124"/>
      <c r="AI231" s="124"/>
      <c r="AJ231" s="124">
        <f t="shared" si="73"/>
        <v>76.600000000000009</v>
      </c>
      <c r="AK231" s="122">
        <v>7</v>
      </c>
      <c r="AL231" s="261"/>
      <c r="AM231" s="138"/>
      <c r="AN231" s="126"/>
    </row>
    <row r="232" spans="1:40" s="125" customFormat="1" ht="18" x14ac:dyDescent="0.2">
      <c r="A232" s="321" t="s">
        <v>319</v>
      </c>
      <c r="B232" s="322" t="s">
        <v>112</v>
      </c>
      <c r="C232" s="321" t="s">
        <v>66</v>
      </c>
      <c r="D232" s="321">
        <f>Бюджет_Конт!$D$9</f>
        <v>23</v>
      </c>
      <c r="E232" s="321">
        <f>Бюджет_Конт!$D$20</f>
        <v>1</v>
      </c>
      <c r="F232" s="319">
        <v>18</v>
      </c>
      <c r="G232" s="319">
        <f t="shared" si="77"/>
        <v>18</v>
      </c>
      <c r="H232" s="319">
        <v>56</v>
      </c>
      <c r="I232" s="319">
        <f t="shared" si="74"/>
        <v>56</v>
      </c>
      <c r="J232" s="319"/>
      <c r="K232" s="319">
        <f>0.3*D232</f>
        <v>6.8999999999999995</v>
      </c>
      <c r="L232" s="319"/>
      <c r="M232" s="319"/>
      <c r="N232" s="319"/>
      <c r="O232" s="319"/>
      <c r="P232" s="319"/>
      <c r="Q232" s="323">
        <f t="shared" si="72"/>
        <v>0.9</v>
      </c>
      <c r="R232" s="124"/>
      <c r="S232" s="124"/>
      <c r="T232" s="124"/>
      <c r="U232" s="124"/>
      <c r="V232" s="124"/>
      <c r="W232" s="124"/>
      <c r="X232" s="124"/>
      <c r="Y232" s="124"/>
      <c r="Z232" s="124"/>
      <c r="AA232" s="124"/>
      <c r="AB232" s="124"/>
      <c r="AC232" s="124"/>
      <c r="AD232" s="124"/>
      <c r="AE232" s="124"/>
      <c r="AF232" s="124"/>
      <c r="AG232" s="124"/>
      <c r="AH232" s="124"/>
      <c r="AI232" s="124"/>
      <c r="AJ232" s="124">
        <f t="shared" si="73"/>
        <v>81.800000000000011</v>
      </c>
      <c r="AK232" s="122">
        <v>7</v>
      </c>
      <c r="AM232" s="126"/>
      <c r="AN232" s="126"/>
    </row>
    <row r="233" spans="1:40" s="125" customFormat="1" ht="18" x14ac:dyDescent="0.2">
      <c r="A233" s="321" t="s">
        <v>269</v>
      </c>
      <c r="B233" s="322" t="s">
        <v>113</v>
      </c>
      <c r="C233" s="321" t="s">
        <v>66</v>
      </c>
      <c r="D233" s="321">
        <f>Бюджет_Конт!$D$9</f>
        <v>23</v>
      </c>
      <c r="E233" s="321">
        <f>Бюджет_Конт!$D$20</f>
        <v>1</v>
      </c>
      <c r="F233" s="319">
        <v>38</v>
      </c>
      <c r="G233" s="319">
        <f t="shared" si="77"/>
        <v>38</v>
      </c>
      <c r="H233" s="319">
        <v>38</v>
      </c>
      <c r="I233" s="319">
        <f t="shared" si="74"/>
        <v>38</v>
      </c>
      <c r="J233" s="319"/>
      <c r="K233" s="319"/>
      <c r="L233" s="319"/>
      <c r="M233" s="323">
        <f>0.4*D233</f>
        <v>9.2000000000000011</v>
      </c>
      <c r="N233" s="319"/>
      <c r="O233" s="319"/>
      <c r="P233" s="319"/>
      <c r="Q233" s="323">
        <f t="shared" si="72"/>
        <v>2.9000000000000004</v>
      </c>
      <c r="R233" s="124"/>
      <c r="S233" s="124"/>
      <c r="T233" s="124"/>
      <c r="U233" s="124"/>
      <c r="V233" s="124"/>
      <c r="W233" s="124"/>
      <c r="X233" s="124"/>
      <c r="Y233" s="124"/>
      <c r="Z233" s="124"/>
      <c r="AA233" s="124"/>
      <c r="AB233" s="124"/>
      <c r="AC233" s="124"/>
      <c r="AD233" s="124"/>
      <c r="AE233" s="124"/>
      <c r="AF233" s="124"/>
      <c r="AG233" s="124"/>
      <c r="AH233" s="124"/>
      <c r="AI233" s="124"/>
      <c r="AJ233" s="124">
        <f t="shared" si="73"/>
        <v>88.100000000000009</v>
      </c>
      <c r="AK233" s="122">
        <v>7</v>
      </c>
      <c r="AM233" s="126"/>
      <c r="AN233" s="126"/>
    </row>
    <row r="234" spans="1:40" s="125" customFormat="1" ht="18" x14ac:dyDescent="0.2">
      <c r="A234" s="321" t="s">
        <v>258</v>
      </c>
      <c r="B234" s="322" t="s">
        <v>259</v>
      </c>
      <c r="C234" s="321" t="s">
        <v>66</v>
      </c>
      <c r="D234" s="321">
        <f>Бюджет_Конт!$D$9</f>
        <v>23</v>
      </c>
      <c r="E234" s="321">
        <f>Бюджет_Конт!$D$20</f>
        <v>1</v>
      </c>
      <c r="F234" s="319">
        <v>38</v>
      </c>
      <c r="G234" s="319">
        <f>F234</f>
        <v>38</v>
      </c>
      <c r="H234" s="319">
        <v>18</v>
      </c>
      <c r="I234" s="319">
        <f>H234*E234</f>
        <v>18</v>
      </c>
      <c r="J234" s="319"/>
      <c r="K234" s="319">
        <f>0.3*D234</f>
        <v>6.8999999999999995</v>
      </c>
      <c r="L234" s="319"/>
      <c r="M234" s="319"/>
      <c r="N234" s="319"/>
      <c r="O234" s="319"/>
      <c r="P234" s="319"/>
      <c r="Q234" s="323">
        <f t="shared" si="72"/>
        <v>1.9000000000000001</v>
      </c>
      <c r="R234" s="124"/>
      <c r="S234" s="124"/>
      <c r="T234" s="124"/>
      <c r="U234" s="124"/>
      <c r="V234" s="124"/>
      <c r="W234" s="124"/>
      <c r="X234" s="124"/>
      <c r="Y234" s="124"/>
      <c r="Z234" s="124"/>
      <c r="AA234" s="124"/>
      <c r="AB234" s="124"/>
      <c r="AC234" s="124"/>
      <c r="AD234" s="124"/>
      <c r="AE234" s="124"/>
      <c r="AF234" s="124"/>
      <c r="AG234" s="124"/>
      <c r="AH234" s="124"/>
      <c r="AI234" s="124"/>
      <c r="AJ234" s="124">
        <f>SUM(G234,I234:AI234)</f>
        <v>64.8</v>
      </c>
      <c r="AK234" s="122">
        <v>7</v>
      </c>
      <c r="AM234" s="126"/>
      <c r="AN234" s="126"/>
    </row>
    <row r="235" spans="1:40" s="125" customFormat="1" ht="18" x14ac:dyDescent="0.2">
      <c r="A235" s="321" t="s">
        <v>314</v>
      </c>
      <c r="B235" s="322" t="s">
        <v>117</v>
      </c>
      <c r="C235" s="321" t="s">
        <v>65</v>
      </c>
      <c r="D235" s="321">
        <f>Бюджет_Конт!$D$9</f>
        <v>23</v>
      </c>
      <c r="E235" s="321">
        <f>Бюджет_Конт!$D$20</f>
        <v>1</v>
      </c>
      <c r="F235" s="319"/>
      <c r="G235" s="319">
        <f>F235</f>
        <v>0</v>
      </c>
      <c r="H235" s="319"/>
      <c r="I235" s="319">
        <f t="shared" si="74"/>
        <v>0</v>
      </c>
      <c r="J235" s="319">
        <f>68*ROUNDUP(D235/15,0)</f>
        <v>136</v>
      </c>
      <c r="K235" s="319">
        <f>0.3*D235</f>
        <v>6.8999999999999995</v>
      </c>
      <c r="L235" s="319"/>
      <c r="M235" s="323"/>
      <c r="N235" s="319"/>
      <c r="O235" s="319"/>
      <c r="P235" s="319"/>
      <c r="Q235" s="323">
        <f t="shared" si="72"/>
        <v>0</v>
      </c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124"/>
      <c r="AG235" s="124"/>
      <c r="AH235" s="124"/>
      <c r="AI235" s="124"/>
      <c r="AJ235" s="124">
        <f t="shared" si="73"/>
        <v>142.9</v>
      </c>
      <c r="AK235" s="122">
        <v>7</v>
      </c>
      <c r="AM235" s="126"/>
      <c r="AN235" s="126"/>
    </row>
    <row r="236" spans="1:40" s="125" customFormat="1" ht="18" x14ac:dyDescent="0.2">
      <c r="A236" s="321" t="s">
        <v>315</v>
      </c>
      <c r="B236" s="322" t="s">
        <v>225</v>
      </c>
      <c r="C236" s="321" t="s">
        <v>65</v>
      </c>
      <c r="D236" s="321">
        <f>Бюджет_Конт!$D$9</f>
        <v>23</v>
      </c>
      <c r="E236" s="321">
        <f>Бюджет_Конт!$D$20</f>
        <v>1</v>
      </c>
      <c r="F236" s="319">
        <v>34</v>
      </c>
      <c r="G236" s="319">
        <f>F236</f>
        <v>34</v>
      </c>
      <c r="H236" s="319"/>
      <c r="I236" s="319">
        <f t="shared" si="74"/>
        <v>0</v>
      </c>
      <c r="J236" s="319">
        <f>34*ROUNDUP(D236/15,0)</f>
        <v>68</v>
      </c>
      <c r="K236" s="319">
        <f>0.3*D236</f>
        <v>6.8999999999999995</v>
      </c>
      <c r="L236" s="319"/>
      <c r="M236" s="319"/>
      <c r="N236" s="319"/>
      <c r="O236" s="319"/>
      <c r="P236" s="319"/>
      <c r="Q236" s="323">
        <f t="shared" si="72"/>
        <v>1.7000000000000002</v>
      </c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  <c r="AC236" s="124"/>
      <c r="AD236" s="124"/>
      <c r="AE236" s="124"/>
      <c r="AF236" s="124"/>
      <c r="AG236" s="124"/>
      <c r="AH236" s="124"/>
      <c r="AI236" s="124"/>
      <c r="AJ236" s="124">
        <f t="shared" si="73"/>
        <v>110.60000000000001</v>
      </c>
      <c r="AK236" s="122">
        <v>7</v>
      </c>
      <c r="AM236" s="126"/>
      <c r="AN236" s="126"/>
    </row>
    <row r="237" spans="1:40" s="125" customFormat="1" ht="18" x14ac:dyDescent="0.2">
      <c r="A237" s="321" t="s">
        <v>316</v>
      </c>
      <c r="B237" s="324" t="s">
        <v>361</v>
      </c>
      <c r="C237" s="321" t="s">
        <v>65</v>
      </c>
      <c r="D237" s="321">
        <f>Бюджет_Конт!$D$9</f>
        <v>23</v>
      </c>
      <c r="E237" s="321">
        <f>Бюджет_Конт!$D$20</f>
        <v>1</v>
      </c>
      <c r="F237" s="319">
        <v>50</v>
      </c>
      <c r="G237" s="319"/>
      <c r="H237" s="319">
        <v>50</v>
      </c>
      <c r="I237" s="319">
        <f>H237*E237</f>
        <v>50</v>
      </c>
      <c r="J237" s="319"/>
      <c r="K237" s="319"/>
      <c r="L237" s="319"/>
      <c r="M237" s="323">
        <f>0.4*D237</f>
        <v>9.2000000000000011</v>
      </c>
      <c r="N237" s="319"/>
      <c r="O237" s="319"/>
      <c r="P237" s="319"/>
      <c r="Q237" s="323"/>
      <c r="R237" s="124"/>
      <c r="S237" s="124"/>
      <c r="T237" s="124"/>
      <c r="U237" s="124"/>
      <c r="V237" s="124"/>
      <c r="W237" s="124"/>
      <c r="X237" s="124"/>
      <c r="Y237" s="124"/>
      <c r="Z237" s="124"/>
      <c r="AA237" s="124"/>
      <c r="AB237" s="124"/>
      <c r="AC237" s="124"/>
      <c r="AD237" s="124"/>
      <c r="AE237" s="124"/>
      <c r="AF237" s="124"/>
      <c r="AG237" s="124"/>
      <c r="AH237" s="124"/>
      <c r="AI237" s="124"/>
      <c r="AJ237" s="124">
        <f>SUM(G237,I237:AI237)</f>
        <v>59.2</v>
      </c>
      <c r="AK237" s="122">
        <v>12</v>
      </c>
      <c r="AM237" s="126"/>
      <c r="AN237" s="126"/>
    </row>
    <row r="238" spans="1:40" s="125" customFormat="1" ht="36" x14ac:dyDescent="0.2">
      <c r="A238" s="321" t="s">
        <v>191</v>
      </c>
      <c r="B238" s="322" t="s">
        <v>317</v>
      </c>
      <c r="C238" s="321" t="s">
        <v>66</v>
      </c>
      <c r="D238" s="321">
        <f>Бюджет_Конт!$D$9</f>
        <v>23</v>
      </c>
      <c r="E238" s="321">
        <f>Бюджет_Конт!$D$20</f>
        <v>1</v>
      </c>
      <c r="F238" s="319">
        <v>38</v>
      </c>
      <c r="G238" s="319">
        <f>F238</f>
        <v>38</v>
      </c>
      <c r="H238" s="319"/>
      <c r="I238" s="319">
        <f>H238*E238</f>
        <v>0</v>
      </c>
      <c r="J238" s="319">
        <f>18*ROUNDUP(D238/15,0)</f>
        <v>36</v>
      </c>
      <c r="K238" s="319">
        <f>0.3*D238</f>
        <v>6.8999999999999995</v>
      </c>
      <c r="L238" s="323"/>
      <c r="M238" s="323"/>
      <c r="N238" s="323"/>
      <c r="O238" s="323"/>
      <c r="P238" s="323"/>
      <c r="Q238" s="323">
        <f t="shared" si="72"/>
        <v>1.9000000000000001</v>
      </c>
      <c r="R238" s="239"/>
      <c r="S238" s="239"/>
      <c r="T238" s="239"/>
      <c r="U238" s="239"/>
      <c r="V238" s="239"/>
      <c r="W238" s="239"/>
      <c r="X238" s="239"/>
      <c r="Y238" s="239"/>
      <c r="Z238" s="239"/>
      <c r="AA238" s="239"/>
      <c r="AB238" s="124"/>
      <c r="AC238" s="124"/>
      <c r="AD238" s="124"/>
      <c r="AE238" s="124"/>
      <c r="AF238" s="124"/>
      <c r="AG238" s="124"/>
      <c r="AH238" s="124"/>
      <c r="AI238" s="124"/>
      <c r="AJ238" s="124">
        <f>SUM(G238,I238:AI238)</f>
        <v>82.800000000000011</v>
      </c>
      <c r="AK238" s="122">
        <v>7</v>
      </c>
      <c r="AM238" s="262"/>
      <c r="AN238" s="126"/>
    </row>
    <row r="239" spans="1:40" s="125" customFormat="1" ht="18" x14ac:dyDescent="0.2">
      <c r="A239" s="122" t="s">
        <v>192</v>
      </c>
      <c r="B239" s="131" t="s">
        <v>120</v>
      </c>
      <c r="C239" s="122" t="s">
        <v>66</v>
      </c>
      <c r="D239" s="122">
        <f>Бюджет_Конт!$D$9</f>
        <v>23</v>
      </c>
      <c r="E239" s="122">
        <f>Бюджет_Конт!$D$20</f>
        <v>1</v>
      </c>
      <c r="F239" s="124">
        <v>38</v>
      </c>
      <c r="G239" s="124">
        <f>F239</f>
        <v>38</v>
      </c>
      <c r="H239" s="124">
        <v>38</v>
      </c>
      <c r="I239" s="124">
        <f>H239*E239</f>
        <v>38</v>
      </c>
      <c r="J239" s="124"/>
      <c r="K239" s="124">
        <f>0.3*D239</f>
        <v>6.8999999999999995</v>
      </c>
      <c r="L239" s="239"/>
      <c r="M239" s="239"/>
      <c r="N239" s="239"/>
      <c r="O239" s="239"/>
      <c r="P239" s="239"/>
      <c r="Q239" s="239">
        <f>IF(K239&gt;0,0.05*G239,IF(M239&gt;0,0.05*G239+1*E239,0))</f>
        <v>1.9000000000000001</v>
      </c>
      <c r="R239" s="239"/>
      <c r="S239" s="239"/>
      <c r="T239" s="239"/>
      <c r="U239" s="239"/>
      <c r="V239" s="239"/>
      <c r="W239" s="239"/>
      <c r="X239" s="239"/>
      <c r="Y239" s="239"/>
      <c r="Z239" s="239"/>
      <c r="AA239" s="239"/>
      <c r="AB239" s="124"/>
      <c r="AC239" s="124"/>
      <c r="AD239" s="124"/>
      <c r="AE239" s="124"/>
      <c r="AF239" s="124"/>
      <c r="AG239" s="124"/>
      <c r="AH239" s="124"/>
      <c r="AI239" s="124"/>
      <c r="AJ239" s="124">
        <f>SUM(G239,I239:AI239)</f>
        <v>84.800000000000011</v>
      </c>
      <c r="AK239" s="122">
        <v>7</v>
      </c>
      <c r="AM239" s="262"/>
      <c r="AN239" s="126"/>
    </row>
    <row r="240" spans="1:40" s="125" customFormat="1" ht="36" x14ac:dyDescent="0.2">
      <c r="A240" s="122" t="s">
        <v>318</v>
      </c>
      <c r="B240" s="131" t="s">
        <v>556</v>
      </c>
      <c r="C240" s="122" t="s">
        <v>66</v>
      </c>
      <c r="D240" s="122">
        <f>Бюджет_Конт!$D$9</f>
        <v>23</v>
      </c>
      <c r="E240" s="122">
        <f>Бюджет_Конт!$D$20</f>
        <v>1</v>
      </c>
      <c r="F240" s="124"/>
      <c r="G240" s="124"/>
      <c r="H240" s="124"/>
      <c r="I240" s="124">
        <f t="shared" si="74"/>
        <v>0</v>
      </c>
      <c r="J240" s="124"/>
      <c r="K240" s="124"/>
      <c r="L240" s="239"/>
      <c r="M240" s="239"/>
      <c r="N240" s="239"/>
      <c r="O240" s="239"/>
      <c r="P240" s="239"/>
      <c r="Q240" s="239">
        <f t="shared" si="72"/>
        <v>0</v>
      </c>
      <c r="R240" s="239"/>
      <c r="S240" s="239"/>
      <c r="T240" s="263">
        <f>1*(2)*D240</f>
        <v>46</v>
      </c>
      <c r="U240" s="239"/>
      <c r="V240" s="239"/>
      <c r="W240" s="239"/>
      <c r="X240" s="239"/>
      <c r="Y240" s="239"/>
      <c r="Z240" s="239"/>
      <c r="AA240" s="239"/>
      <c r="AB240" s="124"/>
      <c r="AC240" s="124"/>
      <c r="AD240" s="124"/>
      <c r="AE240" s="124"/>
      <c r="AF240" s="124"/>
      <c r="AG240" s="124"/>
      <c r="AH240" s="124"/>
      <c r="AI240" s="124"/>
      <c r="AJ240" s="124">
        <f t="shared" si="73"/>
        <v>46</v>
      </c>
      <c r="AK240" s="122">
        <v>7</v>
      </c>
      <c r="AL240" s="126"/>
      <c r="AM240" s="126"/>
      <c r="AN240" s="126"/>
    </row>
    <row r="241" spans="1:40" s="125" customFormat="1" ht="18" x14ac:dyDescent="0.2">
      <c r="A241" s="122" t="s">
        <v>557</v>
      </c>
      <c r="B241" s="131" t="s">
        <v>115</v>
      </c>
      <c r="C241" s="122" t="s">
        <v>68</v>
      </c>
      <c r="D241" s="122">
        <f>Бюджет_Конт!$D$10</f>
        <v>23</v>
      </c>
      <c r="E241" s="122">
        <f>Бюджет_Конт!$D$21</f>
        <v>1</v>
      </c>
      <c r="F241" s="124">
        <v>34</v>
      </c>
      <c r="G241" s="124">
        <f>F241</f>
        <v>34</v>
      </c>
      <c r="H241" s="124"/>
      <c r="I241" s="124">
        <f t="shared" ref="I241:I247" si="78">H241*E241</f>
        <v>0</v>
      </c>
      <c r="J241" s="124">
        <f>34*ROUNDUP(D241/15,0)</f>
        <v>68</v>
      </c>
      <c r="K241" s="124">
        <f>0.3*D241</f>
        <v>6.8999999999999995</v>
      </c>
      <c r="L241" s="239"/>
      <c r="M241" s="239"/>
      <c r="N241" s="239"/>
      <c r="O241" s="239"/>
      <c r="P241" s="239"/>
      <c r="Q241" s="239">
        <f t="shared" ref="Q241:Q247" si="79">IF(K241&gt;0,0.05*G241,IF(M241&gt;0,0.05*G241+1*E241,0))</f>
        <v>1.7000000000000002</v>
      </c>
      <c r="R241" s="239"/>
      <c r="S241" s="239"/>
      <c r="T241" s="239"/>
      <c r="U241" s="239"/>
      <c r="V241" s="239"/>
      <c r="W241" s="239"/>
      <c r="X241" s="239"/>
      <c r="Y241" s="239"/>
      <c r="Z241" s="239"/>
      <c r="AA241" s="239"/>
      <c r="AB241" s="124"/>
      <c r="AC241" s="124"/>
      <c r="AD241" s="124"/>
      <c r="AE241" s="124"/>
      <c r="AF241" s="124"/>
      <c r="AG241" s="124"/>
      <c r="AH241" s="124"/>
      <c r="AI241" s="124"/>
      <c r="AJ241" s="124">
        <f t="shared" ref="AJ241:AJ247" si="80">SUM(G241,I241:AI241)</f>
        <v>110.60000000000001</v>
      </c>
      <c r="AK241" s="122">
        <v>8</v>
      </c>
      <c r="AM241" s="126"/>
      <c r="AN241" s="126"/>
    </row>
    <row r="242" spans="1:40" s="125" customFormat="1" ht="18" x14ac:dyDescent="0.2">
      <c r="A242" s="122" t="s">
        <v>270</v>
      </c>
      <c r="B242" s="131" t="s">
        <v>114</v>
      </c>
      <c r="C242" s="122" t="s">
        <v>74</v>
      </c>
      <c r="D242" s="122">
        <f>Бюджет_Конт!$D$10</f>
        <v>23</v>
      </c>
      <c r="E242" s="122">
        <f>Бюджет_Конт!$D$21</f>
        <v>1</v>
      </c>
      <c r="F242" s="124">
        <v>10</v>
      </c>
      <c r="G242" s="124">
        <f>F242</f>
        <v>10</v>
      </c>
      <c r="H242" s="124">
        <v>32</v>
      </c>
      <c r="I242" s="124">
        <f t="shared" si="78"/>
        <v>32</v>
      </c>
      <c r="J242" s="124"/>
      <c r="K242" s="124"/>
      <c r="L242" s="239"/>
      <c r="M242" s="239">
        <f>0.4*D242</f>
        <v>9.2000000000000011</v>
      </c>
      <c r="N242" s="239"/>
      <c r="O242" s="239"/>
      <c r="P242" s="239"/>
      <c r="Q242" s="239">
        <f t="shared" si="79"/>
        <v>1.5</v>
      </c>
      <c r="R242" s="239"/>
      <c r="S242" s="239"/>
      <c r="T242" s="239"/>
      <c r="U242" s="239"/>
      <c r="V242" s="239"/>
      <c r="W242" s="239"/>
      <c r="X242" s="239"/>
      <c r="Y242" s="239"/>
      <c r="Z242" s="239"/>
      <c r="AA242" s="239"/>
      <c r="AB242" s="124"/>
      <c r="AC242" s="124"/>
      <c r="AD242" s="124"/>
      <c r="AE242" s="124"/>
      <c r="AF242" s="124"/>
      <c r="AG242" s="124"/>
      <c r="AH242" s="124"/>
      <c r="AI242" s="124"/>
      <c r="AJ242" s="124">
        <f t="shared" si="80"/>
        <v>52.7</v>
      </c>
      <c r="AK242" s="122">
        <v>7</v>
      </c>
      <c r="AM242" s="126"/>
      <c r="AN242" s="126"/>
    </row>
    <row r="243" spans="1:40" s="125" customFormat="1" ht="18" x14ac:dyDescent="0.2">
      <c r="A243" s="122" t="s">
        <v>271</v>
      </c>
      <c r="B243" s="131" t="s">
        <v>116</v>
      </c>
      <c r="C243" s="122" t="s">
        <v>68</v>
      </c>
      <c r="D243" s="122">
        <f>Бюджет_Конт!$D$10</f>
        <v>23</v>
      </c>
      <c r="E243" s="122">
        <f>Бюджет_Конт!$D$21</f>
        <v>1</v>
      </c>
      <c r="F243" s="124">
        <v>16</v>
      </c>
      <c r="G243" s="124">
        <f>F243</f>
        <v>16</v>
      </c>
      <c r="H243" s="124">
        <v>34</v>
      </c>
      <c r="I243" s="124">
        <f t="shared" si="78"/>
        <v>34</v>
      </c>
      <c r="J243" s="124"/>
      <c r="K243" s="124">
        <f>0.3*D243</f>
        <v>6.8999999999999995</v>
      </c>
      <c r="L243" s="124"/>
      <c r="M243" s="124"/>
      <c r="N243" s="124"/>
      <c r="O243" s="124"/>
      <c r="P243" s="124"/>
      <c r="Q243" s="239">
        <f t="shared" si="79"/>
        <v>0.8</v>
      </c>
      <c r="R243" s="124"/>
      <c r="S243" s="124"/>
      <c r="T243" s="124"/>
      <c r="U243" s="124"/>
      <c r="V243" s="124"/>
      <c r="W243" s="124"/>
      <c r="X243" s="124"/>
      <c r="Y243" s="124"/>
      <c r="Z243" s="124"/>
      <c r="AA243" s="124"/>
      <c r="AB243" s="124"/>
      <c r="AC243" s="124"/>
      <c r="AD243" s="124"/>
      <c r="AE243" s="124"/>
      <c r="AF243" s="124"/>
      <c r="AG243" s="124"/>
      <c r="AH243" s="124"/>
      <c r="AI243" s="124"/>
      <c r="AJ243" s="124">
        <f t="shared" si="80"/>
        <v>57.699999999999996</v>
      </c>
      <c r="AK243" s="122">
        <v>7</v>
      </c>
      <c r="AM243" s="126"/>
      <c r="AN243" s="126"/>
    </row>
    <row r="244" spans="1:40" s="125" customFormat="1" ht="18" x14ac:dyDescent="0.2">
      <c r="A244" s="122" t="s">
        <v>379</v>
      </c>
      <c r="B244" s="131" t="s">
        <v>118</v>
      </c>
      <c r="C244" s="122" t="s">
        <v>68</v>
      </c>
      <c r="D244" s="122">
        <f>Бюджет_Конт!$D$10</f>
        <v>23</v>
      </c>
      <c r="E244" s="122">
        <f>Бюджет_Конт!$D$21</f>
        <v>1</v>
      </c>
      <c r="F244" s="124"/>
      <c r="G244" s="124">
        <f>F244</f>
        <v>0</v>
      </c>
      <c r="H244" s="124"/>
      <c r="I244" s="124">
        <f t="shared" si="78"/>
        <v>0</v>
      </c>
      <c r="J244" s="124">
        <f>50*ROUNDUP(D244/15,0)</f>
        <v>100</v>
      </c>
      <c r="K244" s="124">
        <f>0.3*D244</f>
        <v>6.8999999999999995</v>
      </c>
      <c r="L244" s="124"/>
      <c r="M244" s="239"/>
      <c r="N244" s="124"/>
      <c r="O244" s="124"/>
      <c r="P244" s="124"/>
      <c r="Q244" s="239">
        <f t="shared" si="79"/>
        <v>0</v>
      </c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  <c r="AB244" s="124"/>
      <c r="AC244" s="124"/>
      <c r="AD244" s="124"/>
      <c r="AE244" s="124"/>
      <c r="AF244" s="124"/>
      <c r="AG244" s="124"/>
      <c r="AH244" s="124"/>
      <c r="AI244" s="124"/>
      <c r="AJ244" s="124">
        <f t="shared" si="80"/>
        <v>106.9</v>
      </c>
      <c r="AK244" s="122">
        <v>8</v>
      </c>
      <c r="AM244" s="126"/>
      <c r="AN244" s="126"/>
    </row>
    <row r="245" spans="1:40" s="125" customFormat="1" ht="36" x14ac:dyDescent="0.2">
      <c r="A245" s="122" t="s">
        <v>380</v>
      </c>
      <c r="B245" s="132" t="s">
        <v>447</v>
      </c>
      <c r="C245" s="122" t="s">
        <v>74</v>
      </c>
      <c r="D245" s="122">
        <f>Бюджет_Конт!$D$10</f>
        <v>23</v>
      </c>
      <c r="E245" s="122">
        <f>Бюджет_Конт!$D$21</f>
        <v>1</v>
      </c>
      <c r="F245" s="124">
        <v>22</v>
      </c>
      <c r="G245" s="124"/>
      <c r="H245" s="124"/>
      <c r="I245" s="124">
        <f t="shared" si="78"/>
        <v>0</v>
      </c>
      <c r="J245" s="124">
        <f>22*ROUNDUP(D245/15,0)</f>
        <v>44</v>
      </c>
      <c r="K245" s="124">
        <f>0.3*D245</f>
        <v>6.8999999999999995</v>
      </c>
      <c r="L245" s="124"/>
      <c r="M245" s="239"/>
      <c r="N245" s="124"/>
      <c r="O245" s="124"/>
      <c r="P245" s="124"/>
      <c r="Q245" s="239">
        <f t="shared" si="79"/>
        <v>0</v>
      </c>
      <c r="R245" s="124"/>
      <c r="S245" s="124"/>
      <c r="T245" s="124"/>
      <c r="U245" s="124"/>
      <c r="V245" s="124"/>
      <c r="W245" s="124"/>
      <c r="X245" s="124"/>
      <c r="Y245" s="124"/>
      <c r="Z245" s="124"/>
      <c r="AA245" s="124"/>
      <c r="AB245" s="124"/>
      <c r="AC245" s="124"/>
      <c r="AD245" s="124"/>
      <c r="AE245" s="124"/>
      <c r="AF245" s="124"/>
      <c r="AG245" s="124"/>
      <c r="AH245" s="124"/>
      <c r="AI245" s="124"/>
      <c r="AJ245" s="124">
        <f t="shared" si="80"/>
        <v>50.9</v>
      </c>
      <c r="AK245" s="122">
        <v>8</v>
      </c>
      <c r="AM245" s="126"/>
      <c r="AN245" s="126"/>
    </row>
    <row r="246" spans="1:40" s="125" customFormat="1" ht="36" x14ac:dyDescent="0.2">
      <c r="A246" s="122" t="s">
        <v>191</v>
      </c>
      <c r="B246" s="131" t="s">
        <v>320</v>
      </c>
      <c r="C246" s="122" t="s">
        <v>68</v>
      </c>
      <c r="D246" s="122">
        <f>Бюджет_Конт!$D$10</f>
        <v>23</v>
      </c>
      <c r="E246" s="122">
        <f>Бюджет_Конт!$D$21</f>
        <v>1</v>
      </c>
      <c r="F246" s="124">
        <v>34</v>
      </c>
      <c r="G246" s="124">
        <f t="shared" ref="G246:G252" si="81">F246</f>
        <v>34</v>
      </c>
      <c r="H246" s="124">
        <v>34</v>
      </c>
      <c r="I246" s="124">
        <f t="shared" si="78"/>
        <v>34</v>
      </c>
      <c r="J246" s="124">
        <f>50*ROUNDUP(D246/16,0)</f>
        <v>100</v>
      </c>
      <c r="K246" s="124"/>
      <c r="L246" s="124"/>
      <c r="M246" s="239">
        <f>0.4*D246</f>
        <v>9.2000000000000011</v>
      </c>
      <c r="N246" s="124"/>
      <c r="O246" s="124"/>
      <c r="P246" s="124"/>
      <c r="Q246" s="239">
        <f t="shared" si="79"/>
        <v>2.7</v>
      </c>
      <c r="R246" s="124"/>
      <c r="S246" s="124"/>
      <c r="T246" s="124"/>
      <c r="U246" s="124"/>
      <c r="V246" s="124"/>
      <c r="W246" s="124"/>
      <c r="X246" s="124"/>
      <c r="Y246" s="124"/>
      <c r="Z246" s="124"/>
      <c r="AA246" s="124"/>
      <c r="AB246" s="124"/>
      <c r="AC246" s="124"/>
      <c r="AD246" s="124"/>
      <c r="AE246" s="124"/>
      <c r="AF246" s="124"/>
      <c r="AG246" s="124"/>
      <c r="AH246" s="124"/>
      <c r="AI246" s="124"/>
      <c r="AJ246" s="124">
        <f t="shared" si="80"/>
        <v>179.89999999999998</v>
      </c>
      <c r="AK246" s="122">
        <v>8</v>
      </c>
      <c r="AM246" s="126"/>
      <c r="AN246" s="126"/>
    </row>
    <row r="247" spans="1:40" s="125" customFormat="1" ht="18" x14ac:dyDescent="0.2">
      <c r="A247" s="122" t="s">
        <v>286</v>
      </c>
      <c r="B247" s="131" t="s">
        <v>85</v>
      </c>
      <c r="C247" s="122" t="s">
        <v>68</v>
      </c>
      <c r="D247" s="122">
        <f>Бюджет_Конт!$D$10</f>
        <v>23</v>
      </c>
      <c r="E247" s="122">
        <f>Бюджет_Конт!$D$21</f>
        <v>1</v>
      </c>
      <c r="F247" s="124">
        <v>50</v>
      </c>
      <c r="G247" s="124">
        <f t="shared" si="81"/>
        <v>50</v>
      </c>
      <c r="H247" s="124">
        <v>34</v>
      </c>
      <c r="I247" s="124">
        <f t="shared" si="78"/>
        <v>34</v>
      </c>
      <c r="J247" s="124"/>
      <c r="K247" s="124"/>
      <c r="L247" s="124"/>
      <c r="M247" s="239">
        <f>0.4*D247</f>
        <v>9.2000000000000011</v>
      </c>
      <c r="N247" s="124"/>
      <c r="O247" s="124"/>
      <c r="P247" s="124"/>
      <c r="Q247" s="239">
        <f t="shared" si="79"/>
        <v>3.5</v>
      </c>
      <c r="R247" s="124"/>
      <c r="S247" s="124"/>
      <c r="T247" s="124"/>
      <c r="U247" s="124">
        <f>0.3*D247</f>
        <v>6.8999999999999995</v>
      </c>
      <c r="V247" s="124"/>
      <c r="W247" s="124"/>
      <c r="X247" s="124"/>
      <c r="Y247" s="124"/>
      <c r="Z247" s="124"/>
      <c r="AA247" s="124"/>
      <c r="AB247" s="124"/>
      <c r="AC247" s="124"/>
      <c r="AD247" s="124"/>
      <c r="AE247" s="124"/>
      <c r="AF247" s="124"/>
      <c r="AG247" s="124"/>
      <c r="AH247" s="124"/>
      <c r="AI247" s="124">
        <f>8*E247</f>
        <v>8</v>
      </c>
      <c r="AJ247" s="124">
        <f t="shared" si="80"/>
        <v>111.60000000000001</v>
      </c>
      <c r="AK247" s="122">
        <v>7</v>
      </c>
      <c r="AM247" s="126"/>
      <c r="AN247" s="126"/>
    </row>
    <row r="248" spans="1:40" s="125" customFormat="1" ht="18" x14ac:dyDescent="0.2">
      <c r="A248" s="122" t="s">
        <v>199</v>
      </c>
      <c r="B248" s="131" t="s">
        <v>119</v>
      </c>
      <c r="C248" s="122" t="s">
        <v>74</v>
      </c>
      <c r="D248" s="122">
        <f>Бюджет_Конт!$D$10</f>
        <v>23</v>
      </c>
      <c r="E248" s="122">
        <f>Бюджет_Конт!$D$21</f>
        <v>1</v>
      </c>
      <c r="F248" s="124">
        <v>22</v>
      </c>
      <c r="G248" s="124">
        <f t="shared" si="81"/>
        <v>22</v>
      </c>
      <c r="H248" s="124">
        <v>22</v>
      </c>
      <c r="I248" s="124">
        <f t="shared" si="74"/>
        <v>22</v>
      </c>
      <c r="J248" s="124"/>
      <c r="K248" s="124">
        <f>0.3*D248</f>
        <v>6.8999999999999995</v>
      </c>
      <c r="L248" s="124"/>
      <c r="M248" s="124"/>
      <c r="N248" s="124"/>
      <c r="O248" s="124"/>
      <c r="P248" s="124"/>
      <c r="Q248" s="239">
        <f t="shared" si="72"/>
        <v>1.1000000000000001</v>
      </c>
      <c r="R248" s="124"/>
      <c r="S248" s="124"/>
      <c r="T248" s="124"/>
      <c r="U248" s="124"/>
      <c r="V248" s="124"/>
      <c r="W248" s="124"/>
      <c r="X248" s="124"/>
      <c r="Y248" s="124"/>
      <c r="Z248" s="124"/>
      <c r="AA248" s="124"/>
      <c r="AB248" s="124"/>
      <c r="AC248" s="124"/>
      <c r="AD248" s="124"/>
      <c r="AE248" s="124"/>
      <c r="AF248" s="124"/>
      <c r="AG248" s="124"/>
      <c r="AH248" s="124"/>
      <c r="AI248" s="124"/>
      <c r="AJ248" s="124">
        <f t="shared" si="73"/>
        <v>52</v>
      </c>
      <c r="AK248" s="122">
        <v>7</v>
      </c>
      <c r="AM248" s="126"/>
      <c r="AN248" s="126"/>
    </row>
    <row r="249" spans="1:40" s="125" customFormat="1" ht="18" x14ac:dyDescent="0.2">
      <c r="A249" s="122" t="s">
        <v>287</v>
      </c>
      <c r="B249" s="131" t="s">
        <v>122</v>
      </c>
      <c r="C249" s="122" t="s">
        <v>74</v>
      </c>
      <c r="D249" s="122">
        <f>Бюджет_Конт!$D$10</f>
        <v>23</v>
      </c>
      <c r="E249" s="122">
        <f>Бюджет_Конт!$D$21</f>
        <v>1</v>
      </c>
      <c r="F249" s="124">
        <v>22</v>
      </c>
      <c r="G249" s="124">
        <f t="shared" si="81"/>
        <v>22</v>
      </c>
      <c r="H249" s="124">
        <v>32</v>
      </c>
      <c r="I249" s="124">
        <f>H249*E249</f>
        <v>32</v>
      </c>
      <c r="J249" s="124"/>
      <c r="K249" s="124">
        <f>0.3*D249</f>
        <v>6.8999999999999995</v>
      </c>
      <c r="L249" s="124"/>
      <c r="M249" s="239"/>
      <c r="N249" s="124"/>
      <c r="O249" s="124"/>
      <c r="P249" s="124"/>
      <c r="Q249" s="239">
        <f>IF(K249&gt;0,0.05*G249,IF(M249&gt;0,0.05*G249+1*E249,0))</f>
        <v>1.1000000000000001</v>
      </c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  <c r="AG249" s="124"/>
      <c r="AH249" s="124"/>
      <c r="AI249" s="124"/>
      <c r="AJ249" s="124">
        <f>SUM(G249,I249:AI249)</f>
        <v>62</v>
      </c>
      <c r="AK249" s="122">
        <v>7</v>
      </c>
      <c r="AM249" s="126"/>
      <c r="AN249" s="126"/>
    </row>
    <row r="250" spans="1:40" s="125" customFormat="1" ht="18" x14ac:dyDescent="0.2">
      <c r="A250" s="122" t="s">
        <v>206</v>
      </c>
      <c r="B250" s="131" t="s">
        <v>96</v>
      </c>
      <c r="C250" s="122" t="s">
        <v>74</v>
      </c>
      <c r="D250" s="122">
        <f>Бюджет_Конт!$D$10</f>
        <v>23</v>
      </c>
      <c r="E250" s="122">
        <f>Бюджет_Конт!$D$21</f>
        <v>1</v>
      </c>
      <c r="F250" s="124">
        <v>22</v>
      </c>
      <c r="G250" s="124">
        <f t="shared" si="81"/>
        <v>22</v>
      </c>
      <c r="H250" s="124">
        <v>32</v>
      </c>
      <c r="I250" s="124">
        <f>H250*E250</f>
        <v>32</v>
      </c>
      <c r="J250" s="124"/>
      <c r="K250" s="124">
        <f>0.3*D250</f>
        <v>6.8999999999999995</v>
      </c>
      <c r="L250" s="124"/>
      <c r="M250" s="239"/>
      <c r="N250" s="124"/>
      <c r="O250" s="124"/>
      <c r="P250" s="124"/>
      <c r="Q250" s="239">
        <f>IF(K250&gt;0,0.05*G250,IF(M250&gt;0,0.05*G250+1*E250,0))</f>
        <v>1.1000000000000001</v>
      </c>
      <c r="R250" s="124"/>
      <c r="S250" s="124"/>
      <c r="T250" s="124"/>
      <c r="U250" s="124"/>
      <c r="V250" s="124"/>
      <c r="W250" s="124"/>
      <c r="X250" s="124"/>
      <c r="Y250" s="124"/>
      <c r="Z250" s="124"/>
      <c r="AA250" s="124"/>
      <c r="AB250" s="124"/>
      <c r="AC250" s="124"/>
      <c r="AD250" s="124"/>
      <c r="AE250" s="124"/>
      <c r="AF250" s="124"/>
      <c r="AG250" s="124"/>
      <c r="AH250" s="124"/>
      <c r="AI250" s="124"/>
      <c r="AJ250" s="124">
        <f>SUM(G250,I250:AI250)</f>
        <v>62</v>
      </c>
      <c r="AK250" s="122">
        <v>7</v>
      </c>
      <c r="AL250" s="126"/>
      <c r="AM250" s="126"/>
      <c r="AN250" s="126"/>
    </row>
    <row r="251" spans="1:40" s="125" customFormat="1" ht="18" x14ac:dyDescent="0.2">
      <c r="A251" s="122" t="s">
        <v>209</v>
      </c>
      <c r="B251" s="131" t="s">
        <v>121</v>
      </c>
      <c r="C251" s="122" t="s">
        <v>68</v>
      </c>
      <c r="D251" s="122">
        <f>Бюджет_Конт!$D$10</f>
        <v>23</v>
      </c>
      <c r="E251" s="122">
        <f>Бюджет_Конт!$D$21</f>
        <v>1</v>
      </c>
      <c r="F251" s="124">
        <v>34</v>
      </c>
      <c r="G251" s="124">
        <f t="shared" si="81"/>
        <v>34</v>
      </c>
      <c r="H251" s="124"/>
      <c r="I251" s="124">
        <f>H251*E251</f>
        <v>0</v>
      </c>
      <c r="J251" s="124">
        <f>34*ROUNDUP(D251/16,0)</f>
        <v>68</v>
      </c>
      <c r="K251" s="124">
        <f>0.3*D247</f>
        <v>6.8999999999999995</v>
      </c>
      <c r="L251" s="124"/>
      <c r="M251" s="239"/>
      <c r="N251" s="124"/>
      <c r="O251" s="124"/>
      <c r="P251" s="124"/>
      <c r="Q251" s="239">
        <f>IF(K251&gt;0,0.05*G251,IF(M251&gt;0,0.05*G251+1*E251,0))</f>
        <v>1.7000000000000002</v>
      </c>
      <c r="R251" s="124"/>
      <c r="S251" s="124"/>
      <c r="T251" s="124"/>
      <c r="U251" s="124"/>
      <c r="V251" s="124"/>
      <c r="W251" s="124"/>
      <c r="X251" s="124"/>
      <c r="Y251" s="124"/>
      <c r="Z251" s="124"/>
      <c r="AA251" s="124"/>
      <c r="AB251" s="124"/>
      <c r="AC251" s="124"/>
      <c r="AD251" s="124"/>
      <c r="AE251" s="124"/>
      <c r="AF251" s="124"/>
      <c r="AG251" s="124"/>
      <c r="AH251" s="124"/>
      <c r="AI251" s="124"/>
      <c r="AJ251" s="124">
        <f>SUM(G251,I251:AI251)</f>
        <v>110.60000000000001</v>
      </c>
      <c r="AK251" s="122" t="s">
        <v>166</v>
      </c>
      <c r="AL251" s="253" t="s">
        <v>226</v>
      </c>
      <c r="AM251" s="126"/>
    </row>
    <row r="252" spans="1:40" s="125" customFormat="1" ht="36" x14ac:dyDescent="0.2">
      <c r="A252" s="122" t="s">
        <v>280</v>
      </c>
      <c r="B252" s="131" t="s">
        <v>123</v>
      </c>
      <c r="C252" s="122" t="s">
        <v>74</v>
      </c>
      <c r="D252" s="122">
        <f>Бюджет_Конт!$D$10</f>
        <v>23</v>
      </c>
      <c r="E252" s="122">
        <f>Бюджет_Конт!$D$21</f>
        <v>1</v>
      </c>
      <c r="F252" s="124">
        <v>22</v>
      </c>
      <c r="G252" s="124">
        <f t="shared" si="81"/>
        <v>22</v>
      </c>
      <c r="H252" s="124">
        <v>22</v>
      </c>
      <c r="I252" s="124">
        <f t="shared" si="74"/>
        <v>22</v>
      </c>
      <c r="J252" s="124"/>
      <c r="K252" s="124"/>
      <c r="L252" s="124"/>
      <c r="M252" s="239">
        <f>0.4*D252</f>
        <v>9.2000000000000011</v>
      </c>
      <c r="N252" s="124"/>
      <c r="O252" s="124"/>
      <c r="P252" s="124"/>
      <c r="Q252" s="239">
        <f t="shared" si="72"/>
        <v>2.1</v>
      </c>
      <c r="R252" s="124"/>
      <c r="S252" s="124"/>
      <c r="T252" s="124"/>
      <c r="U252" s="124"/>
      <c r="V252" s="124"/>
      <c r="W252" s="124"/>
      <c r="X252" s="124"/>
      <c r="Y252" s="124"/>
      <c r="Z252" s="124"/>
      <c r="AA252" s="124"/>
      <c r="AB252" s="124"/>
      <c r="AC252" s="124"/>
      <c r="AD252" s="124"/>
      <c r="AE252" s="124"/>
      <c r="AF252" s="124"/>
      <c r="AG252" s="124"/>
      <c r="AH252" s="124"/>
      <c r="AI252" s="124"/>
      <c r="AJ252" s="124">
        <f t="shared" si="73"/>
        <v>55.300000000000004</v>
      </c>
      <c r="AK252" s="122">
        <v>7</v>
      </c>
      <c r="AM252" s="126"/>
      <c r="AN252" s="126"/>
    </row>
    <row r="253" spans="1:40" s="125" customFormat="1" ht="36" x14ac:dyDescent="0.2">
      <c r="A253" s="122" t="s">
        <v>321</v>
      </c>
      <c r="B253" s="131" t="s">
        <v>471</v>
      </c>
      <c r="C253" s="122" t="s">
        <v>68</v>
      </c>
      <c r="D253" s="122">
        <f>Бюджет_Конт!$D$10</f>
        <v>23</v>
      </c>
      <c r="E253" s="122">
        <f>Бюджет_Конт!$D$21</f>
        <v>1</v>
      </c>
      <c r="F253" s="124"/>
      <c r="G253" s="124"/>
      <c r="H253" s="124"/>
      <c r="I253" s="124">
        <f>H253*E253</f>
        <v>0</v>
      </c>
      <c r="J253" s="124"/>
      <c r="K253" s="124"/>
      <c r="L253" s="239"/>
      <c r="M253" s="239"/>
      <c r="N253" s="239"/>
      <c r="O253" s="239"/>
      <c r="P253" s="239"/>
      <c r="Q253" s="239">
        <f>IF(K253&gt;0,0.05*G253,IF(M253&gt;0,0.05*G253+1*E253,0))</f>
        <v>0</v>
      </c>
      <c r="R253" s="239"/>
      <c r="S253" s="239"/>
      <c r="T253" s="263">
        <f>1*(4)*D253</f>
        <v>92</v>
      </c>
      <c r="U253" s="239"/>
      <c r="V253" s="239"/>
      <c r="W253" s="239"/>
      <c r="X253" s="239"/>
      <c r="Y253" s="239"/>
      <c r="Z253" s="239"/>
      <c r="AA253" s="239"/>
      <c r="AB253" s="124"/>
      <c r="AC253" s="124"/>
      <c r="AD253" s="124"/>
      <c r="AE253" s="124"/>
      <c r="AF253" s="124"/>
      <c r="AG253" s="124"/>
      <c r="AH253" s="124"/>
      <c r="AI253" s="124"/>
      <c r="AJ253" s="124">
        <f>SUM(G253,I253:AI253)</f>
        <v>92</v>
      </c>
      <c r="AK253" s="122">
        <v>7.8</v>
      </c>
      <c r="AL253" s="248" t="s">
        <v>605</v>
      </c>
      <c r="AM253" s="126"/>
      <c r="AN253" s="126"/>
    </row>
    <row r="254" spans="1:40" s="125" customFormat="1" ht="18" x14ac:dyDescent="0.2">
      <c r="A254" s="122" t="s">
        <v>200</v>
      </c>
      <c r="B254" s="131" t="s">
        <v>472</v>
      </c>
      <c r="C254" s="122" t="s">
        <v>74</v>
      </c>
      <c r="D254" s="122">
        <f>Бюджет_Конт!$D$10</f>
        <v>23</v>
      </c>
      <c r="E254" s="122">
        <f>Бюджет_Конт!$D$21</f>
        <v>1</v>
      </c>
      <c r="F254" s="124"/>
      <c r="G254" s="124"/>
      <c r="H254" s="124"/>
      <c r="I254" s="124"/>
      <c r="J254" s="124"/>
      <c r="K254" s="124"/>
      <c r="L254" s="124"/>
      <c r="M254" s="124"/>
      <c r="N254" s="124"/>
      <c r="O254" s="124"/>
      <c r="P254" s="124"/>
      <c r="Q254" s="239">
        <f t="shared" si="72"/>
        <v>0</v>
      </c>
      <c r="R254" s="124"/>
      <c r="S254" s="124"/>
      <c r="T254" s="124">
        <f>1*(4)*D254</f>
        <v>92</v>
      </c>
      <c r="U254" s="124"/>
      <c r="V254" s="124"/>
      <c r="W254" s="124"/>
      <c r="X254" s="124"/>
      <c r="Y254" s="124"/>
      <c r="Z254" s="124"/>
      <c r="AA254" s="124"/>
      <c r="AB254" s="124"/>
      <c r="AC254" s="124"/>
      <c r="AD254" s="124"/>
      <c r="AE254" s="124"/>
      <c r="AF254" s="124"/>
      <c r="AG254" s="124"/>
      <c r="AH254" s="124"/>
      <c r="AI254" s="124"/>
      <c r="AJ254" s="124">
        <f t="shared" si="73"/>
        <v>92</v>
      </c>
      <c r="AK254" s="122">
        <v>7.8</v>
      </c>
      <c r="AL254" s="248" t="s">
        <v>605</v>
      </c>
      <c r="AM254" s="126"/>
      <c r="AN254" s="126"/>
    </row>
    <row r="255" spans="1:40" s="125" customFormat="1" ht="18" x14ac:dyDescent="0.2">
      <c r="A255" s="122"/>
      <c r="B255" s="131" t="s">
        <v>78</v>
      </c>
      <c r="C255" s="122" t="s">
        <v>74</v>
      </c>
      <c r="D255" s="122">
        <f>Бюджет_Конт!$D$10</f>
        <v>23</v>
      </c>
      <c r="E255" s="122">
        <f>Бюджет_Конт!$D$21</f>
        <v>1</v>
      </c>
      <c r="F255" s="124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239">
        <f t="shared" si="72"/>
        <v>0</v>
      </c>
      <c r="R255" s="124"/>
      <c r="S255" s="124"/>
      <c r="T255" s="124"/>
      <c r="U255" s="124"/>
      <c r="V255" s="124"/>
      <c r="W255" s="124">
        <f>16*D255</f>
        <v>368</v>
      </c>
      <c r="X255" s="124"/>
      <c r="Y255" s="124"/>
      <c r="Z255" s="124"/>
      <c r="AA255" s="124"/>
      <c r="AB255" s="124"/>
      <c r="AC255" s="124"/>
      <c r="AD255" s="124"/>
      <c r="AE255" s="124"/>
      <c r="AF255" s="124"/>
      <c r="AG255" s="124"/>
      <c r="AH255" s="124"/>
      <c r="AI255" s="124"/>
      <c r="AJ255" s="124">
        <f t="shared" si="73"/>
        <v>368</v>
      </c>
      <c r="AK255" s="122">
        <v>7.8</v>
      </c>
      <c r="AL255" s="248" t="s">
        <v>605</v>
      </c>
      <c r="AM255" s="126"/>
      <c r="AN255" s="126"/>
    </row>
    <row r="256" spans="1:40" s="125" customFormat="1" ht="18" x14ac:dyDescent="0.2">
      <c r="A256" s="122"/>
      <c r="B256" s="131" t="s">
        <v>183</v>
      </c>
      <c r="C256" s="122" t="s">
        <v>74</v>
      </c>
      <c r="D256" s="122">
        <f>Бюджет_Конт!$D$10</f>
        <v>23</v>
      </c>
      <c r="E256" s="122">
        <f>Бюджет_Конт!$D$21</f>
        <v>1</v>
      </c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239">
        <f t="shared" si="72"/>
        <v>0</v>
      </c>
      <c r="R256" s="124"/>
      <c r="S256" s="124"/>
      <c r="T256" s="124"/>
      <c r="U256" s="124"/>
      <c r="V256" s="124"/>
      <c r="W256" s="124"/>
      <c r="X256" s="124"/>
      <c r="Y256" s="124"/>
      <c r="Z256" s="124"/>
      <c r="AA256" s="124"/>
      <c r="AB256" s="124">
        <f>0.5*7*D256</f>
        <v>80.5</v>
      </c>
      <c r="AC256" s="124"/>
      <c r="AD256" s="124"/>
      <c r="AE256" s="124"/>
      <c r="AF256" s="124"/>
      <c r="AG256" s="124"/>
      <c r="AH256" s="124"/>
      <c r="AI256" s="124"/>
      <c r="AJ256" s="124">
        <f t="shared" si="73"/>
        <v>80.5</v>
      </c>
      <c r="AK256" s="122">
        <v>7</v>
      </c>
      <c r="AL256" s="126"/>
      <c r="AM256" s="126"/>
      <c r="AN256" s="126"/>
    </row>
    <row r="257" spans="1:40" s="125" customFormat="1" ht="18" x14ac:dyDescent="0.2">
      <c r="A257" s="122"/>
      <c r="B257" s="133" t="s">
        <v>227</v>
      </c>
      <c r="C257" s="134"/>
      <c r="D257" s="134"/>
      <c r="E257" s="134"/>
      <c r="F257" s="135">
        <f>SUM(F205:F256)</f>
        <v>1294</v>
      </c>
      <c r="G257" s="135">
        <f t="shared" ref="G257:AI257" si="82">SUM(G205:G256)</f>
        <v>832</v>
      </c>
      <c r="H257" s="135">
        <f t="shared" si="82"/>
        <v>1202</v>
      </c>
      <c r="I257" s="135">
        <f t="shared" si="82"/>
        <v>1142</v>
      </c>
      <c r="J257" s="135">
        <f t="shared" si="82"/>
        <v>1488</v>
      </c>
      <c r="K257" s="135">
        <f t="shared" si="82"/>
        <v>212.10000000000011</v>
      </c>
      <c r="L257" s="135">
        <f t="shared" si="82"/>
        <v>0</v>
      </c>
      <c r="M257" s="135">
        <f t="shared" si="82"/>
        <v>189.19999999999996</v>
      </c>
      <c r="N257" s="135">
        <f t="shared" si="82"/>
        <v>0</v>
      </c>
      <c r="O257" s="135">
        <f t="shared" si="82"/>
        <v>0</v>
      </c>
      <c r="P257" s="135">
        <f t="shared" si="82"/>
        <v>0</v>
      </c>
      <c r="Q257" s="135">
        <f t="shared" si="82"/>
        <v>51.600000000000009</v>
      </c>
      <c r="R257" s="135">
        <f t="shared" si="82"/>
        <v>0</v>
      </c>
      <c r="S257" s="135">
        <f t="shared" si="82"/>
        <v>0</v>
      </c>
      <c r="T257" s="135">
        <f t="shared" si="82"/>
        <v>230</v>
      </c>
      <c r="U257" s="135">
        <f t="shared" si="82"/>
        <v>70.199999999999989</v>
      </c>
      <c r="V257" s="135">
        <f t="shared" si="82"/>
        <v>0</v>
      </c>
      <c r="W257" s="135">
        <f t="shared" si="82"/>
        <v>368</v>
      </c>
      <c r="X257" s="135">
        <f t="shared" si="82"/>
        <v>0</v>
      </c>
      <c r="Y257" s="135">
        <f t="shared" si="82"/>
        <v>0</v>
      </c>
      <c r="Z257" s="135">
        <f t="shared" si="82"/>
        <v>0</v>
      </c>
      <c r="AA257" s="135">
        <f t="shared" si="82"/>
        <v>0</v>
      </c>
      <c r="AB257" s="135">
        <f t="shared" si="82"/>
        <v>80.5</v>
      </c>
      <c r="AC257" s="135">
        <f t="shared" si="82"/>
        <v>0</v>
      </c>
      <c r="AD257" s="135">
        <f t="shared" si="82"/>
        <v>0</v>
      </c>
      <c r="AE257" s="135">
        <f t="shared" si="82"/>
        <v>0</v>
      </c>
      <c r="AF257" s="135">
        <f t="shared" si="82"/>
        <v>0</v>
      </c>
      <c r="AG257" s="135">
        <f t="shared" si="82"/>
        <v>0</v>
      </c>
      <c r="AH257" s="135">
        <f t="shared" si="82"/>
        <v>0</v>
      </c>
      <c r="AI257" s="135">
        <f t="shared" si="82"/>
        <v>68</v>
      </c>
      <c r="AJ257" s="135">
        <f>SUM(AJ205:AJ256)</f>
        <v>4731.6000000000004</v>
      </c>
      <c r="AK257" s="124"/>
      <c r="AL257" s="126">
        <f>AJ257-SUM(I257:AI257,G257)</f>
        <v>0</v>
      </c>
      <c r="AM257" s="126"/>
      <c r="AN257" s="126"/>
    </row>
    <row r="258" spans="1:40" s="125" customFormat="1" ht="18" x14ac:dyDescent="0.2">
      <c r="A258" s="122"/>
      <c r="B258" s="131"/>
      <c r="C258" s="122"/>
      <c r="D258" s="122"/>
      <c r="E258" s="122"/>
      <c r="F258" s="124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  <c r="AB258" s="124"/>
      <c r="AC258" s="124"/>
      <c r="AD258" s="124"/>
      <c r="AE258" s="124"/>
      <c r="AF258" s="124"/>
      <c r="AG258" s="124"/>
      <c r="AH258" s="124"/>
      <c r="AI258" s="124"/>
      <c r="AJ258" s="124"/>
      <c r="AK258" s="124"/>
      <c r="AM258" s="126"/>
      <c r="AN258" s="126"/>
    </row>
    <row r="259" spans="1:40" s="125" customFormat="1" ht="18" customHeight="1" x14ac:dyDescent="0.2">
      <c r="A259" s="122"/>
      <c r="B259" s="131"/>
      <c r="C259" s="122"/>
      <c r="D259" s="122"/>
      <c r="E259" s="122"/>
      <c r="F259" s="124"/>
      <c r="G259" s="124"/>
      <c r="H259" s="124"/>
      <c r="I259" s="124"/>
      <c r="J259" s="124"/>
      <c r="L259" s="371" t="s">
        <v>175</v>
      </c>
      <c r="M259" s="372"/>
      <c r="N259" s="372"/>
      <c r="O259" s="372"/>
      <c r="P259" s="372"/>
      <c r="Q259" s="372"/>
      <c r="R259" s="372"/>
      <c r="S259" s="372"/>
      <c r="T259" s="372"/>
      <c r="U259" s="372"/>
      <c r="V259" s="372"/>
      <c r="W259" s="372"/>
      <c r="X259" s="372"/>
      <c r="Y259" s="372"/>
      <c r="Z259" s="372"/>
      <c r="AA259" s="372"/>
      <c r="AB259" s="245"/>
      <c r="AC259" s="124"/>
      <c r="AD259" s="124"/>
      <c r="AE259" s="124"/>
      <c r="AF259" s="124"/>
      <c r="AG259" s="124"/>
      <c r="AH259" s="124"/>
      <c r="AI259" s="124"/>
      <c r="AJ259" s="124"/>
      <c r="AK259" s="122"/>
      <c r="AM259" s="126"/>
      <c r="AN259" s="126"/>
    </row>
    <row r="260" spans="1:40" s="125" customFormat="1" ht="18" customHeight="1" x14ac:dyDescent="0.2">
      <c r="A260" s="122"/>
      <c r="B260" s="131"/>
      <c r="C260" s="122"/>
      <c r="D260" s="122"/>
      <c r="E260" s="122"/>
      <c r="F260" s="124"/>
      <c r="G260" s="124"/>
      <c r="H260" s="124"/>
      <c r="I260" s="124"/>
      <c r="J260" s="124"/>
      <c r="K260" s="373" t="s">
        <v>386</v>
      </c>
      <c r="L260" s="374"/>
      <c r="M260" s="374"/>
      <c r="N260" s="374"/>
      <c r="O260" s="374"/>
      <c r="P260" s="374"/>
      <c r="Q260" s="374"/>
      <c r="R260" s="374"/>
      <c r="S260" s="374"/>
      <c r="T260" s="374"/>
      <c r="U260" s="374"/>
      <c r="V260" s="374"/>
      <c r="W260" s="374"/>
      <c r="X260" s="374"/>
      <c r="Y260" s="374"/>
      <c r="Z260" s="374"/>
      <c r="AA260" s="374"/>
      <c r="AB260" s="375"/>
      <c r="AC260" s="124"/>
      <c r="AD260" s="124"/>
      <c r="AE260" s="124"/>
      <c r="AF260" s="124"/>
      <c r="AG260" s="124"/>
      <c r="AH260" s="124"/>
      <c r="AI260" s="124"/>
      <c r="AJ260" s="124"/>
      <c r="AK260" s="122"/>
      <c r="AM260" s="126"/>
      <c r="AN260" s="126"/>
    </row>
    <row r="261" spans="1:40" s="125" customFormat="1" ht="18" x14ac:dyDescent="0.2">
      <c r="A261" s="122"/>
      <c r="B261" s="131"/>
      <c r="C261" s="122"/>
      <c r="D261" s="122"/>
      <c r="E261" s="122"/>
      <c r="F261" s="124"/>
      <c r="G261" s="124"/>
      <c r="H261" s="124"/>
      <c r="I261" s="124"/>
      <c r="J261" s="124"/>
      <c r="K261" s="373" t="s">
        <v>385</v>
      </c>
      <c r="L261" s="374"/>
      <c r="M261" s="374"/>
      <c r="N261" s="374"/>
      <c r="O261" s="374"/>
      <c r="P261" s="374"/>
      <c r="Q261" s="374"/>
      <c r="R261" s="374"/>
      <c r="S261" s="374"/>
      <c r="T261" s="374"/>
      <c r="U261" s="374"/>
      <c r="V261" s="374"/>
      <c r="W261" s="374"/>
      <c r="X261" s="374"/>
      <c r="Y261" s="374"/>
      <c r="Z261" s="374"/>
      <c r="AA261" s="374"/>
      <c r="AB261" s="375"/>
      <c r="AC261" s="124"/>
      <c r="AD261" s="124"/>
      <c r="AE261" s="124"/>
      <c r="AF261" s="124"/>
      <c r="AG261" s="124"/>
      <c r="AH261" s="124"/>
      <c r="AI261" s="124"/>
      <c r="AJ261" s="124"/>
      <c r="AK261" s="122"/>
      <c r="AM261" s="126"/>
      <c r="AN261" s="126"/>
    </row>
    <row r="262" spans="1:40" s="125" customFormat="1" ht="17.25" customHeight="1" x14ac:dyDescent="0.2">
      <c r="A262" s="122" t="s">
        <v>338</v>
      </c>
      <c r="B262" s="131" t="s">
        <v>413</v>
      </c>
      <c r="C262" s="122" t="s">
        <v>61</v>
      </c>
      <c r="D262" s="122">
        <f>Бюджет_Конт!$E$7</f>
        <v>27</v>
      </c>
      <c r="E262" s="122">
        <f>Бюджет_Конт!$E$18</f>
        <v>1</v>
      </c>
      <c r="F262" s="124"/>
      <c r="G262" s="124"/>
      <c r="H262" s="124">
        <v>16</v>
      </c>
      <c r="I262" s="124">
        <f>E262*H262</f>
        <v>16</v>
      </c>
      <c r="J262" s="124"/>
      <c r="K262" s="124">
        <f>0.3*D262</f>
        <v>8.1</v>
      </c>
      <c r="L262" s="246"/>
      <c r="M262" s="121"/>
      <c r="N262" s="246"/>
      <c r="O262" s="246"/>
      <c r="P262" s="246"/>
      <c r="Q262" s="323"/>
      <c r="R262" s="330"/>
      <c r="S262" s="246"/>
      <c r="T262" s="246"/>
      <c r="U262" s="246"/>
      <c r="V262" s="246"/>
      <c r="W262" s="246"/>
      <c r="X262" s="246"/>
      <c r="Y262" s="246"/>
      <c r="Z262" s="246"/>
      <c r="AA262" s="246"/>
      <c r="AB262" s="246"/>
      <c r="AC262" s="124"/>
      <c r="AD262" s="124"/>
      <c r="AE262" s="124"/>
      <c r="AF262" s="124"/>
      <c r="AG262" s="124"/>
      <c r="AH262" s="124"/>
      <c r="AI262" s="124"/>
      <c r="AJ262" s="124">
        <f>SUM(G262,I262:AI262)</f>
        <v>24.1</v>
      </c>
      <c r="AK262" s="122">
        <v>8</v>
      </c>
      <c r="AM262" s="126"/>
      <c r="AN262" s="126"/>
    </row>
    <row r="263" spans="1:40" s="138" customFormat="1" ht="17.25" customHeight="1" x14ac:dyDescent="0.2">
      <c r="A263" s="122" t="s">
        <v>322</v>
      </c>
      <c r="B263" s="131" t="s">
        <v>469</v>
      </c>
      <c r="C263" s="122" t="s">
        <v>61</v>
      </c>
      <c r="D263" s="122">
        <f>Бюджет_Конт!$E$7</f>
        <v>27</v>
      </c>
      <c r="E263" s="122">
        <f>Бюджет_Конт!$E$18</f>
        <v>1</v>
      </c>
      <c r="F263" s="124">
        <v>16</v>
      </c>
      <c r="G263" s="124"/>
      <c r="H263" s="124"/>
      <c r="I263" s="124">
        <f t="shared" ref="I263:I277" si="83">H263*E263</f>
        <v>0</v>
      </c>
      <c r="J263" s="124">
        <f>16*ROUNDUP(D263/15,0)</f>
        <v>32</v>
      </c>
      <c r="K263" s="124">
        <f>0.3*D263</f>
        <v>8.1</v>
      </c>
      <c r="L263" s="124"/>
      <c r="M263" s="247"/>
      <c r="N263" s="124"/>
      <c r="O263" s="124"/>
      <c r="P263" s="124"/>
      <c r="Q263" s="323">
        <f t="shared" ref="Q263:Q301" si="84">IF(K263&gt;0,0.05*G263,IF(M263&gt;0,0.05*G263+1*E263,0))</f>
        <v>0</v>
      </c>
      <c r="R263" s="319"/>
      <c r="S263" s="124"/>
      <c r="T263" s="124"/>
      <c r="U263" s="124"/>
      <c r="V263" s="124"/>
      <c r="W263" s="124"/>
      <c r="X263" s="124"/>
      <c r="Y263" s="124"/>
      <c r="Z263" s="124"/>
      <c r="AA263" s="124"/>
      <c r="AB263" s="124"/>
      <c r="AC263" s="124"/>
      <c r="AD263" s="124"/>
      <c r="AE263" s="124"/>
      <c r="AF263" s="124"/>
      <c r="AG263" s="124"/>
      <c r="AH263" s="124"/>
      <c r="AI263" s="124"/>
      <c r="AJ263" s="124">
        <f t="shared" ref="AJ263:AJ281" si="85">SUM(G263,I263:AI263)</f>
        <v>40.1</v>
      </c>
      <c r="AK263" s="122">
        <v>7</v>
      </c>
      <c r="AL263" s="125"/>
      <c r="AM263" s="126"/>
      <c r="AN263" s="126"/>
    </row>
    <row r="264" spans="1:40" s="138" customFormat="1" ht="17.25" customHeight="1" x14ac:dyDescent="0.2">
      <c r="A264" s="122" t="s">
        <v>323</v>
      </c>
      <c r="B264" s="131" t="s">
        <v>435</v>
      </c>
      <c r="C264" s="122" t="s">
        <v>61</v>
      </c>
      <c r="D264" s="122">
        <f>Бюджет_Конт!$E$7</f>
        <v>27</v>
      </c>
      <c r="E264" s="122">
        <f>Бюджет_Конт!$E$18</f>
        <v>1</v>
      </c>
      <c r="F264" s="124">
        <v>50</v>
      </c>
      <c r="G264" s="124"/>
      <c r="H264" s="124">
        <v>68</v>
      </c>
      <c r="I264" s="124">
        <f t="shared" si="83"/>
        <v>68</v>
      </c>
      <c r="J264" s="124"/>
      <c r="K264" s="124"/>
      <c r="L264" s="124"/>
      <c r="M264" s="247">
        <f>0.4*D264</f>
        <v>10.8</v>
      </c>
      <c r="N264" s="124"/>
      <c r="O264" s="124"/>
      <c r="P264" s="124"/>
      <c r="Q264" s="323"/>
      <c r="R264" s="319"/>
      <c r="S264" s="124"/>
      <c r="T264" s="124"/>
      <c r="U264" s="124">
        <f>0.3*D264</f>
        <v>8.1</v>
      </c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>
        <f>8*E264</f>
        <v>8</v>
      </c>
      <c r="AJ264" s="124">
        <f t="shared" si="85"/>
        <v>94.899999999999991</v>
      </c>
      <c r="AK264" s="122">
        <v>12</v>
      </c>
      <c r="AL264" s="125"/>
      <c r="AM264" s="126"/>
      <c r="AN264" s="126"/>
    </row>
    <row r="265" spans="1:40" s="138" customFormat="1" ht="17.25" customHeight="1" x14ac:dyDescent="0.2">
      <c r="A265" s="122" t="s">
        <v>323</v>
      </c>
      <c r="B265" s="131" t="s">
        <v>435</v>
      </c>
      <c r="C265" s="122" t="s">
        <v>62</v>
      </c>
      <c r="D265" s="122">
        <f>Бюджет_Конт!$E$7</f>
        <v>27</v>
      </c>
      <c r="E265" s="122">
        <f>Бюджет_Конт!$E$18</f>
        <v>1</v>
      </c>
      <c r="F265" s="124">
        <v>40</v>
      </c>
      <c r="G265" s="124"/>
      <c r="H265" s="124">
        <v>60</v>
      </c>
      <c r="I265" s="124">
        <f t="shared" si="83"/>
        <v>60</v>
      </c>
      <c r="J265" s="124"/>
      <c r="K265" s="239"/>
      <c r="L265" s="124"/>
      <c r="M265" s="247">
        <f>0.4*D265</f>
        <v>10.8</v>
      </c>
      <c r="N265" s="124"/>
      <c r="O265" s="124"/>
      <c r="P265" s="124"/>
      <c r="Q265" s="323"/>
      <c r="R265" s="319"/>
      <c r="S265" s="124"/>
      <c r="T265" s="124"/>
      <c r="U265" s="124">
        <f>0.3*D265</f>
        <v>8.1</v>
      </c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>
        <f>8*E265</f>
        <v>8</v>
      </c>
      <c r="AJ265" s="124">
        <f t="shared" si="85"/>
        <v>86.899999999999991</v>
      </c>
      <c r="AK265" s="122">
        <v>12</v>
      </c>
      <c r="AL265" s="248"/>
      <c r="AM265" s="126"/>
      <c r="AN265" s="126"/>
    </row>
    <row r="266" spans="1:40" s="138" customFormat="1" ht="17.25" customHeight="1" x14ac:dyDescent="0.2">
      <c r="A266" s="122" t="s">
        <v>260</v>
      </c>
      <c r="B266" s="131" t="s">
        <v>488</v>
      </c>
      <c r="C266" s="122" t="s">
        <v>62</v>
      </c>
      <c r="D266" s="122">
        <f>Бюджет_Конт!$E$7</f>
        <v>27</v>
      </c>
      <c r="E266" s="122">
        <f>Бюджет_Конт!$E$18</f>
        <v>1</v>
      </c>
      <c r="F266" s="124">
        <v>60</v>
      </c>
      <c r="G266" s="124"/>
      <c r="H266" s="124">
        <v>60</v>
      </c>
      <c r="I266" s="124">
        <f t="shared" si="83"/>
        <v>60</v>
      </c>
      <c r="J266" s="124">
        <f>20*ROUNDUP(D266/15,0)</f>
        <v>40</v>
      </c>
      <c r="K266" s="239"/>
      <c r="L266" s="124"/>
      <c r="M266" s="247">
        <f>0.4*D266</f>
        <v>10.8</v>
      </c>
      <c r="N266" s="124"/>
      <c r="O266" s="124"/>
      <c r="P266" s="124"/>
      <c r="Q266" s="323"/>
      <c r="R266" s="319"/>
      <c r="S266" s="124"/>
      <c r="T266" s="124"/>
      <c r="U266" s="124"/>
      <c r="V266" s="124"/>
      <c r="W266" s="124"/>
      <c r="X266" s="124"/>
      <c r="Y266" s="124"/>
      <c r="Z266" s="124"/>
      <c r="AA266" s="124"/>
      <c r="AB266" s="124"/>
      <c r="AC266" s="124"/>
      <c r="AD266" s="124"/>
      <c r="AE266" s="124"/>
      <c r="AF266" s="124"/>
      <c r="AG266" s="124"/>
      <c r="AH266" s="124"/>
      <c r="AI266" s="124"/>
      <c r="AJ266" s="124">
        <f t="shared" si="85"/>
        <v>110.8</v>
      </c>
      <c r="AK266" s="122">
        <v>7</v>
      </c>
      <c r="AL266" s="125"/>
      <c r="AM266" s="126"/>
      <c r="AN266" s="126"/>
    </row>
    <row r="267" spans="1:40" s="138" customFormat="1" ht="18" x14ac:dyDescent="0.2">
      <c r="A267" s="122" t="s">
        <v>247</v>
      </c>
      <c r="B267" s="131" t="s">
        <v>176</v>
      </c>
      <c r="C267" s="122" t="s">
        <v>61</v>
      </c>
      <c r="D267" s="122">
        <f>Бюджет_Конт!$E$7</f>
        <v>27</v>
      </c>
      <c r="E267" s="122">
        <f>Бюджет_Конт!$E$18</f>
        <v>1</v>
      </c>
      <c r="F267" s="124">
        <v>34</v>
      </c>
      <c r="G267" s="124">
        <f>F267</f>
        <v>34</v>
      </c>
      <c r="H267" s="124"/>
      <c r="I267" s="124">
        <f t="shared" si="83"/>
        <v>0</v>
      </c>
      <c r="J267" s="124">
        <f>68*ROUNDUP(D267/15,0)</f>
        <v>136</v>
      </c>
      <c r="K267" s="239">
        <f t="shared" ref="K267:K272" si="86">0.3*D267</f>
        <v>8.1</v>
      </c>
      <c r="L267" s="124"/>
      <c r="M267" s="247"/>
      <c r="N267" s="124"/>
      <c r="O267" s="124"/>
      <c r="P267" s="124"/>
      <c r="Q267" s="323">
        <f t="shared" si="84"/>
        <v>1.7000000000000002</v>
      </c>
      <c r="R267" s="319"/>
      <c r="S267" s="124"/>
      <c r="T267" s="124"/>
      <c r="U267" s="124"/>
      <c r="V267" s="124"/>
      <c r="W267" s="124"/>
      <c r="X267" s="124"/>
      <c r="Y267" s="124"/>
      <c r="Z267" s="124"/>
      <c r="AA267" s="124"/>
      <c r="AB267" s="124"/>
      <c r="AC267" s="124"/>
      <c r="AD267" s="124"/>
      <c r="AE267" s="124"/>
      <c r="AF267" s="124"/>
      <c r="AG267" s="124"/>
      <c r="AH267" s="124"/>
      <c r="AI267" s="124"/>
      <c r="AJ267" s="124">
        <f t="shared" si="85"/>
        <v>179.79999999999998</v>
      </c>
      <c r="AK267" s="122">
        <v>10</v>
      </c>
      <c r="AL267" s="125"/>
      <c r="AM267" s="126"/>
      <c r="AN267" s="126"/>
    </row>
    <row r="268" spans="1:40" s="138" customFormat="1" ht="18" x14ac:dyDescent="0.2">
      <c r="A268" s="122" t="s">
        <v>271</v>
      </c>
      <c r="B268" s="131" t="s">
        <v>261</v>
      </c>
      <c r="C268" s="122" t="s">
        <v>62</v>
      </c>
      <c r="D268" s="122">
        <f>Бюджет_Конт!$E$7</f>
        <v>27</v>
      </c>
      <c r="E268" s="122">
        <f>Бюджет_Конт!$E$18</f>
        <v>1</v>
      </c>
      <c r="F268" s="124">
        <v>20</v>
      </c>
      <c r="G268" s="124">
        <f>F268</f>
        <v>20</v>
      </c>
      <c r="H268" s="124"/>
      <c r="I268" s="124">
        <f>H268*E268</f>
        <v>0</v>
      </c>
      <c r="J268" s="124">
        <f>60*ROUNDUP(D268/15,0)</f>
        <v>120</v>
      </c>
      <c r="K268" s="239">
        <f t="shared" si="86"/>
        <v>8.1</v>
      </c>
      <c r="L268" s="124"/>
      <c r="M268" s="247"/>
      <c r="N268" s="124"/>
      <c r="O268" s="124"/>
      <c r="P268" s="124"/>
      <c r="Q268" s="323">
        <f t="shared" si="84"/>
        <v>1</v>
      </c>
      <c r="R268" s="319"/>
      <c r="S268" s="124"/>
      <c r="T268" s="124"/>
      <c r="U268" s="124"/>
      <c r="V268" s="124"/>
      <c r="W268" s="124"/>
      <c r="X268" s="124"/>
      <c r="Y268" s="124"/>
      <c r="Z268" s="124"/>
      <c r="AA268" s="124"/>
      <c r="AB268" s="124"/>
      <c r="AC268" s="124"/>
      <c r="AD268" s="124"/>
      <c r="AE268" s="124"/>
      <c r="AF268" s="124"/>
      <c r="AG268" s="124"/>
      <c r="AH268" s="124"/>
      <c r="AI268" s="124">
        <f>2*E268</f>
        <v>2</v>
      </c>
      <c r="AJ268" s="124">
        <f>SUM(G268,I268:AI268)</f>
        <v>151.1</v>
      </c>
      <c r="AK268" s="122">
        <v>10</v>
      </c>
      <c r="AL268" s="125"/>
      <c r="AM268" s="126"/>
      <c r="AN268" s="126"/>
    </row>
    <row r="269" spans="1:40" s="138" customFormat="1" ht="18" x14ac:dyDescent="0.2">
      <c r="A269" s="122" t="s">
        <v>354</v>
      </c>
      <c r="B269" s="131" t="s">
        <v>455</v>
      </c>
      <c r="C269" s="122" t="s">
        <v>61</v>
      </c>
      <c r="D269" s="122">
        <f>Бюджет_Конт!$E$7</f>
        <v>27</v>
      </c>
      <c r="E269" s="122">
        <f>Бюджет_Конт!$E$18</f>
        <v>1</v>
      </c>
      <c r="F269" s="124">
        <v>34</v>
      </c>
      <c r="G269" s="124">
        <f>F269</f>
        <v>34</v>
      </c>
      <c r="H269" s="124">
        <v>34</v>
      </c>
      <c r="I269" s="124">
        <f t="shared" si="83"/>
        <v>34</v>
      </c>
      <c r="J269" s="124">
        <f>34*ROUNDUP(D269/15,0)</f>
        <v>68</v>
      </c>
      <c r="K269" s="239">
        <f t="shared" si="86"/>
        <v>8.1</v>
      </c>
      <c r="L269" s="124"/>
      <c r="M269" s="247"/>
      <c r="N269" s="124"/>
      <c r="O269" s="124"/>
      <c r="P269" s="124"/>
      <c r="Q269" s="323">
        <f t="shared" si="84"/>
        <v>1.7000000000000002</v>
      </c>
      <c r="R269" s="319"/>
      <c r="S269" s="124"/>
      <c r="T269" s="124"/>
      <c r="U269" s="124"/>
      <c r="V269" s="124"/>
      <c r="W269" s="124"/>
      <c r="X269" s="124"/>
      <c r="Y269" s="124"/>
      <c r="Z269" s="124"/>
      <c r="AA269" s="124"/>
      <c r="AB269" s="124"/>
      <c r="AC269" s="124"/>
      <c r="AD269" s="124"/>
      <c r="AE269" s="124"/>
      <c r="AF269" s="124"/>
      <c r="AG269" s="124"/>
      <c r="AH269" s="124"/>
      <c r="AI269" s="124">
        <f>6*E269</f>
        <v>6</v>
      </c>
      <c r="AJ269" s="124">
        <f t="shared" si="85"/>
        <v>151.79999999999998</v>
      </c>
      <c r="AK269" s="122">
        <v>10</v>
      </c>
      <c r="AL269" s="125"/>
      <c r="AM269" s="126"/>
      <c r="AN269" s="126"/>
    </row>
    <row r="270" spans="1:40" s="138" customFormat="1" ht="18" x14ac:dyDescent="0.2">
      <c r="A270" s="122" t="s">
        <v>354</v>
      </c>
      <c r="B270" s="131" t="s">
        <v>455</v>
      </c>
      <c r="C270" s="122" t="s">
        <v>62</v>
      </c>
      <c r="D270" s="122">
        <f>Бюджет_Конт!$E$7</f>
        <v>27</v>
      </c>
      <c r="E270" s="122">
        <f>Бюджет_Конт!$E$18</f>
        <v>1</v>
      </c>
      <c r="F270" s="124">
        <v>40</v>
      </c>
      <c r="G270" s="124">
        <f>F270</f>
        <v>40</v>
      </c>
      <c r="H270" s="124"/>
      <c r="I270" s="124">
        <f>H270*E270</f>
        <v>0</v>
      </c>
      <c r="J270" s="124">
        <f>20*ROUNDUP(D270/20,0)</f>
        <v>40</v>
      </c>
      <c r="K270" s="239">
        <f t="shared" si="86"/>
        <v>8.1</v>
      </c>
      <c r="L270" s="124"/>
      <c r="M270" s="247"/>
      <c r="N270" s="124"/>
      <c r="O270" s="124"/>
      <c r="P270" s="124"/>
      <c r="Q270" s="323">
        <f>IF(K270&gt;0,0.05*G270,IF(M270&gt;0,0.05*G270+1*E270,0))</f>
        <v>2</v>
      </c>
      <c r="R270" s="319"/>
      <c r="S270" s="124"/>
      <c r="T270" s="124"/>
      <c r="U270" s="124">
        <f>0.3*D270</f>
        <v>8.1</v>
      </c>
      <c r="V270" s="124"/>
      <c r="W270" s="124"/>
      <c r="X270" s="124"/>
      <c r="Y270" s="124"/>
      <c r="Z270" s="124"/>
      <c r="AA270" s="124"/>
      <c r="AB270" s="124"/>
      <c r="AC270" s="124"/>
      <c r="AD270" s="124"/>
      <c r="AE270" s="124"/>
      <c r="AF270" s="124"/>
      <c r="AG270" s="124"/>
      <c r="AH270" s="124"/>
      <c r="AI270" s="124">
        <f>2*E270</f>
        <v>2</v>
      </c>
      <c r="AJ270" s="124">
        <f>SUM(G270,I270:AI270)</f>
        <v>100.19999999999999</v>
      </c>
      <c r="AK270" s="122">
        <v>10</v>
      </c>
      <c r="AL270" s="125"/>
      <c r="AM270" s="126"/>
      <c r="AN270" s="126"/>
    </row>
    <row r="271" spans="1:40" s="138" customFormat="1" ht="18" x14ac:dyDescent="0.2">
      <c r="A271" s="122" t="s">
        <v>316</v>
      </c>
      <c r="B271" s="131" t="s">
        <v>212</v>
      </c>
      <c r="C271" s="122" t="s">
        <v>62</v>
      </c>
      <c r="D271" s="122">
        <f>Бюджет_Конт!$E$7</f>
        <v>27</v>
      </c>
      <c r="E271" s="122">
        <f>Бюджет_Конт!$E$18</f>
        <v>1</v>
      </c>
      <c r="F271" s="124">
        <v>20</v>
      </c>
      <c r="G271" s="124">
        <f>F271</f>
        <v>20</v>
      </c>
      <c r="H271" s="124"/>
      <c r="I271" s="124">
        <f t="shared" si="83"/>
        <v>0</v>
      </c>
      <c r="J271" s="124">
        <f>80*ROUNDUP(D271/15,0)</f>
        <v>160</v>
      </c>
      <c r="K271" s="239">
        <f t="shared" si="86"/>
        <v>8.1</v>
      </c>
      <c r="L271" s="124"/>
      <c r="M271" s="247"/>
      <c r="N271" s="124"/>
      <c r="O271" s="124"/>
      <c r="P271" s="124"/>
      <c r="Q271" s="323">
        <f t="shared" si="84"/>
        <v>1</v>
      </c>
      <c r="R271" s="319"/>
      <c r="S271" s="124"/>
      <c r="T271" s="124"/>
      <c r="U271" s="124"/>
      <c r="V271" s="124"/>
      <c r="W271" s="124"/>
      <c r="X271" s="124"/>
      <c r="Y271" s="124"/>
      <c r="Z271" s="124"/>
      <c r="AA271" s="124"/>
      <c r="AB271" s="124"/>
      <c r="AC271" s="124"/>
      <c r="AD271" s="124"/>
      <c r="AE271" s="124"/>
      <c r="AF271" s="124"/>
      <c r="AG271" s="124"/>
      <c r="AH271" s="124"/>
      <c r="AI271" s="124">
        <f>2*E271</f>
        <v>2</v>
      </c>
      <c r="AJ271" s="124">
        <f t="shared" si="85"/>
        <v>191.1</v>
      </c>
      <c r="AK271" s="122">
        <v>8</v>
      </c>
      <c r="AL271" s="125"/>
      <c r="AM271" s="126"/>
      <c r="AN271" s="126"/>
    </row>
    <row r="272" spans="1:40" s="125" customFormat="1" ht="36" x14ac:dyDescent="0.2">
      <c r="A272" s="122" t="s">
        <v>284</v>
      </c>
      <c r="B272" s="131" t="s">
        <v>470</v>
      </c>
      <c r="C272" s="122" t="s">
        <v>64</v>
      </c>
      <c r="D272" s="122">
        <f>Бюджет_Конт!$E$8</f>
        <v>34</v>
      </c>
      <c r="E272" s="122">
        <f>Бюджет_Конт!$E$19</f>
        <v>1</v>
      </c>
      <c r="F272" s="124">
        <v>20</v>
      </c>
      <c r="G272" s="124"/>
      <c r="H272" s="124">
        <v>20</v>
      </c>
      <c r="I272" s="124">
        <f t="shared" si="83"/>
        <v>20</v>
      </c>
      <c r="J272" s="124"/>
      <c r="K272" s="124">
        <f t="shared" si="86"/>
        <v>10.199999999999999</v>
      </c>
      <c r="L272" s="124"/>
      <c r="M272" s="239"/>
      <c r="N272" s="124"/>
      <c r="O272" s="124"/>
      <c r="P272" s="124"/>
      <c r="Q272" s="323">
        <f t="shared" si="84"/>
        <v>0</v>
      </c>
      <c r="R272" s="319"/>
      <c r="S272" s="124"/>
      <c r="T272" s="124"/>
      <c r="U272" s="124"/>
      <c r="V272" s="124"/>
      <c r="W272" s="124"/>
      <c r="X272" s="124"/>
      <c r="Y272" s="124"/>
      <c r="Z272" s="124"/>
      <c r="AA272" s="124"/>
      <c r="AB272" s="124"/>
      <c r="AC272" s="124"/>
      <c r="AD272" s="124"/>
      <c r="AE272" s="124"/>
      <c r="AF272" s="124"/>
      <c r="AG272" s="124"/>
      <c r="AH272" s="124"/>
      <c r="AI272" s="124"/>
      <c r="AJ272" s="124">
        <f t="shared" si="85"/>
        <v>30.2</v>
      </c>
      <c r="AK272" s="122">
        <v>7</v>
      </c>
      <c r="AL272" s="249"/>
      <c r="AM272" s="250"/>
      <c r="AN272" s="126"/>
    </row>
    <row r="273" spans="1:40" s="138" customFormat="1" ht="17.25" customHeight="1" x14ac:dyDescent="0.2">
      <c r="A273" s="122" t="s">
        <v>245</v>
      </c>
      <c r="B273" s="131" t="s">
        <v>435</v>
      </c>
      <c r="C273" s="122" t="s">
        <v>63</v>
      </c>
      <c r="D273" s="122">
        <f>Бюджет_Конт!$E$8</f>
        <v>34</v>
      </c>
      <c r="E273" s="122">
        <f>Бюджет_Конт!$E$19</f>
        <v>1</v>
      </c>
      <c r="F273" s="124">
        <v>32</v>
      </c>
      <c r="G273" s="124"/>
      <c r="H273" s="124">
        <v>32</v>
      </c>
      <c r="I273" s="124">
        <f>H273*E273</f>
        <v>32</v>
      </c>
      <c r="J273" s="124"/>
      <c r="K273" s="124"/>
      <c r="L273" s="124"/>
      <c r="M273" s="247">
        <f>0.4*D273</f>
        <v>13.600000000000001</v>
      </c>
      <c r="N273" s="124"/>
      <c r="O273" s="124"/>
      <c r="P273" s="124"/>
      <c r="Q273" s="323"/>
      <c r="R273" s="319"/>
      <c r="S273" s="124"/>
      <c r="T273" s="124"/>
      <c r="U273" s="124">
        <f>0.3*D273</f>
        <v>10.199999999999999</v>
      </c>
      <c r="V273" s="124"/>
      <c r="W273" s="124"/>
      <c r="X273" s="124"/>
      <c r="Y273" s="124"/>
      <c r="Z273" s="124"/>
      <c r="AA273" s="124"/>
      <c r="AB273" s="124"/>
      <c r="AC273" s="124"/>
      <c r="AD273" s="124"/>
      <c r="AE273" s="124"/>
      <c r="AF273" s="124"/>
      <c r="AG273" s="124"/>
      <c r="AH273" s="124"/>
      <c r="AI273" s="124">
        <f>12*E273</f>
        <v>12</v>
      </c>
      <c r="AJ273" s="124">
        <f>SUM(G273,I273:AI273)</f>
        <v>67.8</v>
      </c>
      <c r="AK273" s="122">
        <v>12</v>
      </c>
      <c r="AL273" s="125"/>
      <c r="AM273" s="126"/>
      <c r="AN273" s="126"/>
    </row>
    <row r="274" spans="1:40" s="138" customFormat="1" ht="36" x14ac:dyDescent="0.2">
      <c r="A274" s="122" t="s">
        <v>324</v>
      </c>
      <c r="B274" s="131" t="s">
        <v>511</v>
      </c>
      <c r="C274" s="122" t="s">
        <v>63</v>
      </c>
      <c r="D274" s="122">
        <f>Бюджет_Конт!$E$8</f>
        <v>34</v>
      </c>
      <c r="E274" s="122">
        <f>Бюджет_Конт!$E$19</f>
        <v>1</v>
      </c>
      <c r="F274" s="124">
        <v>50</v>
      </c>
      <c r="G274" s="124"/>
      <c r="H274" s="124">
        <v>50</v>
      </c>
      <c r="I274" s="124">
        <f>H274*E274</f>
        <v>50</v>
      </c>
      <c r="J274" s="124">
        <f>16*ROUNDUP(D274/15,0)</f>
        <v>48</v>
      </c>
      <c r="K274" s="239"/>
      <c r="L274" s="124"/>
      <c r="M274" s="247">
        <f>0.4*D274</f>
        <v>13.600000000000001</v>
      </c>
      <c r="N274" s="124"/>
      <c r="O274" s="124"/>
      <c r="P274" s="124"/>
      <c r="Q274" s="323"/>
      <c r="R274" s="319"/>
      <c r="S274" s="124"/>
      <c r="T274" s="124"/>
      <c r="U274" s="124"/>
      <c r="V274" s="124"/>
      <c r="W274" s="124"/>
      <c r="X274" s="124"/>
      <c r="Y274" s="124"/>
      <c r="Z274" s="124"/>
      <c r="AA274" s="124"/>
      <c r="AB274" s="124"/>
      <c r="AC274" s="124"/>
      <c r="AD274" s="124"/>
      <c r="AE274" s="124"/>
      <c r="AF274" s="124"/>
      <c r="AG274" s="124"/>
      <c r="AH274" s="124"/>
      <c r="AI274" s="124">
        <f>2*E274</f>
        <v>2</v>
      </c>
      <c r="AJ274" s="124">
        <f t="shared" si="85"/>
        <v>113.6</v>
      </c>
      <c r="AK274" s="122">
        <v>7</v>
      </c>
      <c r="AL274" s="125"/>
      <c r="AM274" s="126"/>
      <c r="AN274" s="126"/>
    </row>
    <row r="275" spans="1:40" s="138" customFormat="1" ht="36" x14ac:dyDescent="0.2">
      <c r="A275" s="122" t="s">
        <v>325</v>
      </c>
      <c r="B275" s="131" t="s">
        <v>512</v>
      </c>
      <c r="C275" s="122" t="s">
        <v>64</v>
      </c>
      <c r="D275" s="122">
        <f>Бюджет_Конт!$E$8</f>
        <v>34</v>
      </c>
      <c r="E275" s="122">
        <f>Бюджет_Конт!$E$19</f>
        <v>1</v>
      </c>
      <c r="F275" s="124">
        <v>60</v>
      </c>
      <c r="G275" s="124"/>
      <c r="H275" s="124">
        <v>60</v>
      </c>
      <c r="I275" s="124">
        <f t="shared" si="83"/>
        <v>60</v>
      </c>
      <c r="J275" s="124">
        <f>20*ROUNDUP(D275/15,0)</f>
        <v>60</v>
      </c>
      <c r="K275" s="239"/>
      <c r="L275" s="124"/>
      <c r="M275" s="247">
        <f>0.4*D275</f>
        <v>13.600000000000001</v>
      </c>
      <c r="N275" s="124"/>
      <c r="O275" s="124"/>
      <c r="P275" s="124"/>
      <c r="Q275" s="323"/>
      <c r="R275" s="319"/>
      <c r="S275" s="124"/>
      <c r="T275" s="124"/>
      <c r="U275" s="124"/>
      <c r="V275" s="124"/>
      <c r="W275" s="124"/>
      <c r="X275" s="124"/>
      <c r="Y275" s="124"/>
      <c r="Z275" s="124"/>
      <c r="AA275" s="124"/>
      <c r="AB275" s="124"/>
      <c r="AC275" s="124"/>
      <c r="AD275" s="124"/>
      <c r="AE275" s="124"/>
      <c r="AF275" s="124"/>
      <c r="AG275" s="124"/>
      <c r="AH275" s="124"/>
      <c r="AI275" s="124">
        <f>8*E275</f>
        <v>8</v>
      </c>
      <c r="AJ275" s="124">
        <f t="shared" si="85"/>
        <v>141.6</v>
      </c>
      <c r="AK275" s="122">
        <v>7</v>
      </c>
      <c r="AL275" s="125"/>
      <c r="AM275" s="126"/>
      <c r="AN275" s="126"/>
    </row>
    <row r="276" spans="1:40" s="144" customFormat="1" ht="36" x14ac:dyDescent="0.2">
      <c r="A276" s="139" t="s">
        <v>254</v>
      </c>
      <c r="B276" s="140" t="s">
        <v>473</v>
      </c>
      <c r="C276" s="251" t="s">
        <v>63</v>
      </c>
      <c r="D276" s="122">
        <f>Бюджет_Конт!$E$8</f>
        <v>34</v>
      </c>
      <c r="E276" s="122">
        <f>Бюджет_Конт!$E$19</f>
        <v>1</v>
      </c>
      <c r="F276" s="141">
        <v>16</v>
      </c>
      <c r="G276" s="141">
        <f>F276</f>
        <v>16</v>
      </c>
      <c r="H276" s="141"/>
      <c r="I276" s="141"/>
      <c r="J276" s="124">
        <f>50*ROUNDUP(D276/15,0)</f>
        <v>150</v>
      </c>
      <c r="K276" s="121">
        <f>0.3*D276</f>
        <v>10.199999999999999</v>
      </c>
      <c r="L276" s="121"/>
      <c r="M276" s="121"/>
      <c r="N276" s="121"/>
      <c r="O276" s="121"/>
      <c r="P276" s="121"/>
      <c r="Q276" s="323">
        <f t="shared" si="84"/>
        <v>0.8</v>
      </c>
      <c r="R276" s="33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41"/>
      <c r="AD276" s="141"/>
      <c r="AE276" s="141"/>
      <c r="AF276" s="141"/>
      <c r="AG276" s="141"/>
      <c r="AH276" s="141"/>
      <c r="AI276" s="141">
        <f>2*E276</f>
        <v>2</v>
      </c>
      <c r="AJ276" s="124">
        <f t="shared" si="85"/>
        <v>179</v>
      </c>
      <c r="AK276" s="139">
        <v>10</v>
      </c>
      <c r="AL276" s="142"/>
      <c r="AM276" s="143"/>
      <c r="AN276" s="143"/>
    </row>
    <row r="277" spans="1:40" s="138" customFormat="1" ht="18" x14ac:dyDescent="0.2">
      <c r="A277" s="122" t="s">
        <v>270</v>
      </c>
      <c r="B277" s="131" t="s">
        <v>215</v>
      </c>
      <c r="C277" s="122" t="s">
        <v>64</v>
      </c>
      <c r="D277" s="122">
        <f>Бюджет_Конт!$E$8</f>
        <v>34</v>
      </c>
      <c r="E277" s="122">
        <f>Бюджет_Конт!$E$19</f>
        <v>1</v>
      </c>
      <c r="F277" s="124">
        <v>20</v>
      </c>
      <c r="G277" s="124">
        <f>F277</f>
        <v>20</v>
      </c>
      <c r="H277" s="124">
        <v>20</v>
      </c>
      <c r="I277" s="124">
        <f t="shared" si="83"/>
        <v>20</v>
      </c>
      <c r="J277" s="124">
        <f>40*ROUNDUP(D277/15,0)</f>
        <v>120</v>
      </c>
      <c r="K277" s="239"/>
      <c r="L277" s="124"/>
      <c r="M277" s="247">
        <f>0.4*D277</f>
        <v>13.600000000000001</v>
      </c>
      <c r="N277" s="124"/>
      <c r="O277" s="124"/>
      <c r="P277" s="124"/>
      <c r="Q277" s="323">
        <f t="shared" si="84"/>
        <v>2</v>
      </c>
      <c r="R277" s="319"/>
      <c r="S277" s="124"/>
      <c r="T277" s="124"/>
      <c r="U277" s="124"/>
      <c r="V277" s="124"/>
      <c r="W277" s="124"/>
      <c r="X277" s="124"/>
      <c r="Y277" s="124"/>
      <c r="Z277" s="124"/>
      <c r="AA277" s="124"/>
      <c r="AB277" s="124"/>
      <c r="AC277" s="124"/>
      <c r="AD277" s="124"/>
      <c r="AE277" s="124"/>
      <c r="AF277" s="124"/>
      <c r="AG277" s="124"/>
      <c r="AH277" s="124"/>
      <c r="AI277" s="124"/>
      <c r="AJ277" s="124">
        <f t="shared" si="85"/>
        <v>175.6</v>
      </c>
      <c r="AK277" s="122">
        <v>8</v>
      </c>
      <c r="AL277" s="125"/>
      <c r="AM277" s="126"/>
      <c r="AN277" s="126"/>
    </row>
    <row r="278" spans="1:40" s="138" customFormat="1" ht="18" x14ac:dyDescent="0.2">
      <c r="A278" s="122" t="s">
        <v>258</v>
      </c>
      <c r="B278" s="131" t="s">
        <v>251</v>
      </c>
      <c r="C278" s="122" t="s">
        <v>63</v>
      </c>
      <c r="D278" s="122">
        <f>Бюджет_Конт!$E$8</f>
        <v>34</v>
      </c>
      <c r="E278" s="122">
        <f>Бюджет_Конт!$E$19</f>
        <v>1</v>
      </c>
      <c r="F278" s="124">
        <v>34</v>
      </c>
      <c r="G278" s="124">
        <f>F278</f>
        <v>34</v>
      </c>
      <c r="H278" s="124"/>
      <c r="I278" s="124">
        <f>H278*E278</f>
        <v>0</v>
      </c>
      <c r="J278" s="124">
        <f>34*ROUNDUP(D278/15,0)</f>
        <v>102</v>
      </c>
      <c r="K278" s="239">
        <f t="shared" ref="K278:K285" si="87">0.3*D278</f>
        <v>10.199999999999999</v>
      </c>
      <c r="L278" s="124"/>
      <c r="M278" s="247"/>
      <c r="N278" s="124"/>
      <c r="O278" s="124"/>
      <c r="P278" s="124"/>
      <c r="Q278" s="323">
        <f>IF(K278&gt;0,0.05*G278,IF(M278&gt;0,0.05*G278+1*E278,0))</f>
        <v>1.7000000000000002</v>
      </c>
      <c r="R278" s="319"/>
      <c r="S278" s="124"/>
      <c r="T278" s="124"/>
      <c r="U278" s="124"/>
      <c r="V278" s="124"/>
      <c r="W278" s="124"/>
      <c r="X278" s="124"/>
      <c r="Y278" s="124"/>
      <c r="Z278" s="124"/>
      <c r="AA278" s="124"/>
      <c r="AB278" s="124"/>
      <c r="AC278" s="124"/>
      <c r="AD278" s="124"/>
      <c r="AE278" s="124"/>
      <c r="AF278" s="124"/>
      <c r="AG278" s="124"/>
      <c r="AH278" s="124"/>
      <c r="AI278" s="124">
        <f>2*E278</f>
        <v>2</v>
      </c>
      <c r="AJ278" s="124">
        <f>SUM(G278,I278:AI278)</f>
        <v>149.89999999999998</v>
      </c>
      <c r="AK278" s="122">
        <v>10</v>
      </c>
      <c r="AL278" s="125"/>
      <c r="AM278" s="126"/>
      <c r="AN278" s="126"/>
    </row>
    <row r="279" spans="1:40" s="144" customFormat="1" ht="36" x14ac:dyDescent="0.2">
      <c r="A279" s="139" t="s">
        <v>327</v>
      </c>
      <c r="B279" s="140" t="s">
        <v>330</v>
      </c>
      <c r="C279" s="139" t="s">
        <v>63</v>
      </c>
      <c r="D279" s="122">
        <f>Бюджет_Конт!$E$8</f>
        <v>34</v>
      </c>
      <c r="E279" s="122">
        <f>Бюджет_Конт!$E$19</f>
        <v>1</v>
      </c>
      <c r="F279" s="141">
        <v>34</v>
      </c>
      <c r="G279" s="141">
        <f>F279</f>
        <v>34</v>
      </c>
      <c r="H279" s="141">
        <v>34</v>
      </c>
      <c r="I279" s="141">
        <f>H279*E279</f>
        <v>34</v>
      </c>
      <c r="J279" s="141"/>
      <c r="K279" s="121">
        <f t="shared" si="87"/>
        <v>10.199999999999999</v>
      </c>
      <c r="L279" s="121"/>
      <c r="M279" s="247"/>
      <c r="N279" s="121"/>
      <c r="O279" s="121"/>
      <c r="P279" s="121"/>
      <c r="Q279" s="323">
        <f t="shared" si="84"/>
        <v>1.7000000000000002</v>
      </c>
      <c r="R279" s="33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41"/>
      <c r="AD279" s="141"/>
      <c r="AE279" s="141"/>
      <c r="AF279" s="141"/>
      <c r="AG279" s="141"/>
      <c r="AH279" s="141"/>
      <c r="AI279" s="141"/>
      <c r="AJ279" s="124">
        <f t="shared" si="85"/>
        <v>79.900000000000006</v>
      </c>
      <c r="AK279" s="139">
        <v>10</v>
      </c>
      <c r="AL279" s="142"/>
      <c r="AM279" s="143"/>
      <c r="AN279" s="143"/>
    </row>
    <row r="280" spans="1:40" s="138" customFormat="1" ht="18" x14ac:dyDescent="0.2">
      <c r="A280" s="122" t="s">
        <v>383</v>
      </c>
      <c r="B280" s="131" t="s">
        <v>331</v>
      </c>
      <c r="C280" s="122" t="s">
        <v>64</v>
      </c>
      <c r="D280" s="122">
        <f>Бюджет_Конт!$E$8</f>
        <v>34</v>
      </c>
      <c r="E280" s="122">
        <f>Бюджет_Конт!$E$19</f>
        <v>1</v>
      </c>
      <c r="F280" s="124">
        <v>20</v>
      </c>
      <c r="G280" s="141">
        <f>F280</f>
        <v>20</v>
      </c>
      <c r="H280" s="124">
        <v>40</v>
      </c>
      <c r="I280" s="124">
        <f>H280*E280</f>
        <v>40</v>
      </c>
      <c r="J280" s="124"/>
      <c r="K280" s="239">
        <f t="shared" si="87"/>
        <v>10.199999999999999</v>
      </c>
      <c r="L280" s="124"/>
      <c r="M280" s="247"/>
      <c r="N280" s="124"/>
      <c r="O280" s="124"/>
      <c r="P280" s="124"/>
      <c r="Q280" s="323">
        <f>IF(K280&gt;0,0.05*G280,IF(M280&gt;0,0.05*G280+1*E280,0))</f>
        <v>1</v>
      </c>
      <c r="R280" s="319"/>
      <c r="S280" s="124"/>
      <c r="T280" s="124"/>
      <c r="U280" s="124">
        <f>0.3*D280</f>
        <v>10.199999999999999</v>
      </c>
      <c r="V280" s="124"/>
      <c r="W280" s="124"/>
      <c r="X280" s="124"/>
      <c r="Y280" s="124"/>
      <c r="Z280" s="124"/>
      <c r="AA280" s="124"/>
      <c r="AB280" s="124"/>
      <c r="AC280" s="124"/>
      <c r="AD280" s="124"/>
      <c r="AE280" s="124"/>
      <c r="AF280" s="124"/>
      <c r="AG280" s="124"/>
      <c r="AH280" s="124"/>
      <c r="AI280" s="124">
        <f>4*E280</f>
        <v>4</v>
      </c>
      <c r="AJ280" s="124">
        <f t="shared" si="85"/>
        <v>85.4</v>
      </c>
      <c r="AK280" s="122">
        <v>10</v>
      </c>
      <c r="AL280" s="125"/>
      <c r="AM280" s="126"/>
      <c r="AN280" s="126"/>
    </row>
    <row r="281" spans="1:40" s="138" customFormat="1" ht="18" x14ac:dyDescent="0.2">
      <c r="A281" s="122" t="s">
        <v>203</v>
      </c>
      <c r="B281" s="131" t="s">
        <v>332</v>
      </c>
      <c r="C281" s="122" t="s">
        <v>64</v>
      </c>
      <c r="D281" s="122">
        <f>Бюджет_Конт!$E$8</f>
        <v>34</v>
      </c>
      <c r="E281" s="122">
        <f>Бюджет_Конт!$E$19</f>
        <v>1</v>
      </c>
      <c r="F281" s="124"/>
      <c r="G281" s="124"/>
      <c r="H281" s="124">
        <v>40</v>
      </c>
      <c r="I281" s="124">
        <f>H281*E281</f>
        <v>40</v>
      </c>
      <c r="J281" s="124"/>
      <c r="K281" s="239">
        <f t="shared" si="87"/>
        <v>10.199999999999999</v>
      </c>
      <c r="L281" s="124"/>
      <c r="M281" s="247"/>
      <c r="N281" s="124"/>
      <c r="O281" s="124"/>
      <c r="P281" s="124"/>
      <c r="Q281" s="323">
        <f>IF(K281&gt;0,0.05*G281,IF(M281&gt;0,0.05*G281+1*E281,0))</f>
        <v>0</v>
      </c>
      <c r="R281" s="319"/>
      <c r="S281" s="124"/>
      <c r="T281" s="124"/>
      <c r="U281" s="124"/>
      <c r="V281" s="124"/>
      <c r="W281" s="124"/>
      <c r="X281" s="124"/>
      <c r="Y281" s="124"/>
      <c r="Z281" s="124"/>
      <c r="AA281" s="124"/>
      <c r="AB281" s="124"/>
      <c r="AC281" s="124"/>
      <c r="AD281" s="124"/>
      <c r="AE281" s="124"/>
      <c r="AF281" s="124"/>
      <c r="AG281" s="124"/>
      <c r="AH281" s="124"/>
      <c r="AI281" s="124"/>
      <c r="AJ281" s="124">
        <f t="shared" si="85"/>
        <v>50.2</v>
      </c>
      <c r="AK281" s="122">
        <v>10</v>
      </c>
      <c r="AL281" s="125"/>
      <c r="AM281" s="126"/>
      <c r="AN281" s="126"/>
    </row>
    <row r="282" spans="1:40" s="138" customFormat="1" ht="36" x14ac:dyDescent="0.2">
      <c r="A282" s="122" t="s">
        <v>205</v>
      </c>
      <c r="B282" s="131" t="s">
        <v>381</v>
      </c>
      <c r="C282" s="122" t="s">
        <v>66</v>
      </c>
      <c r="D282" s="122">
        <f>Бюджет_Конт!$E$9</f>
        <v>42</v>
      </c>
      <c r="E282" s="122">
        <f>Бюджет_Конт!$E$20</f>
        <v>2</v>
      </c>
      <c r="F282" s="124">
        <v>32</v>
      </c>
      <c r="G282" s="124">
        <f t="shared" ref="G282:G291" si="88">F282</f>
        <v>32</v>
      </c>
      <c r="H282" s="124">
        <v>16</v>
      </c>
      <c r="I282" s="124">
        <f t="shared" ref="I282:I296" si="89">H282*E282</f>
        <v>32</v>
      </c>
      <c r="J282" s="124">
        <f>32*ROUNDUP(D282/20,0)</f>
        <v>96</v>
      </c>
      <c r="K282" s="239">
        <f t="shared" si="87"/>
        <v>12.6</v>
      </c>
      <c r="L282" s="124"/>
      <c r="M282" s="247"/>
      <c r="N282" s="124"/>
      <c r="O282" s="124"/>
      <c r="P282" s="124"/>
      <c r="Q282" s="323">
        <f t="shared" si="84"/>
        <v>1.6</v>
      </c>
      <c r="R282" s="319"/>
      <c r="S282" s="124"/>
      <c r="T282" s="124"/>
      <c r="U282" s="124">
        <f>0.3*D282</f>
        <v>12.6</v>
      </c>
      <c r="V282" s="124"/>
      <c r="W282" s="124"/>
      <c r="X282" s="124"/>
      <c r="Y282" s="124"/>
      <c r="Z282" s="124"/>
      <c r="AA282" s="124"/>
      <c r="AB282" s="124"/>
      <c r="AC282" s="124"/>
      <c r="AD282" s="124"/>
      <c r="AE282" s="124"/>
      <c r="AF282" s="124"/>
      <c r="AG282" s="124"/>
      <c r="AH282" s="124"/>
      <c r="AI282" s="124">
        <f>2*E282</f>
        <v>4</v>
      </c>
      <c r="AJ282" s="124">
        <f t="shared" ref="AJ282:AJ296" si="90">SUM(G282,I282:AI282)</f>
        <v>190.79999999999998</v>
      </c>
      <c r="AK282" s="122">
        <v>10</v>
      </c>
      <c r="AL282" s="125"/>
      <c r="AM282" s="126"/>
      <c r="AN282" s="126"/>
    </row>
    <row r="283" spans="1:40" s="138" customFormat="1" ht="18" x14ac:dyDescent="0.2">
      <c r="A283" s="122" t="s">
        <v>255</v>
      </c>
      <c r="B283" s="131" t="s">
        <v>475</v>
      </c>
      <c r="C283" s="122" t="s">
        <v>65</v>
      </c>
      <c r="D283" s="122">
        <f>Бюджет_Конт!$E$9</f>
        <v>42</v>
      </c>
      <c r="E283" s="122">
        <f>Бюджет_Конт!$E$20</f>
        <v>2</v>
      </c>
      <c r="F283" s="124">
        <v>34</v>
      </c>
      <c r="G283" s="124">
        <f>F283</f>
        <v>34</v>
      </c>
      <c r="H283" s="124">
        <v>34</v>
      </c>
      <c r="I283" s="124">
        <f>H283*E283</f>
        <v>68</v>
      </c>
      <c r="J283" s="124"/>
      <c r="K283" s="239">
        <f t="shared" si="87"/>
        <v>12.6</v>
      </c>
      <c r="L283" s="124"/>
      <c r="M283" s="247"/>
      <c r="N283" s="124"/>
      <c r="O283" s="124"/>
      <c r="P283" s="124"/>
      <c r="Q283" s="323">
        <f>IF(K283&gt;0,0.05*G283,IF(M283&gt;0,0.05*G283+1*E283,0))</f>
        <v>1.7000000000000002</v>
      </c>
      <c r="R283" s="319"/>
      <c r="S283" s="124"/>
      <c r="T283" s="124"/>
      <c r="U283" s="124"/>
      <c r="V283" s="124"/>
      <c r="W283" s="124"/>
      <c r="X283" s="124"/>
      <c r="Y283" s="124"/>
      <c r="Z283" s="124"/>
      <c r="AA283" s="124"/>
      <c r="AB283" s="124"/>
      <c r="AC283" s="124"/>
      <c r="AD283" s="124"/>
      <c r="AE283" s="124"/>
      <c r="AF283" s="124"/>
      <c r="AG283" s="124"/>
      <c r="AH283" s="124"/>
      <c r="AI283" s="124"/>
      <c r="AJ283" s="124">
        <f>SUM(G283,I283:AI283)</f>
        <v>116.3</v>
      </c>
      <c r="AK283" s="122">
        <v>10</v>
      </c>
      <c r="AL283" s="125"/>
      <c r="AM283" s="126"/>
      <c r="AN283" s="126"/>
    </row>
    <row r="284" spans="1:40" s="138" customFormat="1" ht="36" x14ac:dyDescent="0.2">
      <c r="A284" s="122" t="s">
        <v>319</v>
      </c>
      <c r="B284" s="131" t="s">
        <v>476</v>
      </c>
      <c r="C284" s="122" t="s">
        <v>66</v>
      </c>
      <c r="D284" s="122">
        <f>Бюджет_Конт!$E$9</f>
        <v>42</v>
      </c>
      <c r="E284" s="122">
        <f>Бюджет_Конт!$E$20</f>
        <v>2</v>
      </c>
      <c r="F284" s="124">
        <v>16</v>
      </c>
      <c r="G284" s="124">
        <f>F284</f>
        <v>16</v>
      </c>
      <c r="H284" s="124">
        <v>32</v>
      </c>
      <c r="I284" s="124">
        <f>H284*E284</f>
        <v>64</v>
      </c>
      <c r="J284" s="124"/>
      <c r="K284" s="239">
        <f t="shared" si="87"/>
        <v>12.6</v>
      </c>
      <c r="L284" s="124"/>
      <c r="M284" s="247"/>
      <c r="N284" s="124"/>
      <c r="O284" s="124"/>
      <c r="P284" s="124"/>
      <c r="Q284" s="323">
        <f>IF(K284&gt;0,0.05*G284,IF(M284&gt;0,0.05*G284+1*E284,0))</f>
        <v>0.8</v>
      </c>
      <c r="R284" s="319"/>
      <c r="S284" s="124"/>
      <c r="T284" s="124"/>
      <c r="U284" s="124"/>
      <c r="V284" s="124"/>
      <c r="W284" s="124"/>
      <c r="X284" s="124"/>
      <c r="Y284" s="124"/>
      <c r="Z284" s="124"/>
      <c r="AA284" s="124"/>
      <c r="AB284" s="124"/>
      <c r="AC284" s="124"/>
      <c r="AD284" s="124"/>
      <c r="AE284" s="124"/>
      <c r="AF284" s="124"/>
      <c r="AG284" s="124"/>
      <c r="AH284" s="124"/>
      <c r="AI284" s="124"/>
      <c r="AJ284" s="124">
        <f>SUM(G284,I284:AI284)</f>
        <v>93.399999999999991</v>
      </c>
      <c r="AK284" s="122">
        <v>10</v>
      </c>
      <c r="AL284" s="125"/>
      <c r="AM284" s="126"/>
      <c r="AN284" s="126"/>
    </row>
    <row r="285" spans="1:40" s="138" customFormat="1" ht="17.25" customHeight="1" x14ac:dyDescent="0.2">
      <c r="A285" s="122" t="s">
        <v>269</v>
      </c>
      <c r="B285" s="131" t="s">
        <v>216</v>
      </c>
      <c r="C285" s="122" t="s">
        <v>65</v>
      </c>
      <c r="D285" s="122">
        <f>Бюджет_Конт!$E$9</f>
        <v>42</v>
      </c>
      <c r="E285" s="122">
        <f>Бюджет_Конт!$E$20</f>
        <v>2</v>
      </c>
      <c r="F285" s="124">
        <v>34</v>
      </c>
      <c r="G285" s="124">
        <f t="shared" si="88"/>
        <v>34</v>
      </c>
      <c r="H285" s="124"/>
      <c r="I285" s="124">
        <f t="shared" si="89"/>
        <v>0</v>
      </c>
      <c r="J285" s="124">
        <f>50*ROUNDUP(D285/15,0)</f>
        <v>150</v>
      </c>
      <c r="K285" s="239">
        <f t="shared" si="87"/>
        <v>12.6</v>
      </c>
      <c r="L285" s="124"/>
      <c r="M285" s="247"/>
      <c r="N285" s="124"/>
      <c r="O285" s="124"/>
      <c r="P285" s="124"/>
      <c r="Q285" s="323">
        <f t="shared" si="84"/>
        <v>1.7000000000000002</v>
      </c>
      <c r="R285" s="319"/>
      <c r="S285" s="124"/>
      <c r="T285" s="124"/>
      <c r="U285" s="124"/>
      <c r="V285" s="124"/>
      <c r="W285" s="124"/>
      <c r="X285" s="124"/>
      <c r="Y285" s="124"/>
      <c r="Z285" s="124"/>
      <c r="AA285" s="124"/>
      <c r="AB285" s="124"/>
      <c r="AC285" s="124"/>
      <c r="AD285" s="124"/>
      <c r="AE285" s="124"/>
      <c r="AF285" s="124"/>
      <c r="AG285" s="124"/>
      <c r="AH285" s="124"/>
      <c r="AI285" s="124">
        <f>2*E285</f>
        <v>4</v>
      </c>
      <c r="AJ285" s="124">
        <f t="shared" si="90"/>
        <v>202.29999999999998</v>
      </c>
      <c r="AK285" s="122">
        <v>10</v>
      </c>
      <c r="AL285" s="125"/>
      <c r="AM285" s="126"/>
      <c r="AN285" s="126"/>
    </row>
    <row r="286" spans="1:40" s="138" customFormat="1" ht="17.25" customHeight="1" x14ac:dyDescent="0.2">
      <c r="A286" s="122" t="s">
        <v>380</v>
      </c>
      <c r="B286" s="131" t="s">
        <v>513</v>
      </c>
      <c r="C286" s="122" t="s">
        <v>66</v>
      </c>
      <c r="D286" s="122">
        <f>Бюджет_Конт!$E$9</f>
        <v>42</v>
      </c>
      <c r="E286" s="122">
        <f>Бюджет_Конт!$E$20</f>
        <v>2</v>
      </c>
      <c r="F286" s="124">
        <v>16</v>
      </c>
      <c r="G286" s="124">
        <f t="shared" ref="G286" si="91">F286</f>
        <v>16</v>
      </c>
      <c r="H286" s="124"/>
      <c r="I286" s="124">
        <f t="shared" ref="I286" si="92">H286*E286</f>
        <v>0</v>
      </c>
      <c r="J286" s="124">
        <f>32*ROUNDUP(D286/15,0)</f>
        <v>96</v>
      </c>
      <c r="K286" s="239">
        <f t="shared" ref="K286" si="93">0.3*D286</f>
        <v>12.6</v>
      </c>
      <c r="L286" s="124"/>
      <c r="M286" s="247"/>
      <c r="N286" s="124"/>
      <c r="O286" s="124"/>
      <c r="P286" s="124"/>
      <c r="Q286" s="323">
        <f t="shared" ref="Q286" si="94">IF(K286&gt;0,0.05*G286,IF(M286&gt;0,0.05*G286+1*E286,0))</f>
        <v>0.8</v>
      </c>
      <c r="R286" s="319"/>
      <c r="S286" s="124"/>
      <c r="T286" s="124"/>
      <c r="U286" s="124"/>
      <c r="V286" s="124"/>
      <c r="W286" s="124"/>
      <c r="X286" s="124"/>
      <c r="Y286" s="124"/>
      <c r="Z286" s="124"/>
      <c r="AA286" s="124"/>
      <c r="AB286" s="124"/>
      <c r="AC286" s="124"/>
      <c r="AD286" s="124"/>
      <c r="AE286" s="124"/>
      <c r="AF286" s="124"/>
      <c r="AG286" s="124"/>
      <c r="AH286" s="124"/>
      <c r="AI286" s="124">
        <f>2*E286</f>
        <v>4</v>
      </c>
      <c r="AJ286" s="124">
        <f t="shared" ref="AJ286" si="95">SUM(G286,I286:AI286)</f>
        <v>129.39999999999998</v>
      </c>
      <c r="AK286" s="122">
        <v>10</v>
      </c>
      <c r="AL286" s="125"/>
      <c r="AM286" s="126"/>
      <c r="AN286" s="126"/>
    </row>
    <row r="287" spans="1:40" s="138" customFormat="1" ht="17.25" customHeight="1" x14ac:dyDescent="0.2">
      <c r="A287" s="122" t="s">
        <v>446</v>
      </c>
      <c r="B287" s="131" t="s">
        <v>514</v>
      </c>
      <c r="C287" s="122" t="s">
        <v>65</v>
      </c>
      <c r="D287" s="122">
        <f>Бюджет_Конт!$E$9</f>
        <v>42</v>
      </c>
      <c r="E287" s="122">
        <f>Бюджет_Конт!$E$20</f>
        <v>2</v>
      </c>
      <c r="F287" s="124">
        <v>16</v>
      </c>
      <c r="G287" s="124">
        <f t="shared" ref="G287" si="96">F287</f>
        <v>16</v>
      </c>
      <c r="H287" s="124"/>
      <c r="I287" s="124">
        <f t="shared" ref="I287" si="97">H287*E287</f>
        <v>0</v>
      </c>
      <c r="J287" s="124">
        <f>36*ROUNDUP(D287/15,0)</f>
        <v>108</v>
      </c>
      <c r="K287" s="239">
        <f t="shared" ref="K287" si="98">0.3*D287</f>
        <v>12.6</v>
      </c>
      <c r="L287" s="124"/>
      <c r="M287" s="247"/>
      <c r="N287" s="124"/>
      <c r="O287" s="124"/>
      <c r="P287" s="124"/>
      <c r="Q287" s="323">
        <f t="shared" ref="Q287" si="99">IF(K287&gt;0,0.05*G287,IF(M287&gt;0,0.05*G287+1*E287,0))</f>
        <v>0.8</v>
      </c>
      <c r="R287" s="319"/>
      <c r="S287" s="124"/>
      <c r="T287" s="124"/>
      <c r="U287" s="124"/>
      <c r="V287" s="124"/>
      <c r="W287" s="124"/>
      <c r="X287" s="124"/>
      <c r="Y287" s="124"/>
      <c r="Z287" s="124"/>
      <c r="AA287" s="124"/>
      <c r="AB287" s="124"/>
      <c r="AC287" s="124"/>
      <c r="AD287" s="124"/>
      <c r="AE287" s="124"/>
      <c r="AF287" s="124"/>
      <c r="AG287" s="124"/>
      <c r="AH287" s="124"/>
      <c r="AI287" s="124">
        <f>4*E287</f>
        <v>8</v>
      </c>
      <c r="AJ287" s="124">
        <f t="shared" ref="AJ287" si="100">SUM(G287,I287:AI287)</f>
        <v>145.4</v>
      </c>
      <c r="AK287" s="122">
        <v>10</v>
      </c>
      <c r="AL287" s="125"/>
      <c r="AM287" s="126"/>
      <c r="AN287" s="126"/>
    </row>
    <row r="288" spans="1:40" s="138" customFormat="1" ht="17.25" customHeight="1" x14ac:dyDescent="0.2">
      <c r="A288" s="122" t="s">
        <v>328</v>
      </c>
      <c r="B288" s="131" t="s">
        <v>298</v>
      </c>
      <c r="C288" s="122" t="s">
        <v>65</v>
      </c>
      <c r="D288" s="122">
        <f>Бюджет_Конт!$E$9</f>
        <v>42</v>
      </c>
      <c r="E288" s="122">
        <f>Бюджет_Конт!$E$20</f>
        <v>2</v>
      </c>
      <c r="F288" s="124">
        <v>50</v>
      </c>
      <c r="G288" s="124">
        <f t="shared" si="88"/>
        <v>50</v>
      </c>
      <c r="H288" s="124"/>
      <c r="I288" s="124">
        <f t="shared" si="89"/>
        <v>0</v>
      </c>
      <c r="J288" s="124">
        <f>50*ROUNDUP(D288/15,0)</f>
        <v>150</v>
      </c>
      <c r="K288" s="239"/>
      <c r="L288" s="124"/>
      <c r="M288" s="247">
        <f>0.4*D288</f>
        <v>16.8</v>
      </c>
      <c r="N288" s="124"/>
      <c r="O288" s="124"/>
      <c r="P288" s="124"/>
      <c r="Q288" s="239">
        <f t="shared" si="84"/>
        <v>4.5</v>
      </c>
      <c r="R288" s="124"/>
      <c r="S288" s="124"/>
      <c r="T288" s="124"/>
      <c r="U288" s="124"/>
      <c r="V288" s="124"/>
      <c r="W288" s="124"/>
      <c r="X288" s="124"/>
      <c r="Y288" s="124"/>
      <c r="Z288" s="124"/>
      <c r="AA288" s="124"/>
      <c r="AB288" s="124"/>
      <c r="AC288" s="124"/>
      <c r="AD288" s="124"/>
      <c r="AE288" s="124"/>
      <c r="AF288" s="124"/>
      <c r="AG288" s="124"/>
      <c r="AH288" s="124"/>
      <c r="AI288" s="124">
        <f>2*E288</f>
        <v>4</v>
      </c>
      <c r="AJ288" s="124">
        <f t="shared" si="90"/>
        <v>225.3</v>
      </c>
      <c r="AK288" s="122">
        <v>10</v>
      </c>
      <c r="AL288" s="125"/>
      <c r="AM288" s="126"/>
      <c r="AN288" s="126"/>
    </row>
    <row r="289" spans="1:40" s="138" customFormat="1" ht="17.25" customHeight="1" x14ac:dyDescent="0.2">
      <c r="A289" s="122" t="s">
        <v>515</v>
      </c>
      <c r="B289" s="131" t="s">
        <v>218</v>
      </c>
      <c r="C289" s="122" t="s">
        <v>65</v>
      </c>
      <c r="D289" s="122">
        <f>Бюджет_Конт!$E$9</f>
        <v>42</v>
      </c>
      <c r="E289" s="122">
        <f>Бюджет_Конт!$E$20</f>
        <v>2</v>
      </c>
      <c r="F289" s="124">
        <v>16</v>
      </c>
      <c r="G289" s="124">
        <f t="shared" si="88"/>
        <v>16</v>
      </c>
      <c r="H289" s="124"/>
      <c r="I289" s="124">
        <f t="shared" si="89"/>
        <v>0</v>
      </c>
      <c r="J289" s="124">
        <f>34*ROUNDUP(D289/15,0)</f>
        <v>102</v>
      </c>
      <c r="K289" s="239">
        <f>0.3*D289</f>
        <v>12.6</v>
      </c>
      <c r="L289" s="124"/>
      <c r="M289" s="247"/>
      <c r="N289" s="124"/>
      <c r="O289" s="124"/>
      <c r="P289" s="124"/>
      <c r="Q289" s="239">
        <f t="shared" si="84"/>
        <v>0.8</v>
      </c>
      <c r="R289" s="124"/>
      <c r="S289" s="124"/>
      <c r="T289" s="124"/>
      <c r="U289" s="124"/>
      <c r="V289" s="124"/>
      <c r="W289" s="124"/>
      <c r="X289" s="124"/>
      <c r="Y289" s="124"/>
      <c r="Z289" s="124"/>
      <c r="AA289" s="124"/>
      <c r="AB289" s="124"/>
      <c r="AC289" s="124"/>
      <c r="AD289" s="124"/>
      <c r="AE289" s="124"/>
      <c r="AF289" s="124"/>
      <c r="AG289" s="124"/>
      <c r="AH289" s="124"/>
      <c r="AI289" s="124"/>
      <c r="AJ289" s="124">
        <f t="shared" si="90"/>
        <v>131.4</v>
      </c>
      <c r="AK289" s="122">
        <v>10</v>
      </c>
      <c r="AL289" s="125"/>
      <c r="AM289" s="126"/>
      <c r="AN289" s="126"/>
    </row>
    <row r="290" spans="1:40" s="138" customFormat="1" ht="36" x14ac:dyDescent="0.2">
      <c r="A290" s="122" t="s">
        <v>321</v>
      </c>
      <c r="B290" s="131" t="s">
        <v>477</v>
      </c>
      <c r="C290" s="122" t="s">
        <v>66</v>
      </c>
      <c r="D290" s="122">
        <f>Бюджет_Конт!$E$9</f>
        <v>42</v>
      </c>
      <c r="E290" s="122">
        <f>Бюджет_Конт!$E$20</f>
        <v>2</v>
      </c>
      <c r="F290" s="124"/>
      <c r="G290" s="124"/>
      <c r="H290" s="124"/>
      <c r="I290" s="124"/>
      <c r="J290" s="124"/>
      <c r="K290" s="239"/>
      <c r="L290" s="124"/>
      <c r="M290" s="247"/>
      <c r="N290" s="124"/>
      <c r="O290" s="124"/>
      <c r="P290" s="124"/>
      <c r="Q290" s="239">
        <f t="shared" si="84"/>
        <v>0</v>
      </c>
      <c r="R290" s="124"/>
      <c r="S290" s="124"/>
      <c r="T290" s="124">
        <f>1*(4)*D290</f>
        <v>168</v>
      </c>
      <c r="U290" s="124"/>
      <c r="V290" s="124"/>
      <c r="W290" s="124"/>
      <c r="X290" s="124"/>
      <c r="Y290" s="124"/>
      <c r="Z290" s="124"/>
      <c r="AA290" s="124"/>
      <c r="AB290" s="124"/>
      <c r="AC290" s="124"/>
      <c r="AD290" s="124"/>
      <c r="AE290" s="124"/>
      <c r="AF290" s="124"/>
      <c r="AG290" s="124"/>
      <c r="AH290" s="124"/>
      <c r="AI290" s="124"/>
      <c r="AJ290" s="124">
        <f t="shared" si="90"/>
        <v>168</v>
      </c>
      <c r="AK290" s="122">
        <v>10</v>
      </c>
      <c r="AL290" s="125"/>
      <c r="AM290" s="126"/>
      <c r="AN290" s="126"/>
    </row>
    <row r="291" spans="1:40" s="138" customFormat="1" ht="18" x14ac:dyDescent="0.2">
      <c r="A291" s="122" t="s">
        <v>242</v>
      </c>
      <c r="B291" s="131" t="s">
        <v>518</v>
      </c>
      <c r="C291" s="122" t="s">
        <v>68</v>
      </c>
      <c r="D291" s="122">
        <f>Бюджет_Конт!$E$10</f>
        <v>15</v>
      </c>
      <c r="E291" s="122">
        <f>Бюджет_Конт!$E$21</f>
        <v>1</v>
      </c>
      <c r="F291" s="124">
        <v>26</v>
      </c>
      <c r="G291" s="124">
        <f t="shared" si="88"/>
        <v>26</v>
      </c>
      <c r="H291" s="124">
        <v>12</v>
      </c>
      <c r="I291" s="124">
        <f t="shared" si="89"/>
        <v>12</v>
      </c>
      <c r="J291" s="124">
        <f>52*ROUNDUP(D291/15,0)</f>
        <v>52</v>
      </c>
      <c r="K291" s="121"/>
      <c r="L291" s="124"/>
      <c r="M291" s="247">
        <f>0.4*D291</f>
        <v>6</v>
      </c>
      <c r="N291" s="124"/>
      <c r="O291" s="124"/>
      <c r="P291" s="124"/>
      <c r="Q291" s="239">
        <f t="shared" si="84"/>
        <v>2.2999999999999998</v>
      </c>
      <c r="R291" s="124"/>
      <c r="S291" s="124"/>
      <c r="T291" s="124"/>
      <c r="U291" s="124"/>
      <c r="V291" s="124"/>
      <c r="W291" s="124"/>
      <c r="X291" s="124"/>
      <c r="Y291" s="124"/>
      <c r="Z291" s="124"/>
      <c r="AA291" s="124"/>
      <c r="AB291" s="124"/>
      <c r="AC291" s="124"/>
      <c r="AD291" s="124"/>
      <c r="AE291" s="124"/>
      <c r="AF291" s="124"/>
      <c r="AG291" s="124"/>
      <c r="AH291" s="124"/>
      <c r="AI291" s="124">
        <f>2*E291</f>
        <v>2</v>
      </c>
      <c r="AJ291" s="124">
        <f t="shared" si="90"/>
        <v>100.3</v>
      </c>
      <c r="AK291" s="122">
        <v>10</v>
      </c>
      <c r="AL291" s="125"/>
      <c r="AM291" s="126"/>
      <c r="AN291" s="126"/>
    </row>
    <row r="292" spans="1:40" s="138" customFormat="1" ht="36" x14ac:dyDescent="0.2">
      <c r="A292" s="122" t="s">
        <v>257</v>
      </c>
      <c r="B292" s="131" t="s">
        <v>265</v>
      </c>
      <c r="C292" s="122" t="s">
        <v>68</v>
      </c>
      <c r="D292" s="122">
        <f>Бюджет_Конт!$E$10</f>
        <v>15</v>
      </c>
      <c r="E292" s="122">
        <f>Бюджет_Конт!$E$21</f>
        <v>1</v>
      </c>
      <c r="F292" s="124">
        <v>26</v>
      </c>
      <c r="G292" s="124">
        <f>F292</f>
        <v>26</v>
      </c>
      <c r="H292" s="124">
        <v>26</v>
      </c>
      <c r="I292" s="124">
        <f>H292*E292</f>
        <v>26</v>
      </c>
      <c r="J292" s="124"/>
      <c r="K292" s="121"/>
      <c r="L292" s="124"/>
      <c r="M292" s="247">
        <f>0.4*D292</f>
        <v>6</v>
      </c>
      <c r="N292" s="124"/>
      <c r="O292" s="124"/>
      <c r="P292" s="124"/>
      <c r="Q292" s="239">
        <f>IF(K292&gt;0,0.05*G292,IF(M292&gt;0,0.05*G292+1*E292,0))</f>
        <v>2.2999999999999998</v>
      </c>
      <c r="R292" s="124"/>
      <c r="S292" s="124"/>
      <c r="T292" s="124"/>
      <c r="U292" s="124"/>
      <c r="V292" s="124"/>
      <c r="W292" s="124"/>
      <c r="X292" s="124"/>
      <c r="Y292" s="124"/>
      <c r="Z292" s="124"/>
      <c r="AA292" s="124"/>
      <c r="AB292" s="124"/>
      <c r="AC292" s="124"/>
      <c r="AD292" s="124"/>
      <c r="AE292" s="124"/>
      <c r="AF292" s="124"/>
      <c r="AG292" s="124"/>
      <c r="AH292" s="124"/>
      <c r="AI292" s="124"/>
      <c r="AJ292" s="124">
        <f>SUM(G292,I292:AI292)</f>
        <v>60.3</v>
      </c>
      <c r="AK292" s="122">
        <v>10</v>
      </c>
      <c r="AL292" s="125"/>
      <c r="AM292" s="126"/>
      <c r="AN292" s="126"/>
    </row>
    <row r="293" spans="1:40" s="138" customFormat="1" ht="18" x14ac:dyDescent="0.2">
      <c r="A293" s="122" t="s">
        <v>316</v>
      </c>
      <c r="B293" s="131" t="s">
        <v>519</v>
      </c>
      <c r="C293" s="122" t="s">
        <v>74</v>
      </c>
      <c r="D293" s="122">
        <f>Бюджет_Конт!$E$10</f>
        <v>15</v>
      </c>
      <c r="E293" s="122">
        <f>Бюджет_Конт!$E$21</f>
        <v>1</v>
      </c>
      <c r="F293" s="124">
        <v>44</v>
      </c>
      <c r="G293" s="319">
        <f>F293</f>
        <v>44</v>
      </c>
      <c r="H293" s="319">
        <v>44</v>
      </c>
      <c r="I293" s="319">
        <f>H293*E293</f>
        <v>44</v>
      </c>
      <c r="J293" s="319"/>
      <c r="K293" s="121"/>
      <c r="L293" s="124"/>
      <c r="M293" s="247">
        <f>0.4*D293</f>
        <v>6</v>
      </c>
      <c r="N293" s="124"/>
      <c r="O293" s="124"/>
      <c r="P293" s="124"/>
      <c r="Q293" s="239">
        <f>IF(K293&gt;0,0.05*G293,IF(M293&gt;0,0.05*G293+1*E293,0))</f>
        <v>3.2</v>
      </c>
      <c r="R293" s="124"/>
      <c r="S293" s="124"/>
      <c r="T293" s="124"/>
      <c r="U293" s="121"/>
      <c r="V293" s="124">
        <f>1*D293</f>
        <v>15</v>
      </c>
      <c r="W293" s="124"/>
      <c r="X293" s="124"/>
      <c r="Y293" s="124"/>
      <c r="Z293" s="124"/>
      <c r="AA293" s="124"/>
      <c r="AB293" s="124"/>
      <c r="AC293" s="124"/>
      <c r="AD293" s="124"/>
      <c r="AE293" s="124"/>
      <c r="AF293" s="124"/>
      <c r="AG293" s="124"/>
      <c r="AH293" s="124"/>
      <c r="AI293" s="124">
        <f>4*E293</f>
        <v>4</v>
      </c>
      <c r="AJ293" s="124">
        <f>SUM(G293,I293:AI293)</f>
        <v>116.2</v>
      </c>
      <c r="AK293" s="122">
        <v>10</v>
      </c>
      <c r="AL293" s="125"/>
      <c r="AM293" s="126"/>
      <c r="AN293" s="126"/>
    </row>
    <row r="294" spans="1:40" s="138" customFormat="1" ht="36" x14ac:dyDescent="0.2">
      <c r="A294" s="122" t="s">
        <v>382</v>
      </c>
      <c r="B294" s="131" t="s">
        <v>264</v>
      </c>
      <c r="C294" s="122" t="s">
        <v>68</v>
      </c>
      <c r="D294" s="122">
        <f>Бюджет_Конт!$E$10</f>
        <v>15</v>
      </c>
      <c r="E294" s="122">
        <f>Бюджет_Конт!$E$21</f>
        <v>1</v>
      </c>
      <c r="F294" s="124">
        <v>26</v>
      </c>
      <c r="G294" s="319">
        <f>F294</f>
        <v>26</v>
      </c>
      <c r="H294" s="319"/>
      <c r="I294" s="319">
        <f>H294*E294</f>
        <v>0</v>
      </c>
      <c r="J294" s="319">
        <f>26*ROUNDUP(D294/15,0)</f>
        <v>26</v>
      </c>
      <c r="K294" s="239">
        <f>0.3*D294</f>
        <v>4.5</v>
      </c>
      <c r="L294" s="124"/>
      <c r="M294" s="247"/>
      <c r="N294" s="124"/>
      <c r="O294" s="124"/>
      <c r="P294" s="124"/>
      <c r="Q294" s="239">
        <f>IF(K294&gt;0,0.05*G294,IF(M294&gt;0,0.05*G294+1*E294,0))</f>
        <v>1.3</v>
      </c>
      <c r="R294" s="124"/>
      <c r="S294" s="124"/>
      <c r="T294" s="124"/>
      <c r="U294" s="121"/>
      <c r="V294" s="124"/>
      <c r="W294" s="124"/>
      <c r="X294" s="124"/>
      <c r="Y294" s="124"/>
      <c r="Z294" s="124"/>
      <c r="AA294" s="124"/>
      <c r="AB294" s="124"/>
      <c r="AC294" s="124"/>
      <c r="AD294" s="124"/>
      <c r="AE294" s="124"/>
      <c r="AF294" s="124"/>
      <c r="AG294" s="124"/>
      <c r="AH294" s="124"/>
      <c r="AI294" s="124">
        <f>2*E294</f>
        <v>2</v>
      </c>
      <c r="AJ294" s="124">
        <f>SUM(G294,I294:AI294)</f>
        <v>59.8</v>
      </c>
      <c r="AK294" s="122">
        <v>10</v>
      </c>
      <c r="AL294" s="125"/>
      <c r="AM294" s="126"/>
      <c r="AN294" s="126"/>
    </row>
    <row r="295" spans="1:40" s="138" customFormat="1" ht="36" x14ac:dyDescent="0.2">
      <c r="A295" s="122" t="s">
        <v>383</v>
      </c>
      <c r="B295" s="132" t="s">
        <v>447</v>
      </c>
      <c r="C295" s="122" t="s">
        <v>74</v>
      </c>
      <c r="D295" s="122">
        <f>Бюджет_Конт!$E$10</f>
        <v>15</v>
      </c>
      <c r="E295" s="122">
        <f>Бюджет_Конт!$E$21</f>
        <v>1</v>
      </c>
      <c r="F295" s="124">
        <v>22</v>
      </c>
      <c r="G295" s="319"/>
      <c r="H295" s="319"/>
      <c r="I295" s="319">
        <f t="shared" si="89"/>
        <v>0</v>
      </c>
      <c r="J295" s="319">
        <f>22*ROUNDUP(D295/15,0)</f>
        <v>22</v>
      </c>
      <c r="K295" s="121">
        <f>0.3*D295</f>
        <v>4.5</v>
      </c>
      <c r="L295" s="124"/>
      <c r="M295" s="247"/>
      <c r="N295" s="124"/>
      <c r="O295" s="124"/>
      <c r="P295" s="124"/>
      <c r="Q295" s="239">
        <f t="shared" si="84"/>
        <v>0</v>
      </c>
      <c r="R295" s="124"/>
      <c r="S295" s="124"/>
      <c r="T295" s="124"/>
      <c r="U295" s="124"/>
      <c r="V295" s="124"/>
      <c r="W295" s="124"/>
      <c r="X295" s="124"/>
      <c r="Y295" s="124"/>
      <c r="Z295" s="124"/>
      <c r="AA295" s="124"/>
      <c r="AB295" s="124"/>
      <c r="AC295" s="124"/>
      <c r="AD295" s="124"/>
      <c r="AE295" s="124"/>
      <c r="AF295" s="124"/>
      <c r="AG295" s="124"/>
      <c r="AH295" s="124"/>
      <c r="AI295" s="124"/>
      <c r="AJ295" s="124">
        <f t="shared" si="90"/>
        <v>26.5</v>
      </c>
      <c r="AK295" s="122">
        <v>8</v>
      </c>
      <c r="AL295" s="125"/>
      <c r="AM295" s="126"/>
      <c r="AN295" s="126"/>
    </row>
    <row r="296" spans="1:40" s="138" customFormat="1" ht="18" x14ac:dyDescent="0.2">
      <c r="A296" s="122" t="s">
        <v>474</v>
      </c>
      <c r="B296" s="131" t="s">
        <v>494</v>
      </c>
      <c r="C296" s="122" t="s">
        <v>68</v>
      </c>
      <c r="D296" s="122">
        <f>Бюджет_Конт!$E$10</f>
        <v>15</v>
      </c>
      <c r="E296" s="122">
        <f>Бюджет_Конт!$E$21</f>
        <v>1</v>
      </c>
      <c r="F296" s="124"/>
      <c r="G296" s="319">
        <f>F296</f>
        <v>0</v>
      </c>
      <c r="H296" s="319">
        <v>26</v>
      </c>
      <c r="I296" s="319">
        <f t="shared" si="89"/>
        <v>26</v>
      </c>
      <c r="J296" s="319"/>
      <c r="K296" s="121">
        <f>0.3*D296</f>
        <v>4.5</v>
      </c>
      <c r="L296" s="124"/>
      <c r="M296" s="247"/>
      <c r="N296" s="124"/>
      <c r="O296" s="124"/>
      <c r="P296" s="124"/>
      <c r="Q296" s="239">
        <f t="shared" si="84"/>
        <v>0</v>
      </c>
      <c r="R296" s="124"/>
      <c r="S296" s="124"/>
      <c r="T296" s="124"/>
      <c r="U296" s="124"/>
      <c r="V296" s="124"/>
      <c r="W296" s="124"/>
      <c r="X296" s="124"/>
      <c r="Y296" s="124"/>
      <c r="Z296" s="124"/>
      <c r="AA296" s="124"/>
      <c r="AB296" s="124"/>
      <c r="AC296" s="124"/>
      <c r="AD296" s="124"/>
      <c r="AE296" s="124"/>
      <c r="AF296" s="124"/>
      <c r="AG296" s="124"/>
      <c r="AH296" s="124"/>
      <c r="AI296" s="124"/>
      <c r="AJ296" s="124">
        <f t="shared" si="90"/>
        <v>30.5</v>
      </c>
      <c r="AK296" s="122">
        <v>10</v>
      </c>
      <c r="AL296" s="125"/>
      <c r="AM296" s="126"/>
      <c r="AN296" s="126"/>
    </row>
    <row r="297" spans="1:40" s="138" customFormat="1" ht="18" x14ac:dyDescent="0.2">
      <c r="A297" s="122" t="s">
        <v>474</v>
      </c>
      <c r="B297" s="131" t="s">
        <v>494</v>
      </c>
      <c r="C297" s="122" t="s">
        <v>74</v>
      </c>
      <c r="D297" s="122">
        <f>Бюджет_Конт!$E$10</f>
        <v>15</v>
      </c>
      <c r="E297" s="122">
        <f>Бюджет_Конт!$E$21</f>
        <v>1</v>
      </c>
      <c r="F297" s="124">
        <v>22</v>
      </c>
      <c r="G297" s="319">
        <f>F297</f>
        <v>22</v>
      </c>
      <c r="H297" s="319">
        <v>22</v>
      </c>
      <c r="I297" s="319">
        <f t="shared" ref="I297" si="101">H297*E297</f>
        <v>22</v>
      </c>
      <c r="J297" s="319"/>
      <c r="K297" s="121">
        <f>0.3*D297</f>
        <v>4.5</v>
      </c>
      <c r="L297" s="124"/>
      <c r="M297" s="247"/>
      <c r="N297" s="124"/>
      <c r="O297" s="124"/>
      <c r="P297" s="124"/>
      <c r="Q297" s="239">
        <f t="shared" ref="Q297" si="102">IF(K297&gt;0,0.05*G297,IF(M297&gt;0,0.05*G297+1*E297,0))</f>
        <v>1.1000000000000001</v>
      </c>
      <c r="R297" s="124"/>
      <c r="S297" s="124"/>
      <c r="T297" s="124"/>
      <c r="U297" s="124"/>
      <c r="V297" s="124"/>
      <c r="W297" s="124"/>
      <c r="X297" s="124"/>
      <c r="Y297" s="124"/>
      <c r="Z297" s="124"/>
      <c r="AA297" s="124"/>
      <c r="AB297" s="124"/>
      <c r="AC297" s="124"/>
      <c r="AD297" s="124"/>
      <c r="AE297" s="124"/>
      <c r="AF297" s="124"/>
      <c r="AG297" s="124"/>
      <c r="AH297" s="124"/>
      <c r="AI297" s="124"/>
      <c r="AJ297" s="124">
        <f t="shared" ref="AJ297" si="103">SUM(G297,I297:AI297)</f>
        <v>49.6</v>
      </c>
      <c r="AK297" s="122">
        <v>10</v>
      </c>
      <c r="AL297" s="125"/>
      <c r="AM297" s="126"/>
      <c r="AN297" s="126"/>
    </row>
    <row r="298" spans="1:40" s="138" customFormat="1" ht="36" x14ac:dyDescent="0.2">
      <c r="A298" s="122" t="s">
        <v>480</v>
      </c>
      <c r="B298" s="131" t="s">
        <v>481</v>
      </c>
      <c r="C298" s="122" t="s">
        <v>68</v>
      </c>
      <c r="D298" s="122">
        <f>Бюджет_Конт!$E$10</f>
        <v>15</v>
      </c>
      <c r="E298" s="122">
        <f>Бюджет_Конт!$E$21</f>
        <v>1</v>
      </c>
      <c r="F298" s="124"/>
      <c r="G298" s="319"/>
      <c r="H298" s="319"/>
      <c r="I298" s="319"/>
      <c r="J298" s="319"/>
      <c r="K298" s="239"/>
      <c r="L298" s="124"/>
      <c r="M298" s="247"/>
      <c r="N298" s="124"/>
      <c r="O298" s="124"/>
      <c r="P298" s="124"/>
      <c r="Q298" s="239">
        <f>IF(K298&gt;0,0.05*G298,IF(M298&gt;0,0.05*G298+1*E298,0))</f>
        <v>0</v>
      </c>
      <c r="R298" s="124"/>
      <c r="S298" s="124"/>
      <c r="T298" s="124">
        <f>1*(4)*D298</f>
        <v>60</v>
      </c>
      <c r="U298" s="124"/>
      <c r="V298" s="124"/>
      <c r="W298" s="124"/>
      <c r="X298" s="124"/>
      <c r="Y298" s="124"/>
      <c r="Z298" s="124"/>
      <c r="AA298" s="124"/>
      <c r="AB298" s="124"/>
      <c r="AC298" s="124"/>
      <c r="AD298" s="124"/>
      <c r="AE298" s="124"/>
      <c r="AF298" s="124"/>
      <c r="AG298" s="124"/>
      <c r="AH298" s="124"/>
      <c r="AI298" s="124"/>
      <c r="AJ298" s="124">
        <f>SUM(G298,I298:AI298)</f>
        <v>60</v>
      </c>
      <c r="AK298" s="122">
        <v>10</v>
      </c>
      <c r="AL298" s="125"/>
      <c r="AM298" s="126"/>
      <c r="AN298" s="126"/>
    </row>
    <row r="299" spans="1:40" s="138" customFormat="1" ht="18" x14ac:dyDescent="0.2">
      <c r="A299" s="122" t="s">
        <v>534</v>
      </c>
      <c r="B299" s="131" t="s">
        <v>179</v>
      </c>
      <c r="C299" s="122" t="s">
        <v>74</v>
      </c>
      <c r="D299" s="122">
        <f>Бюджет_Конт!$E$10</f>
        <v>15</v>
      </c>
      <c r="E299" s="122">
        <f>Бюджет_Конт!$E$21</f>
        <v>1</v>
      </c>
      <c r="F299" s="124"/>
      <c r="G299" s="319"/>
      <c r="H299" s="319"/>
      <c r="I299" s="319"/>
      <c r="J299" s="319"/>
      <c r="K299" s="239"/>
      <c r="L299" s="124"/>
      <c r="M299" s="247"/>
      <c r="N299" s="124"/>
      <c r="O299" s="124"/>
      <c r="P299" s="124"/>
      <c r="Q299" s="239">
        <f t="shared" si="84"/>
        <v>0</v>
      </c>
      <c r="R299" s="124"/>
      <c r="S299" s="124"/>
      <c r="T299" s="124">
        <f>1*(4)*D299</f>
        <v>60</v>
      </c>
      <c r="U299" s="124"/>
      <c r="V299" s="124"/>
      <c r="W299" s="124"/>
      <c r="X299" s="124"/>
      <c r="Y299" s="124"/>
      <c r="Z299" s="124"/>
      <c r="AA299" s="124"/>
      <c r="AB299" s="124"/>
      <c r="AC299" s="124"/>
      <c r="AD299" s="124"/>
      <c r="AE299" s="124"/>
      <c r="AF299" s="124"/>
      <c r="AG299" s="124"/>
      <c r="AH299" s="124"/>
      <c r="AI299" s="124"/>
      <c r="AJ299" s="124">
        <f>SUM(G299,I299:AI299)</f>
        <v>60</v>
      </c>
      <c r="AK299" s="122">
        <v>10</v>
      </c>
      <c r="AL299" s="125"/>
      <c r="AM299" s="126"/>
      <c r="AN299" s="126"/>
    </row>
    <row r="300" spans="1:40" s="138" customFormat="1" ht="18" x14ac:dyDescent="0.2">
      <c r="A300" s="122"/>
      <c r="B300" s="131" t="s">
        <v>171</v>
      </c>
      <c r="C300" s="122" t="s">
        <v>74</v>
      </c>
      <c r="D300" s="122">
        <f>Бюджет_Конт!$E$10</f>
        <v>15</v>
      </c>
      <c r="E300" s="122">
        <f>Бюджет_Конт!$E$21</f>
        <v>1</v>
      </c>
      <c r="F300" s="124"/>
      <c r="G300" s="319"/>
      <c r="H300" s="319"/>
      <c r="I300" s="319"/>
      <c r="J300" s="319"/>
      <c r="K300" s="239"/>
      <c r="L300" s="124"/>
      <c r="M300" s="247"/>
      <c r="N300" s="124"/>
      <c r="O300" s="124"/>
      <c r="P300" s="124"/>
      <c r="Q300" s="239">
        <f t="shared" si="84"/>
        <v>0</v>
      </c>
      <c r="R300" s="124"/>
      <c r="S300" s="124"/>
      <c r="T300" s="124"/>
      <c r="U300" s="124"/>
      <c r="V300" s="124"/>
      <c r="W300" s="124">
        <f>16*D300</f>
        <v>240</v>
      </c>
      <c r="X300" s="124"/>
      <c r="Y300" s="124"/>
      <c r="Z300" s="124"/>
      <c r="AA300" s="124"/>
      <c r="AB300" s="124"/>
      <c r="AC300" s="124"/>
      <c r="AD300" s="124"/>
      <c r="AE300" s="124"/>
      <c r="AF300" s="124"/>
      <c r="AG300" s="124"/>
      <c r="AH300" s="124"/>
      <c r="AI300" s="124"/>
      <c r="AJ300" s="124">
        <f>SUM(G300,I300:AI300)</f>
        <v>240</v>
      </c>
      <c r="AK300" s="122">
        <v>10</v>
      </c>
      <c r="AL300" s="125"/>
      <c r="AM300" s="126"/>
      <c r="AN300" s="126"/>
    </row>
    <row r="301" spans="1:40" s="125" customFormat="1" ht="18" x14ac:dyDescent="0.2">
      <c r="A301" s="122"/>
      <c r="B301" s="131" t="s">
        <v>183</v>
      </c>
      <c r="C301" s="122" t="s">
        <v>74</v>
      </c>
      <c r="D301" s="122">
        <f>Бюджет_Конт!$E$10</f>
        <v>15</v>
      </c>
      <c r="E301" s="122">
        <f>Бюджет_Конт!$E$21</f>
        <v>1</v>
      </c>
      <c r="F301" s="124"/>
      <c r="G301" s="319"/>
      <c r="H301" s="319"/>
      <c r="I301" s="319"/>
      <c r="J301" s="319"/>
      <c r="K301" s="124"/>
      <c r="L301" s="124"/>
      <c r="M301" s="124"/>
      <c r="N301" s="124"/>
      <c r="O301" s="124"/>
      <c r="P301" s="124"/>
      <c r="Q301" s="239">
        <f t="shared" si="84"/>
        <v>0</v>
      </c>
      <c r="R301" s="124"/>
      <c r="S301" s="124"/>
      <c r="T301" s="124"/>
      <c r="U301" s="124"/>
      <c r="V301" s="124"/>
      <c r="W301" s="124"/>
      <c r="X301" s="124"/>
      <c r="Y301" s="124"/>
      <c r="Z301" s="124"/>
      <c r="AA301" s="124"/>
      <c r="AB301" s="124">
        <f>0.5*7*D301</f>
        <v>52.5</v>
      </c>
      <c r="AC301" s="124"/>
      <c r="AD301" s="124"/>
      <c r="AE301" s="124"/>
      <c r="AF301" s="124"/>
      <c r="AG301" s="124"/>
      <c r="AH301" s="124"/>
      <c r="AI301" s="124"/>
      <c r="AJ301" s="124">
        <f>SUM(G301,I301:AI301)</f>
        <v>52.5</v>
      </c>
      <c r="AK301" s="122">
        <f>Бюджет_Конт!$V$4</f>
        <v>0</v>
      </c>
      <c r="AM301" s="126"/>
      <c r="AN301" s="126"/>
    </row>
    <row r="302" spans="1:40" s="138" customFormat="1" ht="18" x14ac:dyDescent="0.2">
      <c r="A302" s="122"/>
      <c r="B302" s="131"/>
      <c r="C302" s="122"/>
      <c r="D302" s="122"/>
      <c r="E302" s="122"/>
      <c r="F302" s="124"/>
      <c r="G302" s="319"/>
      <c r="H302" s="319"/>
      <c r="I302" s="319"/>
      <c r="J302" s="319"/>
      <c r="K302" s="360" t="s">
        <v>386</v>
      </c>
      <c r="L302" s="360"/>
      <c r="M302" s="360"/>
      <c r="N302" s="360"/>
      <c r="O302" s="360"/>
      <c r="P302" s="360"/>
      <c r="Q302" s="360"/>
      <c r="R302" s="360"/>
      <c r="S302" s="360"/>
      <c r="T302" s="360"/>
      <c r="U302" s="360"/>
      <c r="V302" s="360"/>
      <c r="W302" s="360"/>
      <c r="X302" s="360"/>
      <c r="Y302" s="360"/>
      <c r="Z302" s="360"/>
      <c r="AA302" s="360"/>
      <c r="AB302" s="360"/>
      <c r="AC302" s="124"/>
      <c r="AD302" s="124"/>
      <c r="AE302" s="124"/>
      <c r="AF302" s="124"/>
      <c r="AG302" s="124"/>
      <c r="AH302" s="124"/>
      <c r="AI302" s="124"/>
      <c r="AJ302" s="124"/>
      <c r="AK302" s="122"/>
      <c r="AL302" s="125"/>
      <c r="AM302" s="126"/>
      <c r="AN302" s="126"/>
    </row>
    <row r="303" spans="1:40" s="144" customFormat="1" ht="36" x14ac:dyDescent="0.2">
      <c r="A303" s="139" t="s">
        <v>199</v>
      </c>
      <c r="B303" s="140" t="s">
        <v>497</v>
      </c>
      <c r="C303" s="139" t="s">
        <v>64</v>
      </c>
      <c r="D303" s="139">
        <f>Бюджет_Конт!$I$29</f>
        <v>17</v>
      </c>
      <c r="E303" s="139">
        <f>Бюджет_Конт!$E$19</f>
        <v>1</v>
      </c>
      <c r="F303" s="141">
        <v>40</v>
      </c>
      <c r="G303" s="320">
        <f t="shared" ref="G303:G310" si="104">F303</f>
        <v>40</v>
      </c>
      <c r="H303" s="320"/>
      <c r="I303" s="320">
        <f t="shared" ref="I303:I310" si="105">H303*E303</f>
        <v>0</v>
      </c>
      <c r="J303" s="319">
        <f>40*ROUNDUP(D303/15,0)</f>
        <v>80</v>
      </c>
      <c r="K303" s="121">
        <f>0.3*D303</f>
        <v>5.0999999999999996</v>
      </c>
      <c r="L303" s="121"/>
      <c r="M303" s="121"/>
      <c r="N303" s="121"/>
      <c r="O303" s="121"/>
      <c r="P303" s="121"/>
      <c r="Q303" s="239">
        <f t="shared" ref="Q303:Q310" si="106">IF(K303&gt;0,0.05*G303,IF(M303&gt;0,0.05*G303+1*E303,0))</f>
        <v>2</v>
      </c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41"/>
      <c r="AD303" s="141"/>
      <c r="AE303" s="141"/>
      <c r="AF303" s="141"/>
      <c r="AG303" s="141"/>
      <c r="AH303" s="141"/>
      <c r="AI303" s="141"/>
      <c r="AJ303" s="124">
        <f t="shared" ref="AJ303:AJ310" si="107">SUM(G303,I303:AI303)</f>
        <v>127.1</v>
      </c>
      <c r="AK303" s="139">
        <v>10</v>
      </c>
      <c r="AL303" s="142"/>
      <c r="AM303" s="143"/>
      <c r="AN303" s="143"/>
    </row>
    <row r="304" spans="1:40" s="138" customFormat="1" ht="18" x14ac:dyDescent="0.2">
      <c r="A304" s="122" t="s">
        <v>285</v>
      </c>
      <c r="B304" s="131" t="s">
        <v>217</v>
      </c>
      <c r="C304" s="122" t="s">
        <v>65</v>
      </c>
      <c r="D304" s="122">
        <f>Бюджет_Конт!$I$30</f>
        <v>19</v>
      </c>
      <c r="E304" s="122">
        <f>1</f>
        <v>1</v>
      </c>
      <c r="F304" s="124">
        <v>50</v>
      </c>
      <c r="G304" s="319">
        <f t="shared" si="104"/>
        <v>50</v>
      </c>
      <c r="H304" s="319">
        <v>16</v>
      </c>
      <c r="I304" s="319">
        <f t="shared" si="105"/>
        <v>16</v>
      </c>
      <c r="J304" s="319">
        <f>34*ROUNDUP(D304/15,0)</f>
        <v>68</v>
      </c>
      <c r="K304" s="239">
        <f>0.3*D304</f>
        <v>5.7</v>
      </c>
      <c r="L304" s="124"/>
      <c r="M304" s="247"/>
      <c r="N304" s="124"/>
      <c r="O304" s="124"/>
      <c r="P304" s="124"/>
      <c r="Q304" s="239">
        <f t="shared" si="106"/>
        <v>2.5</v>
      </c>
      <c r="R304" s="124"/>
      <c r="S304" s="124"/>
      <c r="T304" s="124"/>
      <c r="U304" s="124"/>
      <c r="V304" s="124"/>
      <c r="W304" s="124"/>
      <c r="X304" s="124"/>
      <c r="Y304" s="124"/>
      <c r="Z304" s="124"/>
      <c r="AA304" s="124"/>
      <c r="AB304" s="124"/>
      <c r="AC304" s="124"/>
      <c r="AD304" s="124"/>
      <c r="AE304" s="124"/>
      <c r="AF304" s="124"/>
      <c r="AG304" s="124"/>
      <c r="AH304" s="124"/>
      <c r="AI304" s="141">
        <f>2*E304</f>
        <v>2</v>
      </c>
      <c r="AJ304" s="124">
        <f t="shared" si="107"/>
        <v>144.19999999999999</v>
      </c>
      <c r="AK304" s="122">
        <v>10</v>
      </c>
      <c r="AL304" s="125"/>
      <c r="AM304" s="126"/>
      <c r="AN304" s="126"/>
    </row>
    <row r="305" spans="1:40" s="138" customFormat="1" ht="18" x14ac:dyDescent="0.2">
      <c r="A305" s="122" t="s">
        <v>191</v>
      </c>
      <c r="B305" s="131" t="s">
        <v>72</v>
      </c>
      <c r="C305" s="122" t="s">
        <v>66</v>
      </c>
      <c r="D305" s="122">
        <f>Бюджет_Конт!$I$30</f>
        <v>19</v>
      </c>
      <c r="E305" s="122">
        <f>1</f>
        <v>1</v>
      </c>
      <c r="F305" s="124">
        <v>32</v>
      </c>
      <c r="G305" s="319">
        <f t="shared" si="104"/>
        <v>32</v>
      </c>
      <c r="H305" s="319"/>
      <c r="I305" s="319">
        <f t="shared" si="105"/>
        <v>0</v>
      </c>
      <c r="J305" s="319">
        <f>48*ROUNDUP(D305/15,0)</f>
        <v>96</v>
      </c>
      <c r="K305" s="239"/>
      <c r="L305" s="124"/>
      <c r="M305" s="247">
        <f>0.4*D305</f>
        <v>7.6000000000000005</v>
      </c>
      <c r="N305" s="124"/>
      <c r="O305" s="124"/>
      <c r="P305" s="124"/>
      <c r="Q305" s="239">
        <f t="shared" si="106"/>
        <v>2.6</v>
      </c>
      <c r="R305" s="124"/>
      <c r="S305" s="124"/>
      <c r="T305" s="124"/>
      <c r="U305" s="124"/>
      <c r="V305" s="124"/>
      <c r="W305" s="124"/>
      <c r="X305" s="124"/>
      <c r="Y305" s="124"/>
      <c r="Z305" s="124"/>
      <c r="AA305" s="124"/>
      <c r="AB305" s="124"/>
      <c r="AC305" s="124"/>
      <c r="AD305" s="124"/>
      <c r="AE305" s="124"/>
      <c r="AF305" s="124"/>
      <c r="AG305" s="124"/>
      <c r="AH305" s="124"/>
      <c r="AI305" s="124"/>
      <c r="AJ305" s="124">
        <f t="shared" si="107"/>
        <v>138.19999999999999</v>
      </c>
      <c r="AK305" s="122">
        <v>10</v>
      </c>
      <c r="AL305" s="125"/>
      <c r="AM305" s="126"/>
      <c r="AN305" s="126"/>
    </row>
    <row r="306" spans="1:40" s="138" customFormat="1" ht="18" x14ac:dyDescent="0.2">
      <c r="A306" s="122" t="s">
        <v>192</v>
      </c>
      <c r="B306" s="131" t="s">
        <v>77</v>
      </c>
      <c r="C306" s="122" t="s">
        <v>66</v>
      </c>
      <c r="D306" s="122">
        <f>Бюджет_Конт!$I$30</f>
        <v>19</v>
      </c>
      <c r="E306" s="122">
        <f>1</f>
        <v>1</v>
      </c>
      <c r="F306" s="124">
        <v>32</v>
      </c>
      <c r="G306" s="319">
        <f t="shared" si="104"/>
        <v>32</v>
      </c>
      <c r="H306" s="319">
        <v>16</v>
      </c>
      <c r="I306" s="319">
        <f t="shared" si="105"/>
        <v>16</v>
      </c>
      <c r="J306" s="319">
        <f>32*ROUNDUP(D306/15,0)</f>
        <v>64</v>
      </c>
      <c r="K306" s="239"/>
      <c r="L306" s="124"/>
      <c r="M306" s="247">
        <f>0.4*D306</f>
        <v>7.6000000000000005</v>
      </c>
      <c r="N306" s="124"/>
      <c r="O306" s="124"/>
      <c r="P306" s="124"/>
      <c r="Q306" s="239">
        <f t="shared" si="106"/>
        <v>2.6</v>
      </c>
      <c r="R306" s="124"/>
      <c r="S306" s="124"/>
      <c r="T306" s="124"/>
      <c r="U306" s="124"/>
      <c r="V306" s="124"/>
      <c r="W306" s="124"/>
      <c r="X306" s="124"/>
      <c r="Y306" s="124"/>
      <c r="Z306" s="124"/>
      <c r="AA306" s="124"/>
      <c r="AB306" s="124"/>
      <c r="AC306" s="124"/>
      <c r="AD306" s="124"/>
      <c r="AE306" s="124"/>
      <c r="AF306" s="124"/>
      <c r="AG306" s="124"/>
      <c r="AH306" s="124"/>
      <c r="AI306" s="124"/>
      <c r="AJ306" s="124">
        <f t="shared" si="107"/>
        <v>122.19999999999999</v>
      </c>
      <c r="AK306" s="122">
        <v>10</v>
      </c>
      <c r="AL306" s="125"/>
      <c r="AM306" s="126"/>
      <c r="AN306" s="126"/>
    </row>
    <row r="307" spans="1:40" s="138" customFormat="1" ht="36" x14ac:dyDescent="0.2">
      <c r="A307" s="122" t="s">
        <v>193</v>
      </c>
      <c r="B307" s="131" t="s">
        <v>478</v>
      </c>
      <c r="C307" s="122" t="s">
        <v>66</v>
      </c>
      <c r="D307" s="122">
        <f>Бюджет_Конт!$I$30</f>
        <v>19</v>
      </c>
      <c r="E307" s="122">
        <f>1</f>
        <v>1</v>
      </c>
      <c r="F307" s="124">
        <v>32</v>
      </c>
      <c r="G307" s="319">
        <f t="shared" si="104"/>
        <v>32</v>
      </c>
      <c r="H307" s="319">
        <v>16</v>
      </c>
      <c r="I307" s="319">
        <f t="shared" si="105"/>
        <v>16</v>
      </c>
      <c r="J307" s="319">
        <f>32*ROUNDUP(D307/15,0)</f>
        <v>64</v>
      </c>
      <c r="K307" s="239">
        <f>0.3*D307</f>
        <v>5.7</v>
      </c>
      <c r="L307" s="124"/>
      <c r="M307" s="247"/>
      <c r="N307" s="124"/>
      <c r="O307" s="124"/>
      <c r="P307" s="124"/>
      <c r="Q307" s="239">
        <f t="shared" si="106"/>
        <v>1.6</v>
      </c>
      <c r="R307" s="124"/>
      <c r="S307" s="124"/>
      <c r="T307" s="124"/>
      <c r="U307" s="124"/>
      <c r="V307" s="124"/>
      <c r="W307" s="124"/>
      <c r="X307" s="124"/>
      <c r="Y307" s="124"/>
      <c r="Z307" s="124"/>
      <c r="AA307" s="124"/>
      <c r="AB307" s="124"/>
      <c r="AC307" s="124"/>
      <c r="AD307" s="124"/>
      <c r="AE307" s="124"/>
      <c r="AF307" s="124"/>
      <c r="AG307" s="124"/>
      <c r="AH307" s="124"/>
      <c r="AI307" s="124"/>
      <c r="AJ307" s="124">
        <f t="shared" si="107"/>
        <v>119.3</v>
      </c>
      <c r="AK307" s="122">
        <v>10</v>
      </c>
      <c r="AL307" s="125"/>
      <c r="AM307" s="126"/>
      <c r="AN307" s="126"/>
    </row>
    <row r="308" spans="1:40" s="138" customFormat="1" ht="18" x14ac:dyDescent="0.2">
      <c r="A308" s="122" t="s">
        <v>199</v>
      </c>
      <c r="B308" s="131" t="s">
        <v>71</v>
      </c>
      <c r="C308" s="122" t="s">
        <v>68</v>
      </c>
      <c r="D308" s="122">
        <f>Бюджет_Конт!$I$31</f>
        <v>9</v>
      </c>
      <c r="E308" s="122">
        <f>1</f>
        <v>1</v>
      </c>
      <c r="F308" s="124">
        <v>26</v>
      </c>
      <c r="G308" s="319">
        <f>F308</f>
        <v>26</v>
      </c>
      <c r="H308" s="319"/>
      <c r="I308" s="319">
        <f>H308*E308</f>
        <v>0</v>
      </c>
      <c r="J308" s="319">
        <f>26*ROUNDUP(D308/15,0)</f>
        <v>26</v>
      </c>
      <c r="K308" s="121">
        <f>0.3*D308</f>
        <v>2.6999999999999997</v>
      </c>
      <c r="L308" s="124"/>
      <c r="M308" s="247"/>
      <c r="N308" s="124"/>
      <c r="O308" s="124"/>
      <c r="P308" s="124"/>
      <c r="Q308" s="239">
        <f>IF(K308&gt;0,0.05*G308,IF(M308&gt;0,0.05*G308+1*E308,0))</f>
        <v>1.3</v>
      </c>
      <c r="R308" s="124"/>
      <c r="S308" s="124"/>
      <c r="T308" s="124"/>
      <c r="U308" s="124"/>
      <c r="V308" s="124"/>
      <c r="W308" s="124"/>
      <c r="X308" s="124"/>
      <c r="Y308" s="124"/>
      <c r="Z308" s="124"/>
      <c r="AA308" s="124"/>
      <c r="AB308" s="124"/>
      <c r="AC308" s="124"/>
      <c r="AD308" s="124"/>
      <c r="AE308" s="124"/>
      <c r="AF308" s="124"/>
      <c r="AG308" s="124"/>
      <c r="AH308" s="124"/>
      <c r="AI308" s="124"/>
      <c r="AJ308" s="124">
        <f>SUM(G308,I308:AI308)</f>
        <v>56</v>
      </c>
      <c r="AK308" s="122">
        <v>10</v>
      </c>
      <c r="AL308" s="125"/>
      <c r="AM308" s="126"/>
      <c r="AN308" s="126"/>
    </row>
    <row r="309" spans="1:40" s="138" customFormat="1" ht="36" x14ac:dyDescent="0.2">
      <c r="A309" s="122" t="s">
        <v>209</v>
      </c>
      <c r="B309" s="131" t="s">
        <v>520</v>
      </c>
      <c r="C309" s="122" t="s">
        <v>68</v>
      </c>
      <c r="D309" s="122">
        <f>Бюджет_Конт!$I$31</f>
        <v>9</v>
      </c>
      <c r="E309" s="122">
        <f>1</f>
        <v>1</v>
      </c>
      <c r="F309" s="124">
        <v>26</v>
      </c>
      <c r="G309" s="319">
        <f t="shared" ref="G309" si="108">F309</f>
        <v>26</v>
      </c>
      <c r="H309" s="319">
        <v>26</v>
      </c>
      <c r="I309" s="319">
        <f t="shared" ref="I309" si="109">H309*E309</f>
        <v>26</v>
      </c>
      <c r="J309" s="319"/>
      <c r="K309" s="239">
        <f>0.3*D309</f>
        <v>2.6999999999999997</v>
      </c>
      <c r="L309" s="124"/>
      <c r="M309" s="247"/>
      <c r="N309" s="124"/>
      <c r="O309" s="124"/>
      <c r="P309" s="124"/>
      <c r="Q309" s="239">
        <f t="shared" ref="Q309" si="110">IF(K309&gt;0,0.05*G309,IF(M309&gt;0,0.05*G309+1*E309,0))</f>
        <v>1.3</v>
      </c>
      <c r="R309" s="124"/>
      <c r="S309" s="124"/>
      <c r="T309" s="124"/>
      <c r="U309" s="124"/>
      <c r="V309" s="124"/>
      <c r="W309" s="124"/>
      <c r="X309" s="124"/>
      <c r="Y309" s="124"/>
      <c r="Z309" s="124"/>
      <c r="AA309" s="124"/>
      <c r="AB309" s="124"/>
      <c r="AC309" s="124"/>
      <c r="AD309" s="124"/>
      <c r="AE309" s="124"/>
      <c r="AF309" s="124"/>
      <c r="AG309" s="124"/>
      <c r="AH309" s="124"/>
      <c r="AI309" s="141">
        <f>4*E309</f>
        <v>4</v>
      </c>
      <c r="AJ309" s="124">
        <f t="shared" ref="AJ309" si="111">SUM(G309,I309:AI309)</f>
        <v>60</v>
      </c>
      <c r="AK309" s="122">
        <v>10</v>
      </c>
      <c r="AL309" s="125"/>
      <c r="AM309" s="126"/>
      <c r="AN309" s="126"/>
    </row>
    <row r="310" spans="1:40" s="138" customFormat="1" ht="18" x14ac:dyDescent="0.2">
      <c r="A310" s="122" t="s">
        <v>280</v>
      </c>
      <c r="B310" s="131" t="s">
        <v>266</v>
      </c>
      <c r="C310" s="122" t="s">
        <v>74</v>
      </c>
      <c r="D310" s="122">
        <f>Бюджет_Конт!$I$31</f>
        <v>9</v>
      </c>
      <c r="E310" s="122">
        <f>1</f>
        <v>1</v>
      </c>
      <c r="F310" s="124">
        <v>22</v>
      </c>
      <c r="G310" s="319">
        <f t="shared" si="104"/>
        <v>22</v>
      </c>
      <c r="H310" s="319">
        <v>12</v>
      </c>
      <c r="I310" s="319">
        <f t="shared" si="105"/>
        <v>12</v>
      </c>
      <c r="J310" s="319">
        <f>44*ROUNDUP(D310/15,0)</f>
        <v>44</v>
      </c>
      <c r="K310" s="121">
        <f>0.3*D310</f>
        <v>2.6999999999999997</v>
      </c>
      <c r="L310" s="124"/>
      <c r="M310" s="247"/>
      <c r="N310" s="124"/>
      <c r="O310" s="124"/>
      <c r="P310" s="124"/>
      <c r="Q310" s="239">
        <f t="shared" si="106"/>
        <v>1.1000000000000001</v>
      </c>
      <c r="R310" s="124"/>
      <c r="S310" s="124"/>
      <c r="T310" s="124"/>
      <c r="U310" s="124"/>
      <c r="V310" s="124"/>
      <c r="W310" s="124"/>
      <c r="X310" s="124"/>
      <c r="Y310" s="124"/>
      <c r="Z310" s="124"/>
      <c r="AA310" s="124"/>
      <c r="AB310" s="124"/>
      <c r="AC310" s="124"/>
      <c r="AD310" s="124"/>
      <c r="AE310" s="124"/>
      <c r="AF310" s="124"/>
      <c r="AG310" s="124"/>
      <c r="AH310" s="124"/>
      <c r="AI310" s="124">
        <f>2*E310</f>
        <v>2</v>
      </c>
      <c r="AJ310" s="124">
        <f t="shared" si="107"/>
        <v>83.8</v>
      </c>
      <c r="AK310" s="122">
        <v>10</v>
      </c>
      <c r="AL310" s="125"/>
      <c r="AM310" s="126"/>
      <c r="AN310" s="126"/>
    </row>
    <row r="311" spans="1:40" s="138" customFormat="1" ht="18" x14ac:dyDescent="0.2">
      <c r="A311" s="122"/>
      <c r="B311" s="131"/>
      <c r="C311" s="122"/>
      <c r="D311" s="122"/>
      <c r="E311" s="122"/>
      <c r="F311" s="124"/>
      <c r="G311" s="319"/>
      <c r="H311" s="319"/>
      <c r="I311" s="319"/>
      <c r="J311" s="319"/>
      <c r="K311" s="360" t="s">
        <v>385</v>
      </c>
      <c r="L311" s="360"/>
      <c r="M311" s="360"/>
      <c r="N311" s="360"/>
      <c r="O311" s="360"/>
      <c r="P311" s="360"/>
      <c r="Q311" s="360"/>
      <c r="R311" s="360"/>
      <c r="S311" s="360"/>
      <c r="T311" s="360"/>
      <c r="U311" s="360"/>
      <c r="V311" s="360"/>
      <c r="W311" s="360"/>
      <c r="X311" s="360"/>
      <c r="Y311" s="360"/>
      <c r="Z311" s="360"/>
      <c r="AA311" s="360"/>
      <c r="AB311" s="360"/>
      <c r="AC311" s="124"/>
      <c r="AD311" s="124"/>
      <c r="AE311" s="124"/>
      <c r="AF311" s="124"/>
      <c r="AG311" s="124"/>
      <c r="AH311" s="124"/>
      <c r="AI311" s="124"/>
      <c r="AJ311" s="124"/>
      <c r="AK311" s="122"/>
      <c r="AL311" s="125"/>
      <c r="AM311" s="126"/>
      <c r="AN311" s="126"/>
    </row>
    <row r="312" spans="1:40" s="144" customFormat="1" ht="36" x14ac:dyDescent="0.2">
      <c r="A312" s="139" t="s">
        <v>193</v>
      </c>
      <c r="B312" s="140" t="s">
        <v>498</v>
      </c>
      <c r="C312" s="139" t="s">
        <v>64</v>
      </c>
      <c r="D312" s="139">
        <f>Бюджет_Конт!$J$29</f>
        <v>17</v>
      </c>
      <c r="E312" s="139">
        <f>Бюджет_Конт!$E$19</f>
        <v>1</v>
      </c>
      <c r="F312" s="141">
        <v>40</v>
      </c>
      <c r="G312" s="320"/>
      <c r="H312" s="320"/>
      <c r="I312" s="320">
        <f t="shared" ref="I312:I320" si="112">H312*E312</f>
        <v>0</v>
      </c>
      <c r="J312" s="319">
        <f>40*ROUNDUP(D312/15,0)</f>
        <v>80</v>
      </c>
      <c r="K312" s="121">
        <f>0.3*D312</f>
        <v>5.0999999999999996</v>
      </c>
      <c r="L312" s="121"/>
      <c r="M312" s="121"/>
      <c r="N312" s="121"/>
      <c r="O312" s="121"/>
      <c r="P312" s="121"/>
      <c r="Q312" s="239">
        <f t="shared" ref="Q312:Q320" si="113">IF(K312&gt;0,0.05*G312,IF(M312&gt;0,0.05*G312+1*E312,0))</f>
        <v>0</v>
      </c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41"/>
      <c r="AD312" s="141"/>
      <c r="AE312" s="141"/>
      <c r="AF312" s="141"/>
      <c r="AG312" s="141"/>
      <c r="AH312" s="141"/>
      <c r="AI312" s="141"/>
      <c r="AJ312" s="124">
        <f t="shared" ref="AJ312:AJ320" si="114">SUM(G312,I312:AI312)</f>
        <v>85.1</v>
      </c>
      <c r="AK312" s="139">
        <v>10</v>
      </c>
      <c r="AL312" s="142"/>
      <c r="AM312" s="143"/>
      <c r="AN312" s="143"/>
    </row>
    <row r="313" spans="1:40" s="138" customFormat="1" ht="18" x14ac:dyDescent="0.2">
      <c r="A313" s="122" t="s">
        <v>285</v>
      </c>
      <c r="B313" s="131" t="s">
        <v>263</v>
      </c>
      <c r="C313" s="122" t="s">
        <v>65</v>
      </c>
      <c r="D313" s="122">
        <f>Бюджет_Конт!$J$30</f>
        <v>23</v>
      </c>
      <c r="E313" s="122">
        <f>1</f>
        <v>1</v>
      </c>
      <c r="F313" s="124">
        <v>34</v>
      </c>
      <c r="G313" s="319">
        <f>F313</f>
        <v>34</v>
      </c>
      <c r="H313" s="319">
        <v>34</v>
      </c>
      <c r="I313" s="319">
        <f t="shared" ref="I313" si="115">H313*E313</f>
        <v>34</v>
      </c>
      <c r="J313" s="319"/>
      <c r="K313" s="239"/>
      <c r="L313" s="124"/>
      <c r="M313" s="247">
        <f>0.4*D313</f>
        <v>9.2000000000000011</v>
      </c>
      <c r="N313" s="124"/>
      <c r="O313" s="124"/>
      <c r="P313" s="124"/>
      <c r="Q313" s="239">
        <f t="shared" ref="Q313" si="116">IF(K313&gt;0,0.05*G313,IF(M313&gt;0,0.05*G313+1*E313,0))</f>
        <v>2.7</v>
      </c>
      <c r="R313" s="124"/>
      <c r="S313" s="124"/>
      <c r="T313" s="124"/>
      <c r="U313" s="124"/>
      <c r="V313" s="124"/>
      <c r="W313" s="124"/>
      <c r="X313" s="124"/>
      <c r="Y313" s="124"/>
      <c r="Z313" s="124"/>
      <c r="AA313" s="124"/>
      <c r="AB313" s="124"/>
      <c r="AC313" s="124"/>
      <c r="AD313" s="124"/>
      <c r="AE313" s="124"/>
      <c r="AF313" s="124"/>
      <c r="AG313" s="124"/>
      <c r="AH313" s="124"/>
      <c r="AI313" s="124"/>
      <c r="AJ313" s="124">
        <f t="shared" ref="AJ313" si="117">SUM(G313,I313:AI313)</f>
        <v>79.900000000000006</v>
      </c>
      <c r="AK313" s="122">
        <v>10</v>
      </c>
      <c r="AL313" s="125"/>
      <c r="AM313" s="126"/>
      <c r="AN313" s="126"/>
    </row>
    <row r="314" spans="1:40" s="138" customFormat="1" ht="18" x14ac:dyDescent="0.2">
      <c r="A314" s="122" t="s">
        <v>285</v>
      </c>
      <c r="B314" s="131" t="s">
        <v>263</v>
      </c>
      <c r="C314" s="122" t="s">
        <v>66</v>
      </c>
      <c r="D314" s="122">
        <f>Бюджет_Конт!$J$30</f>
        <v>23</v>
      </c>
      <c r="E314" s="122">
        <f>1</f>
        <v>1</v>
      </c>
      <c r="F314" s="124">
        <v>32</v>
      </c>
      <c r="G314" s="319">
        <f>F314</f>
        <v>32</v>
      </c>
      <c r="H314" s="319">
        <v>48</v>
      </c>
      <c r="I314" s="319">
        <f t="shared" si="112"/>
        <v>48</v>
      </c>
      <c r="J314" s="319"/>
      <c r="K314" s="323"/>
      <c r="L314" s="319"/>
      <c r="M314" s="332">
        <f>0.4*D314</f>
        <v>9.2000000000000011</v>
      </c>
      <c r="N314" s="319"/>
      <c r="O314" s="319"/>
      <c r="P314" s="124"/>
      <c r="Q314" s="239">
        <f t="shared" si="113"/>
        <v>2.6</v>
      </c>
      <c r="R314" s="124"/>
      <c r="S314" s="124"/>
      <c r="T314" s="124"/>
      <c r="U314" s="124"/>
      <c r="V314" s="124"/>
      <c r="W314" s="124"/>
      <c r="X314" s="124"/>
      <c r="Y314" s="124"/>
      <c r="Z314" s="124"/>
      <c r="AA314" s="124"/>
      <c r="AB314" s="124"/>
      <c r="AC314" s="124"/>
      <c r="AD314" s="124"/>
      <c r="AE314" s="124"/>
      <c r="AF314" s="124"/>
      <c r="AG314" s="124"/>
      <c r="AH314" s="124"/>
      <c r="AI314" s="124">
        <f>4*E314</f>
        <v>4</v>
      </c>
      <c r="AJ314" s="124">
        <f t="shared" si="114"/>
        <v>95.8</v>
      </c>
      <c r="AK314" s="122">
        <v>10</v>
      </c>
      <c r="AL314" s="125"/>
      <c r="AM314" s="126"/>
      <c r="AN314" s="126"/>
    </row>
    <row r="315" spans="1:40" s="138" customFormat="1" ht="18" x14ac:dyDescent="0.2">
      <c r="A315" s="122" t="s">
        <v>191</v>
      </c>
      <c r="B315" s="131" t="s">
        <v>516</v>
      </c>
      <c r="C315" s="122" t="s">
        <v>66</v>
      </c>
      <c r="D315" s="122">
        <f>Бюджет_Конт!$J$30</f>
        <v>23</v>
      </c>
      <c r="E315" s="122">
        <f>1</f>
        <v>1</v>
      </c>
      <c r="F315" s="124">
        <v>34</v>
      </c>
      <c r="G315" s="319">
        <f>F315</f>
        <v>34</v>
      </c>
      <c r="H315" s="319"/>
      <c r="I315" s="319">
        <f t="shared" si="112"/>
        <v>0</v>
      </c>
      <c r="J315" s="319">
        <f>34*ROUNDUP(D315/15,0)</f>
        <v>68</v>
      </c>
      <c r="K315" s="331">
        <f t="shared" ref="K315:K320" si="118">0.3*D315</f>
        <v>6.8999999999999995</v>
      </c>
      <c r="L315" s="319"/>
      <c r="M315" s="332"/>
      <c r="N315" s="319"/>
      <c r="O315" s="319"/>
      <c r="P315" s="124"/>
      <c r="Q315" s="239">
        <f t="shared" si="113"/>
        <v>1.7000000000000002</v>
      </c>
      <c r="R315" s="124"/>
      <c r="S315" s="124"/>
      <c r="T315" s="124"/>
      <c r="U315" s="124"/>
      <c r="V315" s="124"/>
      <c r="W315" s="124"/>
      <c r="X315" s="124"/>
      <c r="Y315" s="124"/>
      <c r="Z315" s="124"/>
      <c r="AA315" s="124"/>
      <c r="AB315" s="124"/>
      <c r="AC315" s="124"/>
      <c r="AD315" s="124"/>
      <c r="AE315" s="124"/>
      <c r="AF315" s="124"/>
      <c r="AG315" s="124"/>
      <c r="AH315" s="124"/>
      <c r="AI315" s="124"/>
      <c r="AJ315" s="124">
        <f t="shared" si="114"/>
        <v>110.60000000000001</v>
      </c>
      <c r="AK315" s="122">
        <v>8</v>
      </c>
      <c r="AL315" s="125"/>
      <c r="AM315" s="126"/>
      <c r="AN315" s="126"/>
    </row>
    <row r="316" spans="1:40" s="138" customFormat="1" ht="18" x14ac:dyDescent="0.2">
      <c r="A316" s="122" t="s">
        <v>286</v>
      </c>
      <c r="B316" s="131" t="s">
        <v>517</v>
      </c>
      <c r="C316" s="122" t="s">
        <v>65</v>
      </c>
      <c r="D316" s="122">
        <f>Бюджет_Конт!$J$30</f>
        <v>23</v>
      </c>
      <c r="E316" s="122">
        <f>1</f>
        <v>1</v>
      </c>
      <c r="F316" s="124">
        <v>16</v>
      </c>
      <c r="G316" s="319">
        <f>F316</f>
        <v>16</v>
      </c>
      <c r="H316" s="319">
        <v>34</v>
      </c>
      <c r="I316" s="319">
        <f t="shared" si="112"/>
        <v>34</v>
      </c>
      <c r="J316" s="319"/>
      <c r="K316" s="331">
        <f t="shared" si="118"/>
        <v>6.8999999999999995</v>
      </c>
      <c r="L316" s="319"/>
      <c r="M316" s="332"/>
      <c r="N316" s="319"/>
      <c r="O316" s="319"/>
      <c r="P316" s="124"/>
      <c r="Q316" s="239">
        <f t="shared" si="113"/>
        <v>0.8</v>
      </c>
      <c r="R316" s="124"/>
      <c r="S316" s="124"/>
      <c r="T316" s="124"/>
      <c r="U316" s="121"/>
      <c r="V316" s="124"/>
      <c r="W316" s="124"/>
      <c r="X316" s="124"/>
      <c r="Y316" s="124"/>
      <c r="Z316" s="124"/>
      <c r="AA316" s="124"/>
      <c r="AB316" s="124"/>
      <c r="AC316" s="124"/>
      <c r="AD316" s="124"/>
      <c r="AE316" s="124"/>
      <c r="AF316" s="124"/>
      <c r="AG316" s="124"/>
      <c r="AH316" s="124"/>
      <c r="AI316" s="124"/>
      <c r="AJ316" s="124">
        <f t="shared" si="114"/>
        <v>57.699999999999996</v>
      </c>
      <c r="AK316" s="122">
        <v>10</v>
      </c>
      <c r="AL316" s="125"/>
      <c r="AM316" s="126"/>
      <c r="AN316" s="126"/>
    </row>
    <row r="317" spans="1:40" s="138" customFormat="1" ht="18" x14ac:dyDescent="0.2">
      <c r="A317" s="122" t="s">
        <v>286</v>
      </c>
      <c r="B317" s="131" t="s">
        <v>517</v>
      </c>
      <c r="C317" s="122" t="s">
        <v>66</v>
      </c>
      <c r="D317" s="122">
        <f>Бюджет_Конт!$J$30</f>
        <v>23</v>
      </c>
      <c r="E317" s="122">
        <f>1</f>
        <v>1</v>
      </c>
      <c r="F317" s="124">
        <v>16</v>
      </c>
      <c r="G317" s="319">
        <f>F317</f>
        <v>16</v>
      </c>
      <c r="H317" s="319">
        <v>64</v>
      </c>
      <c r="I317" s="319">
        <f t="shared" ref="I317" si="119">H317*E317</f>
        <v>64</v>
      </c>
      <c r="J317" s="319"/>
      <c r="K317" s="331">
        <f t="shared" ref="K317:K318" si="120">0.3*D317</f>
        <v>6.8999999999999995</v>
      </c>
      <c r="L317" s="319"/>
      <c r="M317" s="332"/>
      <c r="N317" s="319"/>
      <c r="O317" s="319"/>
      <c r="P317" s="124"/>
      <c r="Q317" s="239">
        <f t="shared" ref="Q317" si="121">IF(K317&gt;0,0.05*G317,IF(M317&gt;0,0.05*G317+1*E317,0))</f>
        <v>0.8</v>
      </c>
      <c r="R317" s="124"/>
      <c r="S317" s="124"/>
      <c r="T317" s="124"/>
      <c r="U317" s="121"/>
      <c r="V317" s="124"/>
      <c r="W317" s="124"/>
      <c r="X317" s="124"/>
      <c r="Y317" s="124"/>
      <c r="Z317" s="124"/>
      <c r="AA317" s="124"/>
      <c r="AB317" s="124"/>
      <c r="AC317" s="124"/>
      <c r="AD317" s="124"/>
      <c r="AE317" s="124"/>
      <c r="AF317" s="124"/>
      <c r="AG317" s="124"/>
      <c r="AH317" s="124"/>
      <c r="AI317" s="124"/>
      <c r="AJ317" s="124">
        <f t="shared" ref="AJ317" si="122">SUM(G317,I317:AI317)</f>
        <v>87.7</v>
      </c>
      <c r="AK317" s="122">
        <v>10</v>
      </c>
      <c r="AL317" s="125"/>
      <c r="AM317" s="126"/>
      <c r="AN317" s="126"/>
    </row>
    <row r="318" spans="1:40" s="138" customFormat="1" ht="18" x14ac:dyDescent="0.2">
      <c r="A318" s="122" t="s">
        <v>193</v>
      </c>
      <c r="B318" s="131" t="s">
        <v>384</v>
      </c>
      <c r="C318" s="122" t="s">
        <v>68</v>
      </c>
      <c r="D318" s="122">
        <f>Бюджет_Конт!$J$31</f>
        <v>6</v>
      </c>
      <c r="E318" s="122">
        <v>1</v>
      </c>
      <c r="F318" s="124"/>
      <c r="G318" s="319"/>
      <c r="H318" s="319"/>
      <c r="I318" s="319">
        <f t="shared" si="112"/>
        <v>0</v>
      </c>
      <c r="J318" s="319">
        <f>52*ROUNDUP(D318/20,0)</f>
        <v>52</v>
      </c>
      <c r="K318" s="331">
        <f t="shared" si="120"/>
        <v>1.7999999999999998</v>
      </c>
      <c r="L318" s="319"/>
      <c r="M318" s="332"/>
      <c r="N318" s="319"/>
      <c r="O318" s="319"/>
      <c r="P318" s="124"/>
      <c r="Q318" s="239">
        <f t="shared" si="113"/>
        <v>0</v>
      </c>
      <c r="R318" s="124"/>
      <c r="S318" s="124"/>
      <c r="T318" s="124"/>
      <c r="U318" s="124"/>
      <c r="V318" s="124"/>
      <c r="W318" s="124"/>
      <c r="X318" s="124"/>
      <c r="Y318" s="124"/>
      <c r="Z318" s="124"/>
      <c r="AA318" s="124"/>
      <c r="AB318" s="124"/>
      <c r="AC318" s="124"/>
      <c r="AD318" s="124"/>
      <c r="AE318" s="124"/>
      <c r="AF318" s="124"/>
      <c r="AG318" s="124"/>
      <c r="AH318" s="124"/>
      <c r="AI318" s="124">
        <f>2*E318</f>
        <v>2</v>
      </c>
      <c r="AJ318" s="124">
        <f t="shared" si="114"/>
        <v>55.8</v>
      </c>
      <c r="AK318" s="122">
        <v>10</v>
      </c>
      <c r="AL318" s="125"/>
      <c r="AM318" s="126"/>
      <c r="AN318" s="126"/>
    </row>
    <row r="319" spans="1:40" s="138" customFormat="1" ht="36" x14ac:dyDescent="0.2">
      <c r="A319" s="122" t="s">
        <v>209</v>
      </c>
      <c r="B319" s="131" t="s">
        <v>521</v>
      </c>
      <c r="C319" s="122" t="s">
        <v>68</v>
      </c>
      <c r="D319" s="122">
        <f>Бюджет_Конт!$J$31</f>
        <v>6</v>
      </c>
      <c r="E319" s="122">
        <v>1</v>
      </c>
      <c r="F319" s="124">
        <v>26</v>
      </c>
      <c r="G319" s="319"/>
      <c r="H319" s="319">
        <v>26</v>
      </c>
      <c r="I319" s="319">
        <f t="shared" si="112"/>
        <v>26</v>
      </c>
      <c r="J319" s="319"/>
      <c r="K319" s="121">
        <f t="shared" si="118"/>
        <v>1.7999999999999998</v>
      </c>
      <c r="L319" s="124"/>
      <c r="M319" s="247"/>
      <c r="N319" s="124"/>
      <c r="O319" s="124"/>
      <c r="P319" s="124"/>
      <c r="Q319" s="239">
        <f t="shared" si="113"/>
        <v>0</v>
      </c>
      <c r="R319" s="124"/>
      <c r="S319" s="124"/>
      <c r="T319" s="124"/>
      <c r="U319" s="124"/>
      <c r="V319" s="124"/>
      <c r="W319" s="124"/>
      <c r="X319" s="124"/>
      <c r="Y319" s="124"/>
      <c r="Z319" s="124"/>
      <c r="AA319" s="124"/>
      <c r="AB319" s="124"/>
      <c r="AC319" s="124"/>
      <c r="AD319" s="124"/>
      <c r="AE319" s="124"/>
      <c r="AF319" s="124"/>
      <c r="AG319" s="124"/>
      <c r="AH319" s="124"/>
      <c r="AI319" s="124">
        <f>4*E319</f>
        <v>4</v>
      </c>
      <c r="AJ319" s="124">
        <f t="shared" si="114"/>
        <v>31.8</v>
      </c>
      <c r="AK319" s="122">
        <v>10</v>
      </c>
      <c r="AL319" s="125"/>
      <c r="AM319" s="126"/>
      <c r="AN319" s="126"/>
    </row>
    <row r="320" spans="1:40" s="138" customFormat="1" ht="18" x14ac:dyDescent="0.2">
      <c r="A320" s="122" t="s">
        <v>280</v>
      </c>
      <c r="B320" s="131" t="s">
        <v>333</v>
      </c>
      <c r="C320" s="122" t="s">
        <v>74</v>
      </c>
      <c r="D320" s="122">
        <f>Бюджет_Конт!$J$31</f>
        <v>6</v>
      </c>
      <c r="E320" s="122">
        <v>1</v>
      </c>
      <c r="F320" s="124">
        <v>22</v>
      </c>
      <c r="G320" s="124">
        <f>F320</f>
        <v>22</v>
      </c>
      <c r="H320" s="124">
        <v>12</v>
      </c>
      <c r="I320" s="124">
        <f t="shared" si="112"/>
        <v>12</v>
      </c>
      <c r="J320" s="124">
        <f>44*ROUNDUP(D320/20,0)</f>
        <v>44</v>
      </c>
      <c r="K320" s="121">
        <f t="shared" si="118"/>
        <v>1.7999999999999998</v>
      </c>
      <c r="L320" s="124"/>
      <c r="M320" s="247"/>
      <c r="N320" s="124"/>
      <c r="O320" s="124"/>
      <c r="P320" s="124"/>
      <c r="Q320" s="239">
        <f t="shared" si="113"/>
        <v>1.1000000000000001</v>
      </c>
      <c r="R320" s="124"/>
      <c r="S320" s="124"/>
      <c r="T320" s="124"/>
      <c r="U320" s="124"/>
      <c r="V320" s="124"/>
      <c r="W320" s="124"/>
      <c r="X320" s="124"/>
      <c r="Y320" s="124"/>
      <c r="Z320" s="124"/>
      <c r="AA320" s="124"/>
      <c r="AB320" s="124"/>
      <c r="AC320" s="124"/>
      <c r="AD320" s="124"/>
      <c r="AE320" s="124"/>
      <c r="AF320" s="124"/>
      <c r="AG320" s="124"/>
      <c r="AH320" s="124"/>
      <c r="AI320" s="124">
        <f>2*E320</f>
        <v>2</v>
      </c>
      <c r="AJ320" s="124">
        <f t="shared" si="114"/>
        <v>82.899999999999991</v>
      </c>
      <c r="AK320" s="122">
        <v>10</v>
      </c>
      <c r="AL320" s="125"/>
      <c r="AM320" s="126"/>
      <c r="AN320" s="126"/>
    </row>
    <row r="321" spans="1:40" s="138" customFormat="1" ht="18" x14ac:dyDescent="0.2">
      <c r="A321" s="122"/>
      <c r="B321" s="133" t="s">
        <v>230</v>
      </c>
      <c r="C321" s="134"/>
      <c r="D321" s="134"/>
      <c r="E321" s="134"/>
      <c r="F321" s="135">
        <f>SUM(F262:F320)</f>
        <v>1460</v>
      </c>
      <c r="G321" s="135">
        <f t="shared" ref="G321:AJ321" si="123">SUM(G262:G320)</f>
        <v>1044</v>
      </c>
      <c r="H321" s="135">
        <f t="shared" si="123"/>
        <v>1050</v>
      </c>
      <c r="I321" s="135">
        <f t="shared" si="123"/>
        <v>1132</v>
      </c>
      <c r="J321" s="135">
        <f t="shared" si="123"/>
        <v>2564</v>
      </c>
      <c r="K321" s="135">
        <f t="shared" si="123"/>
        <v>279.89999999999992</v>
      </c>
      <c r="L321" s="135">
        <f t="shared" si="123"/>
        <v>0</v>
      </c>
      <c r="M321" s="135">
        <f t="shared" si="123"/>
        <v>155.19999999999999</v>
      </c>
      <c r="N321" s="135">
        <f t="shared" si="123"/>
        <v>0</v>
      </c>
      <c r="O321" s="135">
        <f t="shared" si="123"/>
        <v>0</v>
      </c>
      <c r="P321" s="135">
        <f t="shared" si="123"/>
        <v>0</v>
      </c>
      <c r="Q321" s="135">
        <f t="shared" si="123"/>
        <v>62.20000000000001</v>
      </c>
      <c r="R321" s="135">
        <f t="shared" si="123"/>
        <v>0</v>
      </c>
      <c r="S321" s="135">
        <f t="shared" si="123"/>
        <v>0</v>
      </c>
      <c r="T321" s="135">
        <f t="shared" si="123"/>
        <v>288</v>
      </c>
      <c r="U321" s="135">
        <f t="shared" si="123"/>
        <v>57.300000000000004</v>
      </c>
      <c r="V321" s="135">
        <f t="shared" si="123"/>
        <v>15</v>
      </c>
      <c r="W321" s="135">
        <f t="shared" si="123"/>
        <v>240</v>
      </c>
      <c r="X321" s="135">
        <f t="shared" si="123"/>
        <v>0</v>
      </c>
      <c r="Y321" s="135">
        <f t="shared" si="123"/>
        <v>0</v>
      </c>
      <c r="Z321" s="135">
        <f t="shared" si="123"/>
        <v>0</v>
      </c>
      <c r="AA321" s="135">
        <f t="shared" si="123"/>
        <v>0</v>
      </c>
      <c r="AB321" s="135">
        <f t="shared" si="123"/>
        <v>52.5</v>
      </c>
      <c r="AC321" s="135">
        <f t="shared" si="123"/>
        <v>0</v>
      </c>
      <c r="AD321" s="135">
        <f t="shared" si="123"/>
        <v>0</v>
      </c>
      <c r="AE321" s="135">
        <f t="shared" si="123"/>
        <v>0</v>
      </c>
      <c r="AF321" s="135">
        <f t="shared" si="123"/>
        <v>0</v>
      </c>
      <c r="AG321" s="135">
        <f t="shared" si="123"/>
        <v>0</v>
      </c>
      <c r="AH321" s="135">
        <f t="shared" si="123"/>
        <v>0</v>
      </c>
      <c r="AI321" s="135">
        <f t="shared" si="123"/>
        <v>110</v>
      </c>
      <c r="AJ321" s="135">
        <f t="shared" si="123"/>
        <v>6000.1000000000013</v>
      </c>
      <c r="AK321" s="124"/>
      <c r="AL321" s="126">
        <f>AJ321-SUM(I321:AI321,G321)</f>
        <v>0</v>
      </c>
      <c r="AM321" s="126"/>
      <c r="AN321" s="126"/>
    </row>
    <row r="322" spans="1:40" s="138" customFormat="1" ht="18" x14ac:dyDescent="0.2">
      <c r="A322" s="122"/>
      <c r="B322" s="145"/>
      <c r="C322" s="146"/>
      <c r="D322" s="146"/>
      <c r="E322" s="146"/>
      <c r="F322" s="240"/>
      <c r="G322" s="240"/>
      <c r="H322" s="240"/>
      <c r="I322" s="240"/>
      <c r="J322" s="240"/>
      <c r="K322" s="240"/>
      <c r="L322" s="240"/>
      <c r="M322" s="240"/>
      <c r="N322" s="240"/>
      <c r="O322" s="240"/>
      <c r="P322" s="240"/>
      <c r="Q322" s="240"/>
      <c r="R322" s="240"/>
      <c r="S322" s="240"/>
      <c r="T322" s="240"/>
      <c r="U322" s="240"/>
      <c r="V322" s="240"/>
      <c r="W322" s="240"/>
      <c r="X322" s="240"/>
      <c r="Y322" s="240"/>
      <c r="Z322" s="240"/>
      <c r="AA322" s="240"/>
      <c r="AB322" s="240"/>
      <c r="AC322" s="240"/>
      <c r="AD322" s="240"/>
      <c r="AE322" s="240"/>
      <c r="AF322" s="240"/>
      <c r="AG322" s="240"/>
      <c r="AH322" s="240"/>
      <c r="AI322" s="240"/>
      <c r="AJ322" s="240"/>
      <c r="AK322" s="124"/>
      <c r="AL322" s="126"/>
      <c r="AM322" s="126"/>
      <c r="AN322" s="126"/>
    </row>
    <row r="323" spans="1:40" s="138" customFormat="1" ht="18" x14ac:dyDescent="0.2">
      <c r="A323" s="122"/>
      <c r="B323" s="145"/>
      <c r="C323" s="146"/>
      <c r="D323" s="146"/>
      <c r="E323" s="146"/>
      <c r="F323" s="240"/>
      <c r="G323" s="240"/>
      <c r="H323" s="240"/>
      <c r="I323" s="240"/>
      <c r="J323" s="240"/>
      <c r="K323" s="240"/>
      <c r="L323" s="344" t="s">
        <v>267</v>
      </c>
      <c r="M323" s="344"/>
      <c r="N323" s="344"/>
      <c r="O323" s="344"/>
      <c r="P323" s="344"/>
      <c r="Q323" s="344"/>
      <c r="R323" s="344"/>
      <c r="S323" s="344"/>
      <c r="T323" s="344"/>
      <c r="U323" s="344"/>
      <c r="V323" s="344"/>
      <c r="W323" s="344"/>
      <c r="X323" s="344"/>
      <c r="Y323" s="344"/>
      <c r="Z323" s="344"/>
      <c r="AA323" s="344"/>
      <c r="AB323" s="240"/>
      <c r="AC323" s="240"/>
      <c r="AD323" s="240"/>
      <c r="AE323" s="240"/>
      <c r="AF323" s="240"/>
      <c r="AG323" s="240"/>
      <c r="AH323" s="240"/>
      <c r="AI323" s="240"/>
      <c r="AJ323" s="240"/>
      <c r="AK323" s="124"/>
      <c r="AL323" s="126"/>
      <c r="AM323" s="126"/>
      <c r="AN323" s="126"/>
    </row>
    <row r="324" spans="1:40" s="138" customFormat="1" ht="18" x14ac:dyDescent="0.2">
      <c r="A324" s="122"/>
      <c r="B324" s="145"/>
      <c r="C324" s="146"/>
      <c r="D324" s="146"/>
      <c r="E324" s="146"/>
      <c r="F324" s="240"/>
      <c r="G324" s="240"/>
      <c r="H324" s="240"/>
      <c r="I324" s="240"/>
      <c r="J324" s="240"/>
      <c r="K324" s="364" t="s">
        <v>268</v>
      </c>
      <c r="L324" s="365"/>
      <c r="M324" s="365"/>
      <c r="N324" s="365"/>
      <c r="O324" s="365"/>
      <c r="P324" s="365"/>
      <c r="Q324" s="365"/>
      <c r="R324" s="365"/>
      <c r="S324" s="365"/>
      <c r="T324" s="365"/>
      <c r="U324" s="365"/>
      <c r="V324" s="365"/>
      <c r="W324" s="365"/>
      <c r="X324" s="365"/>
      <c r="Y324" s="365"/>
      <c r="Z324" s="365"/>
      <c r="AA324" s="365"/>
      <c r="AB324" s="366"/>
      <c r="AC324" s="240"/>
      <c r="AD324" s="240"/>
      <c r="AE324" s="240"/>
      <c r="AF324" s="240"/>
      <c r="AG324" s="240"/>
      <c r="AH324" s="240"/>
      <c r="AI324" s="240"/>
      <c r="AJ324" s="240"/>
      <c r="AK324" s="124"/>
      <c r="AL324" s="126"/>
      <c r="AM324" s="126"/>
      <c r="AN324" s="126"/>
    </row>
    <row r="325" spans="1:40" s="144" customFormat="1" ht="17.25" customHeight="1" x14ac:dyDescent="0.2">
      <c r="A325" s="139" t="s">
        <v>247</v>
      </c>
      <c r="B325" s="140" t="s">
        <v>522</v>
      </c>
      <c r="C325" s="139" t="s">
        <v>523</v>
      </c>
      <c r="D325" s="122">
        <f>Бюджет_Конт!$F$11</f>
        <v>7</v>
      </c>
      <c r="E325" s="122">
        <f>Бюджет_Конт!$F$22</f>
        <v>1</v>
      </c>
      <c r="F325" s="141">
        <v>18</v>
      </c>
      <c r="G325" s="141">
        <f>F325</f>
        <v>18</v>
      </c>
      <c r="H325" s="141">
        <v>36</v>
      </c>
      <c r="I325" s="141">
        <f>H325*E325</f>
        <v>36</v>
      </c>
      <c r="J325" s="124"/>
      <c r="K325" s="121">
        <f>0.3*D325</f>
        <v>2.1</v>
      </c>
      <c r="L325" s="121"/>
      <c r="M325" s="121"/>
      <c r="N325" s="121"/>
      <c r="O325" s="121"/>
      <c r="P325" s="121"/>
      <c r="Q325" s="239">
        <f t="shared" ref="Q325:Q336" si="124">IF(K325&gt;0,0.05*G325,IF(M325&gt;0,0.05*G325+1*E325,0))</f>
        <v>0.9</v>
      </c>
      <c r="R325" s="121"/>
      <c r="S325" s="121"/>
      <c r="T325" s="121"/>
      <c r="U325" s="121"/>
      <c r="V325" s="121"/>
      <c r="W325" s="121"/>
      <c r="X325" s="252"/>
      <c r="Y325" s="252"/>
      <c r="Z325" s="252"/>
      <c r="AA325" s="252"/>
      <c r="AB325" s="252"/>
      <c r="AC325" s="252"/>
      <c r="AD325" s="252"/>
      <c r="AE325" s="141"/>
      <c r="AF325" s="141"/>
      <c r="AG325" s="141"/>
      <c r="AH325" s="141"/>
      <c r="AI325" s="141"/>
      <c r="AJ325" s="124">
        <f t="shared" ref="AJ325:AJ333" si="125">SUM(G325,I325:AI325)</f>
        <v>57</v>
      </c>
      <c r="AK325" s="122">
        <v>7</v>
      </c>
      <c r="AL325" s="143"/>
      <c r="AM325" s="143"/>
      <c r="AN325" s="143"/>
    </row>
    <row r="326" spans="1:40" s="144" customFormat="1" ht="17.25" customHeight="1" x14ac:dyDescent="0.2">
      <c r="A326" s="139" t="s">
        <v>446</v>
      </c>
      <c r="B326" s="140" t="s">
        <v>399</v>
      </c>
      <c r="C326" s="139" t="s">
        <v>523</v>
      </c>
      <c r="D326" s="122">
        <f>Бюджет_Конт!$F$11</f>
        <v>7</v>
      </c>
      <c r="E326" s="122">
        <f>Бюджет_Конт!$F$22</f>
        <v>1</v>
      </c>
      <c r="F326" s="141">
        <v>18</v>
      </c>
      <c r="G326" s="141">
        <f>F326</f>
        <v>18</v>
      </c>
      <c r="H326" s="141"/>
      <c r="I326" s="141">
        <f>H326*E326</f>
        <v>0</v>
      </c>
      <c r="J326" s="124">
        <f>36*ROUNDUP(D326/20,0)</f>
        <v>36</v>
      </c>
      <c r="K326" s="121"/>
      <c r="L326" s="121"/>
      <c r="M326" s="247">
        <f>0.4*D326</f>
        <v>2.8000000000000003</v>
      </c>
      <c r="N326" s="121"/>
      <c r="O326" s="121"/>
      <c r="P326" s="121"/>
      <c r="Q326" s="239">
        <f t="shared" si="124"/>
        <v>1.9</v>
      </c>
      <c r="R326" s="121"/>
      <c r="S326" s="121"/>
      <c r="T326" s="121"/>
      <c r="U326" s="121"/>
      <c r="V326" s="121"/>
      <c r="W326" s="121"/>
      <c r="X326" s="252"/>
      <c r="Y326" s="252"/>
      <c r="Z326" s="252"/>
      <c r="AA326" s="252"/>
      <c r="AB326" s="252"/>
      <c r="AC326" s="252"/>
      <c r="AD326" s="252"/>
      <c r="AE326" s="141"/>
      <c r="AF326" s="141"/>
      <c r="AG326" s="141"/>
      <c r="AH326" s="141"/>
      <c r="AI326" s="141"/>
      <c r="AJ326" s="124">
        <f t="shared" si="125"/>
        <v>58.699999999999996</v>
      </c>
      <c r="AK326" s="122">
        <v>10</v>
      </c>
      <c r="AL326" s="143"/>
      <c r="AM326" s="143"/>
      <c r="AN326" s="143"/>
    </row>
    <row r="327" spans="1:40" s="144" customFormat="1" ht="17.25" customHeight="1" x14ac:dyDescent="0.2">
      <c r="A327" s="139" t="s">
        <v>327</v>
      </c>
      <c r="B327" s="140" t="s">
        <v>524</v>
      </c>
      <c r="C327" s="139" t="s">
        <v>523</v>
      </c>
      <c r="D327" s="122">
        <f>Бюджет_Конт!$F$11</f>
        <v>7</v>
      </c>
      <c r="E327" s="122">
        <f>Бюджет_Конт!$F$22</f>
        <v>1</v>
      </c>
      <c r="F327" s="141">
        <v>18</v>
      </c>
      <c r="G327" s="141">
        <f>F327</f>
        <v>18</v>
      </c>
      <c r="H327" s="141">
        <v>18</v>
      </c>
      <c r="I327" s="141">
        <f>H327*E327</f>
        <v>18</v>
      </c>
      <c r="J327" s="124"/>
      <c r="K327" s="121">
        <f>0.3*D327</f>
        <v>2.1</v>
      </c>
      <c r="L327" s="121"/>
      <c r="M327" s="121"/>
      <c r="N327" s="121"/>
      <c r="O327" s="121"/>
      <c r="P327" s="121"/>
      <c r="Q327" s="239">
        <f t="shared" si="124"/>
        <v>0.9</v>
      </c>
      <c r="R327" s="121"/>
      <c r="S327" s="121"/>
      <c r="T327" s="121"/>
      <c r="U327" s="121"/>
      <c r="V327" s="121"/>
      <c r="W327" s="121"/>
      <c r="X327" s="252"/>
      <c r="Y327" s="252"/>
      <c r="Z327" s="252"/>
      <c r="AA327" s="252"/>
      <c r="AB327" s="252"/>
      <c r="AC327" s="252"/>
      <c r="AD327" s="252"/>
      <c r="AE327" s="141"/>
      <c r="AF327" s="141"/>
      <c r="AG327" s="141"/>
      <c r="AH327" s="141"/>
      <c r="AI327" s="141"/>
      <c r="AJ327" s="124">
        <f t="shared" si="125"/>
        <v>39</v>
      </c>
      <c r="AK327" s="122">
        <v>8</v>
      </c>
      <c r="AL327" s="143"/>
      <c r="AM327" s="143"/>
      <c r="AN327" s="143"/>
    </row>
    <row r="328" spans="1:40" s="144" customFormat="1" ht="36" x14ac:dyDescent="0.2">
      <c r="A328" s="139" t="s">
        <v>479</v>
      </c>
      <c r="B328" s="140" t="s">
        <v>525</v>
      </c>
      <c r="C328" s="139" t="s">
        <v>526</v>
      </c>
      <c r="D328" s="122">
        <f>Бюджет_Конт!$F$11</f>
        <v>7</v>
      </c>
      <c r="E328" s="122">
        <f>Бюджет_Конт!$F$22</f>
        <v>1</v>
      </c>
      <c r="F328" s="141">
        <v>16</v>
      </c>
      <c r="G328" s="141"/>
      <c r="H328" s="141">
        <v>34</v>
      </c>
      <c r="I328" s="141"/>
      <c r="J328" s="124">
        <f>34*ROUNDUP(D328/20,0)</f>
        <v>34</v>
      </c>
      <c r="K328" s="121">
        <f>0.3*D328</f>
        <v>2.1</v>
      </c>
      <c r="L328" s="121"/>
      <c r="M328" s="121"/>
      <c r="N328" s="121"/>
      <c r="O328" s="121"/>
      <c r="P328" s="121"/>
      <c r="Q328" s="239">
        <f t="shared" si="124"/>
        <v>0</v>
      </c>
      <c r="R328" s="121"/>
      <c r="S328" s="121"/>
      <c r="T328" s="121"/>
      <c r="U328" s="121"/>
      <c r="V328" s="121"/>
      <c r="W328" s="121"/>
      <c r="X328" s="252"/>
      <c r="Y328" s="252"/>
      <c r="Z328" s="252"/>
      <c r="AA328" s="252"/>
      <c r="AB328" s="252"/>
      <c r="AC328" s="252"/>
      <c r="AD328" s="252"/>
      <c r="AE328" s="141"/>
      <c r="AF328" s="141"/>
      <c r="AG328" s="141"/>
      <c r="AH328" s="141"/>
      <c r="AI328" s="141"/>
      <c r="AJ328" s="124">
        <f t="shared" si="125"/>
        <v>36.1</v>
      </c>
      <c r="AK328" s="122">
        <v>10</v>
      </c>
      <c r="AL328" s="143"/>
      <c r="AM328" s="143"/>
      <c r="AN328" s="143"/>
    </row>
    <row r="329" spans="1:40" s="144" customFormat="1" ht="36" x14ac:dyDescent="0.2">
      <c r="A329" s="139" t="s">
        <v>474</v>
      </c>
      <c r="B329" s="140" t="s">
        <v>618</v>
      </c>
      <c r="C329" s="139" t="s">
        <v>523</v>
      </c>
      <c r="D329" s="122">
        <f>Бюджет_Конт!$F$11</f>
        <v>7</v>
      </c>
      <c r="E329" s="122">
        <f>Бюджет_Конт!$F$22</f>
        <v>1</v>
      </c>
      <c r="F329" s="141">
        <v>18</v>
      </c>
      <c r="G329" s="141"/>
      <c r="H329" s="141"/>
      <c r="I329" s="141">
        <f>H329*E329</f>
        <v>0</v>
      </c>
      <c r="J329" s="319"/>
      <c r="K329" s="121">
        <f>0.3*D329</f>
        <v>2.1</v>
      </c>
      <c r="L329" s="121"/>
      <c r="M329" s="239"/>
      <c r="N329" s="121"/>
      <c r="O329" s="121"/>
      <c r="P329" s="121"/>
      <c r="Q329" s="239">
        <f t="shared" si="124"/>
        <v>0</v>
      </c>
      <c r="R329" s="121"/>
      <c r="S329" s="121"/>
      <c r="T329" s="121"/>
      <c r="U329" s="121"/>
      <c r="V329" s="121"/>
      <c r="W329" s="121"/>
      <c r="X329" s="252"/>
      <c r="Y329" s="252"/>
      <c r="Z329" s="252"/>
      <c r="AA329" s="252"/>
      <c r="AB329" s="252"/>
      <c r="AC329" s="252"/>
      <c r="AD329" s="252"/>
      <c r="AE329" s="141"/>
      <c r="AF329" s="141"/>
      <c r="AG329" s="141"/>
      <c r="AH329" s="141"/>
      <c r="AI329" s="141"/>
      <c r="AJ329" s="124">
        <f t="shared" si="125"/>
        <v>2.1</v>
      </c>
      <c r="AK329" s="122">
        <v>8</v>
      </c>
      <c r="AL329" s="143"/>
      <c r="AM329" s="143"/>
      <c r="AN329" s="143"/>
    </row>
    <row r="330" spans="1:40" s="144" customFormat="1" ht="18" x14ac:dyDescent="0.2">
      <c r="A330" s="139" t="s">
        <v>287</v>
      </c>
      <c r="B330" s="140" t="s">
        <v>620</v>
      </c>
      <c r="C330" s="139" t="s">
        <v>526</v>
      </c>
      <c r="D330" s="122">
        <f>Бюджет_Конт!$F$11</f>
        <v>7</v>
      </c>
      <c r="E330" s="122">
        <f>Бюджет_Конт!$F$22</f>
        <v>1</v>
      </c>
      <c r="F330" s="141">
        <v>34</v>
      </c>
      <c r="G330" s="141">
        <f>F330</f>
        <v>34</v>
      </c>
      <c r="H330" s="141">
        <v>34</v>
      </c>
      <c r="I330" s="141">
        <f>H330*E330</f>
        <v>34</v>
      </c>
      <c r="J330" s="124"/>
      <c r="K330" s="121"/>
      <c r="L330" s="121"/>
      <c r="M330" s="247">
        <f>0.4*D330</f>
        <v>2.8000000000000003</v>
      </c>
      <c r="N330" s="121"/>
      <c r="O330" s="121"/>
      <c r="P330" s="121"/>
      <c r="Q330" s="239">
        <f t="shared" si="124"/>
        <v>2.7</v>
      </c>
      <c r="R330" s="121"/>
      <c r="S330" s="121"/>
      <c r="T330" s="121"/>
      <c r="U330" s="121"/>
      <c r="V330" s="121"/>
      <c r="W330" s="121"/>
      <c r="X330" s="252"/>
      <c r="Y330" s="252"/>
      <c r="Z330" s="252"/>
      <c r="AA330" s="252"/>
      <c r="AB330" s="252"/>
      <c r="AC330" s="252"/>
      <c r="AD330" s="252"/>
      <c r="AE330" s="141"/>
      <c r="AF330" s="141"/>
      <c r="AG330" s="141"/>
      <c r="AH330" s="141"/>
      <c r="AI330" s="141"/>
      <c r="AJ330" s="124">
        <f t="shared" si="125"/>
        <v>73.5</v>
      </c>
      <c r="AK330" s="122">
        <v>8</v>
      </c>
      <c r="AL330" s="143"/>
      <c r="AM330" s="143"/>
      <c r="AN330" s="143"/>
    </row>
    <row r="331" spans="1:40" s="144" customFormat="1" ht="18" x14ac:dyDescent="0.2">
      <c r="A331" s="139" t="s">
        <v>206</v>
      </c>
      <c r="B331" s="140" t="s">
        <v>528</v>
      </c>
      <c r="C331" s="139" t="s">
        <v>526</v>
      </c>
      <c r="D331" s="122">
        <f>Бюджет_Конт!$F$11</f>
        <v>7</v>
      </c>
      <c r="E331" s="122">
        <f>Бюджет_Конт!$F$22</f>
        <v>1</v>
      </c>
      <c r="F331" s="141"/>
      <c r="G331" s="141">
        <f>F331</f>
        <v>0</v>
      </c>
      <c r="H331" s="141">
        <v>34</v>
      </c>
      <c r="I331" s="141">
        <f>H331*E331</f>
        <v>34</v>
      </c>
      <c r="J331" s="124"/>
      <c r="K331" s="121">
        <f>0.3*D331</f>
        <v>2.1</v>
      </c>
      <c r="L331" s="121"/>
      <c r="M331" s="121"/>
      <c r="N331" s="121"/>
      <c r="O331" s="121"/>
      <c r="P331" s="121"/>
      <c r="Q331" s="239">
        <f t="shared" si="124"/>
        <v>0</v>
      </c>
      <c r="R331" s="121"/>
      <c r="S331" s="121"/>
      <c r="T331" s="121"/>
      <c r="U331" s="121"/>
      <c r="V331" s="121"/>
      <c r="W331" s="121"/>
      <c r="X331" s="252"/>
      <c r="Y331" s="252"/>
      <c r="Z331" s="252"/>
      <c r="AA331" s="252"/>
      <c r="AB331" s="252"/>
      <c r="AC331" s="252"/>
      <c r="AD331" s="252"/>
      <c r="AE331" s="141"/>
      <c r="AF331" s="141"/>
      <c r="AG331" s="141"/>
      <c r="AH331" s="141"/>
      <c r="AI331" s="141"/>
      <c r="AJ331" s="124">
        <f t="shared" si="125"/>
        <v>36.1</v>
      </c>
      <c r="AK331" s="122">
        <v>8</v>
      </c>
      <c r="AL331" s="143"/>
      <c r="AM331" s="143"/>
      <c r="AN331" s="143"/>
    </row>
    <row r="332" spans="1:40" s="144" customFormat="1" ht="36" x14ac:dyDescent="0.2">
      <c r="A332" s="139" t="s">
        <v>529</v>
      </c>
      <c r="B332" s="140" t="s">
        <v>530</v>
      </c>
      <c r="C332" s="139" t="s">
        <v>526</v>
      </c>
      <c r="D332" s="122">
        <f>Бюджет_Конт!$F$11</f>
        <v>7</v>
      </c>
      <c r="E332" s="122">
        <f>Бюджет_Конт!$F$22</f>
        <v>1</v>
      </c>
      <c r="F332" s="141"/>
      <c r="G332" s="141">
        <f>F332</f>
        <v>0</v>
      </c>
      <c r="H332" s="141">
        <v>34</v>
      </c>
      <c r="I332" s="141">
        <f>H332*E332</f>
        <v>34</v>
      </c>
      <c r="J332" s="124"/>
      <c r="K332" s="121">
        <f>0.3*D332</f>
        <v>2.1</v>
      </c>
      <c r="L332" s="121"/>
      <c r="M332" s="121"/>
      <c r="N332" s="121"/>
      <c r="O332" s="121"/>
      <c r="P332" s="121"/>
      <c r="Q332" s="239">
        <f t="shared" ref="Q332" si="126">IF(K332&gt;0,0.05*G332,IF(M332&gt;0,0.05*G332+1*E332,0))</f>
        <v>0</v>
      </c>
      <c r="R332" s="121"/>
      <c r="S332" s="121"/>
      <c r="T332" s="121"/>
      <c r="U332" s="121"/>
      <c r="V332" s="121"/>
      <c r="W332" s="121"/>
      <c r="X332" s="252"/>
      <c r="Y332" s="252"/>
      <c r="Z332" s="252"/>
      <c r="AA332" s="252"/>
      <c r="AB332" s="252"/>
      <c r="AC332" s="252"/>
      <c r="AD332" s="252"/>
      <c r="AE332" s="141"/>
      <c r="AF332" s="141"/>
      <c r="AG332" s="141"/>
      <c r="AH332" s="141"/>
      <c r="AI332" s="141"/>
      <c r="AJ332" s="124">
        <f t="shared" ref="AJ332" si="127">SUM(G332,I332:AI332)</f>
        <v>36.1</v>
      </c>
      <c r="AK332" s="122">
        <v>7</v>
      </c>
      <c r="AL332" s="143"/>
      <c r="AM332" s="143"/>
      <c r="AN332" s="143"/>
    </row>
    <row r="333" spans="1:40" s="144" customFormat="1" ht="18" x14ac:dyDescent="0.2">
      <c r="A333" s="139" t="s">
        <v>531</v>
      </c>
      <c r="B333" s="140" t="s">
        <v>532</v>
      </c>
      <c r="C333" s="139" t="s">
        <v>526</v>
      </c>
      <c r="D333" s="122">
        <f>Бюджет_Конт!$F$11</f>
        <v>7</v>
      </c>
      <c r="E333" s="122">
        <f>Бюджет_Конт!$F$22</f>
        <v>1</v>
      </c>
      <c r="F333" s="141">
        <v>68</v>
      </c>
      <c r="G333" s="141">
        <f>F333</f>
        <v>68</v>
      </c>
      <c r="H333" s="141"/>
      <c r="I333" s="141">
        <f>H333*E333</f>
        <v>0</v>
      </c>
      <c r="J333" s="124">
        <v>102</v>
      </c>
      <c r="K333" s="121">
        <f>0.3*D333</f>
        <v>2.1</v>
      </c>
      <c r="L333" s="121"/>
      <c r="M333" s="121"/>
      <c r="N333" s="121"/>
      <c r="O333" s="121"/>
      <c r="P333" s="121"/>
      <c r="Q333" s="239">
        <f t="shared" si="124"/>
        <v>3.4000000000000004</v>
      </c>
      <c r="R333" s="121"/>
      <c r="S333" s="121"/>
      <c r="T333" s="121"/>
      <c r="U333" s="121"/>
      <c r="V333" s="121"/>
      <c r="W333" s="121"/>
      <c r="X333" s="252"/>
      <c r="Y333" s="252"/>
      <c r="Z333" s="252"/>
      <c r="AA333" s="252"/>
      <c r="AB333" s="252"/>
      <c r="AC333" s="252"/>
      <c r="AD333" s="252"/>
      <c r="AE333" s="141"/>
      <c r="AF333" s="141"/>
      <c r="AG333" s="141"/>
      <c r="AH333" s="141"/>
      <c r="AI333" s="141"/>
      <c r="AJ333" s="124">
        <f t="shared" si="125"/>
        <v>175.5</v>
      </c>
      <c r="AK333" s="122">
        <v>7</v>
      </c>
      <c r="AL333" s="143"/>
      <c r="AM333" s="143"/>
      <c r="AN333" s="143"/>
    </row>
    <row r="334" spans="1:40" s="138" customFormat="1" ht="18" x14ac:dyDescent="0.2">
      <c r="A334" s="122" t="s">
        <v>533</v>
      </c>
      <c r="B334" s="131" t="s">
        <v>179</v>
      </c>
      <c r="C334" s="139" t="s">
        <v>523</v>
      </c>
      <c r="D334" s="122">
        <f>Бюджет_Конт!$F$11</f>
        <v>7</v>
      </c>
      <c r="E334" s="122">
        <f>Бюджет_Конт!$F$22</f>
        <v>1</v>
      </c>
      <c r="F334" s="124"/>
      <c r="G334" s="124"/>
      <c r="H334" s="124"/>
      <c r="I334" s="124"/>
      <c r="J334" s="124"/>
      <c r="K334" s="239"/>
      <c r="L334" s="124"/>
      <c r="M334" s="247"/>
      <c r="N334" s="124"/>
      <c r="O334" s="124"/>
      <c r="P334" s="124"/>
      <c r="Q334" s="239">
        <f t="shared" si="124"/>
        <v>0</v>
      </c>
      <c r="R334" s="124"/>
      <c r="S334" s="124"/>
      <c r="T334" s="124">
        <f>1*(6)*D334</f>
        <v>42</v>
      </c>
      <c r="U334" s="124"/>
      <c r="V334" s="124"/>
      <c r="W334" s="124"/>
      <c r="X334" s="124"/>
      <c r="Y334" s="124"/>
      <c r="Z334" s="124"/>
      <c r="AA334" s="124"/>
      <c r="AB334" s="124"/>
      <c r="AC334" s="124"/>
      <c r="AD334" s="124"/>
      <c r="AE334" s="124"/>
      <c r="AF334" s="124"/>
      <c r="AG334" s="124"/>
      <c r="AH334" s="124"/>
      <c r="AI334" s="124"/>
      <c r="AJ334" s="124">
        <f>SUM(G334,I334:AI334)</f>
        <v>42</v>
      </c>
      <c r="AK334" s="122">
        <v>7</v>
      </c>
      <c r="AL334" s="125"/>
      <c r="AM334" s="126"/>
      <c r="AN334" s="126"/>
    </row>
    <row r="335" spans="1:40" s="138" customFormat="1" ht="18" x14ac:dyDescent="0.2">
      <c r="A335" s="122"/>
      <c r="B335" s="131" t="s">
        <v>171</v>
      </c>
      <c r="C335" s="139" t="s">
        <v>523</v>
      </c>
      <c r="D335" s="122">
        <f>Бюджет_Конт!$F$11</f>
        <v>7</v>
      </c>
      <c r="E335" s="122">
        <f>Бюджет_Конт!$F$22</f>
        <v>1</v>
      </c>
      <c r="F335" s="124"/>
      <c r="G335" s="124"/>
      <c r="H335" s="124"/>
      <c r="I335" s="124"/>
      <c r="J335" s="124"/>
      <c r="K335" s="239"/>
      <c r="L335" s="124"/>
      <c r="M335" s="247"/>
      <c r="N335" s="124"/>
      <c r="O335" s="124"/>
      <c r="P335" s="124"/>
      <c r="Q335" s="239">
        <f t="shared" si="124"/>
        <v>0</v>
      </c>
      <c r="R335" s="124"/>
      <c r="S335" s="124"/>
      <c r="T335" s="124"/>
      <c r="U335" s="124"/>
      <c r="V335" s="124"/>
      <c r="W335" s="124">
        <f>16*D335</f>
        <v>112</v>
      </c>
      <c r="X335" s="124"/>
      <c r="Y335" s="124"/>
      <c r="Z335" s="124"/>
      <c r="AA335" s="124"/>
      <c r="AB335" s="124"/>
      <c r="AC335" s="124"/>
      <c r="AD335" s="124"/>
      <c r="AE335" s="124"/>
      <c r="AF335" s="124"/>
      <c r="AG335" s="124"/>
      <c r="AH335" s="124"/>
      <c r="AI335" s="124"/>
      <c r="AJ335" s="124">
        <f>SUM(G335,I335:AI335)</f>
        <v>112</v>
      </c>
      <c r="AK335" s="122">
        <v>7</v>
      </c>
      <c r="AL335" s="125"/>
      <c r="AM335" s="126"/>
      <c r="AN335" s="126"/>
    </row>
    <row r="336" spans="1:40" s="125" customFormat="1" ht="18" x14ac:dyDescent="0.2">
      <c r="A336" s="122"/>
      <c r="B336" s="131" t="s">
        <v>183</v>
      </c>
      <c r="C336" s="139" t="s">
        <v>523</v>
      </c>
      <c r="D336" s="122">
        <f>Бюджет_Конт!$F$11</f>
        <v>7</v>
      </c>
      <c r="E336" s="122">
        <f>Бюджет_Конт!$F$22</f>
        <v>1</v>
      </c>
      <c r="F336" s="124"/>
      <c r="G336" s="124"/>
      <c r="H336" s="124"/>
      <c r="I336" s="124"/>
      <c r="J336" s="124"/>
      <c r="K336" s="124"/>
      <c r="L336" s="124"/>
      <c r="M336" s="124"/>
      <c r="N336" s="124"/>
      <c r="O336" s="124"/>
      <c r="P336" s="124"/>
      <c r="Q336" s="239">
        <f t="shared" si="124"/>
        <v>0</v>
      </c>
      <c r="R336" s="124"/>
      <c r="S336" s="124"/>
      <c r="T336" s="124"/>
      <c r="U336" s="124"/>
      <c r="V336" s="124"/>
      <c r="W336" s="124"/>
      <c r="X336" s="124"/>
      <c r="Y336" s="124"/>
      <c r="Z336" s="124"/>
      <c r="AA336" s="124"/>
      <c r="AB336" s="124">
        <f>0.5*7*D336</f>
        <v>24.5</v>
      </c>
      <c r="AC336" s="124"/>
      <c r="AD336" s="124"/>
      <c r="AE336" s="124"/>
      <c r="AF336" s="124"/>
      <c r="AG336" s="124"/>
      <c r="AH336" s="124"/>
      <c r="AI336" s="124"/>
      <c r="AJ336" s="124">
        <f>SUM(G336,I336:AI336)</f>
        <v>24.5</v>
      </c>
      <c r="AK336" s="122">
        <v>7</v>
      </c>
      <c r="AM336" s="126"/>
      <c r="AN336" s="126"/>
    </row>
    <row r="337" spans="1:40" s="138" customFormat="1" ht="18" x14ac:dyDescent="0.2">
      <c r="A337" s="122"/>
      <c r="B337" s="133" t="s">
        <v>272</v>
      </c>
      <c r="C337" s="134"/>
      <c r="D337" s="134"/>
      <c r="E337" s="134"/>
      <c r="F337" s="147">
        <f>SUM(F325:F336)</f>
        <v>190</v>
      </c>
      <c r="G337" s="147">
        <f t="shared" ref="G337:AJ337" si="128">SUM(G325:G336)</f>
        <v>156</v>
      </c>
      <c r="H337" s="147">
        <f t="shared" si="128"/>
        <v>190</v>
      </c>
      <c r="I337" s="147">
        <f t="shared" si="128"/>
        <v>156</v>
      </c>
      <c r="J337" s="147">
        <f t="shared" si="128"/>
        <v>172</v>
      </c>
      <c r="K337" s="147">
        <f t="shared" si="128"/>
        <v>14.7</v>
      </c>
      <c r="L337" s="147">
        <f t="shared" si="128"/>
        <v>0</v>
      </c>
      <c r="M337" s="147">
        <f t="shared" si="128"/>
        <v>5.6000000000000005</v>
      </c>
      <c r="N337" s="147">
        <f t="shared" si="128"/>
        <v>0</v>
      </c>
      <c r="O337" s="147">
        <f t="shared" si="128"/>
        <v>0</v>
      </c>
      <c r="P337" s="147">
        <f t="shared" si="128"/>
        <v>0</v>
      </c>
      <c r="Q337" s="147">
        <f t="shared" si="128"/>
        <v>9.8000000000000007</v>
      </c>
      <c r="R337" s="147">
        <f t="shared" si="128"/>
        <v>0</v>
      </c>
      <c r="S337" s="147">
        <f t="shared" si="128"/>
        <v>0</v>
      </c>
      <c r="T337" s="147">
        <f t="shared" si="128"/>
        <v>42</v>
      </c>
      <c r="U337" s="147">
        <f t="shared" si="128"/>
        <v>0</v>
      </c>
      <c r="V337" s="147">
        <f t="shared" si="128"/>
        <v>0</v>
      </c>
      <c r="W337" s="147">
        <f t="shared" si="128"/>
        <v>112</v>
      </c>
      <c r="X337" s="147">
        <f t="shared" si="128"/>
        <v>0</v>
      </c>
      <c r="Y337" s="147">
        <f t="shared" si="128"/>
        <v>0</v>
      </c>
      <c r="Z337" s="147">
        <f t="shared" si="128"/>
        <v>0</v>
      </c>
      <c r="AA337" s="147">
        <f t="shared" si="128"/>
        <v>0</v>
      </c>
      <c r="AB337" s="147">
        <f t="shared" si="128"/>
        <v>24.5</v>
      </c>
      <c r="AC337" s="147">
        <f t="shared" si="128"/>
        <v>0</v>
      </c>
      <c r="AD337" s="147">
        <f t="shared" si="128"/>
        <v>0</v>
      </c>
      <c r="AE337" s="147">
        <f t="shared" si="128"/>
        <v>0</v>
      </c>
      <c r="AF337" s="147">
        <f t="shared" si="128"/>
        <v>0</v>
      </c>
      <c r="AG337" s="147">
        <f t="shared" si="128"/>
        <v>0</v>
      </c>
      <c r="AH337" s="147">
        <f t="shared" si="128"/>
        <v>0</v>
      </c>
      <c r="AI337" s="147">
        <f t="shared" si="128"/>
        <v>0</v>
      </c>
      <c r="AJ337" s="147">
        <f t="shared" si="128"/>
        <v>692.6</v>
      </c>
      <c r="AK337" s="124"/>
      <c r="AL337" s="126">
        <f>AJ337-SUM(I337:AI337,G337)</f>
        <v>0</v>
      </c>
      <c r="AM337" s="126"/>
      <c r="AN337" s="126"/>
    </row>
    <row r="338" spans="1:40" s="144" customFormat="1" ht="18" x14ac:dyDescent="0.2">
      <c r="A338" s="139"/>
      <c r="B338" s="140" t="s">
        <v>184</v>
      </c>
      <c r="C338" s="139"/>
      <c r="D338" s="139"/>
      <c r="E338" s="139"/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41"/>
      <c r="AA338" s="141"/>
      <c r="AB338" s="141"/>
      <c r="AC338" s="141"/>
      <c r="AD338" s="141"/>
      <c r="AE338" s="141"/>
      <c r="AF338" s="141"/>
      <c r="AG338" s="141"/>
      <c r="AH338" s="141"/>
      <c r="AI338" s="141"/>
      <c r="AJ338" s="141"/>
      <c r="AK338" s="122"/>
      <c r="AL338" s="142"/>
      <c r="AM338" s="143"/>
      <c r="AN338" s="143"/>
    </row>
    <row r="339" spans="1:40" s="138" customFormat="1" ht="18" x14ac:dyDescent="0.2">
      <c r="A339" s="122"/>
      <c r="B339" s="145"/>
      <c r="C339" s="146"/>
      <c r="D339" s="146"/>
      <c r="E339" s="146"/>
      <c r="F339" s="240"/>
      <c r="G339" s="240"/>
      <c r="H339" s="240"/>
      <c r="I339" s="240"/>
      <c r="J339" s="240"/>
      <c r="K339" s="240"/>
      <c r="L339" s="344" t="s">
        <v>482</v>
      </c>
      <c r="M339" s="344"/>
      <c r="N339" s="344"/>
      <c r="O339" s="344"/>
      <c r="P339" s="344"/>
      <c r="Q339" s="344"/>
      <c r="R339" s="344"/>
      <c r="S339" s="344"/>
      <c r="T339" s="344"/>
      <c r="U339" s="344"/>
      <c r="V339" s="344"/>
      <c r="W339" s="344"/>
      <c r="X339" s="344"/>
      <c r="Y339" s="344"/>
      <c r="Z339" s="344"/>
      <c r="AA339" s="344"/>
      <c r="AB339" s="240"/>
      <c r="AC339" s="240"/>
      <c r="AD339" s="240"/>
      <c r="AE339" s="240"/>
      <c r="AF339" s="240"/>
      <c r="AG339" s="240"/>
      <c r="AH339" s="240"/>
      <c r="AI339" s="240"/>
      <c r="AJ339" s="240"/>
      <c r="AK339" s="124"/>
      <c r="AL339" s="126"/>
      <c r="AM339" s="126"/>
      <c r="AN339" s="126"/>
    </row>
    <row r="340" spans="1:40" s="138" customFormat="1" ht="18" x14ac:dyDescent="0.2">
      <c r="A340" s="122"/>
      <c r="B340" s="145"/>
      <c r="C340" s="146"/>
      <c r="D340" s="146"/>
      <c r="E340" s="146"/>
      <c r="F340" s="240"/>
      <c r="G340" s="240"/>
      <c r="H340" s="240"/>
      <c r="I340" s="240"/>
      <c r="J340" s="240"/>
      <c r="K340" s="364" t="s">
        <v>485</v>
      </c>
      <c r="L340" s="365"/>
      <c r="M340" s="365"/>
      <c r="N340" s="365"/>
      <c r="O340" s="365"/>
      <c r="P340" s="365"/>
      <c r="Q340" s="365"/>
      <c r="R340" s="365"/>
      <c r="S340" s="365"/>
      <c r="T340" s="365"/>
      <c r="U340" s="365"/>
      <c r="V340" s="365"/>
      <c r="W340" s="365"/>
      <c r="X340" s="365"/>
      <c r="Y340" s="365"/>
      <c r="Z340" s="365"/>
      <c r="AA340" s="365"/>
      <c r="AB340" s="366"/>
      <c r="AC340" s="240"/>
      <c r="AD340" s="240"/>
      <c r="AE340" s="240"/>
      <c r="AF340" s="240"/>
      <c r="AG340" s="240"/>
      <c r="AH340" s="240"/>
      <c r="AI340" s="240"/>
      <c r="AJ340" s="240"/>
      <c r="AK340" s="124"/>
      <c r="AL340" s="126"/>
      <c r="AM340" s="126"/>
      <c r="AN340" s="126"/>
    </row>
    <row r="341" spans="1:40" s="144" customFormat="1" ht="17.25" customHeight="1" x14ac:dyDescent="0.2">
      <c r="A341" s="139" t="s">
        <v>284</v>
      </c>
      <c r="B341" s="140" t="s">
        <v>469</v>
      </c>
      <c r="C341" s="139" t="s">
        <v>61</v>
      </c>
      <c r="D341" s="122">
        <f>Бюджет_Конт!$G$7</f>
        <v>25</v>
      </c>
      <c r="E341" s="122">
        <f>Бюджет_Конт!$G$18</f>
        <v>1</v>
      </c>
      <c r="F341" s="141">
        <v>16</v>
      </c>
      <c r="G341" s="141"/>
      <c r="H341" s="141"/>
      <c r="I341" s="141">
        <f t="shared" ref="I341:I346" si="129">H341*E341</f>
        <v>0</v>
      </c>
      <c r="J341" s="124">
        <f>16*ROUNDUP(D341/15,0)</f>
        <v>32</v>
      </c>
      <c r="K341" s="121">
        <f>0.3*D341</f>
        <v>7.5</v>
      </c>
      <c r="L341" s="121"/>
      <c r="M341" s="121"/>
      <c r="N341" s="121"/>
      <c r="O341" s="121"/>
      <c r="P341" s="121"/>
      <c r="Q341" s="239">
        <f t="shared" ref="Q341:Q349" si="130">IF(K341&gt;0,0.05*G341,IF(M341&gt;0,0.05*G341+1*E341,0))</f>
        <v>0</v>
      </c>
      <c r="R341" s="121"/>
      <c r="S341" s="121"/>
      <c r="T341" s="121"/>
      <c r="U341" s="121"/>
      <c r="V341" s="121"/>
      <c r="W341" s="121"/>
      <c r="X341" s="252"/>
      <c r="Y341" s="252"/>
      <c r="Z341" s="252"/>
      <c r="AA341" s="252"/>
      <c r="AB341" s="252"/>
      <c r="AC341" s="252"/>
      <c r="AD341" s="252"/>
      <c r="AE341" s="141"/>
      <c r="AF341" s="141"/>
      <c r="AG341" s="141"/>
      <c r="AH341" s="141"/>
      <c r="AI341" s="141"/>
      <c r="AJ341" s="124">
        <f t="shared" ref="AJ341:AJ349" si="131">SUM(G341,I341:AI341)</f>
        <v>39.5</v>
      </c>
      <c r="AK341" s="122">
        <v>7</v>
      </c>
      <c r="AL341" s="143"/>
      <c r="AM341" s="143"/>
      <c r="AN341" s="143"/>
    </row>
    <row r="342" spans="1:40" s="144" customFormat="1" ht="17.25" customHeight="1" x14ac:dyDescent="0.2">
      <c r="A342" s="139" t="s">
        <v>338</v>
      </c>
      <c r="B342" s="140" t="s">
        <v>413</v>
      </c>
      <c r="C342" s="139" t="s">
        <v>61</v>
      </c>
      <c r="D342" s="122">
        <f>Бюджет_Конт!$G$7</f>
        <v>25</v>
      </c>
      <c r="E342" s="122">
        <f>Бюджет_Конт!$G$18</f>
        <v>1</v>
      </c>
      <c r="F342" s="141"/>
      <c r="G342" s="141">
        <f>F342</f>
        <v>0</v>
      </c>
      <c r="H342" s="141">
        <v>16</v>
      </c>
      <c r="I342" s="141">
        <f t="shared" si="129"/>
        <v>16</v>
      </c>
      <c r="J342" s="124"/>
      <c r="K342" s="121">
        <f>0.3*D342</f>
        <v>7.5</v>
      </c>
      <c r="L342" s="121"/>
      <c r="M342" s="239"/>
      <c r="N342" s="121"/>
      <c r="O342" s="121"/>
      <c r="P342" s="331"/>
      <c r="Q342" s="323">
        <f t="shared" si="130"/>
        <v>0</v>
      </c>
      <c r="R342" s="331"/>
      <c r="S342" s="331"/>
      <c r="T342" s="121"/>
      <c r="U342" s="121"/>
      <c r="V342" s="121"/>
      <c r="W342" s="121"/>
      <c r="X342" s="252"/>
      <c r="Y342" s="252"/>
      <c r="Z342" s="252"/>
      <c r="AA342" s="252"/>
      <c r="AB342" s="252"/>
      <c r="AC342" s="252"/>
      <c r="AD342" s="252"/>
      <c r="AE342" s="141"/>
      <c r="AF342" s="141"/>
      <c r="AG342" s="141"/>
      <c r="AH342" s="141"/>
      <c r="AI342" s="141"/>
      <c r="AJ342" s="124">
        <f t="shared" si="131"/>
        <v>23.5</v>
      </c>
      <c r="AK342" s="122">
        <v>8</v>
      </c>
      <c r="AL342" s="143"/>
      <c r="AM342" s="143"/>
      <c r="AN342" s="143"/>
    </row>
    <row r="343" spans="1:40" s="144" customFormat="1" ht="17.25" customHeight="1" x14ac:dyDescent="0.2">
      <c r="A343" s="139" t="s">
        <v>188</v>
      </c>
      <c r="B343" s="131" t="s">
        <v>435</v>
      </c>
      <c r="C343" s="139" t="s">
        <v>61</v>
      </c>
      <c r="D343" s="122">
        <f>Бюджет_Конт!$G$7</f>
        <v>25</v>
      </c>
      <c r="E343" s="122">
        <f>Бюджет_Конт!$G$18</f>
        <v>1</v>
      </c>
      <c r="F343" s="141">
        <v>50</v>
      </c>
      <c r="G343" s="141"/>
      <c r="H343" s="141">
        <v>68</v>
      </c>
      <c r="I343" s="141">
        <f t="shared" si="129"/>
        <v>68</v>
      </c>
      <c r="J343" s="124"/>
      <c r="K343" s="121"/>
      <c r="L343" s="121"/>
      <c r="M343" s="121">
        <f>0.4*D343</f>
        <v>10</v>
      </c>
      <c r="N343" s="121"/>
      <c r="O343" s="121"/>
      <c r="P343" s="331"/>
      <c r="Q343" s="323"/>
      <c r="R343" s="331"/>
      <c r="S343" s="331"/>
      <c r="T343" s="121"/>
      <c r="U343" s="121">
        <f>0.3*D343</f>
        <v>7.5</v>
      </c>
      <c r="V343" s="121"/>
      <c r="W343" s="121"/>
      <c r="X343" s="252"/>
      <c r="Y343" s="252"/>
      <c r="Z343" s="252"/>
      <c r="AA343" s="252"/>
      <c r="AB343" s="252"/>
      <c r="AC343" s="252"/>
      <c r="AD343" s="252"/>
      <c r="AE343" s="141"/>
      <c r="AF343" s="141"/>
      <c r="AG343" s="141"/>
      <c r="AH343" s="141"/>
      <c r="AI343" s="141">
        <f>8*E343</f>
        <v>8</v>
      </c>
      <c r="AJ343" s="124">
        <f t="shared" si="131"/>
        <v>93.5</v>
      </c>
      <c r="AK343" s="122">
        <v>12</v>
      </c>
      <c r="AL343" s="143"/>
      <c r="AM343" s="143"/>
      <c r="AN343" s="143"/>
    </row>
    <row r="344" spans="1:40" s="144" customFormat="1" ht="17.25" customHeight="1" x14ac:dyDescent="0.2">
      <c r="A344" s="139" t="s">
        <v>188</v>
      </c>
      <c r="B344" s="131" t="s">
        <v>435</v>
      </c>
      <c r="C344" s="139" t="s">
        <v>62</v>
      </c>
      <c r="D344" s="122">
        <f>Бюджет_Конт!$G$7</f>
        <v>25</v>
      </c>
      <c r="E344" s="122">
        <f>Бюджет_Конт!$G$18</f>
        <v>1</v>
      </c>
      <c r="F344" s="141">
        <v>40</v>
      </c>
      <c r="G344" s="141"/>
      <c r="H344" s="141">
        <v>60</v>
      </c>
      <c r="I344" s="141">
        <f t="shared" si="129"/>
        <v>60</v>
      </c>
      <c r="J344" s="124"/>
      <c r="K344" s="121"/>
      <c r="L344" s="121"/>
      <c r="M344" s="121">
        <f>0.4*D344</f>
        <v>10</v>
      </c>
      <c r="N344" s="121"/>
      <c r="O344" s="121"/>
      <c r="P344" s="331"/>
      <c r="Q344" s="323"/>
      <c r="R344" s="331"/>
      <c r="S344" s="331"/>
      <c r="T344" s="121"/>
      <c r="U344" s="121">
        <f>0.3*D344</f>
        <v>7.5</v>
      </c>
      <c r="V344" s="121"/>
      <c r="W344" s="121"/>
      <c r="X344" s="252"/>
      <c r="Y344" s="252"/>
      <c r="Z344" s="252"/>
      <c r="AA344" s="252"/>
      <c r="AB344" s="252"/>
      <c r="AC344" s="252"/>
      <c r="AD344" s="252"/>
      <c r="AE344" s="141"/>
      <c r="AF344" s="141"/>
      <c r="AG344" s="141"/>
      <c r="AH344" s="141"/>
      <c r="AI344" s="141">
        <f>8*E344</f>
        <v>8</v>
      </c>
      <c r="AJ344" s="124">
        <f t="shared" si="131"/>
        <v>85.5</v>
      </c>
      <c r="AK344" s="122">
        <v>12</v>
      </c>
      <c r="AL344" s="143"/>
      <c r="AM344" s="143"/>
      <c r="AN344" s="143"/>
    </row>
    <row r="345" spans="1:40" s="144" customFormat="1" ht="36" x14ac:dyDescent="0.2">
      <c r="A345" s="139" t="s">
        <v>201</v>
      </c>
      <c r="B345" s="131" t="s">
        <v>436</v>
      </c>
      <c r="C345" s="139" t="s">
        <v>61</v>
      </c>
      <c r="D345" s="122">
        <f>Бюджет_Конт!$G$7</f>
        <v>25</v>
      </c>
      <c r="E345" s="122">
        <f>Бюджет_Конт!$G$18</f>
        <v>1</v>
      </c>
      <c r="F345" s="141">
        <v>34</v>
      </c>
      <c r="G345" s="141"/>
      <c r="H345" s="141">
        <v>34</v>
      </c>
      <c r="I345" s="141">
        <f t="shared" si="129"/>
        <v>34</v>
      </c>
      <c r="J345" s="124"/>
      <c r="K345" s="121"/>
      <c r="L345" s="121"/>
      <c r="M345" s="239">
        <f>0.4*D345</f>
        <v>10</v>
      </c>
      <c r="N345" s="121"/>
      <c r="O345" s="121"/>
      <c r="P345" s="331"/>
      <c r="Q345" s="323"/>
      <c r="R345" s="331"/>
      <c r="S345" s="331"/>
      <c r="T345" s="121"/>
      <c r="U345" s="121">
        <f>0.3*D345</f>
        <v>7.5</v>
      </c>
      <c r="V345" s="121"/>
      <c r="W345" s="121"/>
      <c r="X345" s="252"/>
      <c r="Y345" s="252"/>
      <c r="Z345" s="252"/>
      <c r="AA345" s="252"/>
      <c r="AB345" s="252"/>
      <c r="AC345" s="252"/>
      <c r="AD345" s="252"/>
      <c r="AE345" s="141"/>
      <c r="AF345" s="141"/>
      <c r="AG345" s="141"/>
      <c r="AH345" s="141"/>
      <c r="AI345" s="141">
        <f>8*E345</f>
        <v>8</v>
      </c>
      <c r="AJ345" s="124">
        <f t="shared" si="131"/>
        <v>59.5</v>
      </c>
      <c r="AK345" s="122">
        <v>12</v>
      </c>
      <c r="AL345" s="143"/>
      <c r="AM345" s="143"/>
      <c r="AN345" s="143"/>
    </row>
    <row r="346" spans="1:40" s="144" customFormat="1" ht="18" x14ac:dyDescent="0.2">
      <c r="A346" s="139" t="s">
        <v>220</v>
      </c>
      <c r="B346" s="131" t="s">
        <v>484</v>
      </c>
      <c r="C346" s="139" t="s">
        <v>62</v>
      </c>
      <c r="D346" s="122">
        <f>Бюджет_Конт!$G$7</f>
        <v>25</v>
      </c>
      <c r="E346" s="122">
        <f>Бюджет_Конт!$G$18</f>
        <v>1</v>
      </c>
      <c r="F346" s="141">
        <v>60</v>
      </c>
      <c r="G346" s="141"/>
      <c r="H346" s="141">
        <v>60</v>
      </c>
      <c r="I346" s="141">
        <f t="shared" si="129"/>
        <v>60</v>
      </c>
      <c r="J346" s="124">
        <f>20*ROUNDUP(D346/15,0)</f>
        <v>40</v>
      </c>
      <c r="K346" s="121"/>
      <c r="L346" s="121"/>
      <c r="M346" s="239">
        <f>0.4*D346</f>
        <v>10</v>
      </c>
      <c r="N346" s="121"/>
      <c r="O346" s="121"/>
      <c r="P346" s="331"/>
      <c r="Q346" s="323"/>
      <c r="R346" s="331"/>
      <c r="S346" s="331"/>
      <c r="T346" s="121"/>
      <c r="U346" s="121"/>
      <c r="V346" s="121"/>
      <c r="W346" s="121"/>
      <c r="X346" s="252"/>
      <c r="Y346" s="252"/>
      <c r="Z346" s="252"/>
      <c r="AA346" s="252"/>
      <c r="AB346" s="252"/>
      <c r="AC346" s="252"/>
      <c r="AD346" s="252"/>
      <c r="AE346" s="141"/>
      <c r="AF346" s="141"/>
      <c r="AG346" s="141"/>
      <c r="AH346" s="141"/>
      <c r="AI346" s="141"/>
      <c r="AJ346" s="124">
        <f t="shared" si="131"/>
        <v>110</v>
      </c>
      <c r="AK346" s="122">
        <v>7</v>
      </c>
      <c r="AL346" s="143"/>
      <c r="AM346" s="143"/>
      <c r="AN346" s="143"/>
    </row>
    <row r="347" spans="1:40" s="144" customFormat="1" ht="36" x14ac:dyDescent="0.2">
      <c r="A347" s="139" t="s">
        <v>223</v>
      </c>
      <c r="B347" s="131" t="s">
        <v>437</v>
      </c>
      <c r="C347" s="139" t="s">
        <v>61</v>
      </c>
      <c r="D347" s="122">
        <f>Бюджет_Конт!$G$7</f>
        <v>25</v>
      </c>
      <c r="E347" s="122">
        <f>Бюджет_Конт!$G$18</f>
        <v>1</v>
      </c>
      <c r="F347" s="141">
        <v>34</v>
      </c>
      <c r="G347" s="141"/>
      <c r="H347" s="141"/>
      <c r="I347" s="141"/>
      <c r="J347" s="124">
        <f>68*ROUNDUP(D347/15,0)</f>
        <v>136</v>
      </c>
      <c r="K347" s="121">
        <f>0.3*D347</f>
        <v>7.5</v>
      </c>
      <c r="L347" s="121"/>
      <c r="M347" s="121"/>
      <c r="N347" s="121"/>
      <c r="O347" s="121"/>
      <c r="P347" s="331"/>
      <c r="Q347" s="323">
        <f t="shared" si="130"/>
        <v>0</v>
      </c>
      <c r="R347" s="331"/>
      <c r="S347" s="331"/>
      <c r="T347" s="121"/>
      <c r="U347" s="121"/>
      <c r="V347" s="121"/>
      <c r="W347" s="121"/>
      <c r="X347" s="252"/>
      <c r="Y347" s="252"/>
      <c r="Z347" s="252"/>
      <c r="AA347" s="252"/>
      <c r="AB347" s="252"/>
      <c r="AC347" s="252"/>
      <c r="AD347" s="252"/>
      <c r="AE347" s="141"/>
      <c r="AF347" s="141"/>
      <c r="AG347" s="141"/>
      <c r="AH347" s="141"/>
      <c r="AI347" s="141"/>
      <c r="AJ347" s="124">
        <f t="shared" si="131"/>
        <v>143.5</v>
      </c>
      <c r="AK347" s="122">
        <v>10</v>
      </c>
      <c r="AL347" s="143"/>
      <c r="AM347" s="143"/>
      <c r="AN347" s="143"/>
    </row>
    <row r="348" spans="1:40" s="144" customFormat="1" ht="36" x14ac:dyDescent="0.2">
      <c r="A348" s="139" t="s">
        <v>243</v>
      </c>
      <c r="B348" s="131" t="s">
        <v>438</v>
      </c>
      <c r="C348" s="139" t="s">
        <v>62</v>
      </c>
      <c r="D348" s="122">
        <f>Бюджет_Конт!$G$7</f>
        <v>25</v>
      </c>
      <c r="E348" s="122">
        <f>Бюджет_Конт!$G$18</f>
        <v>1</v>
      </c>
      <c r="F348" s="141">
        <v>20</v>
      </c>
      <c r="G348" s="141"/>
      <c r="H348" s="141"/>
      <c r="I348" s="141">
        <f>H348*E348</f>
        <v>0</v>
      </c>
      <c r="J348" s="124">
        <f>80*ROUNDUP(D348/15,0)</f>
        <v>160</v>
      </c>
      <c r="K348" s="121">
        <f>0.3*D348</f>
        <v>7.5</v>
      </c>
      <c r="L348" s="121"/>
      <c r="M348" s="121"/>
      <c r="N348" s="121"/>
      <c r="O348" s="121"/>
      <c r="P348" s="331"/>
      <c r="Q348" s="323">
        <f t="shared" si="130"/>
        <v>0</v>
      </c>
      <c r="R348" s="331"/>
      <c r="S348" s="331"/>
      <c r="T348" s="121"/>
      <c r="U348" s="121"/>
      <c r="V348" s="121"/>
      <c r="W348" s="121"/>
      <c r="X348" s="252"/>
      <c r="Y348" s="252"/>
      <c r="Z348" s="252"/>
      <c r="AA348" s="252"/>
      <c r="AB348" s="252"/>
      <c r="AC348" s="252"/>
      <c r="AD348" s="252"/>
      <c r="AE348" s="141"/>
      <c r="AF348" s="141"/>
      <c r="AG348" s="141"/>
      <c r="AH348" s="141"/>
      <c r="AI348" s="141"/>
      <c r="AJ348" s="124">
        <f t="shared" si="131"/>
        <v>167.5</v>
      </c>
      <c r="AK348" s="122">
        <v>10</v>
      </c>
      <c r="AL348" s="143"/>
      <c r="AM348" s="143"/>
      <c r="AN348" s="143"/>
    </row>
    <row r="349" spans="1:40" s="144" customFormat="1" ht="18" x14ac:dyDescent="0.2">
      <c r="A349" s="139" t="s">
        <v>244</v>
      </c>
      <c r="B349" s="131" t="s">
        <v>172</v>
      </c>
      <c r="C349" s="139" t="s">
        <v>62</v>
      </c>
      <c r="D349" s="122">
        <f>Бюджет_Конт!$G$7</f>
        <v>25</v>
      </c>
      <c r="E349" s="122">
        <f>Бюджет_Конт!$G$18</f>
        <v>1</v>
      </c>
      <c r="F349" s="141"/>
      <c r="G349" s="141">
        <f>F349</f>
        <v>0</v>
      </c>
      <c r="H349" s="141"/>
      <c r="I349" s="141">
        <f>H349*E349</f>
        <v>0</v>
      </c>
      <c r="J349" s="124">
        <f>60*ROUNDUP(D349/15,0)</f>
        <v>120</v>
      </c>
      <c r="K349" s="121">
        <f>0.3*D349</f>
        <v>7.5</v>
      </c>
      <c r="L349" s="121"/>
      <c r="M349" s="121"/>
      <c r="N349" s="121"/>
      <c r="O349" s="121"/>
      <c r="P349" s="331"/>
      <c r="Q349" s="323">
        <f t="shared" si="130"/>
        <v>0</v>
      </c>
      <c r="R349" s="331"/>
      <c r="S349" s="331"/>
      <c r="T349" s="121"/>
      <c r="U349" s="121"/>
      <c r="V349" s="121"/>
      <c r="W349" s="121"/>
      <c r="X349" s="252"/>
      <c r="Y349" s="252"/>
      <c r="Z349" s="252"/>
      <c r="AA349" s="252"/>
      <c r="AB349" s="252"/>
      <c r="AC349" s="252"/>
      <c r="AD349" s="252"/>
      <c r="AE349" s="141"/>
      <c r="AF349" s="141"/>
      <c r="AG349" s="141"/>
      <c r="AH349" s="141"/>
      <c r="AI349" s="141"/>
      <c r="AJ349" s="124">
        <f t="shared" si="131"/>
        <v>127.5</v>
      </c>
      <c r="AK349" s="122">
        <v>10</v>
      </c>
      <c r="AL349" s="143"/>
      <c r="AM349" s="143"/>
      <c r="AN349" s="143"/>
    </row>
    <row r="350" spans="1:40" s="138" customFormat="1" ht="17.25" customHeight="1" x14ac:dyDescent="0.2">
      <c r="A350" s="122" t="s">
        <v>188</v>
      </c>
      <c r="B350" s="131" t="s">
        <v>435</v>
      </c>
      <c r="C350" s="122" t="s">
        <v>63</v>
      </c>
      <c r="D350" s="122">
        <f>Бюджет_Конт!$G$8</f>
        <v>25</v>
      </c>
      <c r="E350" s="122">
        <f>Бюджет_Конт!$G$19</f>
        <v>1</v>
      </c>
      <c r="F350" s="124">
        <v>32</v>
      </c>
      <c r="G350" s="124"/>
      <c r="H350" s="124">
        <v>32</v>
      </c>
      <c r="I350" s="124">
        <f>H350*E350</f>
        <v>32</v>
      </c>
      <c r="J350" s="124"/>
      <c r="K350" s="124"/>
      <c r="L350" s="124"/>
      <c r="M350" s="247">
        <f>0.4*D350</f>
        <v>10</v>
      </c>
      <c r="N350" s="124"/>
      <c r="O350" s="124"/>
      <c r="P350" s="319"/>
      <c r="Q350" s="323"/>
      <c r="R350" s="319"/>
      <c r="S350" s="319"/>
      <c r="T350" s="124"/>
      <c r="U350" s="124">
        <f>0.3*D350</f>
        <v>7.5</v>
      </c>
      <c r="V350" s="124"/>
      <c r="W350" s="124"/>
      <c r="X350" s="124"/>
      <c r="Y350" s="124"/>
      <c r="Z350" s="124"/>
      <c r="AA350" s="124"/>
      <c r="AB350" s="124"/>
      <c r="AC350" s="124"/>
      <c r="AD350" s="124"/>
      <c r="AE350" s="124"/>
      <c r="AF350" s="124"/>
      <c r="AG350" s="124"/>
      <c r="AH350" s="124"/>
      <c r="AI350" s="124">
        <f>12*E350</f>
        <v>12</v>
      </c>
      <c r="AJ350" s="124">
        <f>SUM(G350,I350:AI350)</f>
        <v>61.5</v>
      </c>
      <c r="AK350" s="122">
        <v>12</v>
      </c>
      <c r="AL350" s="125"/>
      <c r="AM350" s="126"/>
      <c r="AN350" s="126"/>
    </row>
    <row r="351" spans="1:40" s="125" customFormat="1" ht="36" x14ac:dyDescent="0.2">
      <c r="A351" s="122" t="s">
        <v>219</v>
      </c>
      <c r="B351" s="131" t="s">
        <v>554</v>
      </c>
      <c r="C351" s="122" t="s">
        <v>63</v>
      </c>
      <c r="D351" s="122">
        <f>Бюджет_Конт!$G$8</f>
        <v>25</v>
      </c>
      <c r="E351" s="122">
        <f>Бюджет_Конт!$G$19</f>
        <v>1</v>
      </c>
      <c r="F351" s="124">
        <v>32</v>
      </c>
      <c r="G351" s="124"/>
      <c r="H351" s="124">
        <v>32</v>
      </c>
      <c r="I351" s="124">
        <f t="shared" ref="I351" si="132">H351*E351</f>
        <v>32</v>
      </c>
      <c r="J351" s="124"/>
      <c r="K351" s="124"/>
      <c r="L351" s="124"/>
      <c r="M351" s="247">
        <f>0.4*D351</f>
        <v>10</v>
      </c>
      <c r="N351" s="124"/>
      <c r="O351" s="124"/>
      <c r="P351" s="319"/>
      <c r="Q351" s="323"/>
      <c r="R351" s="319"/>
      <c r="S351" s="319"/>
      <c r="T351" s="124"/>
      <c r="U351" s="124">
        <f>0.3*D351</f>
        <v>7.5</v>
      </c>
      <c r="V351" s="124"/>
      <c r="W351" s="124"/>
      <c r="X351" s="124"/>
      <c r="Y351" s="124"/>
      <c r="Z351" s="124"/>
      <c r="AA351" s="124"/>
      <c r="AB351" s="124"/>
      <c r="AC351" s="124"/>
      <c r="AD351" s="124"/>
      <c r="AE351" s="124"/>
      <c r="AF351" s="124"/>
      <c r="AG351" s="124"/>
      <c r="AH351" s="124"/>
      <c r="AI351" s="124">
        <f>12*E351</f>
        <v>12</v>
      </c>
      <c r="AJ351" s="124">
        <f t="shared" ref="AJ351:AJ357" si="133">SUM(G351,I351:AI351)</f>
        <v>61.5</v>
      </c>
      <c r="AK351" s="122">
        <v>12</v>
      </c>
      <c r="AM351" s="126"/>
      <c r="AN351" s="126"/>
    </row>
    <row r="352" spans="1:40" s="138" customFormat="1" ht="36" x14ac:dyDescent="0.2">
      <c r="A352" s="122" t="s">
        <v>249</v>
      </c>
      <c r="B352" s="131" t="s">
        <v>511</v>
      </c>
      <c r="C352" s="122" t="s">
        <v>63</v>
      </c>
      <c r="D352" s="122">
        <f>Бюджет_Конт!$G$8</f>
        <v>25</v>
      </c>
      <c r="E352" s="122">
        <f>Бюджет_Конт!$G$19</f>
        <v>1</v>
      </c>
      <c r="F352" s="124">
        <v>50</v>
      </c>
      <c r="G352" s="124"/>
      <c r="H352" s="124">
        <v>50</v>
      </c>
      <c r="I352" s="124">
        <f>H352*E352</f>
        <v>50</v>
      </c>
      <c r="J352" s="124">
        <f>16*ROUNDUP(D352/15,0)</f>
        <v>32</v>
      </c>
      <c r="K352" s="239"/>
      <c r="L352" s="124"/>
      <c r="M352" s="247">
        <f>0.4*D352</f>
        <v>10</v>
      </c>
      <c r="N352" s="124"/>
      <c r="O352" s="319"/>
      <c r="P352" s="319"/>
      <c r="Q352" s="323"/>
      <c r="R352" s="319"/>
      <c r="S352" s="319"/>
      <c r="T352" s="319"/>
      <c r="U352" s="319"/>
      <c r="V352" s="124"/>
      <c r="W352" s="124"/>
      <c r="X352" s="124"/>
      <c r="Y352" s="124"/>
      <c r="Z352" s="124"/>
      <c r="AA352" s="124"/>
      <c r="AB352" s="124"/>
      <c r="AC352" s="124"/>
      <c r="AD352" s="124"/>
      <c r="AE352" s="124"/>
      <c r="AF352" s="124"/>
      <c r="AG352" s="124"/>
      <c r="AH352" s="124"/>
      <c r="AI352" s="124">
        <f>2*E352</f>
        <v>2</v>
      </c>
      <c r="AJ352" s="124">
        <f t="shared" si="133"/>
        <v>94</v>
      </c>
      <c r="AK352" s="122">
        <v>7</v>
      </c>
      <c r="AL352" s="125"/>
      <c r="AM352" s="126"/>
      <c r="AN352" s="126"/>
    </row>
    <row r="353" spans="1:40" s="138" customFormat="1" ht="36" x14ac:dyDescent="0.2">
      <c r="A353" s="122" t="s">
        <v>250</v>
      </c>
      <c r="B353" s="131" t="s">
        <v>512</v>
      </c>
      <c r="C353" s="122" t="s">
        <v>64</v>
      </c>
      <c r="D353" s="122">
        <f>Бюджет_Конт!$G$8</f>
        <v>25</v>
      </c>
      <c r="E353" s="122">
        <f>Бюджет_Конт!$G$19</f>
        <v>1</v>
      </c>
      <c r="F353" s="124">
        <v>60</v>
      </c>
      <c r="G353" s="124"/>
      <c r="H353" s="124">
        <v>60</v>
      </c>
      <c r="I353" s="124">
        <f t="shared" ref="I353:I358" si="134">H353*E353</f>
        <v>60</v>
      </c>
      <c r="J353" s="124">
        <f>20*ROUNDUP(D353/15,0)</f>
        <v>40</v>
      </c>
      <c r="K353" s="239"/>
      <c r="L353" s="124"/>
      <c r="M353" s="247">
        <f>0.4*D353</f>
        <v>10</v>
      </c>
      <c r="N353" s="124"/>
      <c r="O353" s="319"/>
      <c r="P353" s="319"/>
      <c r="Q353" s="323"/>
      <c r="R353" s="319"/>
      <c r="S353" s="319"/>
      <c r="T353" s="319"/>
      <c r="U353" s="319"/>
      <c r="V353" s="124"/>
      <c r="W353" s="124"/>
      <c r="X353" s="124"/>
      <c r="Y353" s="124"/>
      <c r="Z353" s="124"/>
      <c r="AA353" s="124"/>
      <c r="AB353" s="124"/>
      <c r="AC353" s="124"/>
      <c r="AD353" s="124"/>
      <c r="AE353" s="124"/>
      <c r="AF353" s="124"/>
      <c r="AG353" s="124"/>
      <c r="AH353" s="124"/>
      <c r="AI353" s="124">
        <f>8*E353</f>
        <v>8</v>
      </c>
      <c r="AJ353" s="124">
        <f t="shared" si="133"/>
        <v>118</v>
      </c>
      <c r="AK353" s="122">
        <v>7</v>
      </c>
      <c r="AL353" s="125"/>
      <c r="AM353" s="126"/>
      <c r="AN353" s="126"/>
    </row>
    <row r="354" spans="1:40" s="125" customFormat="1" ht="18" x14ac:dyDescent="0.2">
      <c r="A354" s="122" t="s">
        <v>202</v>
      </c>
      <c r="B354" s="131" t="s">
        <v>539</v>
      </c>
      <c r="C354" s="122" t="s">
        <v>63</v>
      </c>
      <c r="D354" s="122">
        <f>Бюджет_Конт!$G$8</f>
        <v>25</v>
      </c>
      <c r="E354" s="122">
        <f>Бюджет_Конт!$G$19</f>
        <v>1</v>
      </c>
      <c r="F354" s="124">
        <v>32</v>
      </c>
      <c r="G354" s="124"/>
      <c r="H354" s="124">
        <v>16</v>
      </c>
      <c r="I354" s="124">
        <f t="shared" si="134"/>
        <v>16</v>
      </c>
      <c r="J354" s="124">
        <f>16*(ROUNDUP(D354/15,0))</f>
        <v>32</v>
      </c>
      <c r="K354" s="124"/>
      <c r="L354" s="124"/>
      <c r="M354" s="247">
        <f>0.4*D354</f>
        <v>10</v>
      </c>
      <c r="N354" s="124"/>
      <c r="O354" s="319"/>
      <c r="P354" s="319"/>
      <c r="Q354" s="323"/>
      <c r="R354" s="319"/>
      <c r="S354" s="319"/>
      <c r="T354" s="319"/>
      <c r="U354" s="319"/>
      <c r="V354" s="124"/>
      <c r="W354" s="124"/>
      <c r="X354" s="124"/>
      <c r="Y354" s="124"/>
      <c r="Z354" s="124"/>
      <c r="AA354" s="124"/>
      <c r="AB354" s="124"/>
      <c r="AC354" s="124"/>
      <c r="AD354" s="124"/>
      <c r="AE354" s="124"/>
      <c r="AF354" s="124"/>
      <c r="AG354" s="124"/>
      <c r="AH354" s="124"/>
      <c r="AI354" s="124"/>
      <c r="AJ354" s="124">
        <f t="shared" si="133"/>
        <v>58</v>
      </c>
      <c r="AK354" s="122">
        <v>10</v>
      </c>
      <c r="AM354" s="126"/>
      <c r="AN354" s="126"/>
    </row>
    <row r="355" spans="1:40" s="125" customFormat="1" ht="18" x14ac:dyDescent="0.2">
      <c r="A355" s="122" t="s">
        <v>253</v>
      </c>
      <c r="B355" s="131" t="s">
        <v>541</v>
      </c>
      <c r="C355" s="122" t="s">
        <v>63</v>
      </c>
      <c r="D355" s="122">
        <f>Бюджет_Конт!$G$8</f>
        <v>25</v>
      </c>
      <c r="E355" s="122">
        <f>Бюджет_Конт!$G$19</f>
        <v>1</v>
      </c>
      <c r="F355" s="124">
        <v>32</v>
      </c>
      <c r="G355" s="124"/>
      <c r="H355" s="124">
        <v>16</v>
      </c>
      <c r="I355" s="124">
        <f t="shared" si="134"/>
        <v>16</v>
      </c>
      <c r="J355" s="124">
        <f>32*(ROUNDUP(D355/15,0))</f>
        <v>64</v>
      </c>
      <c r="K355" s="124">
        <f t="shared" ref="K355:K357" si="135">0.3*D355</f>
        <v>7.5</v>
      </c>
      <c r="L355" s="124"/>
      <c r="M355" s="239"/>
      <c r="N355" s="124"/>
      <c r="O355" s="319"/>
      <c r="P355" s="319"/>
      <c r="Q355" s="323">
        <f t="shared" ref="Q355:Q357" si="136">IF(K355&gt;0,0.05*G355,IF(M355&gt;0,0.05*G355+1*E355,0))</f>
        <v>0</v>
      </c>
      <c r="R355" s="319"/>
      <c r="S355" s="319"/>
      <c r="T355" s="319"/>
      <c r="U355" s="319"/>
      <c r="V355" s="124"/>
      <c r="W355" s="124"/>
      <c r="X355" s="124"/>
      <c r="Y355" s="124"/>
      <c r="Z355" s="124"/>
      <c r="AA355" s="124"/>
      <c r="AB355" s="124"/>
      <c r="AC355" s="124"/>
      <c r="AD355" s="124"/>
      <c r="AE355" s="124"/>
      <c r="AF355" s="124"/>
      <c r="AG355" s="124"/>
      <c r="AH355" s="124"/>
      <c r="AI355" s="124"/>
      <c r="AJ355" s="124">
        <f t="shared" si="133"/>
        <v>87.5</v>
      </c>
      <c r="AK355" s="122">
        <v>10</v>
      </c>
      <c r="AM355" s="126"/>
      <c r="AN355" s="126"/>
    </row>
    <row r="356" spans="1:40" s="125" customFormat="1" ht="18" x14ac:dyDescent="0.2">
      <c r="A356" s="122" t="s">
        <v>255</v>
      </c>
      <c r="B356" s="131" t="s">
        <v>542</v>
      </c>
      <c r="C356" s="122" t="s">
        <v>64</v>
      </c>
      <c r="D356" s="122">
        <f>Бюджет_Конт!$G$8</f>
        <v>25</v>
      </c>
      <c r="E356" s="122">
        <f>Бюджет_Конт!$G$19</f>
        <v>1</v>
      </c>
      <c r="F356" s="124">
        <v>40</v>
      </c>
      <c r="G356" s="124"/>
      <c r="H356" s="124">
        <v>20</v>
      </c>
      <c r="I356" s="124">
        <f t="shared" si="134"/>
        <v>20</v>
      </c>
      <c r="J356" s="124">
        <f>40*(ROUNDUP(D356/15,0))</f>
        <v>80</v>
      </c>
      <c r="K356" s="124">
        <f t="shared" si="135"/>
        <v>7.5</v>
      </c>
      <c r="L356" s="124"/>
      <c r="M356" s="239"/>
      <c r="N356" s="124"/>
      <c r="O356" s="319"/>
      <c r="P356" s="319"/>
      <c r="Q356" s="323">
        <f t="shared" si="136"/>
        <v>0</v>
      </c>
      <c r="R356" s="319"/>
      <c r="S356" s="319"/>
      <c r="T356" s="319"/>
      <c r="U356" s="319"/>
      <c r="V356" s="124"/>
      <c r="W356" s="124"/>
      <c r="X356" s="124"/>
      <c r="Y356" s="124"/>
      <c r="Z356" s="124"/>
      <c r="AA356" s="124"/>
      <c r="AB356" s="124"/>
      <c r="AC356" s="124"/>
      <c r="AD356" s="124"/>
      <c r="AE356" s="124"/>
      <c r="AF356" s="124"/>
      <c r="AG356" s="124"/>
      <c r="AH356" s="124"/>
      <c r="AI356" s="124"/>
      <c r="AJ356" s="124">
        <f t="shared" si="133"/>
        <v>107.5</v>
      </c>
      <c r="AK356" s="122">
        <v>10</v>
      </c>
      <c r="AM356" s="126"/>
      <c r="AN356" s="126"/>
    </row>
    <row r="357" spans="1:40" s="144" customFormat="1" ht="18" x14ac:dyDescent="0.2">
      <c r="A357" s="139" t="s">
        <v>247</v>
      </c>
      <c r="B357" s="131" t="s">
        <v>558</v>
      </c>
      <c r="C357" s="139" t="s">
        <v>64</v>
      </c>
      <c r="D357" s="122">
        <f>Бюджет_Конт!$G$8</f>
        <v>25</v>
      </c>
      <c r="E357" s="122">
        <f>Бюджет_Конт!$G$19</f>
        <v>1</v>
      </c>
      <c r="F357" s="141">
        <v>20</v>
      </c>
      <c r="G357" s="141">
        <f>F357</f>
        <v>20</v>
      </c>
      <c r="H357" s="141">
        <v>20</v>
      </c>
      <c r="I357" s="124">
        <f t="shared" si="134"/>
        <v>20</v>
      </c>
      <c r="J357" s="124">
        <f>20*(ROUNDUP(D357/15,0))</f>
        <v>40</v>
      </c>
      <c r="K357" s="124">
        <f t="shared" si="135"/>
        <v>7.5</v>
      </c>
      <c r="L357" s="121"/>
      <c r="M357" s="121"/>
      <c r="N357" s="121"/>
      <c r="O357" s="331"/>
      <c r="P357" s="331"/>
      <c r="Q357" s="323">
        <f t="shared" si="136"/>
        <v>1</v>
      </c>
      <c r="R357" s="331"/>
      <c r="S357" s="331"/>
      <c r="T357" s="331"/>
      <c r="U357" s="331"/>
      <c r="V357" s="121"/>
      <c r="W357" s="121"/>
      <c r="X357" s="252"/>
      <c r="Y357" s="252"/>
      <c r="Z357" s="252"/>
      <c r="AA357" s="252"/>
      <c r="AB357" s="252"/>
      <c r="AC357" s="252"/>
      <c r="AD357" s="252"/>
      <c r="AE357" s="141"/>
      <c r="AF357" s="141"/>
      <c r="AG357" s="141"/>
      <c r="AH357" s="141"/>
      <c r="AI357" s="141"/>
      <c r="AJ357" s="124">
        <f t="shared" si="133"/>
        <v>88.5</v>
      </c>
      <c r="AK357" s="122">
        <v>10</v>
      </c>
      <c r="AL357" s="143"/>
      <c r="AM357" s="143"/>
      <c r="AN357" s="143"/>
    </row>
    <row r="358" spans="1:40" s="125" customFormat="1" ht="36" x14ac:dyDescent="0.2">
      <c r="A358" s="122" t="s">
        <v>257</v>
      </c>
      <c r="B358" s="131" t="s">
        <v>559</v>
      </c>
      <c r="C358" s="122" t="s">
        <v>64</v>
      </c>
      <c r="D358" s="122">
        <f>Бюджет_Конт!$G$8</f>
        <v>25</v>
      </c>
      <c r="E358" s="122">
        <f>Бюджет_Конт!$G$19</f>
        <v>1</v>
      </c>
      <c r="F358" s="124">
        <v>40</v>
      </c>
      <c r="G358" s="124"/>
      <c r="H358" s="124">
        <v>40</v>
      </c>
      <c r="I358" s="124">
        <f t="shared" si="134"/>
        <v>40</v>
      </c>
      <c r="J358" s="124"/>
      <c r="K358" s="124"/>
      <c r="L358" s="124"/>
      <c r="M358" s="239">
        <f>0.4*D358</f>
        <v>10</v>
      </c>
      <c r="N358" s="124"/>
      <c r="O358" s="319"/>
      <c r="P358" s="319"/>
      <c r="Q358" s="323"/>
      <c r="R358" s="319"/>
      <c r="S358" s="319"/>
      <c r="T358" s="319"/>
      <c r="U358" s="319">
        <f>0.3*D358</f>
        <v>7.5</v>
      </c>
      <c r="V358" s="124"/>
      <c r="W358" s="124"/>
      <c r="X358" s="124"/>
      <c r="Y358" s="124"/>
      <c r="Z358" s="124"/>
      <c r="AA358" s="124"/>
      <c r="AB358" s="124"/>
      <c r="AC358" s="124"/>
      <c r="AD358" s="124"/>
      <c r="AE358" s="124"/>
      <c r="AF358" s="124"/>
      <c r="AG358" s="124"/>
      <c r="AH358" s="124"/>
      <c r="AI358" s="124"/>
      <c r="AJ358" s="124">
        <f>SUM(G358,I358:AI358)</f>
        <v>57.5</v>
      </c>
      <c r="AK358" s="122">
        <v>12</v>
      </c>
      <c r="AM358" s="126"/>
      <c r="AN358" s="126"/>
    </row>
    <row r="359" spans="1:40" s="125" customFormat="1" ht="36" x14ac:dyDescent="0.2">
      <c r="A359" s="122" t="s">
        <v>319</v>
      </c>
      <c r="B359" s="131" t="s">
        <v>536</v>
      </c>
      <c r="C359" s="122" t="s">
        <v>64</v>
      </c>
      <c r="D359" s="122">
        <f>Бюджет_Конт!$G$8</f>
        <v>25</v>
      </c>
      <c r="E359" s="122">
        <f>Бюджет_Конт!$G$19</f>
        <v>1</v>
      </c>
      <c r="F359" s="124">
        <v>20</v>
      </c>
      <c r="G359" s="124"/>
      <c r="H359" s="124"/>
      <c r="I359" s="124">
        <f>H359*E359</f>
        <v>0</v>
      </c>
      <c r="J359" s="124">
        <f>40*(ROUNDUP(D359/15,0))</f>
        <v>80</v>
      </c>
      <c r="K359" s="124">
        <f>0.3*D359</f>
        <v>7.5</v>
      </c>
      <c r="L359" s="124"/>
      <c r="M359" s="239"/>
      <c r="N359" s="124"/>
      <c r="O359" s="319"/>
      <c r="P359" s="319"/>
      <c r="Q359" s="323">
        <f>IF(K359&gt;0,0.05*G359,IF(M359&gt;0,0.05*G359+1*E359,0))</f>
        <v>0</v>
      </c>
      <c r="R359" s="319"/>
      <c r="S359" s="319"/>
      <c r="T359" s="319"/>
      <c r="U359" s="319"/>
      <c r="V359" s="124"/>
      <c r="W359" s="124"/>
      <c r="X359" s="124"/>
      <c r="Y359" s="256"/>
      <c r="Z359" s="256"/>
      <c r="AA359" s="256"/>
      <c r="AB359" s="256"/>
      <c r="AC359" s="256"/>
      <c r="AD359" s="256"/>
      <c r="AE359" s="124"/>
      <c r="AF359" s="124"/>
      <c r="AG359" s="124"/>
      <c r="AH359" s="124"/>
      <c r="AI359" s="124"/>
      <c r="AJ359" s="124">
        <f>SUM(G359,I359:AI359)</f>
        <v>87.5</v>
      </c>
      <c r="AK359" s="122">
        <v>10</v>
      </c>
      <c r="AM359" s="126"/>
      <c r="AN359" s="126"/>
    </row>
    <row r="360" spans="1:40" s="144" customFormat="1" ht="18" x14ac:dyDescent="0.2">
      <c r="A360" s="139" t="s">
        <v>560</v>
      </c>
      <c r="B360" s="131" t="s">
        <v>561</v>
      </c>
      <c r="C360" s="139" t="s">
        <v>64</v>
      </c>
      <c r="D360" s="122">
        <f>Бюджет_Конт!$G$8</f>
        <v>25</v>
      </c>
      <c r="E360" s="122">
        <f>Бюджет_Конт!$G$19</f>
        <v>1</v>
      </c>
      <c r="F360" s="141"/>
      <c r="G360" s="141"/>
      <c r="H360" s="141"/>
      <c r="I360" s="141"/>
      <c r="J360" s="124">
        <f>40*(ROUNDUP(D360/15,0))</f>
        <v>80</v>
      </c>
      <c r="K360" s="124">
        <f>0.3*D360</f>
        <v>7.5</v>
      </c>
      <c r="L360" s="121"/>
      <c r="M360" s="121"/>
      <c r="N360" s="121"/>
      <c r="O360" s="121"/>
      <c r="P360" s="121"/>
      <c r="Q360" s="239"/>
      <c r="R360" s="121"/>
      <c r="S360" s="121"/>
      <c r="T360" s="121"/>
      <c r="U360" s="121"/>
      <c r="V360" s="121"/>
      <c r="W360" s="121"/>
      <c r="X360" s="252"/>
      <c r="Y360" s="252"/>
      <c r="Z360" s="252"/>
      <c r="AA360" s="252"/>
      <c r="AB360" s="252"/>
      <c r="AC360" s="252"/>
      <c r="AD360" s="252"/>
      <c r="AE360" s="141"/>
      <c r="AF360" s="141"/>
      <c r="AG360" s="141"/>
      <c r="AH360" s="141"/>
      <c r="AI360" s="141"/>
      <c r="AJ360" s="124">
        <f>SUM(G360,I360:AI360)</f>
        <v>87.5</v>
      </c>
      <c r="AK360" s="122">
        <v>10</v>
      </c>
      <c r="AL360" s="143"/>
      <c r="AM360" s="143"/>
      <c r="AN360" s="143"/>
    </row>
    <row r="361" spans="1:40" s="138" customFormat="1" ht="18" x14ac:dyDescent="0.2">
      <c r="A361" s="122"/>
      <c r="B361" s="133" t="s">
        <v>483</v>
      </c>
      <c r="C361" s="134"/>
      <c r="D361" s="134"/>
      <c r="E361" s="134"/>
      <c r="F361" s="147">
        <f>SUM(F341:F360)</f>
        <v>612</v>
      </c>
      <c r="G361" s="147">
        <f t="shared" ref="G361:AJ361" si="137">SUM(G341:G360)</f>
        <v>20</v>
      </c>
      <c r="H361" s="147">
        <f t="shared" si="137"/>
        <v>524</v>
      </c>
      <c r="I361" s="147">
        <f t="shared" si="137"/>
        <v>524</v>
      </c>
      <c r="J361" s="147">
        <f t="shared" si="137"/>
        <v>936</v>
      </c>
      <c r="K361" s="147">
        <f t="shared" si="137"/>
        <v>75</v>
      </c>
      <c r="L361" s="147">
        <f t="shared" si="137"/>
        <v>0</v>
      </c>
      <c r="M361" s="147">
        <f t="shared" si="137"/>
        <v>100</v>
      </c>
      <c r="N361" s="147">
        <f t="shared" si="137"/>
        <v>0</v>
      </c>
      <c r="O361" s="147">
        <f t="shared" si="137"/>
        <v>0</v>
      </c>
      <c r="P361" s="147">
        <f t="shared" si="137"/>
        <v>0</v>
      </c>
      <c r="Q361" s="147">
        <f t="shared" si="137"/>
        <v>1</v>
      </c>
      <c r="R361" s="147">
        <f t="shared" si="137"/>
        <v>0</v>
      </c>
      <c r="S361" s="147">
        <f t="shared" si="137"/>
        <v>0</v>
      </c>
      <c r="T361" s="147">
        <f t="shared" si="137"/>
        <v>0</v>
      </c>
      <c r="U361" s="147">
        <f t="shared" si="137"/>
        <v>45</v>
      </c>
      <c r="V361" s="147">
        <f t="shared" si="137"/>
        <v>0</v>
      </c>
      <c r="W361" s="147">
        <f t="shared" si="137"/>
        <v>0</v>
      </c>
      <c r="X361" s="147">
        <f t="shared" si="137"/>
        <v>0</v>
      </c>
      <c r="Y361" s="147">
        <f t="shared" si="137"/>
        <v>0</v>
      </c>
      <c r="Z361" s="147">
        <f t="shared" si="137"/>
        <v>0</v>
      </c>
      <c r="AA361" s="147">
        <f t="shared" si="137"/>
        <v>0</v>
      </c>
      <c r="AB361" s="147">
        <f t="shared" si="137"/>
        <v>0</v>
      </c>
      <c r="AC361" s="147">
        <f t="shared" si="137"/>
        <v>0</v>
      </c>
      <c r="AD361" s="147">
        <f t="shared" si="137"/>
        <v>0</v>
      </c>
      <c r="AE361" s="147">
        <f t="shared" si="137"/>
        <v>0</v>
      </c>
      <c r="AF361" s="147">
        <f t="shared" si="137"/>
        <v>0</v>
      </c>
      <c r="AG361" s="147">
        <f t="shared" si="137"/>
        <v>0</v>
      </c>
      <c r="AH361" s="147">
        <f t="shared" si="137"/>
        <v>0</v>
      </c>
      <c r="AI361" s="147">
        <f t="shared" si="137"/>
        <v>58</v>
      </c>
      <c r="AJ361" s="147">
        <f t="shared" si="137"/>
        <v>1759</v>
      </c>
      <c r="AK361" s="124"/>
      <c r="AL361" s="126">
        <f>AJ361-SUM(I361:AI361,G361)</f>
        <v>0</v>
      </c>
      <c r="AM361" s="126"/>
      <c r="AN361" s="126"/>
    </row>
    <row r="362" spans="1:40" s="138" customFormat="1" ht="18" x14ac:dyDescent="0.2">
      <c r="A362" s="122"/>
      <c r="B362" s="145"/>
      <c r="C362" s="146"/>
      <c r="D362" s="146"/>
      <c r="E362" s="146"/>
      <c r="F362" s="240"/>
      <c r="G362" s="240"/>
      <c r="H362" s="240"/>
      <c r="I362" s="240"/>
      <c r="J362" s="240"/>
      <c r="K362" s="240"/>
      <c r="L362" s="240"/>
      <c r="M362" s="240"/>
      <c r="N362" s="240"/>
      <c r="O362" s="240"/>
      <c r="P362" s="240"/>
      <c r="Q362" s="240"/>
      <c r="R362" s="240"/>
      <c r="S362" s="240"/>
      <c r="T362" s="240"/>
      <c r="U362" s="240"/>
      <c r="V362" s="240"/>
      <c r="W362" s="240"/>
      <c r="X362" s="240"/>
      <c r="Y362" s="240"/>
      <c r="Z362" s="240"/>
      <c r="AA362" s="240"/>
      <c r="AB362" s="240"/>
      <c r="AC362" s="240"/>
      <c r="AD362" s="240"/>
      <c r="AE362" s="240"/>
      <c r="AF362" s="240"/>
      <c r="AG362" s="240"/>
      <c r="AH362" s="240"/>
      <c r="AI362" s="240"/>
      <c r="AJ362" s="240"/>
      <c r="AK362" s="124"/>
      <c r="AL362" s="126"/>
      <c r="AM362" s="126"/>
      <c r="AN362" s="126"/>
    </row>
    <row r="363" spans="1:40" s="138" customFormat="1" ht="18" customHeight="1" x14ac:dyDescent="0.2">
      <c r="A363" s="122"/>
      <c r="B363" s="131"/>
      <c r="C363" s="122"/>
      <c r="D363" s="122"/>
      <c r="E363" s="122"/>
      <c r="F363" s="124"/>
      <c r="G363" s="124"/>
      <c r="H363" s="124"/>
      <c r="I363" s="124"/>
      <c r="J363" s="124"/>
      <c r="K363" s="265"/>
      <c r="L363" s="342" t="s">
        <v>132</v>
      </c>
      <c r="M363" s="342"/>
      <c r="N363" s="342"/>
      <c r="O363" s="342"/>
      <c r="P363" s="342"/>
      <c r="Q363" s="342"/>
      <c r="R363" s="342"/>
      <c r="S363" s="342"/>
      <c r="T363" s="342"/>
      <c r="U363" s="342"/>
      <c r="V363" s="342"/>
      <c r="W363" s="342"/>
      <c r="X363" s="342"/>
      <c r="Y363" s="342"/>
      <c r="Z363" s="342"/>
      <c r="AA363" s="342"/>
      <c r="AB363" s="265"/>
      <c r="AC363" s="124"/>
      <c r="AD363" s="124"/>
      <c r="AE363" s="124"/>
      <c r="AF363" s="124"/>
      <c r="AG363" s="124"/>
      <c r="AH363" s="124"/>
      <c r="AI363" s="124"/>
      <c r="AJ363" s="124"/>
      <c r="AK363" s="122"/>
      <c r="AL363" s="125"/>
      <c r="AM363" s="126"/>
      <c r="AN363" s="126"/>
    </row>
    <row r="364" spans="1:40" s="138" customFormat="1" ht="18" customHeight="1" x14ac:dyDescent="0.2">
      <c r="A364" s="122"/>
      <c r="B364" s="131"/>
      <c r="C364" s="122"/>
      <c r="D364" s="122"/>
      <c r="E364" s="122"/>
      <c r="F364" s="124"/>
      <c r="G364" s="124"/>
      <c r="H364" s="124"/>
      <c r="I364" s="124"/>
      <c r="J364" s="124"/>
      <c r="K364" s="367" t="s">
        <v>499</v>
      </c>
      <c r="L364" s="367"/>
      <c r="M364" s="367"/>
      <c r="N364" s="367"/>
      <c r="O364" s="367"/>
      <c r="P364" s="367"/>
      <c r="Q364" s="367"/>
      <c r="R364" s="367"/>
      <c r="S364" s="367"/>
      <c r="T364" s="367"/>
      <c r="U364" s="367"/>
      <c r="V364" s="367"/>
      <c r="W364" s="367"/>
      <c r="X364" s="367"/>
      <c r="Y364" s="367"/>
      <c r="Z364" s="367"/>
      <c r="AA364" s="367"/>
      <c r="AB364" s="367"/>
      <c r="AC364" s="124"/>
      <c r="AD364" s="124"/>
      <c r="AE364" s="124"/>
      <c r="AF364" s="124"/>
      <c r="AG364" s="124"/>
      <c r="AH364" s="124"/>
      <c r="AI364" s="124"/>
      <c r="AJ364" s="124"/>
      <c r="AK364" s="122"/>
      <c r="AL364" s="125"/>
      <c r="AM364" s="126"/>
      <c r="AN364" s="126"/>
    </row>
    <row r="365" spans="1:40" s="138" customFormat="1" ht="36" x14ac:dyDescent="0.2">
      <c r="A365" s="122" t="s">
        <v>284</v>
      </c>
      <c r="B365" s="131" t="s">
        <v>562</v>
      </c>
      <c r="C365" s="122" t="s">
        <v>62</v>
      </c>
      <c r="D365" s="122">
        <f>Бюджет_Конт!$H$7</f>
        <v>5</v>
      </c>
      <c r="E365" s="122">
        <f>Бюджет_Конт!$H$18</f>
        <v>1</v>
      </c>
      <c r="F365" s="124">
        <v>20</v>
      </c>
      <c r="G365" s="124">
        <f>F365</f>
        <v>20</v>
      </c>
      <c r="H365" s="124">
        <v>20</v>
      </c>
      <c r="I365" s="124">
        <f>H365*E365</f>
        <v>20</v>
      </c>
      <c r="J365" s="124"/>
      <c r="K365" s="121">
        <f>0.3*D365</f>
        <v>1.5</v>
      </c>
      <c r="L365" s="121"/>
      <c r="M365" s="121"/>
      <c r="N365" s="121"/>
      <c r="O365" s="121"/>
      <c r="P365" s="121"/>
      <c r="Q365" s="239">
        <f t="shared" ref="Q365:Q376" si="138">IF(K365&gt;0,0.05*G365,IF(M365&gt;0,0.05*G365+1*E365,0))</f>
        <v>1</v>
      </c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4"/>
      <c r="AD365" s="124"/>
      <c r="AE365" s="124"/>
      <c r="AF365" s="124"/>
      <c r="AG365" s="124"/>
      <c r="AH365" s="124"/>
      <c r="AI365" s="124"/>
      <c r="AJ365" s="124">
        <f>SUM(G365,I365:AI365)</f>
        <v>42.5</v>
      </c>
      <c r="AK365" s="122">
        <v>7</v>
      </c>
      <c r="AL365" s="125"/>
      <c r="AM365" s="126"/>
      <c r="AN365" s="126"/>
    </row>
    <row r="366" spans="1:40" s="138" customFormat="1" ht="18" x14ac:dyDescent="0.2">
      <c r="A366" s="122" t="s">
        <v>334</v>
      </c>
      <c r="B366" s="138" t="s">
        <v>399</v>
      </c>
      <c r="C366" s="122" t="s">
        <v>61</v>
      </c>
      <c r="D366" s="122">
        <f>Бюджет_Конт!$H$7</f>
        <v>5</v>
      </c>
      <c r="E366" s="122">
        <f>Бюджет_Конт!$H$18</f>
        <v>1</v>
      </c>
      <c r="F366" s="124">
        <v>18</v>
      </c>
      <c r="G366" s="124">
        <f>F366</f>
        <v>18</v>
      </c>
      <c r="H366" s="124">
        <v>18</v>
      </c>
      <c r="I366" s="124">
        <f>H366*E366</f>
        <v>18</v>
      </c>
      <c r="J366" s="124"/>
      <c r="K366" s="121">
        <f>0.3*D366</f>
        <v>1.5</v>
      </c>
      <c r="L366" s="121"/>
      <c r="M366" s="121"/>
      <c r="N366" s="121"/>
      <c r="O366" s="121"/>
      <c r="P366" s="121"/>
      <c r="Q366" s="239">
        <f t="shared" si="138"/>
        <v>0.9</v>
      </c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4"/>
      <c r="AD366" s="124"/>
      <c r="AE366" s="124"/>
      <c r="AF366" s="124"/>
      <c r="AG366" s="124"/>
      <c r="AH366" s="124"/>
      <c r="AI366" s="124">
        <f>2*E366</f>
        <v>2</v>
      </c>
      <c r="AJ366" s="124">
        <f t="shared" ref="AJ366:AJ373" si="139">SUM(G366,I366:AI366)</f>
        <v>40.4</v>
      </c>
      <c r="AK366" s="122">
        <v>10</v>
      </c>
      <c r="AL366" s="125"/>
      <c r="AM366" s="126"/>
      <c r="AN366" s="126"/>
    </row>
    <row r="367" spans="1:40" s="138" customFormat="1" ht="18" x14ac:dyDescent="0.2">
      <c r="A367" s="122" t="s">
        <v>335</v>
      </c>
      <c r="B367" s="131" t="s">
        <v>400</v>
      </c>
      <c r="C367" s="122" t="s">
        <v>62</v>
      </c>
      <c r="D367" s="122">
        <f>Бюджет_Конт!$H$7</f>
        <v>5</v>
      </c>
      <c r="E367" s="122">
        <f>Бюджет_Конт!$H$18</f>
        <v>1</v>
      </c>
      <c r="F367" s="124">
        <v>20</v>
      </c>
      <c r="G367" s="124">
        <f>F367</f>
        <v>20</v>
      </c>
      <c r="H367" s="124"/>
      <c r="I367" s="124">
        <f t="shared" ref="I367:I374" si="140">H367*E367</f>
        <v>0</v>
      </c>
      <c r="J367" s="124">
        <v>40</v>
      </c>
      <c r="K367" s="121"/>
      <c r="L367" s="121"/>
      <c r="M367" s="121">
        <f>0.4*D367</f>
        <v>2</v>
      </c>
      <c r="N367" s="121"/>
      <c r="O367" s="121"/>
      <c r="P367" s="121"/>
      <c r="Q367" s="239">
        <f t="shared" si="138"/>
        <v>2</v>
      </c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4"/>
      <c r="AD367" s="124"/>
      <c r="AE367" s="124"/>
      <c r="AF367" s="124"/>
      <c r="AG367" s="124"/>
      <c r="AH367" s="124"/>
      <c r="AI367" s="124">
        <f>4*E367</f>
        <v>4</v>
      </c>
      <c r="AJ367" s="124">
        <f t="shared" si="139"/>
        <v>68</v>
      </c>
      <c r="AK367" s="122">
        <v>10</v>
      </c>
      <c r="AL367" s="125"/>
      <c r="AM367" s="126"/>
      <c r="AN367" s="126"/>
    </row>
    <row r="368" spans="1:40" s="138" customFormat="1" ht="18" x14ac:dyDescent="0.2">
      <c r="A368" s="122" t="s">
        <v>336</v>
      </c>
      <c r="B368" s="131" t="s">
        <v>401</v>
      </c>
      <c r="C368" s="122" t="s">
        <v>62</v>
      </c>
      <c r="D368" s="122">
        <f>Бюджет_Конт!$H$7</f>
        <v>5</v>
      </c>
      <c r="E368" s="122">
        <f>Бюджет_Конт!$H$18</f>
        <v>1</v>
      </c>
      <c r="F368" s="124">
        <v>40</v>
      </c>
      <c r="G368" s="124">
        <f t="shared" ref="G368:G374" si="141">F368</f>
        <v>40</v>
      </c>
      <c r="H368" s="124">
        <v>20</v>
      </c>
      <c r="I368" s="124">
        <f t="shared" si="140"/>
        <v>20</v>
      </c>
      <c r="J368" s="124"/>
      <c r="K368" s="121">
        <f>0.3*I368</f>
        <v>6</v>
      </c>
      <c r="L368" s="121"/>
      <c r="M368" s="121"/>
      <c r="N368" s="121"/>
      <c r="O368" s="121"/>
      <c r="P368" s="121"/>
      <c r="Q368" s="239">
        <f t="shared" si="138"/>
        <v>2</v>
      </c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4"/>
      <c r="AD368" s="124"/>
      <c r="AE368" s="124"/>
      <c r="AF368" s="124"/>
      <c r="AG368" s="124"/>
      <c r="AH368" s="124"/>
      <c r="AI368" s="124"/>
      <c r="AJ368" s="124">
        <f t="shared" si="139"/>
        <v>68</v>
      </c>
      <c r="AK368" s="122">
        <v>10</v>
      </c>
      <c r="AL368" s="125"/>
      <c r="AM368" s="126"/>
      <c r="AN368" s="126"/>
    </row>
    <row r="369" spans="1:40" s="138" customFormat="1" ht="36" x14ac:dyDescent="0.2">
      <c r="A369" s="122" t="s">
        <v>337</v>
      </c>
      <c r="B369" s="131" t="s">
        <v>402</v>
      </c>
      <c r="C369" s="122" t="s">
        <v>62</v>
      </c>
      <c r="D369" s="122">
        <f>Бюджет_Конт!$H$7</f>
        <v>5</v>
      </c>
      <c r="E369" s="122">
        <f>Бюджет_Конт!$H$18</f>
        <v>1</v>
      </c>
      <c r="F369" s="124">
        <v>40</v>
      </c>
      <c r="G369" s="124">
        <f t="shared" si="141"/>
        <v>40</v>
      </c>
      <c r="H369" s="124"/>
      <c r="I369" s="124">
        <f t="shared" si="140"/>
        <v>0</v>
      </c>
      <c r="J369" s="124">
        <v>40</v>
      </c>
      <c r="K369" s="121"/>
      <c r="L369" s="121"/>
      <c r="M369" s="121">
        <f>0.4*D369</f>
        <v>2</v>
      </c>
      <c r="N369" s="121"/>
      <c r="O369" s="121"/>
      <c r="P369" s="121"/>
      <c r="Q369" s="239">
        <f t="shared" si="138"/>
        <v>3</v>
      </c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4"/>
      <c r="AD369" s="124"/>
      <c r="AE369" s="124"/>
      <c r="AF369" s="124"/>
      <c r="AG369" s="124"/>
      <c r="AH369" s="124"/>
      <c r="AI369" s="124">
        <f>1*E369</f>
        <v>1</v>
      </c>
      <c r="AJ369" s="124">
        <f t="shared" si="139"/>
        <v>86</v>
      </c>
      <c r="AK369" s="122">
        <v>10</v>
      </c>
      <c r="AL369" s="125"/>
      <c r="AM369" s="126"/>
      <c r="AN369" s="126"/>
    </row>
    <row r="370" spans="1:40" s="138" customFormat="1" ht="18" x14ac:dyDescent="0.2">
      <c r="A370" s="122" t="s">
        <v>338</v>
      </c>
      <c r="B370" s="131" t="s">
        <v>403</v>
      </c>
      <c r="C370" s="122" t="s">
        <v>61</v>
      </c>
      <c r="D370" s="122">
        <f>Бюджет_Конт!$H$7</f>
        <v>5</v>
      </c>
      <c r="E370" s="122">
        <f>Бюджет_Конт!$H$18</f>
        <v>1</v>
      </c>
      <c r="F370" s="124">
        <v>36</v>
      </c>
      <c r="G370" s="124">
        <f t="shared" si="141"/>
        <v>36</v>
      </c>
      <c r="H370" s="124">
        <v>36</v>
      </c>
      <c r="I370" s="124">
        <f t="shared" si="140"/>
        <v>36</v>
      </c>
      <c r="J370" s="124"/>
      <c r="K370" s="121"/>
      <c r="L370" s="121"/>
      <c r="M370" s="121">
        <f>0.4*D370</f>
        <v>2</v>
      </c>
      <c r="N370" s="121"/>
      <c r="O370" s="121"/>
      <c r="P370" s="121"/>
      <c r="Q370" s="239">
        <f t="shared" si="138"/>
        <v>2.8</v>
      </c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4"/>
      <c r="AD370" s="124"/>
      <c r="AE370" s="124"/>
      <c r="AF370" s="124"/>
      <c r="AG370" s="124"/>
      <c r="AH370" s="124"/>
      <c r="AI370" s="124">
        <f>4*E370</f>
        <v>4</v>
      </c>
      <c r="AJ370" s="124">
        <f t="shared" si="139"/>
        <v>80.8</v>
      </c>
      <c r="AK370" s="122">
        <v>10</v>
      </c>
      <c r="AL370" s="125"/>
      <c r="AM370" s="126"/>
      <c r="AN370" s="126"/>
    </row>
    <row r="371" spans="1:40" s="138" customFormat="1" ht="36" x14ac:dyDescent="0.2">
      <c r="A371" s="122" t="s">
        <v>205</v>
      </c>
      <c r="B371" s="131" t="s">
        <v>404</v>
      </c>
      <c r="C371" s="122" t="s">
        <v>61</v>
      </c>
      <c r="D371" s="122">
        <f>Бюджет_Конт!$H$7</f>
        <v>5</v>
      </c>
      <c r="E371" s="122">
        <f>Бюджет_Конт!$H$18</f>
        <v>1</v>
      </c>
      <c r="F371" s="124">
        <v>18</v>
      </c>
      <c r="G371" s="124">
        <f t="shared" si="141"/>
        <v>18</v>
      </c>
      <c r="H371" s="124">
        <v>18</v>
      </c>
      <c r="I371" s="124">
        <f t="shared" si="140"/>
        <v>18</v>
      </c>
      <c r="J371" s="124"/>
      <c r="K371" s="121">
        <f>0.3*D371</f>
        <v>1.5</v>
      </c>
      <c r="L371" s="121"/>
      <c r="M371" s="121"/>
      <c r="N371" s="121"/>
      <c r="O371" s="121"/>
      <c r="P371" s="121"/>
      <c r="Q371" s="239">
        <f t="shared" si="138"/>
        <v>0.9</v>
      </c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4"/>
      <c r="AD371" s="124"/>
      <c r="AE371" s="124"/>
      <c r="AF371" s="124"/>
      <c r="AG371" s="124"/>
      <c r="AH371" s="124"/>
      <c r="AI371" s="124">
        <f>2*E371</f>
        <v>2</v>
      </c>
      <c r="AJ371" s="124">
        <f t="shared" si="139"/>
        <v>40.4</v>
      </c>
      <c r="AK371" s="122">
        <v>10</v>
      </c>
      <c r="AL371" s="125"/>
      <c r="AM371" s="126"/>
      <c r="AN371" s="126"/>
    </row>
    <row r="372" spans="1:40" s="138" customFormat="1" ht="18" x14ac:dyDescent="0.2">
      <c r="A372" s="122" t="s">
        <v>285</v>
      </c>
      <c r="B372" s="131" t="s">
        <v>71</v>
      </c>
      <c r="C372" s="122" t="s">
        <v>62</v>
      </c>
      <c r="D372" s="122">
        <f>Бюджет_Конт!$H$7</f>
        <v>5</v>
      </c>
      <c r="E372" s="122">
        <f>Бюджет_Конт!$H$18</f>
        <v>1</v>
      </c>
      <c r="F372" s="124">
        <v>40</v>
      </c>
      <c r="G372" s="124">
        <f t="shared" si="141"/>
        <v>40</v>
      </c>
      <c r="H372" s="124">
        <v>20</v>
      </c>
      <c r="I372" s="124">
        <f t="shared" si="140"/>
        <v>20</v>
      </c>
      <c r="J372" s="124"/>
      <c r="K372" s="121"/>
      <c r="L372" s="121"/>
      <c r="M372" s="121">
        <f>0.4*D372</f>
        <v>2</v>
      </c>
      <c r="N372" s="121"/>
      <c r="O372" s="121"/>
      <c r="P372" s="121"/>
      <c r="Q372" s="239">
        <f t="shared" si="138"/>
        <v>3</v>
      </c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4"/>
      <c r="AD372" s="124"/>
      <c r="AE372" s="124"/>
      <c r="AF372" s="124"/>
      <c r="AG372" s="124"/>
      <c r="AH372" s="124"/>
      <c r="AI372" s="124"/>
      <c r="AJ372" s="124">
        <f t="shared" si="139"/>
        <v>65</v>
      </c>
      <c r="AK372" s="122">
        <v>10</v>
      </c>
      <c r="AL372" s="125"/>
      <c r="AM372" s="126"/>
      <c r="AN372" s="126"/>
    </row>
    <row r="373" spans="1:40" s="138" customFormat="1" ht="18" x14ac:dyDescent="0.2">
      <c r="A373" s="122" t="s">
        <v>192</v>
      </c>
      <c r="B373" s="131" t="s">
        <v>405</v>
      </c>
      <c r="C373" s="122" t="s">
        <v>61</v>
      </c>
      <c r="D373" s="122">
        <f>Бюджет_Конт!$H$7</f>
        <v>5</v>
      </c>
      <c r="E373" s="122">
        <f>Бюджет_Конт!$H$18</f>
        <v>1</v>
      </c>
      <c r="F373" s="124">
        <v>36</v>
      </c>
      <c r="G373" s="124">
        <f t="shared" si="141"/>
        <v>36</v>
      </c>
      <c r="H373" s="124"/>
      <c r="I373" s="124">
        <f t="shared" si="140"/>
        <v>0</v>
      </c>
      <c r="J373" s="124">
        <v>36</v>
      </c>
      <c r="K373" s="121"/>
      <c r="L373" s="121"/>
      <c r="M373" s="121">
        <f>0.4*D373</f>
        <v>2</v>
      </c>
      <c r="N373" s="121"/>
      <c r="O373" s="121"/>
      <c r="P373" s="121"/>
      <c r="Q373" s="239">
        <f t="shared" si="138"/>
        <v>2.8</v>
      </c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4"/>
      <c r="AD373" s="124"/>
      <c r="AE373" s="124"/>
      <c r="AF373" s="124"/>
      <c r="AG373" s="124"/>
      <c r="AH373" s="124"/>
      <c r="AI373" s="124">
        <f>2*E373</f>
        <v>2</v>
      </c>
      <c r="AJ373" s="124">
        <f t="shared" si="139"/>
        <v>78.8</v>
      </c>
      <c r="AK373" s="122">
        <v>10</v>
      </c>
      <c r="AL373" s="125"/>
      <c r="AM373" s="126"/>
      <c r="AN373" s="126"/>
    </row>
    <row r="374" spans="1:40" s="138" customFormat="1" ht="18" x14ac:dyDescent="0.2">
      <c r="A374" s="122" t="s">
        <v>209</v>
      </c>
      <c r="B374" s="131" t="s">
        <v>406</v>
      </c>
      <c r="C374" s="122" t="s">
        <v>61</v>
      </c>
      <c r="D374" s="122">
        <f>Бюджет_Конт!$H$7</f>
        <v>5</v>
      </c>
      <c r="E374" s="122">
        <f>Бюджет_Конт!$H$18</f>
        <v>1</v>
      </c>
      <c r="F374" s="124">
        <v>18</v>
      </c>
      <c r="G374" s="124">
        <f t="shared" si="141"/>
        <v>18</v>
      </c>
      <c r="H374" s="124">
        <v>18</v>
      </c>
      <c r="I374" s="124">
        <f t="shared" si="140"/>
        <v>18</v>
      </c>
      <c r="J374" s="124"/>
      <c r="K374" s="121">
        <f>0.3*D374</f>
        <v>1.5</v>
      </c>
      <c r="L374" s="121"/>
      <c r="M374" s="121"/>
      <c r="N374" s="121"/>
      <c r="O374" s="121"/>
      <c r="P374" s="121"/>
      <c r="Q374" s="239">
        <f t="shared" si="138"/>
        <v>0.9</v>
      </c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4"/>
      <c r="AD374" s="124"/>
      <c r="AE374" s="124"/>
      <c r="AF374" s="124"/>
      <c r="AG374" s="124"/>
      <c r="AH374" s="124"/>
      <c r="AI374" s="124"/>
      <c r="AJ374" s="124">
        <f>SUM(G374,I374:AI374)</f>
        <v>38.4</v>
      </c>
      <c r="AK374" s="122">
        <v>10</v>
      </c>
      <c r="AL374" s="125"/>
      <c r="AM374" s="126"/>
      <c r="AN374" s="126"/>
    </row>
    <row r="375" spans="1:40" s="138" customFormat="1" ht="18" x14ac:dyDescent="0.2">
      <c r="A375" s="122" t="s">
        <v>407</v>
      </c>
      <c r="B375" s="131" t="s">
        <v>339</v>
      </c>
      <c r="C375" s="122" t="s">
        <v>62</v>
      </c>
      <c r="D375" s="122">
        <f>Бюджет_Конт!$H$7</f>
        <v>5</v>
      </c>
      <c r="E375" s="122">
        <f>Бюджет_Конт!$H$18</f>
        <v>1</v>
      </c>
      <c r="F375" s="124"/>
      <c r="G375" s="124"/>
      <c r="H375" s="124"/>
      <c r="I375" s="124"/>
      <c r="J375" s="124"/>
      <c r="K375" s="121"/>
      <c r="L375" s="121"/>
      <c r="M375" s="121"/>
      <c r="N375" s="121"/>
      <c r="O375" s="121"/>
      <c r="P375" s="121"/>
      <c r="Q375" s="239"/>
      <c r="R375" s="121"/>
      <c r="S375" s="121">
        <f>1*(10)*D375</f>
        <v>50</v>
      </c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4"/>
      <c r="AD375" s="124"/>
      <c r="AE375" s="124"/>
      <c r="AF375" s="124"/>
      <c r="AG375" s="124"/>
      <c r="AH375" s="124"/>
      <c r="AI375" s="124"/>
      <c r="AJ375" s="124">
        <f>SUM(G375,I375:AI375)</f>
        <v>50</v>
      </c>
      <c r="AK375" s="122">
        <v>10</v>
      </c>
      <c r="AL375" s="125"/>
      <c r="AM375" s="126"/>
      <c r="AN375" s="126"/>
    </row>
    <row r="376" spans="1:40" s="138" customFormat="1" ht="18" x14ac:dyDescent="0.2">
      <c r="A376" s="122"/>
      <c r="B376" s="132" t="s">
        <v>604</v>
      </c>
      <c r="C376" s="122"/>
      <c r="D376" s="122"/>
      <c r="E376" s="149"/>
      <c r="F376" s="124"/>
      <c r="G376" s="124">
        <f>F376</f>
        <v>0</v>
      </c>
      <c r="H376" s="124"/>
      <c r="I376" s="124">
        <f>H376*E376</f>
        <v>0</v>
      </c>
      <c r="J376" s="124"/>
      <c r="K376" s="141"/>
      <c r="L376" s="141"/>
      <c r="M376" s="141"/>
      <c r="N376" s="141"/>
      <c r="O376" s="141"/>
      <c r="P376" s="141"/>
      <c r="Q376" s="239">
        <f t="shared" si="138"/>
        <v>0</v>
      </c>
      <c r="R376" s="141"/>
      <c r="S376" s="141"/>
      <c r="T376" s="141"/>
      <c r="U376" s="141"/>
      <c r="V376" s="141"/>
      <c r="W376" s="264"/>
      <c r="X376" s="264"/>
      <c r="Y376" s="264"/>
      <c r="Z376" s="264"/>
      <c r="AA376" s="264"/>
      <c r="AB376" s="141"/>
      <c r="AC376" s="124"/>
      <c r="AD376" s="124"/>
      <c r="AE376" s="124">
        <v>30</v>
      </c>
      <c r="AF376" s="124"/>
      <c r="AG376" s="124"/>
      <c r="AH376" s="124"/>
      <c r="AI376" s="124">
        <f>0*E376</f>
        <v>0</v>
      </c>
      <c r="AJ376" s="124">
        <f>SUM(G376,I376:AI376)</f>
        <v>30</v>
      </c>
      <c r="AK376" s="122">
        <v>10</v>
      </c>
      <c r="AL376" s="125"/>
      <c r="AM376" s="126"/>
      <c r="AN376" s="126"/>
    </row>
    <row r="377" spans="1:40" s="138" customFormat="1" ht="17.25" customHeight="1" x14ac:dyDescent="0.2">
      <c r="A377" s="122" t="s">
        <v>191</v>
      </c>
      <c r="B377" s="132" t="s">
        <v>174</v>
      </c>
      <c r="C377" s="122" t="s">
        <v>63</v>
      </c>
      <c r="D377" s="122">
        <f>Бюджет_Конт!$H$8</f>
        <v>5</v>
      </c>
      <c r="E377" s="122">
        <f>Бюджет_Конт!$H$18</f>
        <v>1</v>
      </c>
      <c r="F377" s="124">
        <v>36</v>
      </c>
      <c r="G377" s="124">
        <f>F377</f>
        <v>36</v>
      </c>
      <c r="H377" s="124">
        <v>36</v>
      </c>
      <c r="I377" s="124">
        <f>H377*E377</f>
        <v>36</v>
      </c>
      <c r="J377" s="124"/>
      <c r="K377" s="239"/>
      <c r="L377" s="124"/>
      <c r="M377" s="247">
        <f>0.4*D377</f>
        <v>2</v>
      </c>
      <c r="N377" s="124"/>
      <c r="O377" s="124"/>
      <c r="P377" s="124"/>
      <c r="Q377" s="239">
        <f t="shared" ref="Q377:Q384" si="142">IF(K377&gt;0,0.05*G377,IF(M377&gt;0,0.05*G377+1*E377,0))</f>
        <v>2.8</v>
      </c>
      <c r="R377" s="124"/>
      <c r="S377" s="124"/>
      <c r="T377" s="124"/>
      <c r="U377" s="124"/>
      <c r="V377" s="124"/>
      <c r="W377" s="124"/>
      <c r="X377" s="124"/>
      <c r="Y377" s="124"/>
      <c r="Z377" s="124"/>
      <c r="AA377" s="124"/>
      <c r="AB377" s="124"/>
      <c r="AC377" s="124"/>
      <c r="AD377" s="124"/>
      <c r="AE377" s="124"/>
      <c r="AF377" s="124"/>
      <c r="AG377" s="124"/>
      <c r="AH377" s="124"/>
      <c r="AI377" s="124">
        <f>4*E377</f>
        <v>4</v>
      </c>
      <c r="AJ377" s="124">
        <f t="shared" ref="AJ377:AJ384" si="143">SUM(G377,I377:AI377)</f>
        <v>80.8</v>
      </c>
      <c r="AK377" s="122">
        <v>10</v>
      </c>
      <c r="AL377" s="125"/>
      <c r="AM377" s="126"/>
      <c r="AN377" s="126"/>
    </row>
    <row r="378" spans="1:40" s="138" customFormat="1" ht="17.25" customHeight="1" x14ac:dyDescent="0.2">
      <c r="A378" s="122" t="s">
        <v>193</v>
      </c>
      <c r="B378" s="324" t="s">
        <v>340</v>
      </c>
      <c r="C378" s="321" t="s">
        <v>63</v>
      </c>
      <c r="D378" s="321">
        <f>Бюджет_Конт!$H$8</f>
        <v>5</v>
      </c>
      <c r="E378" s="321">
        <f>Бюджет_Конт!$H$18</f>
        <v>1</v>
      </c>
      <c r="F378" s="319"/>
      <c r="G378" s="319"/>
      <c r="H378" s="319"/>
      <c r="I378" s="319">
        <f>H378*E378</f>
        <v>0</v>
      </c>
      <c r="J378" s="319">
        <v>72</v>
      </c>
      <c r="K378" s="323">
        <f>0.3*D378</f>
        <v>1.5</v>
      </c>
      <c r="L378" s="319"/>
      <c r="M378" s="247"/>
      <c r="N378" s="124"/>
      <c r="O378" s="124"/>
      <c r="P378" s="124"/>
      <c r="Q378" s="239">
        <f>IF(K378&gt;0,0.05*G378,IF(M378&gt;0,0.05*G378+1*E378,0))</f>
        <v>0</v>
      </c>
      <c r="R378" s="124"/>
      <c r="S378" s="124"/>
      <c r="T378" s="124"/>
      <c r="U378" s="124"/>
      <c r="V378" s="124"/>
      <c r="W378" s="124"/>
      <c r="X378" s="124"/>
      <c r="Y378" s="124"/>
      <c r="Z378" s="124"/>
      <c r="AA378" s="124"/>
      <c r="AB378" s="124"/>
      <c r="AC378" s="124"/>
      <c r="AD378" s="124"/>
      <c r="AE378" s="124"/>
      <c r="AF378" s="124"/>
      <c r="AG378" s="124"/>
      <c r="AH378" s="124"/>
      <c r="AI378" s="124"/>
      <c r="AJ378" s="124">
        <f>SUM(G378,I378:AI378)</f>
        <v>73.5</v>
      </c>
      <c r="AK378" s="122">
        <v>10</v>
      </c>
      <c r="AL378" s="125"/>
      <c r="AM378" s="126"/>
      <c r="AN378" s="126"/>
    </row>
    <row r="379" spans="1:40" s="138" customFormat="1" ht="17.25" customHeight="1" x14ac:dyDescent="0.2">
      <c r="A379" s="122" t="s">
        <v>278</v>
      </c>
      <c r="B379" s="324" t="s">
        <v>186</v>
      </c>
      <c r="C379" s="321" t="s">
        <v>63</v>
      </c>
      <c r="D379" s="321">
        <f>Бюджет_Конт!$H$8</f>
        <v>5</v>
      </c>
      <c r="E379" s="321">
        <f>Бюджет_Конт!$H$18</f>
        <v>1</v>
      </c>
      <c r="F379" s="319">
        <v>36</v>
      </c>
      <c r="G379" s="319">
        <f>F379</f>
        <v>36</v>
      </c>
      <c r="H379" s="319">
        <v>36</v>
      </c>
      <c r="I379" s="319">
        <f>H379*E379</f>
        <v>36</v>
      </c>
      <c r="J379" s="319"/>
      <c r="K379" s="323"/>
      <c r="L379" s="319"/>
      <c r="M379" s="247">
        <f>0.4*D379</f>
        <v>2</v>
      </c>
      <c r="N379" s="124"/>
      <c r="O379" s="124"/>
      <c r="P379" s="124"/>
      <c r="Q379" s="239">
        <f t="shared" si="142"/>
        <v>2.8</v>
      </c>
      <c r="R379" s="124"/>
      <c r="S379" s="124"/>
      <c r="T379" s="124"/>
      <c r="U379" s="124"/>
      <c r="V379" s="124"/>
      <c r="W379" s="124"/>
      <c r="X379" s="124"/>
      <c r="Y379" s="124"/>
      <c r="Z379" s="124"/>
      <c r="AA379" s="124"/>
      <c r="AB379" s="124"/>
      <c r="AC379" s="124"/>
      <c r="AD379" s="124"/>
      <c r="AE379" s="124"/>
      <c r="AF379" s="124"/>
      <c r="AG379" s="124"/>
      <c r="AH379" s="124"/>
      <c r="AI379" s="124">
        <f>6*E379</f>
        <v>6</v>
      </c>
      <c r="AJ379" s="124">
        <f t="shared" si="143"/>
        <v>82.8</v>
      </c>
      <c r="AK379" s="122">
        <v>8</v>
      </c>
      <c r="AL379" s="125"/>
      <c r="AM379" s="126"/>
      <c r="AN379" s="126"/>
    </row>
    <row r="380" spans="1:40" s="138" customFormat="1" ht="36" x14ac:dyDescent="0.2">
      <c r="A380" s="122" t="s">
        <v>279</v>
      </c>
      <c r="B380" s="324" t="s">
        <v>575</v>
      </c>
      <c r="C380" s="321" t="s">
        <v>63</v>
      </c>
      <c r="D380" s="321">
        <f>Бюджет_Конт!$H$8</f>
        <v>5</v>
      </c>
      <c r="E380" s="321">
        <f>Бюджет_Конт!$H$18</f>
        <v>1</v>
      </c>
      <c r="F380" s="319">
        <v>34</v>
      </c>
      <c r="G380" s="319">
        <f>F380</f>
        <v>34</v>
      </c>
      <c r="H380" s="319">
        <v>34</v>
      </c>
      <c r="I380" s="319">
        <f>H380*E380</f>
        <v>34</v>
      </c>
      <c r="J380" s="319"/>
      <c r="K380" s="323">
        <f>0.3*D380</f>
        <v>1.5</v>
      </c>
      <c r="L380" s="319"/>
      <c r="M380" s="247"/>
      <c r="N380" s="124"/>
      <c r="O380" s="124"/>
      <c r="P380" s="124"/>
      <c r="Q380" s="239">
        <f t="shared" si="142"/>
        <v>1.7000000000000002</v>
      </c>
      <c r="R380" s="124"/>
      <c r="S380" s="124"/>
      <c r="T380" s="124"/>
      <c r="U380" s="124"/>
      <c r="V380" s="124"/>
      <c r="W380" s="124"/>
      <c r="X380" s="124"/>
      <c r="Y380" s="124"/>
      <c r="Z380" s="124"/>
      <c r="AA380" s="124"/>
      <c r="AB380" s="124"/>
      <c r="AC380" s="124"/>
      <c r="AD380" s="124"/>
      <c r="AE380" s="124"/>
      <c r="AF380" s="124"/>
      <c r="AG380" s="124"/>
      <c r="AH380" s="124"/>
      <c r="AI380" s="124">
        <f>4*E380</f>
        <v>4</v>
      </c>
      <c r="AJ380" s="124">
        <f t="shared" si="143"/>
        <v>75.2</v>
      </c>
      <c r="AK380" s="122">
        <v>8</v>
      </c>
      <c r="AL380" s="125"/>
      <c r="AM380" s="126"/>
      <c r="AN380" s="126"/>
    </row>
    <row r="381" spans="1:40" s="138" customFormat="1" ht="36" x14ac:dyDescent="0.25">
      <c r="A381" s="122" t="s">
        <v>344</v>
      </c>
      <c r="B381" s="333" t="s">
        <v>289</v>
      </c>
      <c r="C381" s="321" t="s">
        <v>63</v>
      </c>
      <c r="D381" s="321">
        <f>Бюджет_Конт!$H$8</f>
        <v>5</v>
      </c>
      <c r="E381" s="321">
        <f>Бюджет_Конт!$H$18</f>
        <v>1</v>
      </c>
      <c r="F381" s="319"/>
      <c r="G381" s="319"/>
      <c r="H381" s="319"/>
      <c r="I381" s="319"/>
      <c r="J381" s="319"/>
      <c r="K381" s="319"/>
      <c r="L381" s="319"/>
      <c r="M381" s="124"/>
      <c r="N381" s="124"/>
      <c r="O381" s="124"/>
      <c r="P381" s="124"/>
      <c r="Q381" s="239">
        <f t="shared" si="142"/>
        <v>0</v>
      </c>
      <c r="R381" s="124"/>
      <c r="S381" s="124"/>
      <c r="T381" s="124">
        <f>1*(6)*D381</f>
        <v>30</v>
      </c>
      <c r="U381" s="124"/>
      <c r="V381" s="124"/>
      <c r="W381" s="124"/>
      <c r="X381" s="124"/>
      <c r="Y381" s="124"/>
      <c r="Z381" s="124"/>
      <c r="AA381" s="124"/>
      <c r="AB381" s="124"/>
      <c r="AC381" s="124"/>
      <c r="AD381" s="124"/>
      <c r="AE381" s="124"/>
      <c r="AF381" s="124"/>
      <c r="AG381" s="124"/>
      <c r="AH381" s="124"/>
      <c r="AI381" s="124"/>
      <c r="AJ381" s="124">
        <f t="shared" si="143"/>
        <v>30</v>
      </c>
      <c r="AK381" s="122" t="s">
        <v>598</v>
      </c>
      <c r="AL381" s="248" t="s">
        <v>600</v>
      </c>
      <c r="AM381" s="126"/>
      <c r="AN381" s="126"/>
    </row>
    <row r="382" spans="1:40" s="138" customFormat="1" ht="18" x14ac:dyDescent="0.2">
      <c r="A382" s="122" t="s">
        <v>341</v>
      </c>
      <c r="B382" s="324" t="s">
        <v>179</v>
      </c>
      <c r="C382" s="321" t="s">
        <v>64</v>
      </c>
      <c r="D382" s="321">
        <f>Бюджет_Конт!$H$8</f>
        <v>5</v>
      </c>
      <c r="E382" s="321">
        <f>Бюджет_Конт!$H$18</f>
        <v>1</v>
      </c>
      <c r="F382" s="319"/>
      <c r="G382" s="319"/>
      <c r="H382" s="319"/>
      <c r="I382" s="319"/>
      <c r="J382" s="319"/>
      <c r="K382" s="319"/>
      <c r="L382" s="319"/>
      <c r="M382" s="124"/>
      <c r="N382" s="124"/>
      <c r="O382" s="124"/>
      <c r="P382" s="124"/>
      <c r="Q382" s="239">
        <f t="shared" si="142"/>
        <v>0</v>
      </c>
      <c r="R382" s="124"/>
      <c r="S382" s="124"/>
      <c r="T382" s="124">
        <f>1*(17+1/3)*D382</f>
        <v>86.666666666666657</v>
      </c>
      <c r="U382" s="124"/>
      <c r="V382" s="124"/>
      <c r="W382" s="124"/>
      <c r="X382" s="124"/>
      <c r="Y382" s="124"/>
      <c r="Z382" s="124"/>
      <c r="AA382" s="124"/>
      <c r="AB382" s="124"/>
      <c r="AC382" s="124"/>
      <c r="AD382" s="124"/>
      <c r="AE382" s="124"/>
      <c r="AF382" s="124"/>
      <c r="AG382" s="124"/>
      <c r="AH382" s="124"/>
      <c r="AI382" s="124"/>
      <c r="AJ382" s="124">
        <f t="shared" si="143"/>
        <v>86.666666666666657</v>
      </c>
      <c r="AK382" s="122" t="s">
        <v>598</v>
      </c>
      <c r="AL382" s="248" t="s">
        <v>600</v>
      </c>
      <c r="AM382" s="126"/>
      <c r="AN382" s="126"/>
    </row>
    <row r="383" spans="1:40" s="138" customFormat="1" ht="18" x14ac:dyDescent="0.2">
      <c r="A383" s="122"/>
      <c r="B383" s="324" t="s">
        <v>187</v>
      </c>
      <c r="C383" s="321" t="s">
        <v>64</v>
      </c>
      <c r="D383" s="321">
        <f>Бюджет_Конт!$H$8</f>
        <v>5</v>
      </c>
      <c r="E383" s="321">
        <f>Бюджет_Конт!$H$18</f>
        <v>1</v>
      </c>
      <c r="F383" s="319"/>
      <c r="G383" s="319"/>
      <c r="H383" s="319"/>
      <c r="I383" s="319"/>
      <c r="J383" s="319"/>
      <c r="K383" s="319"/>
      <c r="L383" s="319"/>
      <c r="M383" s="124"/>
      <c r="N383" s="124"/>
      <c r="O383" s="124"/>
      <c r="P383" s="124"/>
      <c r="Q383" s="239">
        <f t="shared" si="142"/>
        <v>0</v>
      </c>
      <c r="R383" s="124"/>
      <c r="S383" s="124"/>
      <c r="T383" s="124"/>
      <c r="U383" s="124"/>
      <c r="V383" s="124"/>
      <c r="W383" s="124"/>
      <c r="X383" s="124"/>
      <c r="Y383" s="124"/>
      <c r="Z383" s="124"/>
      <c r="AA383" s="124"/>
      <c r="AB383" s="124">
        <f>0.5*D383*7</f>
        <v>17.5</v>
      </c>
      <c r="AC383" s="124"/>
      <c r="AD383" s="124"/>
      <c r="AE383" s="124"/>
      <c r="AF383" s="124"/>
      <c r="AG383" s="124"/>
      <c r="AH383" s="124"/>
      <c r="AI383" s="124"/>
      <c r="AJ383" s="124">
        <f t="shared" si="143"/>
        <v>17.5</v>
      </c>
      <c r="AK383" s="122">
        <v>10</v>
      </c>
      <c r="AL383" s="125"/>
      <c r="AM383" s="126"/>
      <c r="AN383" s="126"/>
    </row>
    <row r="384" spans="1:40" s="138" customFormat="1" ht="18" x14ac:dyDescent="0.2">
      <c r="A384" s="122"/>
      <c r="B384" s="324" t="s">
        <v>180</v>
      </c>
      <c r="C384" s="321" t="s">
        <v>64</v>
      </c>
      <c r="D384" s="321">
        <f>Бюджет_Конт!$H$8</f>
        <v>5</v>
      </c>
      <c r="E384" s="321">
        <f>Бюджет_Конт!$H$18</f>
        <v>1</v>
      </c>
      <c r="F384" s="319"/>
      <c r="G384" s="319"/>
      <c r="H384" s="319"/>
      <c r="I384" s="319"/>
      <c r="J384" s="319"/>
      <c r="K384" s="319"/>
      <c r="L384" s="319"/>
      <c r="M384" s="124"/>
      <c r="N384" s="124"/>
      <c r="O384" s="124"/>
      <c r="P384" s="124"/>
      <c r="Q384" s="239">
        <f t="shared" si="142"/>
        <v>0</v>
      </c>
      <c r="R384" s="124"/>
      <c r="S384" s="124"/>
      <c r="T384" s="124"/>
      <c r="U384" s="124"/>
      <c r="V384" s="124"/>
      <c r="W384" s="124">
        <f>30*D384</f>
        <v>150</v>
      </c>
      <c r="X384" s="124">
        <f>5*D384</f>
        <v>25</v>
      </c>
      <c r="Y384" s="124"/>
      <c r="Z384" s="124"/>
      <c r="AA384" s="124"/>
      <c r="AB384" s="124"/>
      <c r="AC384" s="124"/>
      <c r="AD384" s="124"/>
      <c r="AE384" s="124"/>
      <c r="AF384" s="124"/>
      <c r="AG384" s="124"/>
      <c r="AH384" s="124"/>
      <c r="AI384" s="124"/>
      <c r="AJ384" s="124">
        <f t="shared" si="143"/>
        <v>175</v>
      </c>
      <c r="AK384" s="122" t="s">
        <v>598</v>
      </c>
      <c r="AL384" s="248" t="s">
        <v>600</v>
      </c>
      <c r="AM384" s="126"/>
      <c r="AN384" s="126"/>
    </row>
    <row r="385" spans="1:40" s="138" customFormat="1" ht="18" x14ac:dyDescent="0.2">
      <c r="A385" s="122"/>
      <c r="B385" s="133" t="s">
        <v>231</v>
      </c>
      <c r="C385" s="134"/>
      <c r="D385" s="134"/>
      <c r="E385" s="134"/>
      <c r="F385" s="147">
        <f>SUM(F365:F384)</f>
        <v>392</v>
      </c>
      <c r="G385" s="147">
        <f t="shared" ref="G385:AJ385" si="144">SUM(G365:G384)</f>
        <v>392</v>
      </c>
      <c r="H385" s="147">
        <f t="shared" si="144"/>
        <v>256</v>
      </c>
      <c r="I385" s="147">
        <f t="shared" si="144"/>
        <v>256</v>
      </c>
      <c r="J385" s="147">
        <f t="shared" si="144"/>
        <v>188</v>
      </c>
      <c r="K385" s="147">
        <f t="shared" si="144"/>
        <v>15</v>
      </c>
      <c r="L385" s="147">
        <f t="shared" si="144"/>
        <v>0</v>
      </c>
      <c r="M385" s="147">
        <f t="shared" si="144"/>
        <v>14</v>
      </c>
      <c r="N385" s="147">
        <f t="shared" si="144"/>
        <v>0</v>
      </c>
      <c r="O385" s="147">
        <f t="shared" si="144"/>
        <v>0</v>
      </c>
      <c r="P385" s="147">
        <f t="shared" si="144"/>
        <v>0</v>
      </c>
      <c r="Q385" s="147">
        <f t="shared" si="144"/>
        <v>26.599999999999998</v>
      </c>
      <c r="R385" s="147">
        <f t="shared" si="144"/>
        <v>0</v>
      </c>
      <c r="S385" s="147">
        <f t="shared" si="144"/>
        <v>50</v>
      </c>
      <c r="T385" s="147">
        <f t="shared" si="144"/>
        <v>116.66666666666666</v>
      </c>
      <c r="U385" s="147">
        <f t="shared" si="144"/>
        <v>0</v>
      </c>
      <c r="V385" s="147">
        <f t="shared" si="144"/>
        <v>0</v>
      </c>
      <c r="W385" s="147">
        <f t="shared" si="144"/>
        <v>150</v>
      </c>
      <c r="X385" s="147">
        <f t="shared" si="144"/>
        <v>25</v>
      </c>
      <c r="Y385" s="147">
        <f t="shared" si="144"/>
        <v>0</v>
      </c>
      <c r="Z385" s="147">
        <f t="shared" si="144"/>
        <v>0</v>
      </c>
      <c r="AA385" s="147">
        <f t="shared" si="144"/>
        <v>0</v>
      </c>
      <c r="AB385" s="147">
        <f t="shared" si="144"/>
        <v>17.5</v>
      </c>
      <c r="AC385" s="147">
        <f t="shared" si="144"/>
        <v>0</v>
      </c>
      <c r="AD385" s="147">
        <f t="shared" si="144"/>
        <v>0</v>
      </c>
      <c r="AE385" s="147">
        <f t="shared" si="144"/>
        <v>30</v>
      </c>
      <c r="AF385" s="147">
        <f t="shared" si="144"/>
        <v>0</v>
      </c>
      <c r="AG385" s="147">
        <f t="shared" si="144"/>
        <v>0</v>
      </c>
      <c r="AH385" s="147">
        <f t="shared" si="144"/>
        <v>0</v>
      </c>
      <c r="AI385" s="147">
        <f t="shared" si="144"/>
        <v>29</v>
      </c>
      <c r="AJ385" s="147">
        <f t="shared" si="144"/>
        <v>1309.7666666666667</v>
      </c>
      <c r="AK385" s="124"/>
      <c r="AL385" s="126">
        <f>AJ385-SUM(I385:AI385,G385)</f>
        <v>0</v>
      </c>
      <c r="AM385" s="126"/>
      <c r="AN385" s="126"/>
    </row>
    <row r="386" spans="1:40" s="138" customFormat="1" ht="18" x14ac:dyDescent="0.2">
      <c r="A386" s="122"/>
      <c r="B386" s="131"/>
      <c r="C386" s="122"/>
      <c r="D386" s="122"/>
      <c r="E386" s="122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  <c r="AA386" s="124"/>
      <c r="AB386" s="124"/>
      <c r="AC386" s="124"/>
      <c r="AD386" s="124"/>
      <c r="AE386" s="124"/>
      <c r="AF386" s="124"/>
      <c r="AG386" s="124"/>
      <c r="AH386" s="124"/>
      <c r="AI386" s="124"/>
      <c r="AJ386" s="124"/>
      <c r="AK386" s="124"/>
      <c r="AL386" s="126"/>
      <c r="AM386" s="126"/>
      <c r="AN386" s="126"/>
    </row>
    <row r="387" spans="1:40" s="138" customFormat="1" ht="18" x14ac:dyDescent="0.2">
      <c r="A387" s="122"/>
      <c r="B387" s="131"/>
      <c r="C387" s="122"/>
      <c r="D387" s="122"/>
      <c r="E387" s="122"/>
      <c r="F387" s="124"/>
      <c r="G387" s="124"/>
      <c r="H387" s="124"/>
      <c r="I387" s="124"/>
      <c r="J387" s="124"/>
      <c r="K387" s="265"/>
      <c r="L387" s="342" t="s">
        <v>208</v>
      </c>
      <c r="M387" s="342"/>
      <c r="N387" s="342"/>
      <c r="O387" s="342"/>
      <c r="P387" s="342"/>
      <c r="Q387" s="342"/>
      <c r="R387" s="342"/>
      <c r="S387" s="342"/>
      <c r="T387" s="342"/>
      <c r="U387" s="342"/>
      <c r="V387" s="342"/>
      <c r="W387" s="342"/>
      <c r="X387" s="342"/>
      <c r="Y387" s="342"/>
      <c r="Z387" s="342"/>
      <c r="AA387" s="342"/>
      <c r="AB387" s="265"/>
      <c r="AC387" s="124"/>
      <c r="AD387" s="124"/>
      <c r="AE387" s="124"/>
      <c r="AF387" s="124"/>
      <c r="AG387" s="124"/>
      <c r="AH387" s="124"/>
      <c r="AI387" s="124"/>
      <c r="AJ387" s="124"/>
      <c r="AK387" s="124"/>
      <c r="AL387" s="126"/>
      <c r="AM387" s="126"/>
      <c r="AN387" s="126"/>
    </row>
    <row r="388" spans="1:40" s="138" customFormat="1" ht="36" x14ac:dyDescent="0.2">
      <c r="A388" s="122" t="s">
        <v>284</v>
      </c>
      <c r="B388" s="131" t="s">
        <v>562</v>
      </c>
      <c r="C388" s="122" t="s">
        <v>62</v>
      </c>
      <c r="D388" s="122">
        <f>Бюджет_Конт!$J$7</f>
        <v>12</v>
      </c>
      <c r="E388" s="122">
        <f>Бюджет_Конт!$J$18</f>
        <v>1</v>
      </c>
      <c r="F388" s="124">
        <v>20</v>
      </c>
      <c r="G388" s="124"/>
      <c r="H388" s="124">
        <v>20</v>
      </c>
      <c r="I388" s="124"/>
      <c r="J388" s="124"/>
      <c r="K388" s="121">
        <f>0.3*D388</f>
        <v>3.5999999999999996</v>
      </c>
      <c r="L388" s="141"/>
      <c r="M388" s="141"/>
      <c r="N388" s="141"/>
      <c r="O388" s="141"/>
      <c r="P388" s="141"/>
      <c r="Q388" s="121">
        <f>IF(K388&gt;0,0.05*G388,IF(M388&gt;0,0.05*G388+1*E388,0))</f>
        <v>0</v>
      </c>
      <c r="R388" s="141"/>
      <c r="S388" s="141"/>
      <c r="T388" s="141"/>
      <c r="U388" s="141"/>
      <c r="V388" s="141"/>
      <c r="W388" s="141"/>
      <c r="X388" s="141"/>
      <c r="Y388" s="141"/>
      <c r="Z388" s="141"/>
      <c r="AA388" s="141"/>
      <c r="AB388" s="265"/>
      <c r="AC388" s="124"/>
      <c r="AD388" s="124"/>
      <c r="AE388" s="124"/>
      <c r="AF388" s="124"/>
      <c r="AG388" s="124"/>
      <c r="AH388" s="124"/>
      <c r="AI388" s="124"/>
      <c r="AJ388" s="124">
        <f>SUM(G388,I388:AI388)</f>
        <v>3.5999999999999996</v>
      </c>
      <c r="AK388" s="122">
        <v>7</v>
      </c>
      <c r="AL388" s="126"/>
      <c r="AM388" s="126"/>
      <c r="AN388" s="126"/>
    </row>
    <row r="389" spans="1:40" s="138" customFormat="1" ht="18" x14ac:dyDescent="0.25">
      <c r="A389" s="122" t="s">
        <v>334</v>
      </c>
      <c r="B389" s="232" t="s">
        <v>290</v>
      </c>
      <c r="C389" s="122" t="s">
        <v>62</v>
      </c>
      <c r="D389" s="122">
        <f>Бюджет_Конт!$J$7</f>
        <v>12</v>
      </c>
      <c r="E389" s="122">
        <f>Бюджет_Конт!$J$18</f>
        <v>1</v>
      </c>
      <c r="F389" s="124">
        <v>20</v>
      </c>
      <c r="G389" s="124">
        <f>F389</f>
        <v>20</v>
      </c>
      <c r="H389" s="124">
        <v>20</v>
      </c>
      <c r="I389" s="124">
        <f>H389*E389</f>
        <v>20</v>
      </c>
      <c r="J389" s="124"/>
      <c r="K389" s="121">
        <f>0.3*D389</f>
        <v>3.5999999999999996</v>
      </c>
      <c r="L389" s="141"/>
      <c r="M389" s="141"/>
      <c r="N389" s="141"/>
      <c r="O389" s="141"/>
      <c r="P389" s="141"/>
      <c r="Q389" s="121">
        <f>IF(K389&gt;0,0.05*G389,IF(M389&gt;0,0.05*G389+1*E389,0))</f>
        <v>1</v>
      </c>
      <c r="R389" s="141"/>
      <c r="S389" s="141"/>
      <c r="T389" s="141"/>
      <c r="U389" s="141"/>
      <c r="V389" s="141"/>
      <c r="W389" s="141"/>
      <c r="X389" s="141"/>
      <c r="Y389" s="141"/>
      <c r="Z389" s="141"/>
      <c r="AA389" s="141"/>
      <c r="AB389" s="265"/>
      <c r="AC389" s="124"/>
      <c r="AD389" s="124"/>
      <c r="AE389" s="124"/>
      <c r="AF389" s="124"/>
      <c r="AG389" s="124"/>
      <c r="AH389" s="124"/>
      <c r="AI389" s="124">
        <v>14</v>
      </c>
      <c r="AJ389" s="124">
        <f>SUM(G389,I389:AI389)</f>
        <v>58.6</v>
      </c>
      <c r="AK389" s="122">
        <v>8</v>
      </c>
      <c r="AL389" s="126"/>
      <c r="AM389" s="126"/>
      <c r="AN389" s="126"/>
    </row>
    <row r="390" spans="1:40" s="138" customFormat="1" ht="18" x14ac:dyDescent="0.25">
      <c r="A390" s="122"/>
      <c r="B390" s="232"/>
      <c r="C390" s="122"/>
      <c r="D390" s="122"/>
      <c r="E390" s="122"/>
      <c r="F390" s="124"/>
      <c r="G390" s="124"/>
      <c r="H390" s="124"/>
      <c r="I390" s="124"/>
      <c r="J390" s="124"/>
      <c r="K390" s="343" t="s">
        <v>457</v>
      </c>
      <c r="L390" s="343"/>
      <c r="M390" s="343"/>
      <c r="N390" s="343"/>
      <c r="O390" s="343"/>
      <c r="P390" s="343"/>
      <c r="Q390" s="343"/>
      <c r="R390" s="343"/>
      <c r="S390" s="343"/>
      <c r="T390" s="343"/>
      <c r="U390" s="343"/>
      <c r="V390" s="343"/>
      <c r="W390" s="343"/>
      <c r="X390" s="343"/>
      <c r="Y390" s="343"/>
      <c r="Z390" s="343"/>
      <c r="AA390" s="343"/>
      <c r="AB390" s="343"/>
      <c r="AC390" s="124"/>
      <c r="AD390" s="124"/>
      <c r="AE390" s="124"/>
      <c r="AF390" s="124"/>
      <c r="AG390" s="124"/>
      <c r="AH390" s="124"/>
      <c r="AI390" s="124"/>
      <c r="AJ390" s="124"/>
      <c r="AK390" s="122"/>
      <c r="AL390" s="126"/>
      <c r="AM390" s="126"/>
      <c r="AN390" s="126"/>
    </row>
    <row r="391" spans="1:40" s="138" customFormat="1" ht="17.25" customHeight="1" x14ac:dyDescent="0.2">
      <c r="A391" s="122"/>
      <c r="B391" s="132" t="s">
        <v>604</v>
      </c>
      <c r="C391" s="122"/>
      <c r="D391" s="122"/>
      <c r="E391" s="334"/>
      <c r="F391" s="319"/>
      <c r="G391" s="319">
        <f>F391</f>
        <v>0</v>
      </c>
      <c r="H391" s="319"/>
      <c r="I391" s="319">
        <f>H391*E391</f>
        <v>0</v>
      </c>
      <c r="J391" s="319"/>
      <c r="K391" s="319"/>
      <c r="L391" s="319"/>
      <c r="M391" s="319"/>
      <c r="N391" s="319"/>
      <c r="O391" s="124"/>
      <c r="P391" s="124"/>
      <c r="Q391" s="239">
        <f>IF(K391&gt;0,0.05*G391,IF(M391&gt;0,0.05*G391+1*E391,0))</f>
        <v>0</v>
      </c>
      <c r="R391" s="124"/>
      <c r="S391" s="124"/>
      <c r="T391" s="124"/>
      <c r="U391" s="124"/>
      <c r="V391" s="124"/>
      <c r="W391" s="124"/>
      <c r="X391" s="124"/>
      <c r="Y391" s="124"/>
      <c r="Z391" s="124"/>
      <c r="AA391" s="124"/>
      <c r="AB391" s="124"/>
      <c r="AC391" s="124"/>
      <c r="AD391" s="124"/>
      <c r="AE391" s="124">
        <v>30</v>
      </c>
      <c r="AF391" s="124"/>
      <c r="AG391" s="124"/>
      <c r="AH391" s="124"/>
      <c r="AI391" s="124">
        <f>0*E391</f>
        <v>0</v>
      </c>
      <c r="AJ391" s="124">
        <f>SUM(G391,I391:AI391)</f>
        <v>30</v>
      </c>
      <c r="AK391" s="122">
        <v>7</v>
      </c>
      <c r="AL391" s="125"/>
      <c r="AM391" s="126"/>
      <c r="AN391" s="126"/>
    </row>
    <row r="392" spans="1:40" s="138" customFormat="1" ht="36" x14ac:dyDescent="0.25">
      <c r="A392" s="122" t="s">
        <v>285</v>
      </c>
      <c r="B392" s="232" t="s">
        <v>593</v>
      </c>
      <c r="C392" s="122" t="s">
        <v>63</v>
      </c>
      <c r="D392" s="122">
        <f>Бюджет_Конт!$N$29</f>
        <v>8</v>
      </c>
      <c r="E392" s="321">
        <f>Бюджет_Конт!$J$18</f>
        <v>1</v>
      </c>
      <c r="F392" s="319">
        <v>16</v>
      </c>
      <c r="G392" s="319">
        <f>F392</f>
        <v>16</v>
      </c>
      <c r="H392" s="319"/>
      <c r="I392" s="319">
        <f t="shared" ref="I392:I397" si="145">H392*E392</f>
        <v>0</v>
      </c>
      <c r="J392" s="319">
        <v>34</v>
      </c>
      <c r="K392" s="331">
        <f>0.3*D392</f>
        <v>2.4</v>
      </c>
      <c r="L392" s="320"/>
      <c r="M392" s="320"/>
      <c r="N392" s="320"/>
      <c r="O392" s="141"/>
      <c r="P392" s="141"/>
      <c r="Q392" s="121">
        <f t="shared" ref="Q392:Q399" si="146">IF(K392&gt;0,0.05*G392,IF(M392&gt;0,0.05*G392+1*E392,0))</f>
        <v>0.8</v>
      </c>
      <c r="R392" s="141"/>
      <c r="S392" s="141"/>
      <c r="T392" s="141"/>
      <c r="U392" s="141"/>
      <c r="V392" s="141"/>
      <c r="W392" s="141"/>
      <c r="X392" s="141"/>
      <c r="Y392" s="141"/>
      <c r="Z392" s="141"/>
      <c r="AA392" s="141"/>
      <c r="AB392" s="265"/>
      <c r="AC392" s="124"/>
      <c r="AD392" s="124"/>
      <c r="AE392" s="124"/>
      <c r="AF392" s="124"/>
      <c r="AG392" s="124"/>
      <c r="AH392" s="124"/>
      <c r="AI392" s="124">
        <v>14</v>
      </c>
      <c r="AJ392" s="124">
        <f t="shared" ref="AJ392:AJ399" si="147">SUM(G392,I392:AI392)</f>
        <v>67.199999999999989</v>
      </c>
      <c r="AK392" s="122">
        <v>8</v>
      </c>
      <c r="AL392" s="126"/>
      <c r="AM392" s="126"/>
      <c r="AN392" s="126"/>
    </row>
    <row r="393" spans="1:40" s="138" customFormat="1" ht="18" x14ac:dyDescent="0.25">
      <c r="A393" s="122" t="s">
        <v>192</v>
      </c>
      <c r="B393" s="232" t="s">
        <v>502</v>
      </c>
      <c r="C393" s="122" t="s">
        <v>63</v>
      </c>
      <c r="D393" s="122">
        <f>Бюджет_Конт!$N$29</f>
        <v>8</v>
      </c>
      <c r="E393" s="321">
        <f>Бюджет_Конт!$J$18</f>
        <v>1</v>
      </c>
      <c r="F393" s="319">
        <v>34</v>
      </c>
      <c r="G393" s="319">
        <f t="shared" ref="G393:G397" si="148">F393</f>
        <v>34</v>
      </c>
      <c r="H393" s="319">
        <v>34</v>
      </c>
      <c r="I393" s="319">
        <f t="shared" si="145"/>
        <v>34</v>
      </c>
      <c r="J393" s="319"/>
      <c r="K393" s="331">
        <f>0.3*D393</f>
        <v>2.4</v>
      </c>
      <c r="L393" s="320"/>
      <c r="M393" s="320"/>
      <c r="N393" s="320"/>
      <c r="O393" s="141"/>
      <c r="P393" s="141"/>
      <c r="Q393" s="121">
        <f t="shared" si="146"/>
        <v>1.7000000000000002</v>
      </c>
      <c r="R393" s="141"/>
      <c r="S393" s="141"/>
      <c r="T393" s="141"/>
      <c r="U393" s="141"/>
      <c r="V393" s="141"/>
      <c r="W393" s="141"/>
      <c r="X393" s="141"/>
      <c r="Y393" s="141"/>
      <c r="Z393" s="141"/>
      <c r="AA393" s="141"/>
      <c r="AB393" s="265"/>
      <c r="AC393" s="124"/>
      <c r="AD393" s="124"/>
      <c r="AE393" s="124"/>
      <c r="AF393" s="124"/>
      <c r="AG393" s="124"/>
      <c r="AH393" s="124"/>
      <c r="AI393" s="124">
        <v>18</v>
      </c>
      <c r="AJ393" s="124">
        <f t="shared" si="147"/>
        <v>90.100000000000009</v>
      </c>
      <c r="AK393" s="122">
        <v>7</v>
      </c>
      <c r="AL393" s="126"/>
      <c r="AM393" s="126"/>
      <c r="AN393" s="126"/>
    </row>
    <row r="394" spans="1:40" s="138" customFormat="1" ht="18" x14ac:dyDescent="0.25">
      <c r="A394" s="122" t="s">
        <v>572</v>
      </c>
      <c r="B394" s="232" t="s">
        <v>571</v>
      </c>
      <c r="C394" s="122" t="s">
        <v>63</v>
      </c>
      <c r="D394" s="122">
        <f>Бюджет_Конт!$N$29</f>
        <v>8</v>
      </c>
      <c r="E394" s="321">
        <f>Бюджет_Конт!$J$18</f>
        <v>1</v>
      </c>
      <c r="F394" s="319">
        <v>34</v>
      </c>
      <c r="G394" s="319">
        <f t="shared" si="148"/>
        <v>34</v>
      </c>
      <c r="H394" s="319">
        <v>34</v>
      </c>
      <c r="I394" s="319">
        <f t="shared" si="145"/>
        <v>34</v>
      </c>
      <c r="J394" s="319"/>
      <c r="K394" s="331"/>
      <c r="L394" s="320"/>
      <c r="M394" s="320">
        <f>0.4*D394</f>
        <v>3.2</v>
      </c>
      <c r="N394" s="320"/>
      <c r="O394" s="141"/>
      <c r="P394" s="141"/>
      <c r="Q394" s="121">
        <f t="shared" si="146"/>
        <v>2.7</v>
      </c>
      <c r="R394" s="141"/>
      <c r="S394" s="141"/>
      <c r="T394" s="141"/>
      <c r="U394" s="141"/>
      <c r="V394" s="141"/>
      <c r="W394" s="141"/>
      <c r="X394" s="141"/>
      <c r="Y394" s="141"/>
      <c r="Z394" s="141"/>
      <c r="AA394" s="141"/>
      <c r="AB394" s="265"/>
      <c r="AC394" s="124"/>
      <c r="AD394" s="124"/>
      <c r="AE394" s="124"/>
      <c r="AF394" s="124"/>
      <c r="AG394" s="124"/>
      <c r="AH394" s="124"/>
      <c r="AI394" s="124">
        <v>12</v>
      </c>
      <c r="AJ394" s="124">
        <f t="shared" si="147"/>
        <v>85.9</v>
      </c>
      <c r="AK394" s="122">
        <v>7</v>
      </c>
      <c r="AL394" s="126"/>
      <c r="AM394" s="126"/>
      <c r="AN394" s="126"/>
    </row>
    <row r="395" spans="1:40" s="267" customFormat="1" ht="18" x14ac:dyDescent="0.25">
      <c r="A395" s="122" t="s">
        <v>280</v>
      </c>
      <c r="B395" s="232" t="s">
        <v>573</v>
      </c>
      <c r="C395" s="122" t="s">
        <v>63</v>
      </c>
      <c r="D395" s="122">
        <f>Бюджет_Конт!$N$29</f>
        <v>8</v>
      </c>
      <c r="E395" s="321">
        <f>Бюджет_Конт!$J$18</f>
        <v>1</v>
      </c>
      <c r="F395" s="319">
        <v>34</v>
      </c>
      <c r="G395" s="319">
        <f>F395</f>
        <v>34</v>
      </c>
      <c r="H395" s="319">
        <v>34</v>
      </c>
      <c r="I395" s="319">
        <f t="shared" si="145"/>
        <v>34</v>
      </c>
      <c r="J395" s="319"/>
      <c r="K395" s="331"/>
      <c r="L395" s="320"/>
      <c r="M395" s="320">
        <f>0.4*D395</f>
        <v>3.2</v>
      </c>
      <c r="N395" s="320"/>
      <c r="O395" s="141"/>
      <c r="P395" s="141"/>
      <c r="Q395" s="121">
        <f t="shared" si="146"/>
        <v>2.7</v>
      </c>
      <c r="R395" s="141"/>
      <c r="S395" s="141"/>
      <c r="T395" s="141"/>
      <c r="U395" s="141"/>
      <c r="V395" s="141"/>
      <c r="W395" s="141"/>
      <c r="X395" s="141"/>
      <c r="Y395" s="141"/>
      <c r="Z395" s="141"/>
      <c r="AA395" s="141"/>
      <c r="AB395" s="265"/>
      <c r="AC395" s="124"/>
      <c r="AD395" s="124"/>
      <c r="AE395" s="124"/>
      <c r="AF395" s="124"/>
      <c r="AG395" s="124"/>
      <c r="AH395" s="124"/>
      <c r="AI395" s="124">
        <v>6</v>
      </c>
      <c r="AJ395" s="124">
        <f t="shared" si="147"/>
        <v>79.900000000000006</v>
      </c>
      <c r="AK395" s="122">
        <v>7</v>
      </c>
      <c r="AL395" s="266"/>
      <c r="AM395" s="266"/>
      <c r="AN395" s="266"/>
    </row>
    <row r="396" spans="1:40" s="138" customFormat="1" ht="18" x14ac:dyDescent="0.25">
      <c r="A396" s="268" t="s">
        <v>412</v>
      </c>
      <c r="B396" s="269" t="s">
        <v>339</v>
      </c>
      <c r="C396" s="268" t="s">
        <v>63</v>
      </c>
      <c r="D396" s="268">
        <f>Бюджет_Конт!$N$29</f>
        <v>8</v>
      </c>
      <c r="E396" s="335">
        <f>Бюджет_Конт!$J$18</f>
        <v>1</v>
      </c>
      <c r="F396" s="336"/>
      <c r="G396" s="336"/>
      <c r="H396" s="336"/>
      <c r="I396" s="336"/>
      <c r="J396" s="336"/>
      <c r="K396" s="337"/>
      <c r="L396" s="338"/>
      <c r="M396" s="338"/>
      <c r="N396" s="338"/>
      <c r="O396" s="272"/>
      <c r="P396" s="272"/>
      <c r="Q396" s="271">
        <f t="shared" si="146"/>
        <v>0</v>
      </c>
      <c r="R396" s="272"/>
      <c r="S396" s="124">
        <f>1*(6)*D396</f>
        <v>48</v>
      </c>
      <c r="T396" s="272"/>
      <c r="U396" s="272"/>
      <c r="V396" s="272"/>
      <c r="W396" s="272"/>
      <c r="X396" s="272"/>
      <c r="Y396" s="272"/>
      <c r="Z396" s="272"/>
      <c r="AA396" s="272"/>
      <c r="AB396" s="273"/>
      <c r="AC396" s="270"/>
      <c r="AD396" s="270"/>
      <c r="AE396" s="270"/>
      <c r="AF396" s="270"/>
      <c r="AG396" s="270"/>
      <c r="AH396" s="270"/>
      <c r="AI396" s="270"/>
      <c r="AJ396" s="270">
        <f t="shared" si="147"/>
        <v>48</v>
      </c>
      <c r="AK396" s="268">
        <v>7</v>
      </c>
      <c r="AL396" s="126"/>
      <c r="AM396" s="126"/>
      <c r="AN396" s="126"/>
    </row>
    <row r="397" spans="1:40" s="138" customFormat="1" ht="18" x14ac:dyDescent="0.25">
      <c r="A397" s="122" t="s">
        <v>574</v>
      </c>
      <c r="B397" s="232" t="s">
        <v>389</v>
      </c>
      <c r="C397" s="122" t="s">
        <v>64</v>
      </c>
      <c r="D397" s="122">
        <f>Бюджет_Конт!$N$29</f>
        <v>8</v>
      </c>
      <c r="E397" s="321">
        <f>Бюджет_Конт!$J$18</f>
        <v>1</v>
      </c>
      <c r="F397" s="319"/>
      <c r="G397" s="319">
        <f t="shared" si="148"/>
        <v>0</v>
      </c>
      <c r="H397" s="319"/>
      <c r="I397" s="319">
        <f t="shared" si="145"/>
        <v>0</v>
      </c>
      <c r="J397" s="319"/>
      <c r="K397" s="331"/>
      <c r="L397" s="320"/>
      <c r="M397" s="320"/>
      <c r="N397" s="320"/>
      <c r="O397" s="141"/>
      <c r="P397" s="141"/>
      <c r="Q397" s="121">
        <f t="shared" si="146"/>
        <v>0</v>
      </c>
      <c r="R397" s="141"/>
      <c r="S397" s="141"/>
      <c r="T397" s="141">
        <f>1*(17+1/3)*D397</f>
        <v>138.66666666666666</v>
      </c>
      <c r="U397" s="141"/>
      <c r="V397" s="141"/>
      <c r="W397" s="141"/>
      <c r="X397" s="141"/>
      <c r="Y397" s="141"/>
      <c r="Z397" s="141"/>
      <c r="AA397" s="141"/>
      <c r="AB397" s="265"/>
      <c r="AC397" s="124"/>
      <c r="AD397" s="124"/>
      <c r="AE397" s="124"/>
      <c r="AF397" s="124"/>
      <c r="AG397" s="124"/>
      <c r="AH397" s="124"/>
      <c r="AI397" s="124"/>
      <c r="AJ397" s="124">
        <f t="shared" si="147"/>
        <v>138.66666666666666</v>
      </c>
      <c r="AK397" s="122">
        <v>7</v>
      </c>
      <c r="AL397" s="126"/>
      <c r="AM397" s="126"/>
      <c r="AN397" s="126"/>
    </row>
    <row r="398" spans="1:40" s="138" customFormat="1" ht="18" x14ac:dyDescent="0.2">
      <c r="A398" s="122"/>
      <c r="B398" s="132" t="s">
        <v>187</v>
      </c>
      <c r="C398" s="122" t="s">
        <v>64</v>
      </c>
      <c r="D398" s="122">
        <f>Бюджет_Конт!$N$29</f>
        <v>8</v>
      </c>
      <c r="E398" s="321">
        <f>Бюджет_Конт!$J$18</f>
        <v>1</v>
      </c>
      <c r="F398" s="319"/>
      <c r="G398" s="319"/>
      <c r="H398" s="319"/>
      <c r="I398" s="319"/>
      <c r="J398" s="319"/>
      <c r="K398" s="319"/>
      <c r="L398" s="319"/>
      <c r="M398" s="319"/>
      <c r="N398" s="319"/>
      <c r="O398" s="124"/>
      <c r="P398" s="124"/>
      <c r="Q398" s="239">
        <f t="shared" si="146"/>
        <v>0</v>
      </c>
      <c r="R398" s="124"/>
      <c r="S398" s="124"/>
      <c r="T398" s="124"/>
      <c r="U398" s="124"/>
      <c r="V398" s="124"/>
      <c r="W398" s="124"/>
      <c r="X398" s="124"/>
      <c r="Y398" s="124"/>
      <c r="Z398" s="124"/>
      <c r="AA398" s="124"/>
      <c r="AB398" s="124">
        <f>0.5*D398*7</f>
        <v>28</v>
      </c>
      <c r="AC398" s="124"/>
      <c r="AD398" s="124"/>
      <c r="AE398" s="124"/>
      <c r="AF398" s="124"/>
      <c r="AG398" s="124"/>
      <c r="AH398" s="124"/>
      <c r="AI398" s="124"/>
      <c r="AJ398" s="124">
        <f t="shared" si="147"/>
        <v>28</v>
      </c>
      <c r="AK398" s="122" t="s">
        <v>282</v>
      </c>
      <c r="AL398" s="248" t="s">
        <v>503</v>
      </c>
      <c r="AM398" s="126"/>
      <c r="AN398" s="126"/>
    </row>
    <row r="399" spans="1:40" s="138" customFormat="1" ht="18" x14ac:dyDescent="0.2">
      <c r="A399" s="122"/>
      <c r="B399" s="132" t="s">
        <v>180</v>
      </c>
      <c r="C399" s="122" t="s">
        <v>64</v>
      </c>
      <c r="D399" s="122">
        <f>Бюджет_Конт!$N$29</f>
        <v>8</v>
      </c>
      <c r="E399" s="122">
        <f>Бюджет_Конт!$J$18</f>
        <v>1</v>
      </c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239">
        <f t="shared" si="146"/>
        <v>0</v>
      </c>
      <c r="R399" s="124"/>
      <c r="S399" s="124"/>
      <c r="T399" s="124"/>
      <c r="U399" s="124"/>
      <c r="V399" s="124"/>
      <c r="W399" s="124">
        <f>30*D399</f>
        <v>240</v>
      </c>
      <c r="X399" s="124">
        <f>5*D399</f>
        <v>40</v>
      </c>
      <c r="Y399" s="124"/>
      <c r="Z399" s="124"/>
      <c r="AA399" s="124"/>
      <c r="AB399" s="124"/>
      <c r="AC399" s="124"/>
      <c r="AD399" s="124"/>
      <c r="AE399" s="124"/>
      <c r="AF399" s="124"/>
      <c r="AG399" s="124"/>
      <c r="AH399" s="124"/>
      <c r="AI399" s="124"/>
      <c r="AJ399" s="124">
        <f t="shared" si="147"/>
        <v>280</v>
      </c>
      <c r="AK399" s="122">
        <v>7</v>
      </c>
      <c r="AL399" s="125"/>
      <c r="AM399" s="126"/>
      <c r="AN399" s="126"/>
    </row>
    <row r="400" spans="1:40" s="138" customFormat="1" ht="17.25" customHeight="1" x14ac:dyDescent="0.2">
      <c r="A400" s="122"/>
      <c r="B400" s="132"/>
      <c r="C400" s="122"/>
      <c r="D400" s="122"/>
      <c r="E400" s="122"/>
      <c r="F400" s="124"/>
      <c r="G400" s="124"/>
      <c r="H400" s="124"/>
      <c r="I400" s="124"/>
      <c r="J400" s="124"/>
      <c r="K400" s="343" t="s">
        <v>342</v>
      </c>
      <c r="L400" s="343"/>
      <c r="M400" s="343"/>
      <c r="N400" s="343"/>
      <c r="O400" s="343"/>
      <c r="P400" s="343"/>
      <c r="Q400" s="343"/>
      <c r="R400" s="343"/>
      <c r="S400" s="343"/>
      <c r="T400" s="343"/>
      <c r="U400" s="343"/>
      <c r="V400" s="343"/>
      <c r="W400" s="343"/>
      <c r="X400" s="343"/>
      <c r="Y400" s="343"/>
      <c r="Z400" s="343"/>
      <c r="AA400" s="343"/>
      <c r="AB400" s="343"/>
      <c r="AC400" s="124"/>
      <c r="AD400" s="124"/>
      <c r="AE400" s="124"/>
      <c r="AF400" s="124"/>
      <c r="AG400" s="124"/>
      <c r="AH400" s="124"/>
      <c r="AI400" s="124"/>
      <c r="AJ400" s="150"/>
      <c r="AK400" s="136"/>
      <c r="AL400" s="126"/>
      <c r="AM400" s="126"/>
      <c r="AN400" s="126"/>
    </row>
    <row r="401" spans="1:40" s="138" customFormat="1" ht="17.25" customHeight="1" x14ac:dyDescent="0.2">
      <c r="A401" s="122" t="s">
        <v>335</v>
      </c>
      <c r="B401" s="132" t="s">
        <v>563</v>
      </c>
      <c r="C401" s="122" t="s">
        <v>62</v>
      </c>
      <c r="D401" s="122">
        <f>Бюджет_Конт!$L$28</f>
        <v>9</v>
      </c>
      <c r="E401" s="122">
        <f>Бюджет_Конт!$J$18</f>
        <v>1</v>
      </c>
      <c r="F401" s="124"/>
      <c r="G401" s="124"/>
      <c r="H401" s="124"/>
      <c r="I401" s="124"/>
      <c r="J401" s="124">
        <v>60</v>
      </c>
      <c r="K401" s="121">
        <f>0.3*D401</f>
        <v>2.6999999999999997</v>
      </c>
      <c r="L401" s="265"/>
      <c r="M401" s="265"/>
      <c r="N401" s="265"/>
      <c r="O401" s="265"/>
      <c r="P401" s="265"/>
      <c r="Q401" s="239">
        <f t="shared" ref="Q401:Q408" si="149">IF(K401&gt;0,0.05*G401,IF(M401&gt;0,0.05*G401+1*E401,0))</f>
        <v>0</v>
      </c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124"/>
      <c r="AD401" s="124"/>
      <c r="AE401" s="124"/>
      <c r="AF401" s="124"/>
      <c r="AG401" s="124"/>
      <c r="AH401" s="124"/>
      <c r="AI401" s="124">
        <v>6</v>
      </c>
      <c r="AJ401" s="124">
        <f>SUM(G401,I401:AI401)</f>
        <v>68.7</v>
      </c>
      <c r="AK401" s="122">
        <v>7</v>
      </c>
      <c r="AL401" s="126"/>
      <c r="AM401" s="126"/>
      <c r="AN401" s="126"/>
    </row>
    <row r="402" spans="1:40" s="138" customFormat="1" ht="17.25" customHeight="1" x14ac:dyDescent="0.2">
      <c r="A402" s="122" t="s">
        <v>337</v>
      </c>
      <c r="B402" s="132" t="s">
        <v>564</v>
      </c>
      <c r="C402" s="122" t="s">
        <v>61</v>
      </c>
      <c r="D402" s="122">
        <f>Бюджет_Конт!$L$28</f>
        <v>9</v>
      </c>
      <c r="E402" s="122">
        <f>Бюджет_Конт!$J$18</f>
        <v>1</v>
      </c>
      <c r="F402" s="124">
        <v>36</v>
      </c>
      <c r="G402" s="124">
        <f>F402</f>
        <v>36</v>
      </c>
      <c r="H402" s="124">
        <v>36</v>
      </c>
      <c r="I402" s="124">
        <f>H402*E402</f>
        <v>36</v>
      </c>
      <c r="J402" s="124"/>
      <c r="K402" s="121">
        <f>0.3*D402</f>
        <v>2.6999999999999997</v>
      </c>
      <c r="L402" s="265"/>
      <c r="M402" s="265"/>
      <c r="N402" s="265"/>
      <c r="O402" s="265"/>
      <c r="P402" s="265"/>
      <c r="Q402" s="239">
        <f t="shared" si="149"/>
        <v>1.8</v>
      </c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124"/>
      <c r="AD402" s="124"/>
      <c r="AE402" s="124"/>
      <c r="AF402" s="124"/>
      <c r="AG402" s="124"/>
      <c r="AH402" s="124"/>
      <c r="AI402" s="124"/>
      <c r="AJ402" s="124">
        <f t="shared" ref="AJ402:AJ408" si="150">SUM(G402,I402:AI402)</f>
        <v>76.5</v>
      </c>
      <c r="AK402" s="122">
        <v>7</v>
      </c>
      <c r="AL402" s="126"/>
      <c r="AM402" s="126"/>
      <c r="AN402" s="126"/>
    </row>
    <row r="403" spans="1:40" s="138" customFormat="1" ht="17.25" customHeight="1" x14ac:dyDescent="0.2">
      <c r="A403" s="122" t="s">
        <v>565</v>
      </c>
      <c r="B403" s="132" t="s">
        <v>566</v>
      </c>
      <c r="C403" s="122" t="s">
        <v>62</v>
      </c>
      <c r="D403" s="122">
        <f>Бюджет_Конт!$L$28</f>
        <v>9</v>
      </c>
      <c r="E403" s="122">
        <f>Бюджет_Конт!$J$18</f>
        <v>1</v>
      </c>
      <c r="F403" s="124">
        <v>40</v>
      </c>
      <c r="G403" s="124">
        <f t="shared" ref="G403:G408" si="151">F403</f>
        <v>40</v>
      </c>
      <c r="H403" s="124"/>
      <c r="I403" s="124">
        <f t="shared" ref="I403:I408" si="152">H403*E403</f>
        <v>0</v>
      </c>
      <c r="J403" s="124">
        <v>20</v>
      </c>
      <c r="K403" s="121">
        <f>0.3*D403</f>
        <v>2.6999999999999997</v>
      </c>
      <c r="L403" s="265"/>
      <c r="M403" s="265"/>
      <c r="N403" s="265"/>
      <c r="O403" s="265"/>
      <c r="P403" s="265"/>
      <c r="Q403" s="239">
        <f t="shared" si="149"/>
        <v>2</v>
      </c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124"/>
      <c r="AD403" s="124"/>
      <c r="AE403" s="124"/>
      <c r="AF403" s="124"/>
      <c r="AG403" s="124"/>
      <c r="AH403" s="124"/>
      <c r="AI403" s="124">
        <v>4</v>
      </c>
      <c r="AJ403" s="124">
        <f t="shared" si="150"/>
        <v>68.7</v>
      </c>
      <c r="AK403" s="122">
        <v>7</v>
      </c>
      <c r="AL403" s="126"/>
      <c r="AM403" s="126"/>
      <c r="AN403" s="126"/>
    </row>
    <row r="404" spans="1:40" s="138" customFormat="1" ht="17.25" customHeight="1" x14ac:dyDescent="0.2">
      <c r="A404" s="122" t="s">
        <v>191</v>
      </c>
      <c r="B404" s="132" t="s">
        <v>567</v>
      </c>
      <c r="C404" s="122" t="s">
        <v>61</v>
      </c>
      <c r="D404" s="122">
        <f>Бюджет_Конт!$L$28</f>
        <v>9</v>
      </c>
      <c r="E404" s="122">
        <f>Бюджет_Конт!$J$18</f>
        <v>1</v>
      </c>
      <c r="F404" s="124">
        <v>36</v>
      </c>
      <c r="G404" s="124">
        <f t="shared" si="151"/>
        <v>36</v>
      </c>
      <c r="H404" s="124"/>
      <c r="I404" s="124">
        <f t="shared" si="152"/>
        <v>0</v>
      </c>
      <c r="J404" s="124">
        <v>36</v>
      </c>
      <c r="K404" s="265"/>
      <c r="L404" s="265"/>
      <c r="M404" s="141">
        <f>0.4*D404</f>
        <v>3.6</v>
      </c>
      <c r="N404" s="265"/>
      <c r="O404" s="265"/>
      <c r="P404" s="265"/>
      <c r="Q404" s="239">
        <f t="shared" si="149"/>
        <v>2.8</v>
      </c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124"/>
      <c r="AD404" s="124"/>
      <c r="AE404" s="124"/>
      <c r="AF404" s="124"/>
      <c r="AG404" s="124"/>
      <c r="AH404" s="124"/>
      <c r="AI404" s="124">
        <v>8</v>
      </c>
      <c r="AJ404" s="124">
        <f t="shared" si="150"/>
        <v>86.399999999999991</v>
      </c>
      <c r="AK404" s="122">
        <v>7</v>
      </c>
      <c r="AL404" s="126"/>
      <c r="AM404" s="126"/>
      <c r="AN404" s="126"/>
    </row>
    <row r="405" spans="1:40" s="138" customFormat="1" ht="17.25" customHeight="1" x14ac:dyDescent="0.2">
      <c r="A405" s="122" t="s">
        <v>286</v>
      </c>
      <c r="B405" s="132" t="s">
        <v>568</v>
      </c>
      <c r="C405" s="122" t="s">
        <v>61</v>
      </c>
      <c r="D405" s="122">
        <f>Бюджет_Конт!$L$28</f>
        <v>9</v>
      </c>
      <c r="E405" s="122">
        <f>Бюджет_Конт!$J$18</f>
        <v>1</v>
      </c>
      <c r="F405" s="124">
        <v>36</v>
      </c>
      <c r="G405" s="124">
        <f t="shared" si="151"/>
        <v>36</v>
      </c>
      <c r="H405" s="124">
        <v>36</v>
      </c>
      <c r="I405" s="124">
        <f t="shared" si="152"/>
        <v>36</v>
      </c>
      <c r="J405" s="124"/>
      <c r="K405" s="121">
        <f>0.3*D405</f>
        <v>2.6999999999999997</v>
      </c>
      <c r="L405" s="265"/>
      <c r="M405" s="265"/>
      <c r="N405" s="265"/>
      <c r="O405" s="265"/>
      <c r="P405" s="265"/>
      <c r="Q405" s="239">
        <f t="shared" si="149"/>
        <v>1.8</v>
      </c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124"/>
      <c r="AD405" s="124"/>
      <c r="AE405" s="124"/>
      <c r="AF405" s="124"/>
      <c r="AG405" s="124"/>
      <c r="AH405" s="124"/>
      <c r="AI405" s="124">
        <v>14</v>
      </c>
      <c r="AJ405" s="124">
        <f t="shared" si="150"/>
        <v>90.5</v>
      </c>
      <c r="AK405" s="122">
        <v>7</v>
      </c>
      <c r="AL405" s="126"/>
      <c r="AM405" s="126"/>
      <c r="AN405" s="126"/>
    </row>
    <row r="406" spans="1:40" s="138" customFormat="1" ht="17.25" customHeight="1" x14ac:dyDescent="0.2">
      <c r="A406" s="122" t="s">
        <v>286</v>
      </c>
      <c r="B406" s="132" t="s">
        <v>568</v>
      </c>
      <c r="C406" s="122" t="s">
        <v>62</v>
      </c>
      <c r="D406" s="122">
        <f>Бюджет_Конт!$L$28</f>
        <v>9</v>
      </c>
      <c r="E406" s="122">
        <f>Бюджет_Конт!$J$18</f>
        <v>1</v>
      </c>
      <c r="F406" s="124">
        <v>40</v>
      </c>
      <c r="G406" s="124">
        <f t="shared" si="151"/>
        <v>40</v>
      </c>
      <c r="H406" s="124">
        <v>40</v>
      </c>
      <c r="I406" s="124">
        <f t="shared" ref="I406" si="153">H406*E406</f>
        <v>40</v>
      </c>
      <c r="J406" s="124"/>
      <c r="K406" s="121"/>
      <c r="L406" s="265"/>
      <c r="M406" s="141">
        <f>0.4*D406</f>
        <v>3.6</v>
      </c>
      <c r="N406" s="265"/>
      <c r="O406" s="265"/>
      <c r="P406" s="265"/>
      <c r="Q406" s="239">
        <f t="shared" ref="Q406" si="154">IF(K406&gt;0,0.05*G406,IF(M406&gt;0,0.05*G406+1*E406,0))</f>
        <v>3</v>
      </c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124"/>
      <c r="AD406" s="124"/>
      <c r="AE406" s="124"/>
      <c r="AF406" s="124"/>
      <c r="AG406" s="124"/>
      <c r="AH406" s="124"/>
      <c r="AI406" s="124"/>
      <c r="AJ406" s="124">
        <f t="shared" ref="AJ406" si="155">SUM(G406,I406:AI406)</f>
        <v>86.6</v>
      </c>
      <c r="AK406" s="122">
        <v>7</v>
      </c>
      <c r="AL406" s="126"/>
      <c r="AM406" s="126"/>
      <c r="AN406" s="126"/>
    </row>
    <row r="407" spans="1:40" s="138" customFormat="1" ht="17.25" customHeight="1" x14ac:dyDescent="0.2">
      <c r="A407" s="122" t="s">
        <v>344</v>
      </c>
      <c r="B407" s="132" t="s">
        <v>339</v>
      </c>
      <c r="C407" s="122" t="s">
        <v>61</v>
      </c>
      <c r="D407" s="122">
        <f>Бюджет_Конт!$L$28</f>
        <v>9</v>
      </c>
      <c r="E407" s="122">
        <f>Бюджет_Конт!$J$18</f>
        <v>1</v>
      </c>
      <c r="F407" s="124"/>
      <c r="G407" s="124">
        <f t="shared" si="151"/>
        <v>0</v>
      </c>
      <c r="H407" s="124"/>
      <c r="I407" s="124">
        <f t="shared" si="152"/>
        <v>0</v>
      </c>
      <c r="J407" s="124"/>
      <c r="K407" s="265"/>
      <c r="L407" s="265"/>
      <c r="M407" s="265"/>
      <c r="N407" s="265"/>
      <c r="O407" s="265"/>
      <c r="P407" s="265"/>
      <c r="Q407" s="239">
        <f t="shared" si="149"/>
        <v>0</v>
      </c>
      <c r="R407" s="265"/>
      <c r="S407" s="141">
        <f>1*(6)*D407</f>
        <v>54</v>
      </c>
      <c r="T407" s="265"/>
      <c r="U407" s="265"/>
      <c r="V407" s="265"/>
      <c r="W407" s="265"/>
      <c r="X407" s="265"/>
      <c r="Y407" s="265"/>
      <c r="Z407" s="265"/>
      <c r="AA407" s="265"/>
      <c r="AB407" s="265"/>
      <c r="AC407" s="124"/>
      <c r="AD407" s="124"/>
      <c r="AE407" s="124"/>
      <c r="AF407" s="124"/>
      <c r="AG407" s="124"/>
      <c r="AH407" s="124"/>
      <c r="AI407" s="124"/>
      <c r="AJ407" s="124">
        <f t="shared" si="150"/>
        <v>54</v>
      </c>
      <c r="AK407" s="122">
        <v>7</v>
      </c>
      <c r="AL407" s="126"/>
      <c r="AM407" s="126"/>
      <c r="AN407" s="126"/>
    </row>
    <row r="408" spans="1:40" s="138" customFormat="1" ht="36" x14ac:dyDescent="0.2">
      <c r="A408" s="122" t="s">
        <v>207</v>
      </c>
      <c r="B408" s="132" t="s">
        <v>289</v>
      </c>
      <c r="C408" s="122" t="s">
        <v>62</v>
      </c>
      <c r="D408" s="122">
        <f>Бюджет_Конт!$L$28</f>
        <v>9</v>
      </c>
      <c r="E408" s="122">
        <f>Бюджет_Конт!$J$18</f>
        <v>1</v>
      </c>
      <c r="F408" s="124"/>
      <c r="G408" s="124">
        <f t="shared" si="151"/>
        <v>0</v>
      </c>
      <c r="H408" s="124"/>
      <c r="I408" s="124">
        <f t="shared" si="152"/>
        <v>0</v>
      </c>
      <c r="J408" s="124"/>
      <c r="K408" s="265"/>
      <c r="L408" s="265"/>
      <c r="M408" s="265"/>
      <c r="N408" s="265"/>
      <c r="O408" s="265"/>
      <c r="P408" s="265"/>
      <c r="Q408" s="239">
        <f t="shared" si="149"/>
        <v>0</v>
      </c>
      <c r="R408" s="265"/>
      <c r="S408" s="265"/>
      <c r="T408" s="141">
        <f>1*(7+1/3)*D408</f>
        <v>66</v>
      </c>
      <c r="U408" s="265"/>
      <c r="V408" s="265"/>
      <c r="W408" s="265"/>
      <c r="X408" s="265"/>
      <c r="Y408" s="265"/>
      <c r="Z408" s="265"/>
      <c r="AA408" s="265"/>
      <c r="AB408" s="265"/>
      <c r="AC408" s="124"/>
      <c r="AD408" s="124"/>
      <c r="AE408" s="124"/>
      <c r="AF408" s="124"/>
      <c r="AG408" s="124"/>
      <c r="AH408" s="124"/>
      <c r="AI408" s="124"/>
      <c r="AJ408" s="124">
        <f t="shared" si="150"/>
        <v>66</v>
      </c>
      <c r="AK408" s="122">
        <v>7</v>
      </c>
      <c r="AL408" s="126"/>
      <c r="AM408" s="126"/>
      <c r="AN408" s="126"/>
    </row>
    <row r="409" spans="1:40" s="138" customFormat="1" ht="17.25" customHeight="1" x14ac:dyDescent="0.2">
      <c r="A409" s="122"/>
      <c r="B409" s="132" t="s">
        <v>604</v>
      </c>
      <c r="C409" s="122"/>
      <c r="D409" s="122"/>
      <c r="E409" s="149"/>
      <c r="F409" s="124"/>
      <c r="G409" s="124">
        <f t="shared" ref="G409" si="156">F409</f>
        <v>0</v>
      </c>
      <c r="H409" s="124"/>
      <c r="I409" s="124">
        <f t="shared" ref="I409" si="157">H409*E409</f>
        <v>0</v>
      </c>
      <c r="J409" s="124"/>
      <c r="K409" s="124"/>
      <c r="L409" s="124"/>
      <c r="M409" s="124"/>
      <c r="N409" s="124"/>
      <c r="O409" s="124"/>
      <c r="P409" s="124"/>
      <c r="Q409" s="239">
        <f>IF(K409&gt;0,0.05*G409,IF(M409&gt;0,0.05*G409+1*E409,0))</f>
        <v>0</v>
      </c>
      <c r="R409" s="124"/>
      <c r="S409" s="124"/>
      <c r="T409" s="124"/>
      <c r="U409" s="124"/>
      <c r="V409" s="124"/>
      <c r="W409" s="124"/>
      <c r="X409" s="124"/>
      <c r="Y409" s="124"/>
      <c r="Z409" s="124"/>
      <c r="AA409" s="124"/>
      <c r="AB409" s="124"/>
      <c r="AC409" s="124"/>
      <c r="AD409" s="124"/>
      <c r="AE409" s="124">
        <v>30</v>
      </c>
      <c r="AF409" s="124"/>
      <c r="AG409" s="124"/>
      <c r="AH409" s="124"/>
      <c r="AI409" s="124">
        <f>0*E409</f>
        <v>0</v>
      </c>
      <c r="AJ409" s="124">
        <f>SUM(G409,I409:AI409)</f>
        <v>30</v>
      </c>
      <c r="AK409" s="122">
        <v>7</v>
      </c>
      <c r="AL409" s="125"/>
      <c r="AM409" s="126"/>
      <c r="AN409" s="126"/>
    </row>
    <row r="410" spans="1:40" s="138" customFormat="1" ht="18" x14ac:dyDescent="0.2">
      <c r="A410" s="122"/>
      <c r="B410" s="132"/>
      <c r="C410" s="122"/>
      <c r="D410" s="122"/>
      <c r="E410" s="122"/>
      <c r="F410" s="124"/>
      <c r="G410" s="124"/>
      <c r="H410" s="124"/>
      <c r="I410" s="124"/>
      <c r="J410" s="124"/>
      <c r="K410" s="343" t="s">
        <v>343</v>
      </c>
      <c r="L410" s="343"/>
      <c r="M410" s="343"/>
      <c r="N410" s="343"/>
      <c r="O410" s="343"/>
      <c r="P410" s="343"/>
      <c r="Q410" s="343"/>
      <c r="R410" s="343"/>
      <c r="S410" s="343"/>
      <c r="T410" s="343"/>
      <c r="U410" s="343"/>
      <c r="V410" s="343"/>
      <c r="W410" s="343"/>
      <c r="X410" s="343"/>
      <c r="Y410" s="343"/>
      <c r="Z410" s="343"/>
      <c r="AA410" s="343"/>
      <c r="AB410" s="343"/>
      <c r="AC410" s="124"/>
      <c r="AD410" s="124"/>
      <c r="AE410" s="124"/>
      <c r="AF410" s="124"/>
      <c r="AG410" s="124"/>
      <c r="AH410" s="124"/>
      <c r="AI410" s="124"/>
      <c r="AJ410" s="124">
        <f t="shared" ref="AJ410:AJ420" si="158">SUM(G410,I410:AI410)</f>
        <v>0</v>
      </c>
      <c r="AK410" s="136"/>
      <c r="AL410" s="126"/>
      <c r="AM410" s="126"/>
      <c r="AN410" s="126"/>
    </row>
    <row r="411" spans="1:40" s="138" customFormat="1" ht="36" x14ac:dyDescent="0.25">
      <c r="A411" s="122" t="s">
        <v>335</v>
      </c>
      <c r="B411" s="232" t="s">
        <v>408</v>
      </c>
      <c r="C411" s="122" t="s">
        <v>61</v>
      </c>
      <c r="D411" s="122">
        <f>Бюджет_Конт!$M$28</f>
        <v>3</v>
      </c>
      <c r="E411" s="122">
        <f>Бюджет_Конт!$J$18</f>
        <v>1</v>
      </c>
      <c r="F411" s="124">
        <v>16</v>
      </c>
      <c r="G411" s="124">
        <f>F411</f>
        <v>16</v>
      </c>
      <c r="H411" s="124"/>
      <c r="I411" s="124">
        <f>H411*E411</f>
        <v>0</v>
      </c>
      <c r="J411" s="124">
        <v>34</v>
      </c>
      <c r="K411" s="121">
        <f>0.3*D411</f>
        <v>0.89999999999999991</v>
      </c>
      <c r="L411" s="141"/>
      <c r="M411" s="141"/>
      <c r="N411" s="141"/>
      <c r="O411" s="141"/>
      <c r="P411" s="141"/>
      <c r="Q411" s="121">
        <f>IF(K411&gt;0,0.05*G411,IF(M411&gt;0,0.05*G411+1*E411,0))</f>
        <v>0.8</v>
      </c>
      <c r="R411" s="141"/>
      <c r="S411" s="141"/>
      <c r="T411" s="141"/>
      <c r="U411" s="141"/>
      <c r="V411" s="141"/>
      <c r="W411" s="141"/>
      <c r="X411" s="141"/>
      <c r="Y411" s="141"/>
      <c r="Z411" s="141"/>
      <c r="AA411" s="141"/>
      <c r="AB411" s="265"/>
      <c r="AC411" s="124"/>
      <c r="AD411" s="124"/>
      <c r="AE411" s="124"/>
      <c r="AF411" s="124"/>
      <c r="AG411" s="124"/>
      <c r="AH411" s="124"/>
      <c r="AI411" s="124"/>
      <c r="AJ411" s="124">
        <f>SUM(G411,I411:AI411)</f>
        <v>51.699999999999996</v>
      </c>
      <c r="AK411" s="122">
        <v>8</v>
      </c>
      <c r="AL411" s="126"/>
      <c r="AM411" s="126"/>
      <c r="AN411" s="126"/>
    </row>
    <row r="412" spans="1:40" s="138" customFormat="1" ht="36" x14ac:dyDescent="0.25">
      <c r="A412" s="122" t="s">
        <v>335</v>
      </c>
      <c r="B412" s="232" t="s">
        <v>408</v>
      </c>
      <c r="C412" s="122" t="s">
        <v>62</v>
      </c>
      <c r="D412" s="122">
        <f>Бюджет_Конт!$M$28</f>
        <v>3</v>
      </c>
      <c r="E412" s="122">
        <f>Бюджет_Конт!$J$18</f>
        <v>1</v>
      </c>
      <c r="F412" s="124">
        <v>20</v>
      </c>
      <c r="G412" s="124">
        <f>F412</f>
        <v>20</v>
      </c>
      <c r="H412" s="124"/>
      <c r="I412" s="124">
        <f>H412*E412</f>
        <v>0</v>
      </c>
      <c r="J412" s="124">
        <v>40</v>
      </c>
      <c r="K412" s="121"/>
      <c r="L412" s="141"/>
      <c r="M412" s="141">
        <f>0.4*D412</f>
        <v>1.2000000000000002</v>
      </c>
      <c r="N412" s="141"/>
      <c r="O412" s="141"/>
      <c r="P412" s="141"/>
      <c r="Q412" s="121">
        <f>IF(K412&gt;0,0.05*G412,IF(M412&gt;0,0.05*G412+1*E412,0))</f>
        <v>2</v>
      </c>
      <c r="R412" s="141"/>
      <c r="S412" s="141"/>
      <c r="T412" s="141"/>
      <c r="U412" s="141"/>
      <c r="V412" s="141"/>
      <c r="W412" s="141"/>
      <c r="X412" s="141"/>
      <c r="Y412" s="141"/>
      <c r="Z412" s="141"/>
      <c r="AA412" s="141"/>
      <c r="AB412" s="265"/>
      <c r="AC412" s="124"/>
      <c r="AD412" s="124"/>
      <c r="AE412" s="124"/>
      <c r="AF412" s="124"/>
      <c r="AG412" s="124"/>
      <c r="AH412" s="124"/>
      <c r="AI412" s="124"/>
      <c r="AJ412" s="124">
        <f>SUM(G412,I412:AI412)</f>
        <v>63.2</v>
      </c>
      <c r="AK412" s="122">
        <v>8</v>
      </c>
      <c r="AL412" s="126"/>
      <c r="AM412" s="126"/>
      <c r="AN412" s="126"/>
    </row>
    <row r="413" spans="1:40" s="138" customFormat="1" ht="36" x14ac:dyDescent="0.2">
      <c r="A413" s="122" t="s">
        <v>285</v>
      </c>
      <c r="B413" s="132" t="s">
        <v>409</v>
      </c>
      <c r="C413" s="122" t="s">
        <v>61</v>
      </c>
      <c r="D413" s="122">
        <f>Бюджет_Конт!$M$28</f>
        <v>3</v>
      </c>
      <c r="E413" s="122">
        <f>Бюджет_Конт!$J$18</f>
        <v>1</v>
      </c>
      <c r="F413" s="124">
        <v>34</v>
      </c>
      <c r="G413" s="124">
        <f t="shared" ref="G413:G418" si="159">F413</f>
        <v>34</v>
      </c>
      <c r="H413" s="124"/>
      <c r="I413" s="124">
        <f t="shared" ref="I413:I418" si="160">H413*E413</f>
        <v>0</v>
      </c>
      <c r="J413" s="124"/>
      <c r="K413" s="141"/>
      <c r="L413" s="141"/>
      <c r="M413" s="121">
        <f>0.4*D413</f>
        <v>1.2000000000000002</v>
      </c>
      <c r="N413" s="141"/>
      <c r="O413" s="141"/>
      <c r="P413" s="141"/>
      <c r="Q413" s="239">
        <f t="shared" ref="Q413:Q421" si="161">IF(K413&gt;0,0.05*G413,IF(M413&gt;0,0.05*G413+1*E413,0))</f>
        <v>2.7</v>
      </c>
      <c r="R413" s="141"/>
      <c r="S413" s="141"/>
      <c r="T413" s="141"/>
      <c r="U413" s="141"/>
      <c r="V413" s="141"/>
      <c r="W413" s="141"/>
      <c r="X413" s="141"/>
      <c r="Y413" s="141"/>
      <c r="Z413" s="141"/>
      <c r="AA413" s="141"/>
      <c r="AB413" s="141"/>
      <c r="AC413" s="124"/>
      <c r="AD413" s="124"/>
      <c r="AE413" s="124"/>
      <c r="AF413" s="124"/>
      <c r="AG413" s="124"/>
      <c r="AH413" s="124"/>
      <c r="AI413" s="124"/>
      <c r="AJ413" s="124">
        <f t="shared" si="158"/>
        <v>37.900000000000006</v>
      </c>
      <c r="AK413" s="136">
        <v>8</v>
      </c>
      <c r="AL413" s="126"/>
      <c r="AM413" s="126"/>
      <c r="AN413" s="126"/>
    </row>
    <row r="414" spans="1:40" s="138" customFormat="1" ht="36" x14ac:dyDescent="0.2">
      <c r="A414" s="122" t="s">
        <v>193</v>
      </c>
      <c r="B414" s="132" t="s">
        <v>569</v>
      </c>
      <c r="C414" s="122" t="s">
        <v>62</v>
      </c>
      <c r="D414" s="122">
        <f>Бюджет_Конт!$M$28</f>
        <v>3</v>
      </c>
      <c r="E414" s="122">
        <f>Бюджет_Конт!$J$18</f>
        <v>1</v>
      </c>
      <c r="F414" s="124">
        <v>20</v>
      </c>
      <c r="G414" s="124">
        <f>F414</f>
        <v>20</v>
      </c>
      <c r="H414" s="124"/>
      <c r="I414" s="124"/>
      <c r="J414" s="239">
        <v>40</v>
      </c>
      <c r="K414" s="141">
        <f>0.3*D414</f>
        <v>0.89999999999999991</v>
      </c>
      <c r="L414" s="141"/>
      <c r="M414" s="141"/>
      <c r="N414" s="141"/>
      <c r="O414" s="141"/>
      <c r="P414" s="141"/>
      <c r="Q414" s="239">
        <f t="shared" si="161"/>
        <v>1</v>
      </c>
      <c r="R414" s="141"/>
      <c r="S414" s="141"/>
      <c r="T414" s="141"/>
      <c r="U414" s="141"/>
      <c r="V414" s="141"/>
      <c r="W414" s="141"/>
      <c r="X414" s="141"/>
      <c r="Y414" s="141"/>
      <c r="Z414" s="141"/>
      <c r="AA414" s="141"/>
      <c r="AB414" s="141"/>
      <c r="AC414" s="124"/>
      <c r="AD414" s="124"/>
      <c r="AE414" s="124"/>
      <c r="AF414" s="124"/>
      <c r="AG414" s="124"/>
      <c r="AH414" s="124"/>
      <c r="AI414" s="124"/>
      <c r="AJ414" s="124">
        <f t="shared" si="158"/>
        <v>61.9</v>
      </c>
      <c r="AK414" s="136">
        <v>8</v>
      </c>
      <c r="AL414" s="126"/>
      <c r="AM414" s="126"/>
      <c r="AN414" s="126"/>
    </row>
    <row r="415" spans="1:40" s="138" customFormat="1" ht="18" x14ac:dyDescent="0.2">
      <c r="A415" s="122" t="s">
        <v>199</v>
      </c>
      <c r="B415" s="132" t="s">
        <v>570</v>
      </c>
      <c r="C415" s="122" t="s">
        <v>62</v>
      </c>
      <c r="D415" s="122">
        <f>Бюджет_Конт!$M$28</f>
        <v>3</v>
      </c>
      <c r="E415" s="122">
        <f>Бюджет_Конт!$J$18</f>
        <v>1</v>
      </c>
      <c r="F415" s="124">
        <v>20</v>
      </c>
      <c r="G415" s="124">
        <f t="shared" ref="G415" si="162">F415</f>
        <v>20</v>
      </c>
      <c r="H415" s="124">
        <v>20</v>
      </c>
      <c r="I415" s="124">
        <f t="shared" ref="I415" si="163">H415*E415</f>
        <v>20</v>
      </c>
      <c r="J415" s="124"/>
      <c r="K415" s="141">
        <f>0.3*D415</f>
        <v>0.89999999999999991</v>
      </c>
      <c r="L415" s="141"/>
      <c r="M415" s="141"/>
      <c r="N415" s="141"/>
      <c r="O415" s="141"/>
      <c r="P415" s="141"/>
      <c r="Q415" s="239">
        <f t="shared" ref="Q415" si="164">IF(K415&gt;0,0.05*G415,IF(M415&gt;0,0.05*G415+1*E415,0))</f>
        <v>1</v>
      </c>
      <c r="R415" s="141"/>
      <c r="S415" s="141"/>
      <c r="T415" s="141"/>
      <c r="U415" s="141"/>
      <c r="V415" s="141"/>
      <c r="W415" s="141"/>
      <c r="X415" s="141"/>
      <c r="Y415" s="141"/>
      <c r="Z415" s="141"/>
      <c r="AA415" s="141"/>
      <c r="AB415" s="141"/>
      <c r="AC415" s="124"/>
      <c r="AD415" s="124"/>
      <c r="AE415" s="124"/>
      <c r="AF415" s="124"/>
      <c r="AG415" s="124"/>
      <c r="AH415" s="124"/>
      <c r="AI415" s="124"/>
      <c r="AJ415" s="124">
        <f t="shared" ref="AJ415" si="165">SUM(G415,I415:AI415)</f>
        <v>41.9</v>
      </c>
      <c r="AK415" s="136">
        <v>12</v>
      </c>
      <c r="AL415" s="126"/>
      <c r="AM415" s="126"/>
      <c r="AN415" s="126"/>
    </row>
    <row r="416" spans="1:40" s="138" customFormat="1" ht="18" x14ac:dyDescent="0.2">
      <c r="A416" s="122" t="s">
        <v>287</v>
      </c>
      <c r="B416" s="132" t="s">
        <v>410</v>
      </c>
      <c r="C416" s="122" t="s">
        <v>62</v>
      </c>
      <c r="D416" s="122">
        <f>Бюджет_Конт!$M$28</f>
        <v>3</v>
      </c>
      <c r="E416" s="122">
        <f>Бюджет_Конт!$J$18</f>
        <v>1</v>
      </c>
      <c r="F416" s="124">
        <v>20</v>
      </c>
      <c r="G416" s="124">
        <f t="shared" si="159"/>
        <v>20</v>
      </c>
      <c r="H416" s="124">
        <v>20</v>
      </c>
      <c r="I416" s="124">
        <f t="shared" si="160"/>
        <v>20</v>
      </c>
      <c r="J416" s="124"/>
      <c r="K416" s="141">
        <f>0.3*D416</f>
        <v>0.89999999999999991</v>
      </c>
      <c r="L416" s="141"/>
      <c r="M416" s="141"/>
      <c r="N416" s="141"/>
      <c r="O416" s="141"/>
      <c r="P416" s="141"/>
      <c r="Q416" s="239">
        <f t="shared" si="161"/>
        <v>1</v>
      </c>
      <c r="R416" s="141"/>
      <c r="S416" s="141"/>
      <c r="T416" s="141"/>
      <c r="U416" s="141"/>
      <c r="V416" s="141"/>
      <c r="W416" s="141"/>
      <c r="X416" s="141"/>
      <c r="Y416" s="141"/>
      <c r="Z416" s="141"/>
      <c r="AA416" s="141"/>
      <c r="AB416" s="141"/>
      <c r="AC416" s="124"/>
      <c r="AD416" s="124"/>
      <c r="AE416" s="124"/>
      <c r="AF416" s="124"/>
      <c r="AG416" s="124"/>
      <c r="AH416" s="124"/>
      <c r="AI416" s="124"/>
      <c r="AJ416" s="124">
        <f t="shared" si="158"/>
        <v>41.9</v>
      </c>
      <c r="AK416" s="136">
        <v>8</v>
      </c>
      <c r="AL416" s="126"/>
      <c r="AM416" s="126"/>
      <c r="AN416" s="126"/>
    </row>
    <row r="417" spans="1:40" s="138" customFormat="1" ht="18" x14ac:dyDescent="0.2">
      <c r="A417" s="122" t="s">
        <v>280</v>
      </c>
      <c r="B417" s="132" t="s">
        <v>108</v>
      </c>
      <c r="C417" s="122" t="s">
        <v>62</v>
      </c>
      <c r="D417" s="122">
        <f>Бюджет_Конт!$M$28</f>
        <v>3</v>
      </c>
      <c r="E417" s="122">
        <f>Бюджет_Конт!$J$18</f>
        <v>1</v>
      </c>
      <c r="F417" s="124">
        <v>20</v>
      </c>
      <c r="G417" s="124">
        <f>F417</f>
        <v>20</v>
      </c>
      <c r="H417" s="124">
        <v>20</v>
      </c>
      <c r="I417" s="124">
        <f>H417*E417</f>
        <v>20</v>
      </c>
      <c r="J417" s="124"/>
      <c r="K417" s="141"/>
      <c r="L417" s="141"/>
      <c r="M417" s="121">
        <f>0.4*D417</f>
        <v>1.2000000000000002</v>
      </c>
      <c r="N417" s="141"/>
      <c r="O417" s="141"/>
      <c r="P417" s="141"/>
      <c r="Q417" s="239">
        <f>IF(K417&gt;0,0.05*G417,IF(M417&gt;0,0.05*G417+1*E417,0))</f>
        <v>2</v>
      </c>
      <c r="R417" s="141"/>
      <c r="S417" s="141"/>
      <c r="T417" s="141"/>
      <c r="U417" s="141"/>
      <c r="V417" s="141"/>
      <c r="W417" s="141"/>
      <c r="X417" s="141"/>
      <c r="Y417" s="141"/>
      <c r="Z417" s="141"/>
      <c r="AA417" s="141"/>
      <c r="AB417" s="141"/>
      <c r="AC417" s="124"/>
      <c r="AD417" s="124"/>
      <c r="AE417" s="124"/>
      <c r="AF417" s="124"/>
      <c r="AG417" s="124"/>
      <c r="AH417" s="124"/>
      <c r="AI417" s="124">
        <f>6*E417</f>
        <v>6</v>
      </c>
      <c r="AJ417" s="124">
        <f>SUM(G417,I417:AI417)</f>
        <v>49.2</v>
      </c>
      <c r="AK417" s="136">
        <v>12</v>
      </c>
      <c r="AL417" s="126"/>
      <c r="AM417" s="126"/>
      <c r="AN417" s="126"/>
    </row>
    <row r="418" spans="1:40" s="138" customFormat="1" ht="36" x14ac:dyDescent="0.2">
      <c r="A418" s="122" t="s">
        <v>281</v>
      </c>
      <c r="B418" s="132" t="s">
        <v>411</v>
      </c>
      <c r="C418" s="122" t="s">
        <v>61</v>
      </c>
      <c r="D418" s="122">
        <f>Бюджет_Конт!$M$28</f>
        <v>3</v>
      </c>
      <c r="E418" s="122">
        <f>Бюджет_Конт!$J$18</f>
        <v>1</v>
      </c>
      <c r="F418" s="124"/>
      <c r="G418" s="124">
        <f t="shared" si="159"/>
        <v>0</v>
      </c>
      <c r="H418" s="124"/>
      <c r="I418" s="124">
        <f t="shared" si="160"/>
        <v>0</v>
      </c>
      <c r="J418" s="124">
        <v>68</v>
      </c>
      <c r="K418" s="141">
        <f>0.3*D418</f>
        <v>0.89999999999999991</v>
      </c>
      <c r="L418" s="141"/>
      <c r="M418" s="141"/>
      <c r="N418" s="141"/>
      <c r="O418" s="141"/>
      <c r="P418" s="141"/>
      <c r="Q418" s="239">
        <f t="shared" si="161"/>
        <v>0</v>
      </c>
      <c r="R418" s="141"/>
      <c r="S418" s="141"/>
      <c r="T418" s="141"/>
      <c r="U418" s="141"/>
      <c r="V418" s="141"/>
      <c r="W418" s="141"/>
      <c r="X418" s="141"/>
      <c r="Y418" s="141"/>
      <c r="Z418" s="141"/>
      <c r="AA418" s="141"/>
      <c r="AB418" s="141"/>
      <c r="AC418" s="124"/>
      <c r="AD418" s="124"/>
      <c r="AE418" s="124"/>
      <c r="AF418" s="124"/>
      <c r="AG418" s="124"/>
      <c r="AH418" s="124"/>
      <c r="AI418" s="124">
        <f>2*E418</f>
        <v>2</v>
      </c>
      <c r="AJ418" s="124">
        <f t="shared" si="158"/>
        <v>70.900000000000006</v>
      </c>
      <c r="AK418" s="136">
        <v>8</v>
      </c>
      <c r="AL418" s="126"/>
      <c r="AM418" s="126"/>
      <c r="AN418" s="126"/>
    </row>
    <row r="419" spans="1:40" s="138" customFormat="1" ht="18" x14ac:dyDescent="0.2">
      <c r="A419" s="122" t="s">
        <v>412</v>
      </c>
      <c r="B419" s="132" t="s">
        <v>339</v>
      </c>
      <c r="C419" s="122" t="s">
        <v>61</v>
      </c>
      <c r="D419" s="122">
        <f>Бюджет_Конт!$M$28</f>
        <v>3</v>
      </c>
      <c r="E419" s="122">
        <f>Бюджет_Конт!$J$18</f>
        <v>1</v>
      </c>
      <c r="F419" s="124"/>
      <c r="G419" s="124"/>
      <c r="H419" s="124"/>
      <c r="I419" s="124"/>
      <c r="J419" s="124"/>
      <c r="K419" s="141"/>
      <c r="L419" s="141"/>
      <c r="M419" s="141"/>
      <c r="N419" s="141"/>
      <c r="O419" s="141"/>
      <c r="P419" s="141"/>
      <c r="Q419" s="239"/>
      <c r="R419" s="141"/>
      <c r="S419" s="124">
        <f>1*(6+2/3)*D419</f>
        <v>20</v>
      </c>
      <c r="T419" s="121"/>
      <c r="U419" s="141"/>
      <c r="V419" s="141"/>
      <c r="W419" s="141"/>
      <c r="X419" s="141"/>
      <c r="Y419" s="141"/>
      <c r="Z419" s="141"/>
      <c r="AA419" s="141"/>
      <c r="AB419" s="141"/>
      <c r="AC419" s="124"/>
      <c r="AD419" s="124"/>
      <c r="AE419" s="124"/>
      <c r="AF419" s="124"/>
      <c r="AG419" s="124"/>
      <c r="AH419" s="124"/>
      <c r="AI419" s="124"/>
      <c r="AJ419" s="124">
        <f t="shared" si="158"/>
        <v>20</v>
      </c>
      <c r="AK419" s="136">
        <v>8</v>
      </c>
      <c r="AL419" s="126"/>
      <c r="AM419" s="126"/>
      <c r="AN419" s="126"/>
    </row>
    <row r="420" spans="1:40" s="138" customFormat="1" ht="36" x14ac:dyDescent="0.2">
      <c r="A420" s="122" t="s">
        <v>207</v>
      </c>
      <c r="B420" s="132" t="s">
        <v>289</v>
      </c>
      <c r="C420" s="122" t="s">
        <v>62</v>
      </c>
      <c r="D420" s="122">
        <f>Бюджет_Конт!$M$28</f>
        <v>3</v>
      </c>
      <c r="E420" s="122">
        <f>Бюджет_Конт!$J$18</f>
        <v>1</v>
      </c>
      <c r="F420" s="124"/>
      <c r="G420" s="124"/>
      <c r="H420" s="124"/>
      <c r="I420" s="124"/>
      <c r="J420" s="124"/>
      <c r="K420" s="141"/>
      <c r="L420" s="141"/>
      <c r="M420" s="141"/>
      <c r="N420" s="141"/>
      <c r="O420" s="141"/>
      <c r="P420" s="141"/>
      <c r="Q420" s="239"/>
      <c r="R420" s="141"/>
      <c r="S420" s="124"/>
      <c r="T420" s="124">
        <f>1*(6+2/3)*D420</f>
        <v>20</v>
      </c>
      <c r="U420" s="141"/>
      <c r="V420" s="141"/>
      <c r="W420" s="141"/>
      <c r="X420" s="141"/>
      <c r="Y420" s="141"/>
      <c r="Z420" s="141"/>
      <c r="AA420" s="141"/>
      <c r="AB420" s="141"/>
      <c r="AC420" s="124"/>
      <c r="AD420" s="124"/>
      <c r="AE420" s="124"/>
      <c r="AF420" s="124"/>
      <c r="AG420" s="124"/>
      <c r="AH420" s="124"/>
      <c r="AI420" s="124"/>
      <c r="AJ420" s="124">
        <f t="shared" si="158"/>
        <v>20</v>
      </c>
      <c r="AK420" s="136">
        <v>8</v>
      </c>
      <c r="AL420" s="126"/>
      <c r="AM420" s="126"/>
      <c r="AN420" s="126"/>
    </row>
    <row r="421" spans="1:40" s="138" customFormat="1" ht="17.25" customHeight="1" x14ac:dyDescent="0.2">
      <c r="A421" s="122"/>
      <c r="B421" s="132" t="s">
        <v>604</v>
      </c>
      <c r="C421" s="122"/>
      <c r="D421" s="122"/>
      <c r="E421" s="149"/>
      <c r="F421" s="124"/>
      <c r="G421" s="124">
        <f>F421</f>
        <v>0</v>
      </c>
      <c r="H421" s="124"/>
      <c r="I421" s="124">
        <f>H421*E421</f>
        <v>0</v>
      </c>
      <c r="J421" s="124"/>
      <c r="K421" s="124"/>
      <c r="L421" s="124"/>
      <c r="M421" s="124"/>
      <c r="N421" s="124"/>
      <c r="O421" s="124"/>
      <c r="P421" s="124"/>
      <c r="Q421" s="239">
        <f t="shared" si="161"/>
        <v>0</v>
      </c>
      <c r="R421" s="124"/>
      <c r="S421" s="124"/>
      <c r="T421" s="124"/>
      <c r="U421" s="124"/>
      <c r="V421" s="124"/>
      <c r="W421" s="124"/>
      <c r="X421" s="124"/>
      <c r="Y421" s="124"/>
      <c r="Z421" s="124"/>
      <c r="AA421" s="124"/>
      <c r="AB421" s="124"/>
      <c r="AC421" s="124"/>
      <c r="AD421" s="124"/>
      <c r="AE421" s="124">
        <v>30</v>
      </c>
      <c r="AF421" s="124"/>
      <c r="AG421" s="124"/>
      <c r="AH421" s="124"/>
      <c r="AI421" s="124">
        <f>0*E421</f>
        <v>0</v>
      </c>
      <c r="AJ421" s="124">
        <f>SUM(G421,I421:AI421)</f>
        <v>30</v>
      </c>
      <c r="AK421" s="122">
        <v>8</v>
      </c>
      <c r="AL421" s="125"/>
      <c r="AM421" s="126"/>
      <c r="AN421" s="126"/>
    </row>
    <row r="422" spans="1:40" s="274" customFormat="1" ht="36" x14ac:dyDescent="0.25">
      <c r="A422" s="139" t="s">
        <v>192</v>
      </c>
      <c r="B422" s="232" t="s">
        <v>619</v>
      </c>
      <c r="C422" s="139" t="s">
        <v>63</v>
      </c>
      <c r="D422" s="139">
        <f>Бюджет_Конт!$M$29</f>
        <v>5</v>
      </c>
      <c r="E422" s="139">
        <f>Бюджет_Конт!$J$19</f>
        <v>1</v>
      </c>
      <c r="F422" s="141">
        <v>16</v>
      </c>
      <c r="G422" s="141"/>
      <c r="H422" s="141"/>
      <c r="I422" s="141">
        <f t="shared" ref="I422:I427" si="166">H422*E422</f>
        <v>0</v>
      </c>
      <c r="J422" s="320"/>
      <c r="K422" s="121">
        <f>0.3*D422</f>
        <v>1.5</v>
      </c>
      <c r="L422" s="121"/>
      <c r="M422" s="121"/>
      <c r="N422" s="121"/>
      <c r="O422" s="121"/>
      <c r="P422" s="121"/>
      <c r="Q422" s="239">
        <f t="shared" ref="Q422:Q427" si="167">IF(K422&gt;0,0.05*G422,IF(M422&gt;0,0.05*G422+1*E422,0))</f>
        <v>0</v>
      </c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41"/>
      <c r="AD422" s="141"/>
      <c r="AE422" s="141"/>
      <c r="AF422" s="141"/>
      <c r="AG422" s="141"/>
      <c r="AH422" s="141"/>
      <c r="AI422" s="141">
        <v>4</v>
      </c>
      <c r="AJ422" s="124">
        <f t="shared" ref="AJ422:AJ427" si="168">SUM(G422,I422:AI422)</f>
        <v>5.5</v>
      </c>
      <c r="AK422" s="139">
        <v>8</v>
      </c>
      <c r="AL422" s="148"/>
    </row>
    <row r="423" spans="1:40" s="274" customFormat="1" ht="18" x14ac:dyDescent="0.25">
      <c r="A423" s="139" t="s">
        <v>286</v>
      </c>
      <c r="B423" s="232" t="s">
        <v>107</v>
      </c>
      <c r="C423" s="139" t="s">
        <v>63</v>
      </c>
      <c r="D423" s="139">
        <f>Бюджет_Конт!$M$29</f>
        <v>5</v>
      </c>
      <c r="E423" s="139">
        <f>Бюджет_Конт!$J$19</f>
        <v>1</v>
      </c>
      <c r="F423" s="141">
        <v>34</v>
      </c>
      <c r="G423" s="141">
        <f t="shared" ref="G423:G427" si="169">F423</f>
        <v>34</v>
      </c>
      <c r="H423" s="141">
        <v>16</v>
      </c>
      <c r="I423" s="141">
        <f t="shared" si="166"/>
        <v>16</v>
      </c>
      <c r="J423" s="141"/>
      <c r="K423" s="121">
        <f>0.3*D423</f>
        <v>1.5</v>
      </c>
      <c r="L423" s="121"/>
      <c r="M423" s="121"/>
      <c r="N423" s="121"/>
      <c r="O423" s="121"/>
      <c r="P423" s="121"/>
      <c r="Q423" s="239">
        <f t="shared" si="167"/>
        <v>1.7000000000000002</v>
      </c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41"/>
      <c r="AD423" s="141"/>
      <c r="AE423" s="141"/>
      <c r="AF423" s="141"/>
      <c r="AG423" s="141"/>
      <c r="AH423" s="141"/>
      <c r="AI423" s="141"/>
      <c r="AJ423" s="124">
        <f t="shared" si="168"/>
        <v>53.2</v>
      </c>
      <c r="AK423" s="139">
        <v>12</v>
      </c>
      <c r="AL423" s="148"/>
    </row>
    <row r="424" spans="1:40" s="274" customFormat="1" ht="18" x14ac:dyDescent="0.25">
      <c r="A424" s="139" t="s">
        <v>199</v>
      </c>
      <c r="B424" s="232" t="s">
        <v>486</v>
      </c>
      <c r="C424" s="139" t="s">
        <v>63</v>
      </c>
      <c r="D424" s="139">
        <f>Бюджет_Конт!$M$29</f>
        <v>5</v>
      </c>
      <c r="E424" s="139">
        <f>Бюджет_Конт!$J$19</f>
        <v>1</v>
      </c>
      <c r="F424" s="141">
        <v>34</v>
      </c>
      <c r="G424" s="141">
        <f>F424</f>
        <v>34</v>
      </c>
      <c r="H424" s="141"/>
      <c r="I424" s="141">
        <f>H424*E424</f>
        <v>0</v>
      </c>
      <c r="J424" s="141"/>
      <c r="K424" s="121">
        <f>0.3*D424</f>
        <v>1.5</v>
      </c>
      <c r="L424" s="121"/>
      <c r="M424" s="121"/>
      <c r="N424" s="121"/>
      <c r="O424" s="121"/>
      <c r="P424" s="121"/>
      <c r="Q424" s="239">
        <f>IF(K424&gt;0,0.05*G424,IF(M424&gt;0,0.05*G424+1*E424,0))</f>
        <v>1.7000000000000002</v>
      </c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41"/>
      <c r="AD424" s="141"/>
      <c r="AE424" s="141"/>
      <c r="AF424" s="141"/>
      <c r="AG424" s="141"/>
      <c r="AH424" s="141"/>
      <c r="AI424" s="141"/>
      <c r="AJ424" s="124">
        <f>SUM(G424,I424:AI424)</f>
        <v>37.200000000000003</v>
      </c>
      <c r="AK424" s="139">
        <v>8</v>
      </c>
      <c r="AL424" s="148"/>
    </row>
    <row r="425" spans="1:40" s="274" customFormat="1" ht="18" x14ac:dyDescent="0.25">
      <c r="A425" s="139" t="s">
        <v>206</v>
      </c>
      <c r="B425" s="232" t="s">
        <v>387</v>
      </c>
      <c r="C425" s="139" t="s">
        <v>63</v>
      </c>
      <c r="D425" s="139">
        <f>Бюджет_Конт!$M$29</f>
        <v>5</v>
      </c>
      <c r="E425" s="139">
        <f>Бюджет_Конт!$J$19</f>
        <v>1</v>
      </c>
      <c r="F425" s="141">
        <v>34</v>
      </c>
      <c r="G425" s="141">
        <f t="shared" si="169"/>
        <v>34</v>
      </c>
      <c r="H425" s="141">
        <v>16</v>
      </c>
      <c r="I425" s="141">
        <f t="shared" si="166"/>
        <v>16</v>
      </c>
      <c r="J425" s="141"/>
      <c r="K425" s="121">
        <f>0.3*D425</f>
        <v>1.5</v>
      </c>
      <c r="L425" s="121"/>
      <c r="M425" s="121"/>
      <c r="N425" s="121"/>
      <c r="O425" s="121"/>
      <c r="P425" s="121"/>
      <c r="Q425" s="239">
        <f t="shared" si="167"/>
        <v>1.7000000000000002</v>
      </c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41"/>
      <c r="AD425" s="141"/>
      <c r="AE425" s="141"/>
      <c r="AF425" s="141"/>
      <c r="AG425" s="141"/>
      <c r="AH425" s="141"/>
      <c r="AI425" s="141">
        <v>4</v>
      </c>
      <c r="AJ425" s="124">
        <f t="shared" si="168"/>
        <v>57.2</v>
      </c>
      <c r="AK425" s="139">
        <v>12</v>
      </c>
      <c r="AL425" s="148"/>
    </row>
    <row r="426" spans="1:40" s="274" customFormat="1" ht="36" x14ac:dyDescent="0.25">
      <c r="A426" s="139" t="s">
        <v>209</v>
      </c>
      <c r="B426" s="232" t="s">
        <v>576</v>
      </c>
      <c r="C426" s="139" t="s">
        <v>63</v>
      </c>
      <c r="D426" s="139">
        <f>Бюджет_Конт!$M$29</f>
        <v>5</v>
      </c>
      <c r="E426" s="139">
        <f>Бюджет_Конт!$J$19</f>
        <v>1</v>
      </c>
      <c r="F426" s="141">
        <v>34</v>
      </c>
      <c r="G426" s="141"/>
      <c r="H426" s="141">
        <v>34</v>
      </c>
      <c r="I426" s="141"/>
      <c r="J426" s="141"/>
      <c r="K426" s="121">
        <f>0.3*D426</f>
        <v>1.5</v>
      </c>
      <c r="L426" s="121"/>
      <c r="M426" s="121"/>
      <c r="N426" s="121"/>
      <c r="O426" s="121"/>
      <c r="P426" s="121"/>
      <c r="Q426" s="239">
        <f t="shared" si="167"/>
        <v>0</v>
      </c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41"/>
      <c r="AD426" s="141"/>
      <c r="AE426" s="141"/>
      <c r="AF426" s="141"/>
      <c r="AG426" s="141"/>
      <c r="AH426" s="141"/>
      <c r="AI426" s="141"/>
      <c r="AJ426" s="124">
        <f t="shared" si="168"/>
        <v>1.5</v>
      </c>
      <c r="AK426" s="139">
        <v>8</v>
      </c>
      <c r="AL426" s="148"/>
    </row>
    <row r="427" spans="1:40" s="274" customFormat="1" ht="36" x14ac:dyDescent="0.25">
      <c r="A427" s="139" t="s">
        <v>388</v>
      </c>
      <c r="B427" s="232" t="s">
        <v>289</v>
      </c>
      <c r="C427" s="139" t="s">
        <v>63</v>
      </c>
      <c r="D427" s="139">
        <f>Бюджет_Конт!$M$29</f>
        <v>5</v>
      </c>
      <c r="E427" s="139">
        <f>Бюджет_Конт!$J$19</f>
        <v>1</v>
      </c>
      <c r="F427" s="141"/>
      <c r="G427" s="141">
        <f t="shared" si="169"/>
        <v>0</v>
      </c>
      <c r="H427" s="141"/>
      <c r="I427" s="141">
        <f t="shared" si="166"/>
        <v>0</v>
      </c>
      <c r="J427" s="141"/>
      <c r="K427" s="121"/>
      <c r="L427" s="121"/>
      <c r="M427" s="121"/>
      <c r="N427" s="121"/>
      <c r="O427" s="121"/>
      <c r="P427" s="121"/>
      <c r="Q427" s="239">
        <f t="shared" si="167"/>
        <v>0</v>
      </c>
      <c r="R427" s="121"/>
      <c r="S427" s="121"/>
      <c r="T427" s="121">
        <f>1*(6)*D427</f>
        <v>30</v>
      </c>
      <c r="U427" s="121"/>
      <c r="V427" s="121"/>
      <c r="W427" s="121"/>
      <c r="X427" s="121"/>
      <c r="Y427" s="121"/>
      <c r="Z427" s="121"/>
      <c r="AA427" s="121"/>
      <c r="AB427" s="121"/>
      <c r="AC427" s="141"/>
      <c r="AD427" s="141"/>
      <c r="AE427" s="141"/>
      <c r="AF427" s="141"/>
      <c r="AG427" s="141"/>
      <c r="AH427" s="141"/>
      <c r="AI427" s="141"/>
      <c r="AJ427" s="124">
        <f t="shared" si="168"/>
        <v>30</v>
      </c>
      <c r="AK427" s="139">
        <v>8</v>
      </c>
      <c r="AL427" s="148"/>
    </row>
    <row r="428" spans="1:40" s="274" customFormat="1" ht="18" x14ac:dyDescent="0.25">
      <c r="A428" s="139" t="s">
        <v>341</v>
      </c>
      <c r="B428" s="232" t="s">
        <v>389</v>
      </c>
      <c r="C428" s="139" t="s">
        <v>64</v>
      </c>
      <c r="D428" s="139">
        <f>Бюджет_Конт!$M$29</f>
        <v>5</v>
      </c>
      <c r="E428" s="139">
        <f>Бюджет_Конт!$J$19</f>
        <v>1</v>
      </c>
      <c r="F428" s="141"/>
      <c r="G428" s="141">
        <f>F428</f>
        <v>0</v>
      </c>
      <c r="H428" s="141"/>
      <c r="I428" s="141">
        <f>H428*E428</f>
        <v>0</v>
      </c>
      <c r="J428" s="141"/>
      <c r="K428" s="121"/>
      <c r="L428" s="121"/>
      <c r="M428" s="121"/>
      <c r="N428" s="121"/>
      <c r="O428" s="121"/>
      <c r="P428" s="121"/>
      <c r="Q428" s="239">
        <f>IF(K428&gt;0,0.05*G428,IF(M428&gt;0,0.05*G428+1*E428,0))</f>
        <v>0</v>
      </c>
      <c r="R428" s="121"/>
      <c r="S428" s="121"/>
      <c r="T428" s="121">
        <f>1*(17+1/3)*D428</f>
        <v>86.666666666666657</v>
      </c>
      <c r="U428" s="121"/>
      <c r="V428" s="121"/>
      <c r="W428" s="121"/>
      <c r="X428" s="121"/>
      <c r="Y428" s="121"/>
      <c r="Z428" s="121"/>
      <c r="AA428" s="121"/>
      <c r="AB428" s="121"/>
      <c r="AC428" s="141"/>
      <c r="AD428" s="141"/>
      <c r="AE428" s="141"/>
      <c r="AF428" s="141"/>
      <c r="AG428" s="141"/>
      <c r="AH428" s="141"/>
      <c r="AI428" s="141"/>
      <c r="AJ428" s="124">
        <f>SUM(G428,I428:AI428)</f>
        <v>86.666666666666657</v>
      </c>
      <c r="AK428" s="139">
        <v>8</v>
      </c>
      <c r="AL428" s="148"/>
    </row>
    <row r="429" spans="1:40" s="138" customFormat="1" ht="18" x14ac:dyDescent="0.2">
      <c r="A429" s="122"/>
      <c r="B429" s="132" t="s">
        <v>187</v>
      </c>
      <c r="C429" s="122" t="s">
        <v>64</v>
      </c>
      <c r="D429" s="139">
        <f>Бюджет_Конт!$M$29</f>
        <v>5</v>
      </c>
      <c r="E429" s="139">
        <f>Бюджет_Конт!$J$19</f>
        <v>1</v>
      </c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  <c r="Q429" s="239">
        <f>IF(K429&gt;0,0.05*G429,IF(M429&gt;0,0.05*G429+1*E429,0))</f>
        <v>0</v>
      </c>
      <c r="R429" s="124"/>
      <c r="S429" s="124"/>
      <c r="T429" s="124"/>
      <c r="U429" s="124"/>
      <c r="V429" s="124"/>
      <c r="W429" s="124"/>
      <c r="X429" s="124"/>
      <c r="Y429" s="124"/>
      <c r="Z429" s="124"/>
      <c r="AA429" s="124"/>
      <c r="AB429" s="124">
        <f>0.5*D429*7</f>
        <v>17.5</v>
      </c>
      <c r="AC429" s="124"/>
      <c r="AD429" s="124"/>
      <c r="AE429" s="124"/>
      <c r="AF429" s="124"/>
      <c r="AG429" s="124"/>
      <c r="AH429" s="124"/>
      <c r="AI429" s="124"/>
      <c r="AJ429" s="124">
        <f>SUM(G429,I429:AI429)</f>
        <v>17.5</v>
      </c>
      <c r="AK429" s="122" t="s">
        <v>282</v>
      </c>
      <c r="AL429" s="248" t="s">
        <v>503</v>
      </c>
      <c r="AM429" s="126"/>
      <c r="AN429" s="126"/>
    </row>
    <row r="430" spans="1:40" s="138" customFormat="1" ht="18" x14ac:dyDescent="0.2">
      <c r="A430" s="122"/>
      <c r="B430" s="132" t="s">
        <v>180</v>
      </c>
      <c r="C430" s="122" t="s">
        <v>64</v>
      </c>
      <c r="D430" s="139">
        <f>Бюджет_Конт!$M$29</f>
        <v>5</v>
      </c>
      <c r="E430" s="139">
        <f>Бюджет_Конт!$J$19</f>
        <v>1</v>
      </c>
      <c r="F430" s="124"/>
      <c r="G430" s="124"/>
      <c r="H430" s="124"/>
      <c r="I430" s="124"/>
      <c r="J430" s="124"/>
      <c r="K430" s="124"/>
      <c r="L430" s="124"/>
      <c r="M430" s="124"/>
      <c r="N430" s="124"/>
      <c r="O430" s="124"/>
      <c r="P430" s="124"/>
      <c r="Q430" s="239">
        <f>IF(K430&gt;0,0.05*G430,IF(M430&gt;0,0.05*G430+1*E430,0))</f>
        <v>0</v>
      </c>
      <c r="R430" s="124"/>
      <c r="S430" s="124"/>
      <c r="T430" s="124"/>
      <c r="U430" s="124"/>
      <c r="V430" s="124"/>
      <c r="W430" s="124">
        <f>30*D430</f>
        <v>150</v>
      </c>
      <c r="X430" s="124">
        <f>5*D430</f>
        <v>25</v>
      </c>
      <c r="Y430" s="124"/>
      <c r="Z430" s="124"/>
      <c r="AA430" s="124"/>
      <c r="AB430" s="124"/>
      <c r="AC430" s="124"/>
      <c r="AD430" s="124"/>
      <c r="AE430" s="124"/>
      <c r="AF430" s="124"/>
      <c r="AG430" s="124"/>
      <c r="AH430" s="124"/>
      <c r="AI430" s="124"/>
      <c r="AJ430" s="124">
        <f>SUM(G430,I430:AI430)</f>
        <v>175</v>
      </c>
      <c r="AK430" s="122">
        <v>8</v>
      </c>
      <c r="AL430" s="125"/>
      <c r="AM430" s="126"/>
      <c r="AN430" s="126"/>
    </row>
    <row r="431" spans="1:40" s="138" customFormat="1" ht="18" x14ac:dyDescent="0.2">
      <c r="A431" s="122"/>
      <c r="B431" s="133" t="s">
        <v>232</v>
      </c>
      <c r="C431" s="134"/>
      <c r="D431" s="134"/>
      <c r="E431" s="134"/>
      <c r="F431" s="147">
        <f>SUM(F388:F430)</f>
        <v>648</v>
      </c>
      <c r="G431" s="147">
        <f t="shared" ref="G431:AJ431" si="170">SUM(G388:G430)</f>
        <v>578</v>
      </c>
      <c r="H431" s="147">
        <f t="shared" si="170"/>
        <v>380</v>
      </c>
      <c r="I431" s="147">
        <f t="shared" si="170"/>
        <v>326</v>
      </c>
      <c r="J431" s="147">
        <f t="shared" si="170"/>
        <v>332</v>
      </c>
      <c r="K431" s="147">
        <f t="shared" si="170"/>
        <v>34.79999999999999</v>
      </c>
      <c r="L431" s="147">
        <f t="shared" si="170"/>
        <v>0</v>
      </c>
      <c r="M431" s="147">
        <f t="shared" si="170"/>
        <v>17.2</v>
      </c>
      <c r="N431" s="147">
        <f t="shared" si="170"/>
        <v>0</v>
      </c>
      <c r="O431" s="147">
        <f t="shared" si="170"/>
        <v>0</v>
      </c>
      <c r="P431" s="147">
        <f t="shared" si="170"/>
        <v>0</v>
      </c>
      <c r="Q431" s="147">
        <f t="shared" si="170"/>
        <v>35.900000000000006</v>
      </c>
      <c r="R431" s="147">
        <f t="shared" si="170"/>
        <v>0</v>
      </c>
      <c r="S431" s="147">
        <f t="shared" si="170"/>
        <v>122</v>
      </c>
      <c r="T431" s="147">
        <f t="shared" si="170"/>
        <v>341.33333333333331</v>
      </c>
      <c r="U431" s="147">
        <f t="shared" si="170"/>
        <v>0</v>
      </c>
      <c r="V431" s="147">
        <f t="shared" si="170"/>
        <v>0</v>
      </c>
      <c r="W431" s="147">
        <f t="shared" si="170"/>
        <v>390</v>
      </c>
      <c r="X431" s="147">
        <f t="shared" si="170"/>
        <v>65</v>
      </c>
      <c r="Y431" s="147">
        <f t="shared" si="170"/>
        <v>0</v>
      </c>
      <c r="Z431" s="147">
        <f t="shared" si="170"/>
        <v>0</v>
      </c>
      <c r="AA431" s="147">
        <f t="shared" si="170"/>
        <v>0</v>
      </c>
      <c r="AB431" s="147">
        <f t="shared" si="170"/>
        <v>45.5</v>
      </c>
      <c r="AC431" s="147">
        <f t="shared" si="170"/>
        <v>0</v>
      </c>
      <c r="AD431" s="147">
        <f t="shared" si="170"/>
        <v>0</v>
      </c>
      <c r="AE431" s="147">
        <f t="shared" si="170"/>
        <v>90</v>
      </c>
      <c r="AF431" s="147">
        <f t="shared" si="170"/>
        <v>0</v>
      </c>
      <c r="AG431" s="147">
        <f t="shared" si="170"/>
        <v>0</v>
      </c>
      <c r="AH431" s="147">
        <f t="shared" si="170"/>
        <v>0</v>
      </c>
      <c r="AI431" s="147">
        <f t="shared" si="170"/>
        <v>112</v>
      </c>
      <c r="AJ431" s="147">
        <f t="shared" si="170"/>
        <v>2489.7333333333331</v>
      </c>
      <c r="AK431" s="124"/>
      <c r="AL431" s="126">
        <f>AJ431-SUM(I431:AI431,G431)</f>
        <v>0</v>
      </c>
      <c r="AM431" s="126"/>
      <c r="AN431" s="126"/>
    </row>
    <row r="432" spans="1:40" s="138" customFormat="1" ht="18" x14ac:dyDescent="0.2">
      <c r="A432" s="122"/>
      <c r="B432" s="131"/>
      <c r="C432" s="122"/>
      <c r="D432" s="122"/>
      <c r="E432" s="122"/>
      <c r="F432" s="124"/>
      <c r="G432" s="124"/>
      <c r="H432" s="124"/>
      <c r="I432" s="124"/>
      <c r="J432" s="124"/>
      <c r="K432" s="124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4"/>
      <c r="AA432" s="124"/>
      <c r="AB432" s="124"/>
      <c r="AC432" s="124"/>
      <c r="AD432" s="124"/>
      <c r="AE432" s="124"/>
      <c r="AF432" s="124"/>
      <c r="AG432" s="124"/>
      <c r="AH432" s="124"/>
      <c r="AI432" s="124"/>
      <c r="AJ432" s="124"/>
      <c r="AK432" s="124"/>
      <c r="AL432" s="126"/>
      <c r="AM432" s="126"/>
      <c r="AN432" s="126"/>
    </row>
    <row r="433" spans="1:40" s="138" customFormat="1" ht="18" x14ac:dyDescent="0.2">
      <c r="A433" s="122"/>
      <c r="B433" s="131"/>
      <c r="C433" s="122"/>
      <c r="D433" s="122"/>
      <c r="E433" s="122"/>
      <c r="F433" s="124"/>
      <c r="G433" s="124"/>
      <c r="H433" s="124"/>
      <c r="I433" s="124"/>
      <c r="J433" s="124"/>
      <c r="K433" s="124"/>
      <c r="L433" s="345" t="s">
        <v>346</v>
      </c>
      <c r="M433" s="346"/>
      <c r="N433" s="346"/>
      <c r="O433" s="346"/>
      <c r="P433" s="346"/>
      <c r="Q433" s="346"/>
      <c r="R433" s="346"/>
      <c r="S433" s="346"/>
      <c r="T433" s="346"/>
      <c r="U433" s="346"/>
      <c r="V433" s="346"/>
      <c r="W433" s="346"/>
      <c r="X433" s="346"/>
      <c r="Y433" s="346"/>
      <c r="Z433" s="346"/>
      <c r="AA433" s="347"/>
      <c r="AB433" s="124"/>
      <c r="AC433" s="124"/>
      <c r="AD433" s="124"/>
      <c r="AE433" s="124"/>
      <c r="AF433" s="124"/>
      <c r="AG433" s="124"/>
      <c r="AH433" s="124"/>
      <c r="AI433" s="124"/>
      <c r="AJ433" s="124"/>
      <c r="AK433" s="124"/>
      <c r="AL433" s="126"/>
      <c r="AM433" s="126"/>
      <c r="AN433" s="126"/>
    </row>
    <row r="434" spans="1:40" s="138" customFormat="1" ht="18" x14ac:dyDescent="0.2">
      <c r="A434" s="122"/>
      <c r="B434" s="131"/>
      <c r="C434" s="122"/>
      <c r="D434" s="122"/>
      <c r="E434" s="122"/>
      <c r="F434" s="124"/>
      <c r="G434" s="124"/>
      <c r="H434" s="124"/>
      <c r="I434" s="124"/>
      <c r="J434" s="124"/>
      <c r="K434" s="348" t="s">
        <v>577</v>
      </c>
      <c r="L434" s="349"/>
      <c r="M434" s="349"/>
      <c r="N434" s="349"/>
      <c r="O434" s="349"/>
      <c r="P434" s="349"/>
      <c r="Q434" s="349"/>
      <c r="R434" s="349"/>
      <c r="S434" s="349"/>
      <c r="T434" s="349"/>
      <c r="U434" s="349"/>
      <c r="V434" s="349"/>
      <c r="W434" s="349"/>
      <c r="X434" s="349"/>
      <c r="Y434" s="349"/>
      <c r="Z434" s="349"/>
      <c r="AA434" s="349"/>
      <c r="AB434" s="350"/>
      <c r="AC434" s="124"/>
      <c r="AD434" s="124"/>
      <c r="AE434" s="124"/>
      <c r="AF434" s="124"/>
      <c r="AG434" s="124"/>
      <c r="AH434" s="124"/>
      <c r="AI434" s="124"/>
      <c r="AJ434" s="124"/>
      <c r="AK434" s="124"/>
      <c r="AL434" s="126"/>
      <c r="AM434" s="126"/>
      <c r="AN434" s="126"/>
    </row>
    <row r="435" spans="1:40" s="138" customFormat="1" ht="17.25" customHeight="1" x14ac:dyDescent="0.2">
      <c r="A435" s="122"/>
      <c r="B435" s="132" t="s">
        <v>124</v>
      </c>
      <c r="C435" s="122">
        <v>1</v>
      </c>
      <c r="D435" s="122"/>
      <c r="E435" s="149"/>
      <c r="F435" s="124"/>
      <c r="G435" s="124">
        <f>F435</f>
        <v>0</v>
      </c>
      <c r="H435" s="124"/>
      <c r="I435" s="124">
        <f>H435*E435</f>
        <v>0</v>
      </c>
      <c r="J435" s="124"/>
      <c r="K435" s="124"/>
      <c r="L435" s="124"/>
      <c r="M435" s="124"/>
      <c r="N435" s="124"/>
      <c r="O435" s="124"/>
      <c r="P435" s="124"/>
      <c r="Q435" s="239">
        <f>IF(K435&gt;0,0.05*G435,IF(M435&gt;0,0.05*G435+1*E435,0))</f>
        <v>0</v>
      </c>
      <c r="R435" s="124"/>
      <c r="S435" s="124"/>
      <c r="T435" s="124"/>
      <c r="U435" s="124"/>
      <c r="V435" s="124"/>
      <c r="W435" s="124"/>
      <c r="X435" s="124"/>
      <c r="Y435" s="124"/>
      <c r="Z435" s="124"/>
      <c r="AA435" s="124"/>
      <c r="AB435" s="124"/>
      <c r="AC435" s="124"/>
      <c r="AD435" s="124"/>
      <c r="AE435" s="124">
        <v>30</v>
      </c>
      <c r="AF435" s="124"/>
      <c r="AG435" s="124"/>
      <c r="AH435" s="124"/>
      <c r="AI435" s="124">
        <f>0*E435</f>
        <v>0</v>
      </c>
      <c r="AJ435" s="124">
        <f t="shared" ref="AJ435" si="171">SUM(G435,I435:AI435)</f>
        <v>30</v>
      </c>
      <c r="AK435" s="122">
        <v>7</v>
      </c>
      <c r="AL435" s="125"/>
      <c r="AM435" s="126"/>
      <c r="AN435" s="126"/>
    </row>
    <row r="436" spans="1:40" s="138" customFormat="1" ht="36" x14ac:dyDescent="0.2">
      <c r="A436" s="122" t="s">
        <v>284</v>
      </c>
      <c r="B436" s="131" t="s">
        <v>562</v>
      </c>
      <c r="C436" s="122" t="s">
        <v>62</v>
      </c>
      <c r="D436" s="122">
        <f>Бюджет_Конт!$I$7</f>
        <v>5</v>
      </c>
      <c r="E436" s="122">
        <f>Бюджет_Конт!$I$18</f>
        <v>1</v>
      </c>
      <c r="F436" s="124">
        <v>20</v>
      </c>
      <c r="G436" s="124"/>
      <c r="H436" s="124">
        <v>20</v>
      </c>
      <c r="I436" s="124"/>
      <c r="J436" s="124"/>
      <c r="K436" s="121">
        <f>0.3*D436</f>
        <v>1.5</v>
      </c>
      <c r="L436" s="141"/>
      <c r="M436" s="141"/>
      <c r="N436" s="141"/>
      <c r="O436" s="141"/>
      <c r="P436" s="141"/>
      <c r="Q436" s="121">
        <f>IF(K436&gt;0,0.05*G436,IF(M436&gt;0,0.05*G436+1*E436,0))</f>
        <v>0</v>
      </c>
      <c r="R436" s="141"/>
      <c r="S436" s="141"/>
      <c r="T436" s="141"/>
      <c r="U436" s="141"/>
      <c r="V436" s="141"/>
      <c r="W436" s="141"/>
      <c r="X436" s="141"/>
      <c r="Y436" s="141"/>
      <c r="Z436" s="141"/>
      <c r="AA436" s="141"/>
      <c r="AB436" s="265"/>
      <c r="AC436" s="124"/>
      <c r="AD436" s="124"/>
      <c r="AE436" s="124"/>
      <c r="AF436" s="124"/>
      <c r="AG436" s="124"/>
      <c r="AH436" s="124"/>
      <c r="AI436" s="124"/>
      <c r="AJ436" s="124">
        <f>SUM(G436,I436:AI436)</f>
        <v>1.5</v>
      </c>
      <c r="AK436" s="122">
        <v>7</v>
      </c>
      <c r="AL436" s="126"/>
      <c r="AM436" s="126"/>
      <c r="AN436" s="126"/>
    </row>
    <row r="437" spans="1:40" s="138" customFormat="1" ht="18" x14ac:dyDescent="0.2">
      <c r="A437" s="122" t="s">
        <v>334</v>
      </c>
      <c r="B437" s="131" t="s">
        <v>578</v>
      </c>
      <c r="C437" s="122" t="s">
        <v>62</v>
      </c>
      <c r="D437" s="122">
        <f>Бюджет_Конт!$I$7</f>
        <v>5</v>
      </c>
      <c r="E437" s="122">
        <f>Бюджет_Конт!$I$18</f>
        <v>1</v>
      </c>
      <c r="F437" s="124"/>
      <c r="G437" s="141">
        <f>F437</f>
        <v>0</v>
      </c>
      <c r="H437" s="124">
        <v>40</v>
      </c>
      <c r="I437" s="124">
        <f>H437*E437</f>
        <v>40</v>
      </c>
      <c r="J437" s="124"/>
      <c r="K437" s="121">
        <f>0.3*D437</f>
        <v>1.5</v>
      </c>
      <c r="L437" s="124"/>
      <c r="M437" s="121"/>
      <c r="N437" s="124"/>
      <c r="O437" s="124"/>
      <c r="P437" s="124"/>
      <c r="Q437" s="239">
        <f>IF(K437&gt;0,0.05*G437,IF(M437&gt;0,0.05*G437+1*E437,0))</f>
        <v>0</v>
      </c>
      <c r="R437" s="124"/>
      <c r="S437" s="124"/>
      <c r="T437" s="124"/>
      <c r="U437" s="124"/>
      <c r="V437" s="124"/>
      <c r="W437" s="124"/>
      <c r="X437" s="124"/>
      <c r="Y437" s="124"/>
      <c r="Z437" s="124"/>
      <c r="AA437" s="124"/>
      <c r="AB437" s="124"/>
      <c r="AC437" s="124"/>
      <c r="AD437" s="124"/>
      <c r="AE437" s="124"/>
      <c r="AF437" s="124"/>
      <c r="AG437" s="124"/>
      <c r="AH437" s="124"/>
      <c r="AI437" s="124"/>
      <c r="AJ437" s="124">
        <f>SUM(G437,I437:AI437)</f>
        <v>41.5</v>
      </c>
      <c r="AK437" s="122">
        <v>7</v>
      </c>
      <c r="AL437" s="126"/>
      <c r="AM437" s="126"/>
      <c r="AN437" s="126"/>
    </row>
    <row r="438" spans="1:40" s="138" customFormat="1" ht="18" x14ac:dyDescent="0.2">
      <c r="A438" s="122" t="s">
        <v>285</v>
      </c>
      <c r="B438" s="131" t="s">
        <v>390</v>
      </c>
      <c r="C438" s="122" t="s">
        <v>63</v>
      </c>
      <c r="D438" s="122">
        <f>Бюджет_Конт!$I$7</f>
        <v>5</v>
      </c>
      <c r="E438" s="122">
        <f>Бюджет_Конт!$I$18</f>
        <v>1</v>
      </c>
      <c r="F438" s="124">
        <v>72</v>
      </c>
      <c r="G438" s="141">
        <f>F438</f>
        <v>72</v>
      </c>
      <c r="H438" s="124"/>
      <c r="I438" s="124"/>
      <c r="J438" s="124">
        <v>90</v>
      </c>
      <c r="K438" s="121"/>
      <c r="L438" s="124"/>
      <c r="M438" s="121">
        <f>0.4*D438</f>
        <v>2</v>
      </c>
      <c r="N438" s="124"/>
      <c r="O438" s="124"/>
      <c r="P438" s="124"/>
      <c r="Q438" s="239">
        <f>IF(K438&gt;0,0.05*G438,IF(M438&gt;0,0.05*G438+1*E438,0))</f>
        <v>4.5999999999999996</v>
      </c>
      <c r="R438" s="124"/>
      <c r="S438" s="124"/>
      <c r="T438" s="124"/>
      <c r="U438" s="124"/>
      <c r="V438" s="124"/>
      <c r="W438" s="124"/>
      <c r="X438" s="124"/>
      <c r="Y438" s="124"/>
      <c r="Z438" s="124"/>
      <c r="AA438" s="124"/>
      <c r="AB438" s="124"/>
      <c r="AC438" s="124"/>
      <c r="AD438" s="124"/>
      <c r="AE438" s="124"/>
      <c r="AF438" s="124"/>
      <c r="AG438" s="124"/>
      <c r="AH438" s="124"/>
      <c r="AI438" s="124"/>
      <c r="AJ438" s="124">
        <f>SUM(G438,I438:AI438)</f>
        <v>168.6</v>
      </c>
      <c r="AK438" s="122">
        <v>7</v>
      </c>
      <c r="AL438" s="126"/>
      <c r="AM438" s="126"/>
      <c r="AN438" s="126"/>
    </row>
    <row r="439" spans="1:40" s="138" customFormat="1" ht="18" x14ac:dyDescent="0.2">
      <c r="A439" s="122" t="s">
        <v>579</v>
      </c>
      <c r="B439" s="131" t="s">
        <v>580</v>
      </c>
      <c r="C439" s="122" t="s">
        <v>62</v>
      </c>
      <c r="D439" s="122">
        <f>Бюджет_Конт!$I$7</f>
        <v>5</v>
      </c>
      <c r="E439" s="122">
        <f>Бюджет_Конт!$I$18</f>
        <v>1</v>
      </c>
      <c r="F439" s="124"/>
      <c r="G439" s="141">
        <f t="shared" ref="G439:G449" si="172">F439</f>
        <v>0</v>
      </c>
      <c r="H439" s="124"/>
      <c r="I439" s="124">
        <f t="shared" ref="I439:I449" si="173">H439*E439</f>
        <v>0</v>
      </c>
      <c r="J439" s="124">
        <v>40</v>
      </c>
      <c r="K439" s="121">
        <f t="shared" ref="K439:K449" si="174">0.3*D439</f>
        <v>1.5</v>
      </c>
      <c r="L439" s="124"/>
      <c r="M439" s="121"/>
      <c r="N439" s="124"/>
      <c r="O439" s="124"/>
      <c r="P439" s="124"/>
      <c r="Q439" s="256"/>
      <c r="R439" s="256"/>
      <c r="S439" s="256"/>
      <c r="T439" s="256"/>
      <c r="U439" s="256"/>
      <c r="V439" s="256"/>
      <c r="W439" s="256"/>
      <c r="X439" s="256"/>
      <c r="Y439" s="256"/>
      <c r="Z439" s="256"/>
      <c r="AA439" s="124"/>
      <c r="AB439" s="124"/>
      <c r="AC439" s="124"/>
      <c r="AD439" s="124"/>
      <c r="AE439" s="124"/>
      <c r="AF439" s="124"/>
      <c r="AG439" s="124"/>
      <c r="AH439" s="124"/>
      <c r="AI439" s="124"/>
      <c r="AJ439" s="124">
        <f t="shared" ref="AJ439:AJ449" si="175">SUM(G439,I439:AI439)</f>
        <v>41.5</v>
      </c>
      <c r="AK439" s="122">
        <v>7</v>
      </c>
      <c r="AL439" s="126"/>
      <c r="AM439" s="126"/>
      <c r="AN439" s="126"/>
    </row>
    <row r="440" spans="1:40" s="138" customFormat="1" ht="36" x14ac:dyDescent="0.2">
      <c r="A440" s="122" t="s">
        <v>335</v>
      </c>
      <c r="B440" s="131" t="s">
        <v>581</v>
      </c>
      <c r="C440" s="122" t="s">
        <v>61</v>
      </c>
      <c r="D440" s="122">
        <f>Бюджет_Конт!$I$7</f>
        <v>5</v>
      </c>
      <c r="E440" s="122">
        <f>Бюджет_Конт!$I$18</f>
        <v>1</v>
      </c>
      <c r="F440" s="124">
        <v>36</v>
      </c>
      <c r="G440" s="141">
        <f t="shared" si="172"/>
        <v>36</v>
      </c>
      <c r="H440" s="124">
        <v>36</v>
      </c>
      <c r="I440" s="124">
        <f t="shared" si="173"/>
        <v>36</v>
      </c>
      <c r="J440" s="124"/>
      <c r="K440" s="121"/>
      <c r="L440" s="124"/>
      <c r="M440" s="121">
        <f>0.4*D440</f>
        <v>2</v>
      </c>
      <c r="N440" s="124"/>
      <c r="O440" s="124"/>
      <c r="P440" s="124"/>
      <c r="Q440" s="239">
        <f t="shared" ref="Q440:Q448" si="176">IF(K440&gt;0,0.05*G440,IF(M440&gt;0,0.05*G440+1*E440,0))</f>
        <v>2.8</v>
      </c>
      <c r="R440" s="124"/>
      <c r="S440" s="124"/>
      <c r="T440" s="124"/>
      <c r="U440" s="124"/>
      <c r="V440" s="124"/>
      <c r="W440" s="124"/>
      <c r="X440" s="124"/>
      <c r="Y440" s="124"/>
      <c r="Z440" s="124"/>
      <c r="AA440" s="124"/>
      <c r="AB440" s="124"/>
      <c r="AC440" s="124"/>
      <c r="AD440" s="124"/>
      <c r="AE440" s="124"/>
      <c r="AF440" s="124"/>
      <c r="AG440" s="124"/>
      <c r="AH440" s="124"/>
      <c r="AI440" s="124"/>
      <c r="AJ440" s="124">
        <f t="shared" si="175"/>
        <v>76.8</v>
      </c>
      <c r="AK440" s="122">
        <v>7</v>
      </c>
      <c r="AL440" s="126"/>
      <c r="AM440" s="126"/>
      <c r="AN440" s="126"/>
    </row>
    <row r="441" spans="1:40" s="138" customFormat="1" ht="18" x14ac:dyDescent="0.2">
      <c r="A441" s="122" t="s">
        <v>336</v>
      </c>
      <c r="B441" s="131" t="s">
        <v>582</v>
      </c>
      <c r="C441" s="122" t="s">
        <v>62</v>
      </c>
      <c r="D441" s="122">
        <f>Бюджет_Конт!$I$7</f>
        <v>5</v>
      </c>
      <c r="E441" s="122">
        <f>Бюджет_Конт!$I$18</f>
        <v>1</v>
      </c>
      <c r="F441" s="124">
        <v>40</v>
      </c>
      <c r="G441" s="141">
        <f t="shared" si="172"/>
        <v>40</v>
      </c>
      <c r="H441" s="124">
        <v>20</v>
      </c>
      <c r="I441" s="124">
        <f t="shared" si="173"/>
        <v>20</v>
      </c>
      <c r="J441" s="124"/>
      <c r="K441" s="121"/>
      <c r="L441" s="124"/>
      <c r="M441" s="121">
        <f>0.4*D441</f>
        <v>2</v>
      </c>
      <c r="N441" s="124"/>
      <c r="O441" s="124"/>
      <c r="P441" s="124"/>
      <c r="Q441" s="239">
        <f t="shared" si="176"/>
        <v>3</v>
      </c>
      <c r="R441" s="124"/>
      <c r="S441" s="124"/>
      <c r="T441" s="124"/>
      <c r="U441" s="124"/>
      <c r="V441" s="124"/>
      <c r="W441" s="124"/>
      <c r="X441" s="124"/>
      <c r="Y441" s="124"/>
      <c r="Z441" s="124"/>
      <c r="AA441" s="124"/>
      <c r="AB441" s="124"/>
      <c r="AC441" s="124"/>
      <c r="AD441" s="124"/>
      <c r="AE441" s="124"/>
      <c r="AF441" s="124"/>
      <c r="AG441" s="124"/>
      <c r="AH441" s="124"/>
      <c r="AI441" s="124"/>
      <c r="AJ441" s="124">
        <f t="shared" si="175"/>
        <v>65</v>
      </c>
      <c r="AK441" s="122">
        <v>7</v>
      </c>
      <c r="AL441" s="126"/>
      <c r="AM441" s="126"/>
      <c r="AN441" s="126"/>
    </row>
    <row r="442" spans="1:40" s="138" customFormat="1" ht="18" x14ac:dyDescent="0.2">
      <c r="A442" s="122" t="s">
        <v>337</v>
      </c>
      <c r="B442" s="131" t="s">
        <v>112</v>
      </c>
      <c r="C442" s="122" t="s">
        <v>61</v>
      </c>
      <c r="D442" s="122">
        <f>Бюджет_Конт!$I$7</f>
        <v>5</v>
      </c>
      <c r="E442" s="122">
        <f>Бюджет_Конт!$I$18</f>
        <v>1</v>
      </c>
      <c r="F442" s="124">
        <v>36</v>
      </c>
      <c r="G442" s="141">
        <f t="shared" si="172"/>
        <v>36</v>
      </c>
      <c r="H442" s="124">
        <v>36</v>
      </c>
      <c r="I442" s="124">
        <f t="shared" si="173"/>
        <v>36</v>
      </c>
      <c r="J442" s="124"/>
      <c r="K442" s="121"/>
      <c r="L442" s="124"/>
      <c r="M442" s="121">
        <f>0.4*D442</f>
        <v>2</v>
      </c>
      <c r="N442" s="124"/>
      <c r="O442" s="124"/>
      <c r="P442" s="124"/>
      <c r="Q442" s="239">
        <f t="shared" si="176"/>
        <v>2.8</v>
      </c>
      <c r="R442" s="124"/>
      <c r="S442" s="124"/>
      <c r="T442" s="124"/>
      <c r="U442" s="124"/>
      <c r="V442" s="124"/>
      <c r="W442" s="124"/>
      <c r="X442" s="124"/>
      <c r="Y442" s="124"/>
      <c r="Z442" s="124"/>
      <c r="AA442" s="124"/>
      <c r="AB442" s="124"/>
      <c r="AC442" s="124"/>
      <c r="AD442" s="124"/>
      <c r="AE442" s="124"/>
      <c r="AF442" s="124"/>
      <c r="AG442" s="124"/>
      <c r="AH442" s="124"/>
      <c r="AI442" s="124"/>
      <c r="AJ442" s="124">
        <f t="shared" si="175"/>
        <v>76.8</v>
      </c>
      <c r="AK442" s="122">
        <v>7</v>
      </c>
      <c r="AL442" s="126"/>
      <c r="AM442" s="126"/>
      <c r="AN442" s="126"/>
    </row>
    <row r="443" spans="1:40" s="138" customFormat="1" ht="36" x14ac:dyDescent="0.2">
      <c r="A443" s="122" t="s">
        <v>338</v>
      </c>
      <c r="B443" s="131" t="s">
        <v>583</v>
      </c>
      <c r="C443" s="122" t="s">
        <v>62</v>
      </c>
      <c r="D443" s="122">
        <f>Бюджет_Конт!$I$7</f>
        <v>5</v>
      </c>
      <c r="E443" s="122">
        <f>Бюджет_Конт!$I$18</f>
        <v>1</v>
      </c>
      <c r="F443" s="124">
        <v>40</v>
      </c>
      <c r="G443" s="141">
        <f t="shared" si="172"/>
        <v>40</v>
      </c>
      <c r="H443" s="124">
        <v>40</v>
      </c>
      <c r="I443" s="124">
        <f t="shared" si="173"/>
        <v>40</v>
      </c>
      <c r="J443" s="124"/>
      <c r="K443" s="121"/>
      <c r="L443" s="124"/>
      <c r="M443" s="121">
        <f>0.4*D443</f>
        <v>2</v>
      </c>
      <c r="N443" s="124"/>
      <c r="O443" s="124"/>
      <c r="P443" s="124"/>
      <c r="Q443" s="239">
        <f t="shared" si="176"/>
        <v>3</v>
      </c>
      <c r="R443" s="124"/>
      <c r="S443" s="124"/>
      <c r="T443" s="124"/>
      <c r="U443" s="124"/>
      <c r="V443" s="124"/>
      <c r="W443" s="124"/>
      <c r="X443" s="124"/>
      <c r="Y443" s="124"/>
      <c r="Z443" s="124"/>
      <c r="AA443" s="124"/>
      <c r="AB443" s="124"/>
      <c r="AC443" s="124"/>
      <c r="AD443" s="124"/>
      <c r="AE443" s="124"/>
      <c r="AF443" s="124"/>
      <c r="AG443" s="124"/>
      <c r="AH443" s="124"/>
      <c r="AI443" s="124"/>
      <c r="AJ443" s="124">
        <f t="shared" si="175"/>
        <v>85</v>
      </c>
      <c r="AK443" s="122">
        <v>7</v>
      </c>
      <c r="AL443" s="126"/>
      <c r="AM443" s="126"/>
      <c r="AN443" s="126"/>
    </row>
    <row r="444" spans="1:40" s="138" customFormat="1" ht="36" x14ac:dyDescent="0.2">
      <c r="A444" s="122" t="s">
        <v>191</v>
      </c>
      <c r="B444" s="131" t="s">
        <v>584</v>
      </c>
      <c r="C444" s="122" t="s">
        <v>62</v>
      </c>
      <c r="D444" s="122">
        <f>Бюджет_Конт!$I$7</f>
        <v>5</v>
      </c>
      <c r="E444" s="122">
        <f>Бюджет_Конт!$I$18</f>
        <v>1</v>
      </c>
      <c r="F444" s="124"/>
      <c r="G444" s="141">
        <f t="shared" si="172"/>
        <v>0</v>
      </c>
      <c r="H444" s="124"/>
      <c r="I444" s="124">
        <f t="shared" si="173"/>
        <v>0</v>
      </c>
      <c r="J444" s="124">
        <v>40</v>
      </c>
      <c r="K444" s="121">
        <f t="shared" si="174"/>
        <v>1.5</v>
      </c>
      <c r="L444" s="124"/>
      <c r="M444" s="121"/>
      <c r="N444" s="124"/>
      <c r="O444" s="124"/>
      <c r="P444" s="124"/>
      <c r="Q444" s="239">
        <f t="shared" si="176"/>
        <v>0</v>
      </c>
      <c r="R444" s="124"/>
      <c r="S444" s="124"/>
      <c r="T444" s="124"/>
      <c r="U444" s="124"/>
      <c r="V444" s="124"/>
      <c r="W444" s="124"/>
      <c r="X444" s="124"/>
      <c r="Y444" s="124"/>
      <c r="Z444" s="124"/>
      <c r="AA444" s="124"/>
      <c r="AB444" s="124"/>
      <c r="AC444" s="124"/>
      <c r="AD444" s="124"/>
      <c r="AE444" s="124"/>
      <c r="AF444" s="124"/>
      <c r="AG444" s="124"/>
      <c r="AH444" s="124"/>
      <c r="AI444" s="124"/>
      <c r="AJ444" s="124">
        <f t="shared" si="175"/>
        <v>41.5</v>
      </c>
      <c r="AK444" s="122">
        <v>8</v>
      </c>
      <c r="AL444" s="126"/>
      <c r="AM444" s="126"/>
      <c r="AN444" s="126"/>
    </row>
    <row r="445" spans="1:40" s="138" customFormat="1" ht="36" x14ac:dyDescent="0.2">
      <c r="A445" s="122" t="s">
        <v>192</v>
      </c>
      <c r="B445" s="131" t="s">
        <v>123</v>
      </c>
      <c r="C445" s="122" t="s">
        <v>61</v>
      </c>
      <c r="D445" s="122">
        <f>Бюджет_Конт!$I$7</f>
        <v>5</v>
      </c>
      <c r="E445" s="122">
        <f>Бюджет_Конт!$I$18</f>
        <v>1</v>
      </c>
      <c r="F445" s="124">
        <v>36</v>
      </c>
      <c r="G445" s="141">
        <f t="shared" si="172"/>
        <v>36</v>
      </c>
      <c r="H445" s="124">
        <v>36</v>
      </c>
      <c r="I445" s="124">
        <f t="shared" si="173"/>
        <v>36</v>
      </c>
      <c r="J445" s="124"/>
      <c r="K445" s="121">
        <f t="shared" si="174"/>
        <v>1.5</v>
      </c>
      <c r="L445" s="124"/>
      <c r="M445" s="121"/>
      <c r="N445" s="124"/>
      <c r="O445" s="124"/>
      <c r="P445" s="124"/>
      <c r="Q445" s="239">
        <f t="shared" si="176"/>
        <v>1.8</v>
      </c>
      <c r="R445" s="124"/>
      <c r="S445" s="124"/>
      <c r="T445" s="124"/>
      <c r="U445" s="124"/>
      <c r="V445" s="124"/>
      <c r="W445" s="124"/>
      <c r="X445" s="124"/>
      <c r="Y445" s="124"/>
      <c r="Z445" s="124"/>
      <c r="AA445" s="124"/>
      <c r="AB445" s="124"/>
      <c r="AC445" s="124"/>
      <c r="AD445" s="124"/>
      <c r="AE445" s="124"/>
      <c r="AF445" s="124"/>
      <c r="AG445" s="124"/>
      <c r="AH445" s="124"/>
      <c r="AI445" s="124"/>
      <c r="AJ445" s="124">
        <f t="shared" si="175"/>
        <v>75.3</v>
      </c>
      <c r="AK445" s="122">
        <v>7</v>
      </c>
      <c r="AL445" s="126"/>
      <c r="AM445" s="126"/>
      <c r="AN445" s="126"/>
    </row>
    <row r="446" spans="1:40" s="138" customFormat="1" ht="18" x14ac:dyDescent="0.2">
      <c r="A446" s="122" t="s">
        <v>193</v>
      </c>
      <c r="B446" s="131" t="s">
        <v>585</v>
      </c>
      <c r="C446" s="122" t="s">
        <v>61</v>
      </c>
      <c r="D446" s="122">
        <f>Бюджет_Конт!$I$7</f>
        <v>5</v>
      </c>
      <c r="E446" s="122">
        <f>Бюджет_Конт!$I$18</f>
        <v>1</v>
      </c>
      <c r="F446" s="124">
        <v>18</v>
      </c>
      <c r="G446" s="141">
        <f t="shared" si="172"/>
        <v>18</v>
      </c>
      <c r="H446" s="124">
        <v>18</v>
      </c>
      <c r="I446" s="124">
        <f t="shared" si="173"/>
        <v>18</v>
      </c>
      <c r="J446" s="124"/>
      <c r="K446" s="121">
        <f t="shared" si="174"/>
        <v>1.5</v>
      </c>
      <c r="L446" s="124"/>
      <c r="M446" s="121"/>
      <c r="N446" s="124"/>
      <c r="O446" s="124"/>
      <c r="P446" s="124"/>
      <c r="Q446" s="239">
        <f t="shared" si="176"/>
        <v>0.9</v>
      </c>
      <c r="R446" s="124"/>
      <c r="S446" s="124"/>
      <c r="T446" s="124"/>
      <c r="U446" s="124"/>
      <c r="V446" s="124"/>
      <c r="W446" s="124"/>
      <c r="X446" s="124"/>
      <c r="Y446" s="124"/>
      <c r="Z446" s="124"/>
      <c r="AA446" s="124"/>
      <c r="AB446" s="124"/>
      <c r="AC446" s="124"/>
      <c r="AD446" s="124"/>
      <c r="AE446" s="124"/>
      <c r="AF446" s="124"/>
      <c r="AG446" s="124"/>
      <c r="AH446" s="124"/>
      <c r="AI446" s="124"/>
      <c r="AJ446" s="124">
        <f t="shared" si="175"/>
        <v>38.4</v>
      </c>
      <c r="AK446" s="122">
        <v>7</v>
      </c>
      <c r="AL446" s="126"/>
      <c r="AM446" s="126"/>
      <c r="AN446" s="126"/>
    </row>
    <row r="447" spans="1:40" s="138" customFormat="1" ht="18" x14ac:dyDescent="0.2">
      <c r="A447" s="122" t="s">
        <v>286</v>
      </c>
      <c r="B447" s="131" t="s">
        <v>586</v>
      </c>
      <c r="C447" s="122" t="s">
        <v>61</v>
      </c>
      <c r="D447" s="122">
        <f>Бюджет_Конт!$I$7</f>
        <v>5</v>
      </c>
      <c r="E447" s="122">
        <f>Бюджет_Конт!$I$18</f>
        <v>1</v>
      </c>
      <c r="F447" s="124">
        <v>18</v>
      </c>
      <c r="G447" s="141">
        <f t="shared" si="172"/>
        <v>18</v>
      </c>
      <c r="H447" s="124"/>
      <c r="I447" s="124">
        <f t="shared" si="173"/>
        <v>0</v>
      </c>
      <c r="J447" s="124">
        <v>36</v>
      </c>
      <c r="K447" s="121">
        <f t="shared" si="174"/>
        <v>1.5</v>
      </c>
      <c r="L447" s="124"/>
      <c r="M447" s="121"/>
      <c r="N447" s="124"/>
      <c r="O447" s="124"/>
      <c r="P447" s="124"/>
      <c r="Q447" s="239">
        <f t="shared" si="176"/>
        <v>0.9</v>
      </c>
      <c r="R447" s="124"/>
      <c r="S447" s="124"/>
      <c r="T447" s="124"/>
      <c r="U447" s="124"/>
      <c r="V447" s="124"/>
      <c r="W447" s="124"/>
      <c r="X447" s="124"/>
      <c r="Y447" s="124"/>
      <c r="Z447" s="124"/>
      <c r="AA447" s="124"/>
      <c r="AB447" s="124"/>
      <c r="AC447" s="124"/>
      <c r="AD447" s="124"/>
      <c r="AE447" s="124"/>
      <c r="AF447" s="124"/>
      <c r="AG447" s="124"/>
      <c r="AH447" s="124"/>
      <c r="AI447" s="124"/>
      <c r="AJ447" s="124">
        <f t="shared" si="175"/>
        <v>56.4</v>
      </c>
      <c r="AK447" s="122">
        <v>8</v>
      </c>
      <c r="AL447" s="126"/>
      <c r="AM447" s="126"/>
      <c r="AN447" s="126"/>
    </row>
    <row r="448" spans="1:40" s="138" customFormat="1" ht="54" x14ac:dyDescent="0.2">
      <c r="A448" s="122" t="s">
        <v>199</v>
      </c>
      <c r="B448" s="131" t="s">
        <v>587</v>
      </c>
      <c r="C448" s="122" t="s">
        <v>62</v>
      </c>
      <c r="D448" s="122">
        <f>Бюджет_Конт!$I$7</f>
        <v>5</v>
      </c>
      <c r="E448" s="122">
        <f>Бюджет_Конт!$I$18</f>
        <v>1</v>
      </c>
      <c r="F448" s="124">
        <v>40</v>
      </c>
      <c r="G448" s="141">
        <f t="shared" si="172"/>
        <v>40</v>
      </c>
      <c r="H448" s="124"/>
      <c r="I448" s="124">
        <f t="shared" si="173"/>
        <v>0</v>
      </c>
      <c r="J448" s="124">
        <v>40</v>
      </c>
      <c r="K448" s="121">
        <f t="shared" si="174"/>
        <v>1.5</v>
      </c>
      <c r="L448" s="124"/>
      <c r="M448" s="121"/>
      <c r="N448" s="124"/>
      <c r="O448" s="124"/>
      <c r="P448" s="124"/>
      <c r="Q448" s="239">
        <f t="shared" si="176"/>
        <v>2</v>
      </c>
      <c r="R448" s="124"/>
      <c r="S448" s="124"/>
      <c r="T448" s="124"/>
      <c r="U448" s="124"/>
      <c r="V448" s="124"/>
      <c r="W448" s="124"/>
      <c r="X448" s="124"/>
      <c r="Y448" s="124"/>
      <c r="Z448" s="124"/>
      <c r="AA448" s="124"/>
      <c r="AB448" s="124"/>
      <c r="AC448" s="124"/>
      <c r="AD448" s="124"/>
      <c r="AE448" s="124"/>
      <c r="AF448" s="124"/>
      <c r="AG448" s="124"/>
      <c r="AH448" s="124"/>
      <c r="AI448" s="124"/>
      <c r="AJ448" s="124">
        <f t="shared" si="175"/>
        <v>83.5</v>
      </c>
      <c r="AK448" s="122">
        <v>7</v>
      </c>
      <c r="AL448" s="126"/>
      <c r="AM448" s="126"/>
      <c r="AN448" s="126"/>
    </row>
    <row r="449" spans="1:40" s="138" customFormat="1" ht="54" x14ac:dyDescent="0.2">
      <c r="A449" s="122" t="s">
        <v>203</v>
      </c>
      <c r="B449" s="131" t="s">
        <v>588</v>
      </c>
      <c r="C449" s="122" t="s">
        <v>62</v>
      </c>
      <c r="D449" s="122">
        <f>Бюджет_Конт!$I$7</f>
        <v>5</v>
      </c>
      <c r="E449" s="122">
        <f>Бюджет_Конт!$I$18</f>
        <v>1</v>
      </c>
      <c r="F449" s="124"/>
      <c r="G449" s="141">
        <f t="shared" si="172"/>
        <v>0</v>
      </c>
      <c r="H449" s="124">
        <v>20</v>
      </c>
      <c r="I449" s="124">
        <f t="shared" si="173"/>
        <v>20</v>
      </c>
      <c r="J449" s="124"/>
      <c r="K449" s="121">
        <f t="shared" si="174"/>
        <v>1.5</v>
      </c>
      <c r="L449" s="124"/>
      <c r="M449" s="121"/>
      <c r="N449" s="124"/>
      <c r="O449" s="124"/>
      <c r="P449" s="124"/>
      <c r="Q449" s="239">
        <f>IF(K449&gt;0,0.05*G449,IF(M449&gt;0,0.05*G449+1*E449,0))</f>
        <v>0</v>
      </c>
      <c r="R449" s="124"/>
      <c r="S449" s="124"/>
      <c r="T449" s="124"/>
      <c r="U449" s="124"/>
      <c r="V449" s="124"/>
      <c r="W449" s="124"/>
      <c r="X449" s="124"/>
      <c r="Y449" s="124"/>
      <c r="Z449" s="124"/>
      <c r="AA449" s="124"/>
      <c r="AB449" s="124"/>
      <c r="AC449" s="124"/>
      <c r="AD449" s="124"/>
      <c r="AE449" s="124"/>
      <c r="AF449" s="124"/>
      <c r="AG449" s="124"/>
      <c r="AH449" s="124"/>
      <c r="AI449" s="124"/>
      <c r="AJ449" s="124">
        <f t="shared" si="175"/>
        <v>21.5</v>
      </c>
      <c r="AK449" s="122">
        <v>7</v>
      </c>
      <c r="AL449" s="126"/>
      <c r="AM449" s="126"/>
      <c r="AN449" s="126"/>
    </row>
    <row r="450" spans="1:40" s="138" customFormat="1" ht="18" x14ac:dyDescent="0.2">
      <c r="A450" s="122"/>
      <c r="B450" s="133" t="s">
        <v>348</v>
      </c>
      <c r="C450" s="134"/>
      <c r="D450" s="134"/>
      <c r="E450" s="134"/>
      <c r="F450" s="147">
        <f>SUM(F435:F449)</f>
        <v>356</v>
      </c>
      <c r="G450" s="147">
        <f t="shared" ref="G450:AJ450" si="177">SUM(G435:G449)</f>
        <v>336</v>
      </c>
      <c r="H450" s="147">
        <f t="shared" si="177"/>
        <v>266</v>
      </c>
      <c r="I450" s="147">
        <f t="shared" si="177"/>
        <v>246</v>
      </c>
      <c r="J450" s="147">
        <f t="shared" si="177"/>
        <v>246</v>
      </c>
      <c r="K450" s="147">
        <f t="shared" si="177"/>
        <v>13.5</v>
      </c>
      <c r="L450" s="147">
        <f t="shared" si="177"/>
        <v>0</v>
      </c>
      <c r="M450" s="147">
        <f t="shared" si="177"/>
        <v>10</v>
      </c>
      <c r="N450" s="147">
        <f t="shared" si="177"/>
        <v>0</v>
      </c>
      <c r="O450" s="147">
        <f t="shared" si="177"/>
        <v>0</v>
      </c>
      <c r="P450" s="147">
        <f t="shared" si="177"/>
        <v>0</v>
      </c>
      <c r="Q450" s="147">
        <f t="shared" si="177"/>
        <v>21.799999999999997</v>
      </c>
      <c r="R450" s="147">
        <f t="shared" si="177"/>
        <v>0</v>
      </c>
      <c r="S450" s="147">
        <f t="shared" si="177"/>
        <v>0</v>
      </c>
      <c r="T450" s="147">
        <f t="shared" si="177"/>
        <v>0</v>
      </c>
      <c r="U450" s="147">
        <f t="shared" si="177"/>
        <v>0</v>
      </c>
      <c r="V450" s="147">
        <f t="shared" si="177"/>
        <v>0</v>
      </c>
      <c r="W450" s="147">
        <f t="shared" si="177"/>
        <v>0</v>
      </c>
      <c r="X450" s="147">
        <f t="shared" si="177"/>
        <v>0</v>
      </c>
      <c r="Y450" s="147">
        <f t="shared" si="177"/>
        <v>0</v>
      </c>
      <c r="Z450" s="147">
        <f t="shared" si="177"/>
        <v>0</v>
      </c>
      <c r="AA450" s="147">
        <f t="shared" si="177"/>
        <v>0</v>
      </c>
      <c r="AB450" s="147">
        <f t="shared" si="177"/>
        <v>0</v>
      </c>
      <c r="AC450" s="147">
        <f t="shared" si="177"/>
        <v>0</v>
      </c>
      <c r="AD450" s="147">
        <f t="shared" si="177"/>
        <v>0</v>
      </c>
      <c r="AE450" s="147">
        <f t="shared" si="177"/>
        <v>30</v>
      </c>
      <c r="AF450" s="147">
        <f t="shared" si="177"/>
        <v>0</v>
      </c>
      <c r="AG450" s="147">
        <f t="shared" si="177"/>
        <v>0</v>
      </c>
      <c r="AH450" s="147">
        <f t="shared" si="177"/>
        <v>0</v>
      </c>
      <c r="AI450" s="147">
        <f t="shared" si="177"/>
        <v>0</v>
      </c>
      <c r="AJ450" s="147">
        <f t="shared" si="177"/>
        <v>903.3</v>
      </c>
      <c r="AK450" s="124"/>
      <c r="AL450" s="126">
        <f>AJ450-SUM(I450:AI450,G450)</f>
        <v>0</v>
      </c>
      <c r="AM450" s="126"/>
      <c r="AN450" s="126"/>
    </row>
    <row r="451" spans="1:40" s="138" customFormat="1" ht="18" x14ac:dyDescent="0.2">
      <c r="A451" s="122"/>
      <c r="B451" s="145"/>
      <c r="C451" s="146"/>
      <c r="D451" s="146"/>
      <c r="E451" s="146"/>
      <c r="F451" s="240"/>
      <c r="G451" s="240"/>
      <c r="H451" s="240"/>
      <c r="I451" s="240"/>
      <c r="J451" s="240"/>
      <c r="K451" s="240"/>
      <c r="L451" s="240"/>
      <c r="M451" s="240"/>
      <c r="N451" s="240"/>
      <c r="O451" s="240"/>
      <c r="P451" s="240"/>
      <c r="Q451" s="240"/>
      <c r="R451" s="240"/>
      <c r="S451" s="240"/>
      <c r="T451" s="240"/>
      <c r="U451" s="240"/>
      <c r="V451" s="240"/>
      <c r="W451" s="240"/>
      <c r="X451" s="240"/>
      <c r="Y451" s="240"/>
      <c r="Z451" s="240"/>
      <c r="AA451" s="240"/>
      <c r="AB451" s="240"/>
      <c r="AC451" s="240"/>
      <c r="AD451" s="240"/>
      <c r="AE451" s="240"/>
      <c r="AF451" s="240"/>
      <c r="AG451" s="240"/>
      <c r="AH451" s="240"/>
      <c r="AI451" s="240"/>
      <c r="AJ451" s="240"/>
      <c r="AK451" s="124"/>
      <c r="AL451" s="126"/>
      <c r="AM451" s="126"/>
      <c r="AN451" s="126"/>
    </row>
    <row r="452" spans="1:40" s="138" customFormat="1" ht="18" x14ac:dyDescent="0.2">
      <c r="A452" s="149"/>
      <c r="B452" s="151" t="s">
        <v>125</v>
      </c>
      <c r="C452" s="152"/>
      <c r="D452" s="152"/>
      <c r="E452" s="152"/>
      <c r="F452" s="153">
        <f t="shared" ref="F452:AJ452" si="178">SUM(F385,F321,F257,F201,F88,F431,F337,F450,F361)</f>
        <v>8460</v>
      </c>
      <c r="G452" s="153">
        <f t="shared" si="178"/>
        <v>6494</v>
      </c>
      <c r="H452" s="153">
        <f t="shared" si="178"/>
        <v>6764</v>
      </c>
      <c r="I452" s="153">
        <f t="shared" si="178"/>
        <v>6522</v>
      </c>
      <c r="J452" s="153">
        <f t="shared" si="178"/>
        <v>9570</v>
      </c>
      <c r="K452" s="153">
        <f t="shared" si="178"/>
        <v>962.1</v>
      </c>
      <c r="L452" s="153">
        <f t="shared" si="178"/>
        <v>0</v>
      </c>
      <c r="M452" s="153">
        <f t="shared" si="178"/>
        <v>771.60000000000014</v>
      </c>
      <c r="N452" s="153">
        <f t="shared" si="178"/>
        <v>0</v>
      </c>
      <c r="O452" s="153">
        <f t="shared" si="178"/>
        <v>0</v>
      </c>
      <c r="P452" s="153">
        <f t="shared" si="178"/>
        <v>0</v>
      </c>
      <c r="Q452" s="153">
        <f t="shared" si="178"/>
        <v>402.70000000000016</v>
      </c>
      <c r="R452" s="153">
        <f t="shared" si="178"/>
        <v>0</v>
      </c>
      <c r="S452" s="153">
        <f t="shared" si="178"/>
        <v>244</v>
      </c>
      <c r="T452" s="153">
        <f t="shared" si="178"/>
        <v>1338</v>
      </c>
      <c r="U452" s="153">
        <f t="shared" si="178"/>
        <v>292.5</v>
      </c>
      <c r="V452" s="153">
        <f t="shared" si="178"/>
        <v>87</v>
      </c>
      <c r="W452" s="153">
        <f t="shared" si="178"/>
        <v>1900</v>
      </c>
      <c r="X452" s="153">
        <f t="shared" si="178"/>
        <v>90</v>
      </c>
      <c r="Y452" s="153">
        <f t="shared" si="178"/>
        <v>0</v>
      </c>
      <c r="Z452" s="153">
        <f t="shared" si="178"/>
        <v>0</v>
      </c>
      <c r="AA452" s="153">
        <f t="shared" si="178"/>
        <v>0</v>
      </c>
      <c r="AB452" s="153">
        <f t="shared" si="178"/>
        <v>360.5</v>
      </c>
      <c r="AC452" s="153">
        <f t="shared" si="178"/>
        <v>0</v>
      </c>
      <c r="AD452" s="153">
        <f t="shared" si="178"/>
        <v>0</v>
      </c>
      <c r="AE452" s="153">
        <f t="shared" si="178"/>
        <v>150</v>
      </c>
      <c r="AF452" s="153">
        <f t="shared" si="178"/>
        <v>0</v>
      </c>
      <c r="AG452" s="153">
        <f t="shared" si="178"/>
        <v>0</v>
      </c>
      <c r="AH452" s="153">
        <f t="shared" si="178"/>
        <v>0</v>
      </c>
      <c r="AI452" s="153">
        <f t="shared" si="178"/>
        <v>667</v>
      </c>
      <c r="AJ452" s="153">
        <f t="shared" si="178"/>
        <v>29851.4</v>
      </c>
      <c r="AK452" s="137"/>
      <c r="AL452" s="126">
        <f>AJ452-SUM(I452:AI452,G452)</f>
        <v>0</v>
      </c>
      <c r="AM452" s="126"/>
      <c r="AN452" s="126"/>
    </row>
    <row r="453" spans="1:40" s="138" customFormat="1" ht="18" x14ac:dyDescent="0.2">
      <c r="A453" s="149"/>
      <c r="B453" s="132"/>
      <c r="C453" s="149"/>
      <c r="D453" s="149"/>
      <c r="E453" s="149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  <c r="AA453" s="124"/>
      <c r="AB453" s="124"/>
      <c r="AC453" s="124"/>
      <c r="AD453" s="124"/>
      <c r="AE453" s="124"/>
      <c r="AF453" s="124"/>
      <c r="AG453" s="124"/>
      <c r="AH453" s="124"/>
      <c r="AI453" s="124"/>
      <c r="AJ453" s="124"/>
      <c r="AK453" s="137"/>
      <c r="AL453" s="125"/>
      <c r="AM453" s="126"/>
      <c r="AN453" s="126"/>
    </row>
    <row r="454" spans="1:40" s="138" customFormat="1" ht="18" x14ac:dyDescent="0.2">
      <c r="A454" s="149"/>
      <c r="B454" s="132"/>
      <c r="C454" s="149"/>
      <c r="D454" s="149"/>
      <c r="E454" s="149"/>
      <c r="F454" s="124"/>
      <c r="G454" s="124"/>
      <c r="H454" s="124"/>
      <c r="I454" s="124"/>
      <c r="J454" s="124"/>
      <c r="K454" s="344" t="s">
        <v>129</v>
      </c>
      <c r="L454" s="344"/>
      <c r="M454" s="344"/>
      <c r="N454" s="344"/>
      <c r="O454" s="344"/>
      <c r="P454" s="344"/>
      <c r="Q454" s="344"/>
      <c r="R454" s="344"/>
      <c r="S454" s="344"/>
      <c r="T454" s="344"/>
      <c r="U454" s="344"/>
      <c r="V454" s="344"/>
      <c r="W454" s="344"/>
      <c r="X454" s="344"/>
      <c r="Y454" s="344"/>
      <c r="Z454" s="344"/>
      <c r="AA454" s="344"/>
      <c r="AB454" s="344"/>
      <c r="AC454" s="124"/>
      <c r="AD454" s="124"/>
      <c r="AE454" s="124"/>
      <c r="AF454" s="124"/>
      <c r="AG454" s="124"/>
      <c r="AH454" s="124"/>
      <c r="AI454" s="124"/>
      <c r="AJ454" s="124"/>
      <c r="AK454" s="122"/>
      <c r="AL454" s="125"/>
      <c r="AM454" s="126"/>
      <c r="AN454" s="126"/>
    </row>
    <row r="455" spans="1:40" s="138" customFormat="1" ht="18" x14ac:dyDescent="0.2">
      <c r="A455" s="149"/>
      <c r="B455" s="132"/>
      <c r="C455" s="149"/>
      <c r="D455" s="149"/>
      <c r="E455" s="149"/>
      <c r="F455" s="124"/>
      <c r="G455" s="124"/>
      <c r="H455" s="124"/>
      <c r="I455" s="124"/>
      <c r="J455" s="124"/>
      <c r="K455" s="246"/>
      <c r="L455" s="246"/>
      <c r="M455" s="246"/>
      <c r="N455" s="246"/>
      <c r="O455" s="246"/>
      <c r="P455" s="246"/>
      <c r="Q455" s="246"/>
      <c r="R455" s="355" t="s">
        <v>173</v>
      </c>
      <c r="S455" s="355"/>
      <c r="T455" s="355"/>
      <c r="U455" s="355"/>
      <c r="V455" s="355"/>
      <c r="W455" s="246"/>
      <c r="X455" s="246"/>
      <c r="Y455" s="246"/>
      <c r="Z455" s="246"/>
      <c r="AA455" s="246"/>
      <c r="AB455" s="246"/>
      <c r="AC455" s="124"/>
      <c r="AD455" s="124"/>
      <c r="AE455" s="124"/>
      <c r="AF455" s="124"/>
      <c r="AG455" s="124"/>
      <c r="AH455" s="124"/>
      <c r="AI455" s="124"/>
      <c r="AJ455" s="141">
        <f t="shared" ref="AJ455:AJ463" si="179">SUM(G455,I455:AI455)</f>
        <v>0</v>
      </c>
      <c r="AK455" s="122"/>
      <c r="AL455" s="125"/>
      <c r="AM455" s="126"/>
      <c r="AN455" s="126"/>
    </row>
    <row r="456" spans="1:40" s="138" customFormat="1" ht="18" x14ac:dyDescent="0.2">
      <c r="A456" s="149"/>
      <c r="B456" s="132"/>
      <c r="C456" s="149"/>
      <c r="D456" s="149"/>
      <c r="E456" s="149"/>
      <c r="F456" s="124"/>
      <c r="G456" s="124"/>
      <c r="H456" s="124"/>
      <c r="I456" s="124"/>
      <c r="J456" s="124"/>
      <c r="K456" s="351" t="s">
        <v>500</v>
      </c>
      <c r="L456" s="351"/>
      <c r="M456" s="351"/>
      <c r="N456" s="351"/>
      <c r="O456" s="351"/>
      <c r="P456" s="351"/>
      <c r="Q456" s="351"/>
      <c r="R456" s="351"/>
      <c r="S456" s="351"/>
      <c r="T456" s="351"/>
      <c r="U456" s="351"/>
      <c r="V456" s="351"/>
      <c r="W456" s="351"/>
      <c r="X456" s="351"/>
      <c r="Y456" s="351"/>
      <c r="Z456" s="351"/>
      <c r="AA456" s="351"/>
      <c r="AB456" s="351"/>
      <c r="AC456" s="124"/>
      <c r="AD456" s="124"/>
      <c r="AE456" s="124"/>
      <c r="AF456" s="124"/>
      <c r="AG456" s="124"/>
      <c r="AH456" s="124"/>
      <c r="AI456" s="124"/>
      <c r="AJ456" s="141">
        <f t="shared" si="179"/>
        <v>0</v>
      </c>
      <c r="AK456" s="122"/>
      <c r="AL456" s="125"/>
      <c r="AM456" s="126"/>
      <c r="AN456" s="126"/>
    </row>
    <row r="457" spans="1:40" s="274" customFormat="1" ht="18" x14ac:dyDescent="0.25">
      <c r="A457" s="308" t="s">
        <v>293</v>
      </c>
      <c r="B457" s="140" t="s">
        <v>130</v>
      </c>
      <c r="C457" s="309" t="s">
        <v>294</v>
      </c>
      <c r="D457" s="300">
        <v>84</v>
      </c>
      <c r="E457" s="300">
        <v>3</v>
      </c>
      <c r="F457" s="121">
        <v>16</v>
      </c>
      <c r="G457" s="121">
        <v>16</v>
      </c>
      <c r="H457" s="121"/>
      <c r="I457" s="121"/>
      <c r="J457" s="121">
        <v>96</v>
      </c>
      <c r="K457" s="121">
        <v>25.2</v>
      </c>
      <c r="L457" s="121"/>
      <c r="M457" s="121"/>
      <c r="N457" s="121"/>
      <c r="O457" s="121"/>
      <c r="P457" s="121"/>
      <c r="Q457" s="121">
        <v>0.8</v>
      </c>
      <c r="R457" s="121"/>
      <c r="S457" s="121"/>
      <c r="T457" s="121"/>
      <c r="U457" s="121"/>
      <c r="V457" s="121"/>
      <c r="W457" s="121"/>
      <c r="X457" s="121"/>
      <c r="Y457" s="121"/>
      <c r="Z457" s="121"/>
      <c r="AA457" s="310"/>
      <c r="AB457" s="310"/>
      <c r="AC457" s="121"/>
      <c r="AD457" s="121"/>
      <c r="AE457" s="310"/>
      <c r="AF457" s="310"/>
      <c r="AG457" s="310"/>
      <c r="AH457" s="310"/>
      <c r="AI457" s="121">
        <v>6</v>
      </c>
      <c r="AJ457" s="141">
        <f t="shared" si="179"/>
        <v>144</v>
      </c>
      <c r="AK457" s="300"/>
      <c r="AL457" s="311"/>
      <c r="AM457" s="312"/>
    </row>
    <row r="458" spans="1:40" s="138" customFormat="1" ht="18" customHeight="1" x14ac:dyDescent="0.2">
      <c r="A458" s="122"/>
      <c r="B458" s="132"/>
      <c r="C458" s="149"/>
      <c r="D458" s="149"/>
      <c r="E458" s="149"/>
      <c r="F458" s="124"/>
      <c r="G458" s="124"/>
      <c r="H458" s="124"/>
      <c r="I458" s="124"/>
      <c r="J458" s="124"/>
      <c r="K458" s="351" t="s">
        <v>501</v>
      </c>
      <c r="L458" s="351"/>
      <c r="M458" s="351"/>
      <c r="N458" s="351"/>
      <c r="O458" s="351"/>
      <c r="P458" s="351"/>
      <c r="Q458" s="351"/>
      <c r="R458" s="351"/>
      <c r="S458" s="351"/>
      <c r="T458" s="351"/>
      <c r="U458" s="351"/>
      <c r="V458" s="351"/>
      <c r="W458" s="351"/>
      <c r="X458" s="351"/>
      <c r="Y458" s="351"/>
      <c r="Z458" s="351"/>
      <c r="AA458" s="351"/>
      <c r="AB458" s="351"/>
      <c r="AC458" s="124"/>
      <c r="AD458" s="124"/>
      <c r="AE458" s="124"/>
      <c r="AF458" s="124"/>
      <c r="AG458" s="124"/>
      <c r="AH458" s="124"/>
      <c r="AI458" s="124"/>
      <c r="AJ458" s="141">
        <f t="shared" si="179"/>
        <v>0</v>
      </c>
      <c r="AK458" s="122"/>
      <c r="AL458" s="125"/>
      <c r="AM458" s="126"/>
      <c r="AN458" s="126"/>
    </row>
    <row r="459" spans="1:40" s="274" customFormat="1" ht="18" x14ac:dyDescent="0.25">
      <c r="A459" s="308" t="s">
        <v>293</v>
      </c>
      <c r="B459" s="140" t="s">
        <v>130</v>
      </c>
      <c r="C459" s="309" t="s">
        <v>294</v>
      </c>
      <c r="D459" s="300">
        <v>16</v>
      </c>
      <c r="E459" s="300">
        <v>1</v>
      </c>
      <c r="F459" s="121">
        <v>16</v>
      </c>
      <c r="G459" s="121"/>
      <c r="H459" s="121"/>
      <c r="I459" s="121"/>
      <c r="J459" s="121">
        <v>32</v>
      </c>
      <c r="K459" s="121">
        <v>4.8</v>
      </c>
      <c r="L459" s="121"/>
      <c r="M459" s="121"/>
      <c r="N459" s="121"/>
      <c r="O459" s="121"/>
      <c r="P459" s="121"/>
      <c r="Q459" s="121">
        <v>0</v>
      </c>
      <c r="R459" s="121"/>
      <c r="S459" s="121"/>
      <c r="T459" s="121"/>
      <c r="U459" s="121"/>
      <c r="V459" s="121"/>
      <c r="W459" s="121"/>
      <c r="X459" s="121"/>
      <c r="Y459" s="121"/>
      <c r="Z459" s="121"/>
      <c r="AA459" s="310"/>
      <c r="AB459" s="310"/>
      <c r="AC459" s="121"/>
      <c r="AD459" s="121"/>
      <c r="AE459" s="310"/>
      <c r="AF459" s="310"/>
      <c r="AG459" s="310"/>
      <c r="AH459" s="310"/>
      <c r="AI459" s="121">
        <v>4</v>
      </c>
      <c r="AJ459" s="141">
        <f t="shared" si="179"/>
        <v>40.799999999999997</v>
      </c>
      <c r="AK459" s="300"/>
      <c r="AL459" s="311"/>
      <c r="AM459" s="312"/>
    </row>
    <row r="460" spans="1:40" s="138" customFormat="1" ht="18" customHeight="1" x14ac:dyDescent="0.2">
      <c r="A460" s="122"/>
      <c r="B460" s="132"/>
      <c r="C460" s="122"/>
      <c r="D460" s="122"/>
      <c r="E460" s="122"/>
      <c r="F460" s="124"/>
      <c r="G460" s="124"/>
      <c r="H460" s="124"/>
      <c r="I460" s="124"/>
      <c r="J460" s="124"/>
      <c r="K460" s="351" t="s">
        <v>395</v>
      </c>
      <c r="L460" s="351"/>
      <c r="M460" s="351"/>
      <c r="N460" s="351"/>
      <c r="O460" s="351"/>
      <c r="P460" s="351"/>
      <c r="Q460" s="351"/>
      <c r="R460" s="351"/>
      <c r="S460" s="351"/>
      <c r="T460" s="351"/>
      <c r="U460" s="351"/>
      <c r="V460" s="351"/>
      <c r="W460" s="351"/>
      <c r="X460" s="351"/>
      <c r="Y460" s="351"/>
      <c r="Z460" s="351"/>
      <c r="AA460" s="351"/>
      <c r="AB460" s="351"/>
      <c r="AC460" s="124"/>
      <c r="AD460" s="124"/>
      <c r="AE460" s="124"/>
      <c r="AF460" s="124"/>
      <c r="AG460" s="124"/>
      <c r="AH460" s="124"/>
      <c r="AI460" s="124"/>
      <c r="AJ460" s="141">
        <f t="shared" si="179"/>
        <v>0</v>
      </c>
      <c r="AK460" s="122"/>
      <c r="AL460" s="125"/>
      <c r="AM460" s="126"/>
      <c r="AN460" s="126"/>
    </row>
    <row r="461" spans="1:40" s="274" customFormat="1" ht="18" x14ac:dyDescent="0.25">
      <c r="A461" s="308" t="s">
        <v>202</v>
      </c>
      <c r="B461" s="140" t="s">
        <v>130</v>
      </c>
      <c r="C461" s="309" t="s">
        <v>294</v>
      </c>
      <c r="D461" s="300">
        <v>12</v>
      </c>
      <c r="E461" s="300">
        <v>1</v>
      </c>
      <c r="F461" s="121">
        <v>16</v>
      </c>
      <c r="G461" s="121"/>
      <c r="H461" s="121"/>
      <c r="I461" s="121"/>
      <c r="J461" s="121">
        <v>16</v>
      </c>
      <c r="K461" s="121">
        <v>3.5999999999999996</v>
      </c>
      <c r="L461" s="121"/>
      <c r="M461" s="121"/>
      <c r="N461" s="141"/>
      <c r="O461" s="141"/>
      <c r="P461" s="141"/>
      <c r="Q461" s="121"/>
      <c r="R461" s="141"/>
      <c r="S461" s="141"/>
      <c r="T461" s="141"/>
      <c r="U461" s="141"/>
      <c r="V461" s="141"/>
      <c r="W461" s="141"/>
      <c r="X461" s="141"/>
      <c r="Y461" s="14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>
        <v>1</v>
      </c>
      <c r="AJ461" s="141">
        <f t="shared" si="179"/>
        <v>20.6</v>
      </c>
      <c r="AK461" s="300"/>
      <c r="AL461" s="311"/>
      <c r="AM461" s="312"/>
    </row>
    <row r="462" spans="1:40" s="138" customFormat="1" ht="18" customHeight="1" x14ac:dyDescent="0.2">
      <c r="A462" s="122"/>
      <c r="B462" s="132"/>
      <c r="C462" s="122"/>
      <c r="D462" s="122"/>
      <c r="E462" s="122"/>
      <c r="F462" s="124"/>
      <c r="G462" s="124"/>
      <c r="H462" s="124"/>
      <c r="I462" s="124"/>
      <c r="J462" s="124"/>
      <c r="K462" s="351" t="s">
        <v>396</v>
      </c>
      <c r="L462" s="351"/>
      <c r="M462" s="351"/>
      <c r="N462" s="351"/>
      <c r="O462" s="351"/>
      <c r="P462" s="351"/>
      <c r="Q462" s="351"/>
      <c r="R462" s="351"/>
      <c r="S462" s="351"/>
      <c r="T462" s="351"/>
      <c r="U462" s="351"/>
      <c r="V462" s="351"/>
      <c r="W462" s="351"/>
      <c r="X462" s="351"/>
      <c r="Y462" s="351"/>
      <c r="Z462" s="351"/>
      <c r="AA462" s="351"/>
      <c r="AB462" s="351"/>
      <c r="AC462" s="124"/>
      <c r="AD462" s="124"/>
      <c r="AE462" s="124"/>
      <c r="AF462" s="124"/>
      <c r="AG462" s="124"/>
      <c r="AH462" s="124"/>
      <c r="AI462" s="124"/>
      <c r="AJ462" s="141">
        <f t="shared" si="179"/>
        <v>0</v>
      </c>
      <c r="AK462" s="122"/>
      <c r="AL462" s="125"/>
      <c r="AM462" s="126"/>
      <c r="AN462" s="126"/>
    </row>
    <row r="463" spans="1:40" s="274" customFormat="1" ht="18" x14ac:dyDescent="0.25">
      <c r="A463" s="308" t="s">
        <v>293</v>
      </c>
      <c r="B463" s="140" t="s">
        <v>130</v>
      </c>
      <c r="C463" s="309" t="s">
        <v>294</v>
      </c>
      <c r="D463" s="300">
        <v>13</v>
      </c>
      <c r="E463" s="300">
        <v>1</v>
      </c>
      <c r="F463" s="121">
        <v>16</v>
      </c>
      <c r="G463" s="121"/>
      <c r="H463" s="121"/>
      <c r="I463" s="121"/>
      <c r="J463" s="121">
        <v>16</v>
      </c>
      <c r="K463" s="121">
        <v>3.9</v>
      </c>
      <c r="L463" s="121"/>
      <c r="M463" s="121"/>
      <c r="N463" s="141"/>
      <c r="O463" s="141"/>
      <c r="P463" s="141"/>
      <c r="Q463" s="121">
        <v>0</v>
      </c>
      <c r="R463" s="141"/>
      <c r="S463" s="141"/>
      <c r="T463" s="141"/>
      <c r="U463" s="141"/>
      <c r="V463" s="141"/>
      <c r="W463" s="141"/>
      <c r="X463" s="141"/>
      <c r="Y463" s="14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>
        <v>2</v>
      </c>
      <c r="AJ463" s="141">
        <f t="shared" si="179"/>
        <v>21.9</v>
      </c>
      <c r="AK463" s="300"/>
      <c r="AL463" s="311"/>
      <c r="AM463" s="312"/>
    </row>
    <row r="464" spans="1:40" s="138" customFormat="1" ht="18" x14ac:dyDescent="0.2">
      <c r="A464" s="122"/>
      <c r="B464" s="155" t="s">
        <v>601</v>
      </c>
      <c r="C464" s="156"/>
      <c r="D464" s="156"/>
      <c r="E464" s="156"/>
      <c r="F464" s="135">
        <f t="shared" ref="F464:AJ464" si="180">SUM(F457:F463)</f>
        <v>64</v>
      </c>
      <c r="G464" s="135">
        <f t="shared" si="180"/>
        <v>16</v>
      </c>
      <c r="H464" s="135">
        <f t="shared" si="180"/>
        <v>0</v>
      </c>
      <c r="I464" s="135">
        <f t="shared" si="180"/>
        <v>0</v>
      </c>
      <c r="J464" s="135">
        <f t="shared" si="180"/>
        <v>160</v>
      </c>
      <c r="K464" s="135">
        <f t="shared" si="180"/>
        <v>37.5</v>
      </c>
      <c r="L464" s="135">
        <f t="shared" si="180"/>
        <v>0</v>
      </c>
      <c r="M464" s="135">
        <f t="shared" si="180"/>
        <v>0</v>
      </c>
      <c r="N464" s="135">
        <f t="shared" si="180"/>
        <v>0</v>
      </c>
      <c r="O464" s="135">
        <f t="shared" si="180"/>
        <v>0</v>
      </c>
      <c r="P464" s="135">
        <f t="shared" si="180"/>
        <v>0</v>
      </c>
      <c r="Q464" s="135">
        <f t="shared" si="180"/>
        <v>0.8</v>
      </c>
      <c r="R464" s="135">
        <f t="shared" si="180"/>
        <v>0</v>
      </c>
      <c r="S464" s="135">
        <f t="shared" si="180"/>
        <v>0</v>
      </c>
      <c r="T464" s="135">
        <f t="shared" si="180"/>
        <v>0</v>
      </c>
      <c r="U464" s="135">
        <f t="shared" si="180"/>
        <v>0</v>
      </c>
      <c r="V464" s="135">
        <f t="shared" si="180"/>
        <v>0</v>
      </c>
      <c r="W464" s="135">
        <f t="shared" si="180"/>
        <v>0</v>
      </c>
      <c r="X464" s="135">
        <f t="shared" si="180"/>
        <v>0</v>
      </c>
      <c r="Y464" s="135">
        <f t="shared" si="180"/>
        <v>0</v>
      </c>
      <c r="Z464" s="135">
        <f t="shared" si="180"/>
        <v>0</v>
      </c>
      <c r="AA464" s="135">
        <f t="shared" si="180"/>
        <v>0</v>
      </c>
      <c r="AB464" s="135">
        <f t="shared" si="180"/>
        <v>0</v>
      </c>
      <c r="AC464" s="135">
        <f t="shared" si="180"/>
        <v>0</v>
      </c>
      <c r="AD464" s="135">
        <f t="shared" si="180"/>
        <v>0</v>
      </c>
      <c r="AE464" s="135">
        <f t="shared" si="180"/>
        <v>0</v>
      </c>
      <c r="AF464" s="135">
        <f t="shared" si="180"/>
        <v>0</v>
      </c>
      <c r="AG464" s="135">
        <f t="shared" si="180"/>
        <v>0</v>
      </c>
      <c r="AH464" s="135">
        <f t="shared" si="180"/>
        <v>0</v>
      </c>
      <c r="AI464" s="135">
        <f t="shared" si="180"/>
        <v>13</v>
      </c>
      <c r="AJ464" s="135">
        <f t="shared" si="180"/>
        <v>227.3</v>
      </c>
      <c r="AK464" s="122"/>
      <c r="AL464" s="126"/>
      <c r="AM464" s="126"/>
      <c r="AN464" s="126"/>
    </row>
    <row r="465" spans="1:40" s="138" customFormat="1" ht="18" x14ac:dyDescent="0.2">
      <c r="A465" s="122"/>
      <c r="B465" s="132"/>
      <c r="C465" s="149"/>
      <c r="D465" s="149"/>
      <c r="E465" s="149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  <c r="AA465" s="124"/>
      <c r="AB465" s="124"/>
      <c r="AC465" s="124"/>
      <c r="AD465" s="124"/>
      <c r="AE465" s="124"/>
      <c r="AF465" s="124"/>
      <c r="AG465" s="124"/>
      <c r="AH465" s="124"/>
      <c r="AI465" s="124"/>
      <c r="AJ465" s="124"/>
      <c r="AK465" s="122"/>
      <c r="AL465" s="125"/>
      <c r="AM465" s="126"/>
      <c r="AN465" s="126"/>
    </row>
    <row r="466" spans="1:40" s="138" customFormat="1" ht="18" x14ac:dyDescent="0.2">
      <c r="A466" s="149"/>
      <c r="B466" s="132"/>
      <c r="C466" s="149"/>
      <c r="D466" s="149"/>
      <c r="E466" s="149"/>
      <c r="F466" s="124"/>
      <c r="G466" s="124"/>
      <c r="H466" s="124"/>
      <c r="I466" s="124"/>
      <c r="J466" s="124"/>
      <c r="K466" s="356" t="s">
        <v>178</v>
      </c>
      <c r="L466" s="356"/>
      <c r="M466" s="356"/>
      <c r="N466" s="356"/>
      <c r="O466" s="356"/>
      <c r="P466" s="356"/>
      <c r="Q466" s="356"/>
      <c r="R466" s="356"/>
      <c r="S466" s="356"/>
      <c r="T466" s="356"/>
      <c r="U466" s="356"/>
      <c r="V466" s="356"/>
      <c r="W466" s="356"/>
      <c r="X466" s="356"/>
      <c r="Y466" s="356"/>
      <c r="Z466" s="356"/>
      <c r="AA466" s="356"/>
      <c r="AB466" s="356"/>
      <c r="AC466" s="124"/>
      <c r="AD466" s="124"/>
      <c r="AE466" s="124"/>
      <c r="AF466" s="124"/>
      <c r="AG466" s="124"/>
      <c r="AH466" s="124"/>
      <c r="AI466" s="124"/>
      <c r="AJ466" s="124"/>
      <c r="AK466" s="122"/>
      <c r="AL466" s="125"/>
      <c r="AM466" s="126"/>
      <c r="AN466" s="126"/>
    </row>
    <row r="467" spans="1:40" s="138" customFormat="1" ht="18" x14ac:dyDescent="0.2">
      <c r="A467" s="149"/>
      <c r="B467" s="132"/>
      <c r="C467" s="149"/>
      <c r="D467" s="149"/>
      <c r="E467" s="149"/>
      <c r="F467" s="124"/>
      <c r="G467" s="124"/>
      <c r="H467" s="124"/>
      <c r="I467" s="124"/>
      <c r="J467" s="124"/>
      <c r="K467" s="240"/>
      <c r="L467" s="240"/>
      <c r="M467" s="240"/>
      <c r="N467" s="240"/>
      <c r="O467" s="240"/>
      <c r="P467" s="240"/>
      <c r="Q467" s="240"/>
      <c r="R467" s="357" t="s">
        <v>277</v>
      </c>
      <c r="S467" s="358"/>
      <c r="T467" s="358"/>
      <c r="U467" s="358"/>
      <c r="V467" s="359"/>
      <c r="W467" s="240"/>
      <c r="X467" s="240"/>
      <c r="Y467" s="240"/>
      <c r="Z467" s="240"/>
      <c r="AA467" s="240"/>
      <c r="AB467" s="240"/>
      <c r="AC467" s="124"/>
      <c r="AD467" s="124"/>
      <c r="AE467" s="124"/>
      <c r="AF467" s="124"/>
      <c r="AG467" s="124"/>
      <c r="AH467" s="124"/>
      <c r="AI467" s="124"/>
      <c r="AJ467" s="124"/>
      <c r="AK467" s="157"/>
      <c r="AL467" s="158"/>
      <c r="AM467" s="126"/>
      <c r="AN467" s="126"/>
    </row>
    <row r="468" spans="1:40" s="138" customFormat="1" ht="18" customHeight="1" x14ac:dyDescent="0.2">
      <c r="A468" s="149"/>
      <c r="B468" s="132"/>
      <c r="C468" s="149"/>
      <c r="D468" s="149"/>
      <c r="E468" s="149"/>
      <c r="F468" s="124"/>
      <c r="G468" s="124"/>
      <c r="H468" s="124"/>
      <c r="I468" s="124"/>
      <c r="J468" s="124"/>
      <c r="K468" s="351" t="s">
        <v>275</v>
      </c>
      <c r="L468" s="353"/>
      <c r="M468" s="353"/>
      <c r="N468" s="353"/>
      <c r="O468" s="353"/>
      <c r="P468" s="353"/>
      <c r="Q468" s="353"/>
      <c r="R468" s="353"/>
      <c r="S468" s="353"/>
      <c r="T468" s="353"/>
      <c r="U468" s="353"/>
      <c r="V468" s="353"/>
      <c r="W468" s="353"/>
      <c r="X468" s="353"/>
      <c r="Y468" s="353"/>
      <c r="Z468" s="353"/>
      <c r="AA468" s="353"/>
      <c r="AB468" s="354"/>
      <c r="AC468" s="124"/>
      <c r="AD468" s="124"/>
      <c r="AE468" s="124"/>
      <c r="AF468" s="124"/>
      <c r="AG468" s="124"/>
      <c r="AH468" s="124"/>
      <c r="AI468" s="124"/>
      <c r="AJ468" s="124"/>
      <c r="AK468" s="122"/>
      <c r="AL468" s="125"/>
      <c r="AM468" s="126"/>
      <c r="AN468" s="126"/>
    </row>
    <row r="469" spans="1:40" s="148" customFormat="1" ht="18" x14ac:dyDescent="0.25">
      <c r="A469" s="222" t="s">
        <v>242</v>
      </c>
      <c r="B469" s="223" t="s">
        <v>127</v>
      </c>
      <c r="C469" s="296" t="s">
        <v>276</v>
      </c>
      <c r="D469" s="297">
        <v>20</v>
      </c>
      <c r="E469" s="297">
        <v>2</v>
      </c>
      <c r="F469" s="220">
        <v>34</v>
      </c>
      <c r="G469" s="220">
        <v>34</v>
      </c>
      <c r="H469" s="220"/>
      <c r="I469" s="220"/>
      <c r="J469" s="220">
        <v>34</v>
      </c>
      <c r="K469" s="220">
        <v>6</v>
      </c>
      <c r="L469" s="220"/>
      <c r="M469" s="220"/>
      <c r="N469" s="220"/>
      <c r="O469" s="220"/>
      <c r="P469" s="220"/>
      <c r="Q469" s="221">
        <v>1.7</v>
      </c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>
        <v>2</v>
      </c>
      <c r="AJ469" s="141">
        <f t="shared" ref="AJ469:AJ478" si="181">SUM(G469,I469:AI469)</f>
        <v>77.7</v>
      </c>
      <c r="AK469" s="222">
        <v>8</v>
      </c>
    </row>
    <row r="470" spans="1:40" s="144" customFormat="1" ht="18" x14ac:dyDescent="0.2">
      <c r="A470" s="139"/>
      <c r="B470" s="140"/>
      <c r="C470" s="159"/>
      <c r="D470" s="160"/>
      <c r="E470" s="160"/>
      <c r="F470" s="141"/>
      <c r="G470" s="141">
        <f>F470</f>
        <v>0</v>
      </c>
      <c r="H470" s="141"/>
      <c r="I470" s="352" t="s">
        <v>594</v>
      </c>
      <c r="J470" s="353"/>
      <c r="K470" s="353"/>
      <c r="L470" s="353"/>
      <c r="M470" s="353"/>
      <c r="N470" s="353"/>
      <c r="O470" s="353"/>
      <c r="P470" s="353"/>
      <c r="Q470" s="353"/>
      <c r="R470" s="353"/>
      <c r="S470" s="353"/>
      <c r="T470" s="353"/>
      <c r="U470" s="353"/>
      <c r="V470" s="353"/>
      <c r="W470" s="353"/>
      <c r="X470" s="353"/>
      <c r="Y470" s="353"/>
      <c r="Z470" s="353"/>
      <c r="AA470" s="353"/>
      <c r="AB470" s="353"/>
      <c r="AC470" s="353"/>
      <c r="AD470" s="354"/>
      <c r="AE470" s="141"/>
      <c r="AF470" s="141"/>
      <c r="AG470" s="141"/>
      <c r="AH470" s="141"/>
      <c r="AI470" s="141"/>
      <c r="AJ470" s="141">
        <f t="shared" si="181"/>
        <v>0</v>
      </c>
      <c r="AK470" s="139"/>
      <c r="AL470" s="142"/>
      <c r="AM470" s="143"/>
      <c r="AN470" s="143"/>
    </row>
    <row r="471" spans="1:40" s="148" customFormat="1" ht="18" x14ac:dyDescent="0.25">
      <c r="A471" s="222" t="s">
        <v>202</v>
      </c>
      <c r="B471" s="223" t="s">
        <v>127</v>
      </c>
      <c r="C471" s="296" t="s">
        <v>276</v>
      </c>
      <c r="D471" s="297">
        <v>18</v>
      </c>
      <c r="E471" s="297">
        <v>1</v>
      </c>
      <c r="F471" s="220">
        <v>34</v>
      </c>
      <c r="G471" s="220">
        <v>0</v>
      </c>
      <c r="H471" s="220"/>
      <c r="I471" s="220"/>
      <c r="J471" s="220">
        <v>17</v>
      </c>
      <c r="K471" s="220"/>
      <c r="L471" s="220"/>
      <c r="M471" s="220">
        <v>7.2</v>
      </c>
      <c r="N471" s="220"/>
      <c r="O471" s="220"/>
      <c r="P471" s="220"/>
      <c r="Q471" s="221">
        <v>0</v>
      </c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  <c r="AJ471" s="141">
        <f t="shared" si="181"/>
        <v>24.2</v>
      </c>
      <c r="AK471" s="222">
        <v>8</v>
      </c>
    </row>
    <row r="472" spans="1:40" s="144" customFormat="1" ht="20.25" customHeight="1" x14ac:dyDescent="0.2">
      <c r="A472" s="139"/>
      <c r="B472" s="140"/>
      <c r="C472" s="159"/>
      <c r="D472" s="160"/>
      <c r="E472" s="160"/>
      <c r="F472" s="141"/>
      <c r="G472" s="141">
        <f>F472</f>
        <v>0</v>
      </c>
      <c r="H472" s="141"/>
      <c r="I472" s="352" t="s">
        <v>595</v>
      </c>
      <c r="J472" s="353"/>
      <c r="K472" s="353"/>
      <c r="L472" s="353"/>
      <c r="M472" s="353"/>
      <c r="N472" s="353"/>
      <c r="O472" s="353"/>
      <c r="P472" s="353"/>
      <c r="Q472" s="353"/>
      <c r="R472" s="353"/>
      <c r="S472" s="353"/>
      <c r="T472" s="353"/>
      <c r="U472" s="353"/>
      <c r="V472" s="353"/>
      <c r="W472" s="353"/>
      <c r="X472" s="353"/>
      <c r="Y472" s="353"/>
      <c r="Z472" s="353"/>
      <c r="AA472" s="353"/>
      <c r="AB472" s="353"/>
      <c r="AC472" s="353"/>
      <c r="AD472" s="354"/>
      <c r="AE472" s="141"/>
      <c r="AF472" s="141"/>
      <c r="AG472" s="141"/>
      <c r="AH472" s="141"/>
      <c r="AI472" s="141"/>
      <c r="AJ472" s="141">
        <f t="shared" si="181"/>
        <v>0</v>
      </c>
      <c r="AK472" s="139"/>
      <c r="AL472" s="142"/>
      <c r="AM472" s="143"/>
      <c r="AN472" s="143"/>
    </row>
    <row r="473" spans="1:40" s="144" customFormat="1" ht="20.25" customHeight="1" x14ac:dyDescent="0.2">
      <c r="A473" s="139"/>
      <c r="B473" s="140"/>
      <c r="C473" s="159"/>
      <c r="D473" s="160"/>
      <c r="E473" s="160"/>
      <c r="F473" s="141"/>
      <c r="G473" s="141"/>
      <c r="H473" s="141"/>
      <c r="I473" s="295"/>
      <c r="J473" s="295"/>
      <c r="K473" s="295"/>
      <c r="L473" s="295"/>
      <c r="M473" s="295"/>
      <c r="N473" s="295"/>
      <c r="O473" s="295"/>
      <c r="P473" s="295"/>
      <c r="Q473" s="295"/>
      <c r="R473" s="339" t="s">
        <v>173</v>
      </c>
      <c r="S473" s="340"/>
      <c r="T473" s="340"/>
      <c r="U473" s="340"/>
      <c r="V473" s="341"/>
      <c r="W473" s="295"/>
      <c r="X473" s="295"/>
      <c r="Y473" s="295"/>
      <c r="Z473" s="295"/>
      <c r="AA473" s="295"/>
      <c r="AB473" s="295"/>
      <c r="AC473" s="295"/>
      <c r="AD473" s="295"/>
      <c r="AE473" s="141"/>
      <c r="AF473" s="141"/>
      <c r="AG473" s="141"/>
      <c r="AH473" s="141"/>
      <c r="AI473" s="141"/>
      <c r="AJ473" s="141">
        <f t="shared" si="181"/>
        <v>0</v>
      </c>
      <c r="AK473" s="139"/>
      <c r="AL473" s="142"/>
      <c r="AM473" s="143"/>
      <c r="AN473" s="143"/>
    </row>
    <row r="474" spans="1:40" s="148" customFormat="1" ht="18" x14ac:dyDescent="0.25">
      <c r="A474" s="222" t="s">
        <v>202</v>
      </c>
      <c r="B474" s="223" t="s">
        <v>130</v>
      </c>
      <c r="C474" s="224" t="s">
        <v>276</v>
      </c>
      <c r="D474" s="225">
        <v>28</v>
      </c>
      <c r="E474" s="225">
        <v>2</v>
      </c>
      <c r="F474" s="226">
        <v>34</v>
      </c>
      <c r="G474" s="226">
        <v>34</v>
      </c>
      <c r="H474" s="226"/>
      <c r="I474" s="226"/>
      <c r="J474" s="220">
        <v>34</v>
      </c>
      <c r="K474" s="220">
        <v>8.4</v>
      </c>
      <c r="L474" s="226"/>
      <c r="M474" s="220"/>
      <c r="N474" s="226"/>
      <c r="O474" s="226"/>
      <c r="P474" s="226"/>
      <c r="Q474" s="221">
        <v>1.7</v>
      </c>
      <c r="R474" s="226"/>
      <c r="S474" s="226"/>
      <c r="T474" s="226"/>
      <c r="U474" s="226"/>
      <c r="V474" s="226"/>
      <c r="W474" s="226"/>
      <c r="X474" s="226"/>
      <c r="Y474" s="226"/>
      <c r="Z474" s="226"/>
      <c r="AA474" s="226"/>
      <c r="AB474" s="226"/>
      <c r="AC474" s="226"/>
      <c r="AD474" s="226"/>
      <c r="AE474" s="226"/>
      <c r="AF474" s="226"/>
      <c r="AG474" s="226"/>
      <c r="AH474" s="226"/>
      <c r="AI474" s="226">
        <v>4</v>
      </c>
      <c r="AJ474" s="141">
        <f t="shared" si="181"/>
        <v>82.100000000000009</v>
      </c>
      <c r="AK474" s="235">
        <v>8</v>
      </c>
    </row>
    <row r="475" spans="1:40" s="148" customFormat="1" ht="18" x14ac:dyDescent="0.25">
      <c r="A475" s="222" t="s">
        <v>202</v>
      </c>
      <c r="B475" s="223" t="s">
        <v>130</v>
      </c>
      <c r="C475" s="224" t="s">
        <v>194</v>
      </c>
      <c r="D475" s="225">
        <v>28</v>
      </c>
      <c r="E475" s="225">
        <v>2</v>
      </c>
      <c r="F475" s="226">
        <v>32</v>
      </c>
      <c r="G475" s="226">
        <v>32</v>
      </c>
      <c r="H475" s="226"/>
      <c r="I475" s="226"/>
      <c r="J475" s="226">
        <v>32</v>
      </c>
      <c r="K475" s="220"/>
      <c r="L475" s="227"/>
      <c r="M475" s="220">
        <v>11.2</v>
      </c>
      <c r="N475" s="226"/>
      <c r="O475" s="226"/>
      <c r="P475" s="227"/>
      <c r="Q475" s="221">
        <v>2.6</v>
      </c>
      <c r="R475" s="226"/>
      <c r="S475" s="226"/>
      <c r="T475" s="226"/>
      <c r="U475" s="226"/>
      <c r="V475" s="226"/>
      <c r="W475" s="226"/>
      <c r="X475" s="226"/>
      <c r="Y475" s="226"/>
      <c r="Z475" s="226"/>
      <c r="AA475" s="227"/>
      <c r="AB475" s="226"/>
      <c r="AC475" s="226"/>
      <c r="AD475" s="226"/>
      <c r="AE475" s="226"/>
      <c r="AF475" s="227"/>
      <c r="AG475" s="227"/>
      <c r="AH475" s="226"/>
      <c r="AI475" s="226">
        <v>1</v>
      </c>
      <c r="AJ475" s="141">
        <f t="shared" si="181"/>
        <v>78.8</v>
      </c>
      <c r="AK475" s="235">
        <v>8</v>
      </c>
    </row>
    <row r="476" spans="1:40" s="148" customFormat="1" ht="18" x14ac:dyDescent="0.25">
      <c r="A476" s="222"/>
      <c r="B476" s="223"/>
      <c r="C476" s="224"/>
      <c r="D476" s="225"/>
      <c r="E476" s="225"/>
      <c r="F476" s="226"/>
      <c r="G476" s="226"/>
      <c r="H476" s="226"/>
      <c r="I476" s="226"/>
      <c r="J476" s="226"/>
      <c r="K476" s="220"/>
      <c r="L476" s="227"/>
      <c r="M476" s="220"/>
      <c r="N476" s="226"/>
      <c r="O476" s="226"/>
      <c r="P476" s="227"/>
      <c r="Q476" s="221"/>
      <c r="R476" s="339" t="s">
        <v>416</v>
      </c>
      <c r="S476" s="340"/>
      <c r="T476" s="340"/>
      <c r="U476" s="340"/>
      <c r="V476" s="341"/>
      <c r="W476" s="226"/>
      <c r="X476" s="226"/>
      <c r="Y476" s="226"/>
      <c r="Z476" s="226"/>
      <c r="AA476" s="227"/>
      <c r="AB476" s="226"/>
      <c r="AC476" s="226"/>
      <c r="AD476" s="226"/>
      <c r="AE476" s="226"/>
      <c r="AF476" s="227"/>
      <c r="AG476" s="227"/>
      <c r="AH476" s="226"/>
      <c r="AI476" s="226"/>
      <c r="AJ476" s="141">
        <f t="shared" si="181"/>
        <v>0</v>
      </c>
      <c r="AK476" s="235"/>
    </row>
    <row r="477" spans="1:40" s="148" customFormat="1" ht="18" x14ac:dyDescent="0.25">
      <c r="A477" s="222" t="s">
        <v>202</v>
      </c>
      <c r="B477" s="223" t="s">
        <v>130</v>
      </c>
      <c r="C477" s="224" t="s">
        <v>276</v>
      </c>
      <c r="D477" s="225">
        <v>12</v>
      </c>
      <c r="E477" s="225">
        <v>1</v>
      </c>
      <c r="F477" s="226">
        <v>10</v>
      </c>
      <c r="G477" s="226">
        <v>10</v>
      </c>
      <c r="H477" s="226"/>
      <c r="I477" s="226"/>
      <c r="J477" s="220"/>
      <c r="K477" s="220"/>
      <c r="L477" s="226"/>
      <c r="M477" s="220"/>
      <c r="N477" s="226"/>
      <c r="O477" s="226"/>
      <c r="P477" s="226"/>
      <c r="Q477" s="221">
        <v>1.5</v>
      </c>
      <c r="R477" s="226"/>
      <c r="S477" s="226"/>
      <c r="T477" s="226"/>
      <c r="U477" s="226"/>
      <c r="V477" s="226"/>
      <c r="W477" s="226"/>
      <c r="X477" s="226"/>
      <c r="Y477" s="226"/>
      <c r="Z477" s="226"/>
      <c r="AA477" s="226"/>
      <c r="AB477" s="226"/>
      <c r="AC477" s="226"/>
      <c r="AD477" s="226"/>
      <c r="AE477" s="226"/>
      <c r="AF477" s="226"/>
      <c r="AG477" s="226"/>
      <c r="AH477" s="226"/>
      <c r="AI477" s="226"/>
      <c r="AJ477" s="141">
        <f t="shared" si="181"/>
        <v>11.5</v>
      </c>
      <c r="AK477" s="235">
        <v>8</v>
      </c>
    </row>
    <row r="478" spans="1:40" s="148" customFormat="1" ht="18" x14ac:dyDescent="0.25">
      <c r="A478" s="222" t="s">
        <v>202</v>
      </c>
      <c r="B478" s="223" t="s">
        <v>130</v>
      </c>
      <c r="C478" s="224" t="s">
        <v>194</v>
      </c>
      <c r="D478" s="225">
        <v>12</v>
      </c>
      <c r="E478" s="225">
        <v>1</v>
      </c>
      <c r="F478" s="226"/>
      <c r="G478" s="226"/>
      <c r="H478" s="226"/>
      <c r="I478" s="226"/>
      <c r="J478" s="226">
        <v>8</v>
      </c>
      <c r="K478" s="220"/>
      <c r="L478" s="227"/>
      <c r="M478" s="220">
        <v>4.8</v>
      </c>
      <c r="N478" s="226"/>
      <c r="O478" s="226"/>
      <c r="P478" s="227"/>
      <c r="Q478" s="221">
        <v>1</v>
      </c>
      <c r="R478" s="226"/>
      <c r="S478" s="226"/>
      <c r="T478" s="226"/>
      <c r="U478" s="226"/>
      <c r="V478" s="226"/>
      <c r="W478" s="226"/>
      <c r="X478" s="226"/>
      <c r="Y478" s="226"/>
      <c r="Z478" s="226"/>
      <c r="AA478" s="227"/>
      <c r="AB478" s="226"/>
      <c r="AC478" s="226"/>
      <c r="AD478" s="226"/>
      <c r="AE478" s="226"/>
      <c r="AF478" s="227"/>
      <c r="AG478" s="227"/>
      <c r="AH478" s="226"/>
      <c r="AI478" s="226">
        <v>2</v>
      </c>
      <c r="AJ478" s="141">
        <f t="shared" si="181"/>
        <v>15.8</v>
      </c>
      <c r="AK478" s="235">
        <v>8</v>
      </c>
    </row>
    <row r="479" spans="1:40" s="168" customFormat="1" ht="18" x14ac:dyDescent="0.2">
      <c r="A479" s="161"/>
      <c r="B479" s="133" t="s">
        <v>196</v>
      </c>
      <c r="C479" s="162"/>
      <c r="D479" s="163"/>
      <c r="E479" s="163"/>
      <c r="F479" s="164">
        <f>SUM(F469:F478)</f>
        <v>144</v>
      </c>
      <c r="G479" s="164">
        <f t="shared" ref="G479:AJ479" si="182">SUM(G469:G478)</f>
        <v>110</v>
      </c>
      <c r="H479" s="164">
        <f t="shared" si="182"/>
        <v>0</v>
      </c>
      <c r="I479" s="164">
        <f t="shared" si="182"/>
        <v>0</v>
      </c>
      <c r="J479" s="164">
        <f t="shared" si="182"/>
        <v>125</v>
      </c>
      <c r="K479" s="164">
        <f t="shared" si="182"/>
        <v>14.4</v>
      </c>
      <c r="L479" s="164">
        <f t="shared" si="182"/>
        <v>0</v>
      </c>
      <c r="M479" s="164">
        <f t="shared" si="182"/>
        <v>23.2</v>
      </c>
      <c r="N479" s="164">
        <f t="shared" si="182"/>
        <v>0</v>
      </c>
      <c r="O479" s="164">
        <f t="shared" si="182"/>
        <v>0</v>
      </c>
      <c r="P479" s="164">
        <f t="shared" si="182"/>
        <v>0</v>
      </c>
      <c r="Q479" s="164">
        <f t="shared" si="182"/>
        <v>8.5</v>
      </c>
      <c r="R479" s="164">
        <f t="shared" si="182"/>
        <v>0</v>
      </c>
      <c r="S479" s="164">
        <f t="shared" si="182"/>
        <v>0</v>
      </c>
      <c r="T479" s="164">
        <f t="shared" si="182"/>
        <v>0</v>
      </c>
      <c r="U479" s="164">
        <f t="shared" si="182"/>
        <v>0</v>
      </c>
      <c r="V479" s="164">
        <f t="shared" si="182"/>
        <v>0</v>
      </c>
      <c r="W479" s="164">
        <f t="shared" si="182"/>
        <v>0</v>
      </c>
      <c r="X479" s="164">
        <f t="shared" si="182"/>
        <v>0</v>
      </c>
      <c r="Y479" s="164">
        <f t="shared" si="182"/>
        <v>0</v>
      </c>
      <c r="Z479" s="164">
        <f t="shared" si="182"/>
        <v>0</v>
      </c>
      <c r="AA479" s="164">
        <f t="shared" si="182"/>
        <v>0</v>
      </c>
      <c r="AB479" s="164">
        <f t="shared" si="182"/>
        <v>0</v>
      </c>
      <c r="AC479" s="164">
        <f t="shared" si="182"/>
        <v>0</v>
      </c>
      <c r="AD479" s="164">
        <f t="shared" si="182"/>
        <v>0</v>
      </c>
      <c r="AE479" s="164">
        <f t="shared" si="182"/>
        <v>0</v>
      </c>
      <c r="AF479" s="164">
        <f t="shared" si="182"/>
        <v>0</v>
      </c>
      <c r="AG479" s="164">
        <f t="shared" si="182"/>
        <v>0</v>
      </c>
      <c r="AH479" s="164">
        <f t="shared" si="182"/>
        <v>0</v>
      </c>
      <c r="AI479" s="164">
        <f t="shared" si="182"/>
        <v>9</v>
      </c>
      <c r="AJ479" s="164">
        <f t="shared" si="182"/>
        <v>290.10000000000002</v>
      </c>
      <c r="AK479" s="236"/>
      <c r="AL479" s="166">
        <f>AJ479-SUM(I479:AI479,G479)</f>
        <v>0</v>
      </c>
      <c r="AM479" s="167"/>
      <c r="AN479" s="167"/>
    </row>
    <row r="480" spans="1:40" s="138" customFormat="1" ht="18" x14ac:dyDescent="0.2">
      <c r="A480" s="139"/>
      <c r="B480" s="140"/>
      <c r="C480" s="169"/>
      <c r="D480" s="170"/>
      <c r="E480" s="170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54"/>
      <c r="AL480" s="171"/>
      <c r="AM480" s="126"/>
      <c r="AN480" s="126"/>
    </row>
    <row r="481" spans="1:42" s="138" customFormat="1" ht="18" x14ac:dyDescent="0.2">
      <c r="A481" s="139"/>
      <c r="B481" s="140"/>
      <c r="C481" s="169"/>
      <c r="D481" s="170"/>
      <c r="E481" s="170"/>
      <c r="F481" s="121"/>
      <c r="G481" s="121"/>
      <c r="H481" s="121"/>
      <c r="I481" s="121"/>
      <c r="J481" s="121"/>
      <c r="K481" s="385" t="s">
        <v>126</v>
      </c>
      <c r="L481" s="385"/>
      <c r="M481" s="385"/>
      <c r="N481" s="385"/>
      <c r="O481" s="385"/>
      <c r="P481" s="385"/>
      <c r="Q481" s="385"/>
      <c r="R481" s="385"/>
      <c r="S481" s="385"/>
      <c r="T481" s="385"/>
      <c r="U481" s="385"/>
      <c r="V481" s="385"/>
      <c r="W481" s="385"/>
      <c r="X481" s="385"/>
      <c r="Y481" s="385"/>
      <c r="Z481" s="385"/>
      <c r="AA481" s="385"/>
      <c r="AB481" s="385"/>
      <c r="AC481" s="121"/>
      <c r="AD481" s="121"/>
      <c r="AE481" s="121"/>
      <c r="AF481" s="121"/>
      <c r="AG481" s="121"/>
      <c r="AH481" s="121"/>
      <c r="AI481" s="121"/>
      <c r="AJ481" s="121"/>
      <c r="AK481" s="154"/>
      <c r="AL481" s="171"/>
      <c r="AM481" s="126"/>
      <c r="AN481" s="126"/>
    </row>
    <row r="482" spans="1:42" s="138" customFormat="1" ht="18" x14ac:dyDescent="0.2">
      <c r="A482" s="139"/>
      <c r="B482" s="140"/>
      <c r="C482" s="169"/>
      <c r="D482" s="170"/>
      <c r="E482" s="170"/>
      <c r="F482" s="121"/>
      <c r="G482" s="360" t="s">
        <v>397</v>
      </c>
      <c r="H482" s="360"/>
      <c r="I482" s="360"/>
      <c r="J482" s="360"/>
      <c r="K482" s="360"/>
      <c r="L482" s="360"/>
      <c r="M482" s="360"/>
      <c r="N482" s="360"/>
      <c r="O482" s="360"/>
      <c r="P482" s="360"/>
      <c r="Q482" s="360"/>
      <c r="R482" s="360"/>
      <c r="S482" s="360"/>
      <c r="T482" s="360"/>
      <c r="U482" s="360"/>
      <c r="V482" s="360"/>
      <c r="W482" s="360"/>
      <c r="X482" s="360"/>
      <c r="Y482" s="360"/>
      <c r="Z482" s="360"/>
      <c r="AA482" s="360"/>
      <c r="AB482" s="360"/>
      <c r="AC482" s="360"/>
      <c r="AD482" s="360"/>
      <c r="AE482" s="360"/>
      <c r="AF482" s="360"/>
      <c r="AG482" s="121"/>
      <c r="AH482" s="121"/>
      <c r="AI482" s="121"/>
      <c r="AJ482" s="124">
        <f t="shared" ref="AJ482:AJ486" si="183">SUM(G482,I482:AI482)</f>
        <v>0</v>
      </c>
      <c r="AK482" s="154"/>
      <c r="AL482" s="171"/>
      <c r="AM482" s="126"/>
      <c r="AN482" s="126"/>
    </row>
    <row r="483" spans="1:42" s="304" customFormat="1" ht="18" x14ac:dyDescent="0.2">
      <c r="A483" s="298" t="s">
        <v>202</v>
      </c>
      <c r="B483" s="299" t="s">
        <v>493</v>
      </c>
      <c r="C483" s="300">
        <v>1.1000000000000001</v>
      </c>
      <c r="D483" s="301">
        <v>22</v>
      </c>
      <c r="E483" s="301">
        <v>2</v>
      </c>
      <c r="F483" s="302">
        <v>36</v>
      </c>
      <c r="G483" s="302">
        <v>36</v>
      </c>
      <c r="H483" s="302"/>
      <c r="I483" s="302"/>
      <c r="J483" s="302">
        <v>72</v>
      </c>
      <c r="K483" s="302"/>
      <c r="L483" s="302"/>
      <c r="M483" s="302">
        <v>8.8000000000000007</v>
      </c>
      <c r="N483" s="302"/>
      <c r="O483" s="302"/>
      <c r="P483" s="302"/>
      <c r="Q483" s="302">
        <v>2.8</v>
      </c>
      <c r="R483" s="302"/>
      <c r="S483" s="302"/>
      <c r="T483" s="302"/>
      <c r="U483" s="302"/>
      <c r="V483" s="302"/>
      <c r="W483" s="302"/>
      <c r="X483" s="302"/>
      <c r="Y483" s="302"/>
      <c r="Z483" s="302"/>
      <c r="AA483" s="302"/>
      <c r="AB483" s="302"/>
      <c r="AC483" s="302"/>
      <c r="AD483" s="302"/>
      <c r="AE483" s="302"/>
      <c r="AF483" s="302"/>
      <c r="AG483" s="302"/>
      <c r="AH483" s="302"/>
      <c r="AI483" s="302">
        <v>3</v>
      </c>
      <c r="AJ483" s="124">
        <f t="shared" si="183"/>
        <v>122.6</v>
      </c>
      <c r="AK483" s="300">
        <v>8</v>
      </c>
      <c r="AL483" s="303"/>
      <c r="AM483" s="303"/>
      <c r="AN483" s="303"/>
      <c r="AO483" s="303"/>
      <c r="AP483" s="303"/>
    </row>
    <row r="484" spans="1:42" s="138" customFormat="1" ht="18" customHeight="1" x14ac:dyDescent="0.2">
      <c r="A484" s="139"/>
      <c r="B484" s="140"/>
      <c r="C484" s="169"/>
      <c r="D484" s="170"/>
      <c r="E484" s="170"/>
      <c r="F484" s="121"/>
      <c r="G484" s="364" t="s">
        <v>492</v>
      </c>
      <c r="H484" s="365"/>
      <c r="I484" s="365"/>
      <c r="J484" s="365"/>
      <c r="K484" s="365"/>
      <c r="L484" s="365"/>
      <c r="M484" s="365"/>
      <c r="N484" s="365"/>
      <c r="O484" s="365"/>
      <c r="P484" s="365"/>
      <c r="Q484" s="365"/>
      <c r="R484" s="365"/>
      <c r="S484" s="365"/>
      <c r="T484" s="365"/>
      <c r="U484" s="365"/>
      <c r="V484" s="365"/>
      <c r="W484" s="365"/>
      <c r="X484" s="365"/>
      <c r="Y484" s="365"/>
      <c r="Z484" s="365"/>
      <c r="AA484" s="365"/>
      <c r="AB484" s="365"/>
      <c r="AC484" s="365"/>
      <c r="AD484" s="365"/>
      <c r="AE484" s="365"/>
      <c r="AF484" s="366"/>
      <c r="AG484" s="121"/>
      <c r="AH484" s="121"/>
      <c r="AI484" s="121"/>
      <c r="AJ484" s="124">
        <f t="shared" si="183"/>
        <v>0</v>
      </c>
      <c r="AK484" s="154"/>
      <c r="AL484" s="171"/>
      <c r="AM484" s="126"/>
      <c r="AN484" s="126"/>
    </row>
    <row r="485" spans="1:42" s="304" customFormat="1" ht="18" x14ac:dyDescent="0.2">
      <c r="A485" s="305" t="s">
        <v>202</v>
      </c>
      <c r="B485" s="140" t="s">
        <v>128</v>
      </c>
      <c r="C485" s="300">
        <v>1.1000000000000001</v>
      </c>
      <c r="D485" s="301">
        <v>20</v>
      </c>
      <c r="E485" s="301">
        <v>2</v>
      </c>
      <c r="F485" s="302">
        <v>36</v>
      </c>
      <c r="G485" s="302">
        <v>36</v>
      </c>
      <c r="H485" s="302"/>
      <c r="I485" s="302"/>
      <c r="J485" s="302">
        <v>72</v>
      </c>
      <c r="K485" s="302">
        <v>6</v>
      </c>
      <c r="L485" s="302"/>
      <c r="M485" s="302"/>
      <c r="N485" s="302"/>
      <c r="O485" s="302"/>
      <c r="P485" s="302"/>
      <c r="Q485" s="302">
        <v>1.8</v>
      </c>
      <c r="R485" s="302"/>
      <c r="S485" s="302"/>
      <c r="T485" s="302"/>
      <c r="U485" s="302"/>
      <c r="V485" s="302"/>
      <c r="W485" s="302"/>
      <c r="X485" s="302"/>
      <c r="Y485" s="302"/>
      <c r="Z485" s="302"/>
      <c r="AA485" s="302"/>
      <c r="AB485" s="302"/>
      <c r="AC485" s="302"/>
      <c r="AD485" s="302"/>
      <c r="AE485" s="302"/>
      <c r="AF485" s="302"/>
      <c r="AG485" s="302"/>
      <c r="AH485" s="302"/>
      <c r="AI485" s="302">
        <v>2</v>
      </c>
      <c r="AJ485" s="124">
        <f t="shared" si="183"/>
        <v>117.8</v>
      </c>
      <c r="AK485" s="300">
        <v>8</v>
      </c>
      <c r="AL485" s="306"/>
    </row>
    <row r="486" spans="1:42" s="304" customFormat="1" ht="18" x14ac:dyDescent="0.2">
      <c r="A486" s="307" t="s">
        <v>202</v>
      </c>
      <c r="B486" s="140" t="s">
        <v>128</v>
      </c>
      <c r="C486" s="300">
        <v>1.2</v>
      </c>
      <c r="D486" s="301">
        <v>20</v>
      </c>
      <c r="E486" s="301">
        <v>2</v>
      </c>
      <c r="F486" s="302">
        <v>28</v>
      </c>
      <c r="G486" s="302">
        <v>28</v>
      </c>
      <c r="H486" s="302"/>
      <c r="I486" s="302"/>
      <c r="J486" s="302">
        <v>56</v>
      </c>
      <c r="K486" s="302"/>
      <c r="L486" s="302"/>
      <c r="M486" s="302">
        <v>8</v>
      </c>
      <c r="N486" s="302"/>
      <c r="O486" s="302"/>
      <c r="P486" s="302"/>
      <c r="Q486" s="302">
        <v>2.4000000000000004</v>
      </c>
      <c r="R486" s="302"/>
      <c r="S486" s="302"/>
      <c r="T486" s="302"/>
      <c r="U486" s="302"/>
      <c r="V486" s="302"/>
      <c r="W486" s="302"/>
      <c r="X486" s="302"/>
      <c r="Y486" s="302"/>
      <c r="Z486" s="302"/>
      <c r="AA486" s="302"/>
      <c r="AB486" s="302"/>
      <c r="AC486" s="302"/>
      <c r="AD486" s="302"/>
      <c r="AE486" s="302"/>
      <c r="AF486" s="302"/>
      <c r="AG486" s="302"/>
      <c r="AH486" s="302"/>
      <c r="AI486" s="302">
        <v>2</v>
      </c>
      <c r="AJ486" s="124">
        <f t="shared" si="183"/>
        <v>96.4</v>
      </c>
      <c r="AK486" s="300">
        <v>8</v>
      </c>
      <c r="AL486" s="306"/>
    </row>
    <row r="487" spans="1:42" s="168" customFormat="1" ht="18" x14ac:dyDescent="0.2">
      <c r="A487" s="146"/>
      <c r="B487" s="133" t="s">
        <v>197</v>
      </c>
      <c r="C487" s="162"/>
      <c r="D487" s="163"/>
      <c r="E487" s="163"/>
      <c r="F487" s="164">
        <f t="shared" ref="F487:AJ487" si="184">SUM(F483:F486)</f>
        <v>100</v>
      </c>
      <c r="G487" s="164">
        <f t="shared" si="184"/>
        <v>100</v>
      </c>
      <c r="H487" s="164">
        <f t="shared" si="184"/>
        <v>0</v>
      </c>
      <c r="I487" s="164">
        <f t="shared" si="184"/>
        <v>0</v>
      </c>
      <c r="J487" s="164">
        <f t="shared" si="184"/>
        <v>200</v>
      </c>
      <c r="K487" s="164">
        <f t="shared" si="184"/>
        <v>6</v>
      </c>
      <c r="L487" s="164">
        <f t="shared" si="184"/>
        <v>0</v>
      </c>
      <c r="M487" s="164">
        <f t="shared" si="184"/>
        <v>16.8</v>
      </c>
      <c r="N487" s="164">
        <f t="shared" si="184"/>
        <v>0</v>
      </c>
      <c r="O487" s="164">
        <f t="shared" si="184"/>
        <v>0</v>
      </c>
      <c r="P487" s="164">
        <f t="shared" si="184"/>
        <v>0</v>
      </c>
      <c r="Q487" s="164">
        <f t="shared" si="184"/>
        <v>7</v>
      </c>
      <c r="R487" s="164">
        <f t="shared" si="184"/>
        <v>0</v>
      </c>
      <c r="S487" s="164">
        <f t="shared" si="184"/>
        <v>0</v>
      </c>
      <c r="T487" s="164">
        <f t="shared" si="184"/>
        <v>0</v>
      </c>
      <c r="U487" s="164">
        <f t="shared" si="184"/>
        <v>0</v>
      </c>
      <c r="V487" s="164">
        <f t="shared" si="184"/>
        <v>0</v>
      </c>
      <c r="W487" s="164">
        <f t="shared" si="184"/>
        <v>0</v>
      </c>
      <c r="X487" s="164">
        <f t="shared" si="184"/>
        <v>0</v>
      </c>
      <c r="Y487" s="164">
        <f t="shared" si="184"/>
        <v>0</v>
      </c>
      <c r="Z487" s="164">
        <f t="shared" si="184"/>
        <v>0</v>
      </c>
      <c r="AA487" s="164">
        <f t="shared" si="184"/>
        <v>0</v>
      </c>
      <c r="AB487" s="164">
        <f t="shared" si="184"/>
        <v>0</v>
      </c>
      <c r="AC487" s="164">
        <f t="shared" si="184"/>
        <v>0</v>
      </c>
      <c r="AD487" s="164">
        <f t="shared" si="184"/>
        <v>0</v>
      </c>
      <c r="AE487" s="164">
        <f t="shared" si="184"/>
        <v>0</v>
      </c>
      <c r="AF487" s="164">
        <f t="shared" si="184"/>
        <v>0</v>
      </c>
      <c r="AG487" s="164">
        <f t="shared" si="184"/>
        <v>0</v>
      </c>
      <c r="AH487" s="164">
        <f t="shared" si="184"/>
        <v>0</v>
      </c>
      <c r="AI487" s="164">
        <f t="shared" si="184"/>
        <v>7</v>
      </c>
      <c r="AJ487" s="164">
        <f t="shared" si="184"/>
        <v>336.79999999999995</v>
      </c>
      <c r="AK487" s="165"/>
      <c r="AL487" s="166">
        <f>AJ487-SUM(I487:AI487,G487)</f>
        <v>0</v>
      </c>
      <c r="AM487" s="167"/>
      <c r="AN487" s="167"/>
    </row>
    <row r="488" spans="1:42" s="138" customFormat="1" ht="18" x14ac:dyDescent="0.2">
      <c r="A488" s="139"/>
      <c r="B488" s="140"/>
      <c r="C488" s="169"/>
      <c r="D488" s="170"/>
      <c r="E488" s="170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54"/>
      <c r="AL488" s="171"/>
      <c r="AM488" s="126"/>
      <c r="AN488" s="126"/>
    </row>
    <row r="489" spans="1:42" s="138" customFormat="1" ht="18" x14ac:dyDescent="0.2">
      <c r="A489" s="139"/>
      <c r="B489" s="140"/>
      <c r="C489" s="169"/>
      <c r="D489" s="170"/>
      <c r="E489" s="170"/>
      <c r="F489" s="121"/>
      <c r="G489" s="121"/>
      <c r="H489" s="121"/>
      <c r="I489" s="121"/>
      <c r="J489" s="121"/>
      <c r="K489" s="385" t="s">
        <v>204</v>
      </c>
      <c r="L489" s="385"/>
      <c r="M489" s="385"/>
      <c r="N489" s="385"/>
      <c r="O489" s="385"/>
      <c r="P489" s="385"/>
      <c r="Q489" s="385"/>
      <c r="R489" s="385"/>
      <c r="S489" s="385"/>
      <c r="T489" s="385"/>
      <c r="U489" s="385"/>
      <c r="V489" s="385"/>
      <c r="W489" s="385"/>
      <c r="X489" s="385"/>
      <c r="Y489" s="385"/>
      <c r="Z489" s="385"/>
      <c r="AA489" s="385"/>
      <c r="AB489" s="385"/>
      <c r="AC489" s="121"/>
      <c r="AD489" s="121"/>
      <c r="AE489" s="121"/>
      <c r="AF489" s="121"/>
      <c r="AG489" s="121"/>
      <c r="AH489" s="121"/>
      <c r="AI489" s="121"/>
      <c r="AJ489" s="121"/>
      <c r="AK489" s="154"/>
      <c r="AL489" s="171"/>
      <c r="AM489" s="126"/>
      <c r="AN489" s="126"/>
    </row>
    <row r="490" spans="1:42" s="138" customFormat="1" ht="18" customHeight="1" x14ac:dyDescent="0.2">
      <c r="A490" s="139"/>
      <c r="B490" s="140"/>
      <c r="C490" s="169"/>
      <c r="D490" s="170"/>
      <c r="E490" s="170"/>
      <c r="F490" s="121"/>
      <c r="G490" s="364" t="s">
        <v>414</v>
      </c>
      <c r="H490" s="365"/>
      <c r="I490" s="365"/>
      <c r="J490" s="365"/>
      <c r="K490" s="365"/>
      <c r="L490" s="365"/>
      <c r="M490" s="365"/>
      <c r="N490" s="365"/>
      <c r="O490" s="365"/>
      <c r="P490" s="365"/>
      <c r="Q490" s="365"/>
      <c r="R490" s="365"/>
      <c r="S490" s="365"/>
      <c r="T490" s="365"/>
      <c r="U490" s="365"/>
      <c r="V490" s="365"/>
      <c r="W490" s="365"/>
      <c r="X490" s="365"/>
      <c r="Y490" s="365"/>
      <c r="Z490" s="365"/>
      <c r="AA490" s="365"/>
      <c r="AB490" s="365"/>
      <c r="AC490" s="365"/>
      <c r="AD490" s="365"/>
      <c r="AE490" s="365"/>
      <c r="AF490" s="366"/>
      <c r="AG490" s="121"/>
      <c r="AH490" s="121"/>
      <c r="AI490" s="121"/>
      <c r="AJ490" s="121"/>
      <c r="AK490" s="154"/>
      <c r="AL490" s="171"/>
      <c r="AM490" s="126"/>
      <c r="AN490" s="126"/>
    </row>
    <row r="491" spans="1:42" s="318" customFormat="1" ht="17.25" customHeight="1" x14ac:dyDescent="0.25">
      <c r="A491" s="313" t="s">
        <v>602</v>
      </c>
      <c r="B491" s="314" t="s">
        <v>273</v>
      </c>
      <c r="C491" s="315" t="s">
        <v>194</v>
      </c>
      <c r="D491" s="313">
        <v>26</v>
      </c>
      <c r="E491" s="313">
        <v>1</v>
      </c>
      <c r="F491" s="316">
        <v>18</v>
      </c>
      <c r="G491" s="316">
        <v>18</v>
      </c>
      <c r="H491" s="316"/>
      <c r="I491" s="316"/>
      <c r="J491" s="316">
        <v>108</v>
      </c>
      <c r="K491" s="220">
        <v>7.8</v>
      </c>
      <c r="L491" s="317"/>
      <c r="M491" s="220"/>
      <c r="N491" s="316"/>
      <c r="O491" s="316"/>
      <c r="P491" s="317"/>
      <c r="Q491" s="221">
        <v>0.9</v>
      </c>
      <c r="R491" s="316"/>
      <c r="S491" s="316"/>
      <c r="T491" s="316"/>
      <c r="U491" s="316"/>
      <c r="V491" s="316"/>
      <c r="W491" s="316"/>
      <c r="X491" s="316"/>
      <c r="Y491" s="316"/>
      <c r="Z491" s="316"/>
      <c r="AA491" s="317"/>
      <c r="AB491" s="316"/>
      <c r="AC491" s="316"/>
      <c r="AD491" s="316"/>
      <c r="AE491" s="317"/>
      <c r="AF491" s="317"/>
      <c r="AG491" s="317"/>
      <c r="AH491" s="317"/>
      <c r="AI491" s="316"/>
      <c r="AJ491" s="124">
        <f t="shared" ref="AJ491:AJ497" si="185">SUM(G491,I491:AI491)</f>
        <v>134.70000000000002</v>
      </c>
      <c r="AK491" s="313">
        <v>10</v>
      </c>
    </row>
    <row r="492" spans="1:42" s="138" customFormat="1" ht="17.25" customHeight="1" x14ac:dyDescent="0.2">
      <c r="A492" s="172"/>
      <c r="B492" s="173"/>
      <c r="C492" s="174"/>
      <c r="D492" s="172"/>
      <c r="E492" s="172"/>
      <c r="F492" s="175"/>
      <c r="G492" s="364" t="s">
        <v>603</v>
      </c>
      <c r="H492" s="365"/>
      <c r="I492" s="365"/>
      <c r="J492" s="365"/>
      <c r="K492" s="365"/>
      <c r="L492" s="365"/>
      <c r="M492" s="365"/>
      <c r="N492" s="365"/>
      <c r="O492" s="365"/>
      <c r="P492" s="365"/>
      <c r="Q492" s="365"/>
      <c r="R492" s="365"/>
      <c r="S492" s="365"/>
      <c r="T492" s="365"/>
      <c r="U492" s="365"/>
      <c r="V492" s="365"/>
      <c r="W492" s="365"/>
      <c r="X492" s="365"/>
      <c r="Y492" s="365"/>
      <c r="Z492" s="365"/>
      <c r="AA492" s="365"/>
      <c r="AB492" s="365"/>
      <c r="AC492" s="365"/>
      <c r="AD492" s="365"/>
      <c r="AE492" s="365"/>
      <c r="AF492" s="366"/>
      <c r="AG492" s="175"/>
      <c r="AH492" s="175"/>
      <c r="AI492" s="175"/>
      <c r="AJ492" s="124"/>
      <c r="AK492" s="172"/>
      <c r="AL492" s="171"/>
      <c r="AM492" s="126"/>
      <c r="AN492" s="126"/>
    </row>
    <row r="493" spans="1:42" s="318" customFormat="1" ht="17.25" customHeight="1" x14ac:dyDescent="0.25">
      <c r="A493" s="313" t="s">
        <v>602</v>
      </c>
      <c r="B493" s="314" t="s">
        <v>273</v>
      </c>
      <c r="C493" s="315" t="s">
        <v>194</v>
      </c>
      <c r="D493" s="313">
        <v>25</v>
      </c>
      <c r="E493" s="313">
        <v>1</v>
      </c>
      <c r="F493" s="316">
        <v>18</v>
      </c>
      <c r="G493" s="316"/>
      <c r="H493" s="316"/>
      <c r="I493" s="316"/>
      <c r="J493" s="316">
        <v>108</v>
      </c>
      <c r="K493" s="220">
        <v>7.5</v>
      </c>
      <c r="L493" s="317"/>
      <c r="M493" s="220"/>
      <c r="N493" s="316"/>
      <c r="O493" s="316"/>
      <c r="P493" s="317"/>
      <c r="Q493" s="221">
        <v>0</v>
      </c>
      <c r="R493" s="316"/>
      <c r="S493" s="316"/>
      <c r="T493" s="316"/>
      <c r="U493" s="316"/>
      <c r="V493" s="316"/>
      <c r="W493" s="316"/>
      <c r="X493" s="316"/>
      <c r="Y493" s="316"/>
      <c r="Z493" s="316"/>
      <c r="AA493" s="317"/>
      <c r="AB493" s="316"/>
      <c r="AC493" s="316"/>
      <c r="AD493" s="316"/>
      <c r="AE493" s="317"/>
      <c r="AF493" s="317"/>
      <c r="AG493" s="317"/>
      <c r="AH493" s="317"/>
      <c r="AI493" s="316"/>
      <c r="AJ493" s="124">
        <f t="shared" si="185"/>
        <v>115.5</v>
      </c>
      <c r="AK493" s="313">
        <v>10</v>
      </c>
    </row>
    <row r="494" spans="1:42" s="138" customFormat="1" ht="17.25" customHeight="1" x14ac:dyDescent="0.2">
      <c r="A494" s="172"/>
      <c r="B494" s="173"/>
      <c r="C494" s="174"/>
      <c r="D494" s="172"/>
      <c r="E494" s="172"/>
      <c r="F494" s="175"/>
      <c r="G494" s="364" t="s">
        <v>274</v>
      </c>
      <c r="H494" s="365"/>
      <c r="I494" s="365"/>
      <c r="J494" s="365"/>
      <c r="K494" s="365"/>
      <c r="L494" s="365"/>
      <c r="M494" s="365"/>
      <c r="N494" s="365"/>
      <c r="O494" s="365"/>
      <c r="P494" s="365"/>
      <c r="Q494" s="365"/>
      <c r="R494" s="365"/>
      <c r="S494" s="365"/>
      <c r="T494" s="365"/>
      <c r="U494" s="365"/>
      <c r="V494" s="365"/>
      <c r="W494" s="365"/>
      <c r="X494" s="365"/>
      <c r="Y494" s="365"/>
      <c r="Z494" s="365"/>
      <c r="AA494" s="365"/>
      <c r="AB494" s="365"/>
      <c r="AC494" s="365"/>
      <c r="AD494" s="365"/>
      <c r="AE494" s="365"/>
      <c r="AF494" s="366"/>
      <c r="AG494" s="175"/>
      <c r="AH494" s="175"/>
      <c r="AI494" s="175"/>
      <c r="AJ494" s="124"/>
      <c r="AK494" s="172"/>
      <c r="AL494" s="171"/>
      <c r="AM494" s="126"/>
      <c r="AN494" s="126"/>
    </row>
    <row r="495" spans="1:42" s="318" customFormat="1" ht="17.25" customHeight="1" x14ac:dyDescent="0.25">
      <c r="A495" s="313" t="s">
        <v>602</v>
      </c>
      <c r="B495" s="314" t="s">
        <v>273</v>
      </c>
      <c r="C495" s="315" t="s">
        <v>194</v>
      </c>
      <c r="D495" s="313">
        <v>25</v>
      </c>
      <c r="E495" s="313">
        <v>1</v>
      </c>
      <c r="F495" s="316">
        <v>18</v>
      </c>
      <c r="G495" s="316"/>
      <c r="H495" s="316"/>
      <c r="I495" s="316"/>
      <c r="J495" s="316">
        <v>108</v>
      </c>
      <c r="K495" s="220">
        <v>7.5</v>
      </c>
      <c r="L495" s="317"/>
      <c r="M495" s="220"/>
      <c r="N495" s="316"/>
      <c r="O495" s="316"/>
      <c r="P495" s="317"/>
      <c r="Q495" s="221">
        <v>0</v>
      </c>
      <c r="R495" s="316"/>
      <c r="S495" s="316"/>
      <c r="T495" s="316"/>
      <c r="U495" s="316"/>
      <c r="V495" s="316"/>
      <c r="W495" s="316"/>
      <c r="X495" s="316"/>
      <c r="Y495" s="316"/>
      <c r="Z495" s="316"/>
      <c r="AA495" s="317"/>
      <c r="AB495" s="316"/>
      <c r="AC495" s="316"/>
      <c r="AD495" s="316"/>
      <c r="AE495" s="317"/>
      <c r="AF495" s="317"/>
      <c r="AG495" s="317"/>
      <c r="AH495" s="317"/>
      <c r="AI495" s="316"/>
      <c r="AJ495" s="124">
        <f t="shared" si="185"/>
        <v>115.5</v>
      </c>
      <c r="AK495" s="313">
        <v>10</v>
      </c>
    </row>
    <row r="496" spans="1:42" s="138" customFormat="1" ht="18" customHeight="1" x14ac:dyDescent="0.2">
      <c r="A496" s="139"/>
      <c r="B496" s="140"/>
      <c r="C496" s="169"/>
      <c r="D496" s="170"/>
      <c r="E496" s="170"/>
      <c r="F496" s="121"/>
      <c r="G496" s="364" t="s">
        <v>415</v>
      </c>
      <c r="H496" s="365"/>
      <c r="I496" s="365"/>
      <c r="J496" s="365"/>
      <c r="K496" s="365"/>
      <c r="L496" s="365"/>
      <c r="M496" s="365"/>
      <c r="N496" s="365"/>
      <c r="O496" s="365"/>
      <c r="P496" s="365"/>
      <c r="Q496" s="365"/>
      <c r="R496" s="365"/>
      <c r="S496" s="365"/>
      <c r="T496" s="365"/>
      <c r="U496" s="365"/>
      <c r="V496" s="365"/>
      <c r="W496" s="365"/>
      <c r="X496" s="365"/>
      <c r="Y496" s="365"/>
      <c r="Z496" s="365"/>
      <c r="AA496" s="365"/>
      <c r="AB496" s="365"/>
      <c r="AC496" s="365"/>
      <c r="AD496" s="365"/>
      <c r="AE496" s="365"/>
      <c r="AF496" s="366"/>
      <c r="AG496" s="121"/>
      <c r="AH496" s="121"/>
      <c r="AI496" s="121"/>
      <c r="AJ496" s="124"/>
      <c r="AK496" s="154"/>
      <c r="AL496" s="171"/>
      <c r="AM496" s="126"/>
      <c r="AN496" s="126"/>
    </row>
    <row r="497" spans="1:40" s="138" customFormat="1" ht="18" x14ac:dyDescent="0.2">
      <c r="A497" s="139" t="s">
        <v>329</v>
      </c>
      <c r="B497" s="140" t="s">
        <v>130</v>
      </c>
      <c r="C497" s="169" t="s">
        <v>495</v>
      </c>
      <c r="D497" s="170">
        <v>19</v>
      </c>
      <c r="E497" s="170">
        <v>1</v>
      </c>
      <c r="F497" s="121">
        <v>40</v>
      </c>
      <c r="G497" s="121">
        <v>40</v>
      </c>
      <c r="H497" s="121">
        <v>20</v>
      </c>
      <c r="I497" s="121">
        <v>20</v>
      </c>
      <c r="J497" s="121"/>
      <c r="K497" s="121">
        <v>5.7</v>
      </c>
      <c r="L497" s="121"/>
      <c r="M497" s="121"/>
      <c r="N497" s="121"/>
      <c r="O497" s="121"/>
      <c r="P497" s="121"/>
      <c r="Q497" s="121">
        <v>2</v>
      </c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4">
        <f t="shared" si="185"/>
        <v>67.7</v>
      </c>
      <c r="AK497" s="300">
        <v>8</v>
      </c>
      <c r="AL497" s="171"/>
      <c r="AM497" s="126"/>
      <c r="AN497" s="126"/>
    </row>
    <row r="498" spans="1:40" s="138" customFormat="1" ht="18" x14ac:dyDescent="0.2">
      <c r="A498" s="139"/>
      <c r="B498" s="133" t="s">
        <v>210</v>
      </c>
      <c r="C498" s="162"/>
      <c r="D498" s="163"/>
      <c r="E498" s="163"/>
      <c r="F498" s="164">
        <f t="shared" ref="F498:AJ498" si="186">SUM(F491:F497)</f>
        <v>94</v>
      </c>
      <c r="G498" s="164">
        <f t="shared" si="186"/>
        <v>58</v>
      </c>
      <c r="H498" s="164">
        <f t="shared" si="186"/>
        <v>20</v>
      </c>
      <c r="I498" s="164">
        <f t="shared" si="186"/>
        <v>20</v>
      </c>
      <c r="J498" s="164">
        <f t="shared" si="186"/>
        <v>324</v>
      </c>
      <c r="K498" s="164">
        <f t="shared" si="186"/>
        <v>28.5</v>
      </c>
      <c r="L498" s="164">
        <f t="shared" si="186"/>
        <v>0</v>
      </c>
      <c r="M498" s="164">
        <f t="shared" si="186"/>
        <v>0</v>
      </c>
      <c r="N498" s="164">
        <f t="shared" si="186"/>
        <v>0</v>
      </c>
      <c r="O498" s="164">
        <f t="shared" si="186"/>
        <v>0</v>
      </c>
      <c r="P498" s="164">
        <f t="shared" si="186"/>
        <v>0</v>
      </c>
      <c r="Q498" s="164">
        <f t="shared" si="186"/>
        <v>2.9</v>
      </c>
      <c r="R498" s="164">
        <f t="shared" si="186"/>
        <v>0</v>
      </c>
      <c r="S498" s="164">
        <f t="shared" si="186"/>
        <v>0</v>
      </c>
      <c r="T498" s="164">
        <f t="shared" si="186"/>
        <v>0</v>
      </c>
      <c r="U498" s="164">
        <f t="shared" si="186"/>
        <v>0</v>
      </c>
      <c r="V498" s="164">
        <f t="shared" si="186"/>
        <v>0</v>
      </c>
      <c r="W498" s="164">
        <f t="shared" si="186"/>
        <v>0</v>
      </c>
      <c r="X498" s="164">
        <f t="shared" si="186"/>
        <v>0</v>
      </c>
      <c r="Y498" s="164">
        <f t="shared" si="186"/>
        <v>0</v>
      </c>
      <c r="Z498" s="164">
        <f t="shared" si="186"/>
        <v>0</v>
      </c>
      <c r="AA498" s="164">
        <f t="shared" si="186"/>
        <v>0</v>
      </c>
      <c r="AB498" s="164">
        <f t="shared" si="186"/>
        <v>0</v>
      </c>
      <c r="AC498" s="164">
        <f t="shared" si="186"/>
        <v>0</v>
      </c>
      <c r="AD498" s="164">
        <f t="shared" si="186"/>
        <v>0</v>
      </c>
      <c r="AE498" s="164">
        <f t="shared" si="186"/>
        <v>0</v>
      </c>
      <c r="AF498" s="164">
        <f t="shared" si="186"/>
        <v>0</v>
      </c>
      <c r="AG498" s="164">
        <f t="shared" si="186"/>
        <v>0</v>
      </c>
      <c r="AH498" s="164">
        <f t="shared" si="186"/>
        <v>0</v>
      </c>
      <c r="AI498" s="164">
        <f t="shared" si="186"/>
        <v>0</v>
      </c>
      <c r="AJ498" s="164">
        <f t="shared" si="186"/>
        <v>433.40000000000003</v>
      </c>
      <c r="AK498" s="154"/>
      <c r="AL498" s="171">
        <f>AJ498-SUM(I498:AI498,G498)</f>
        <v>0</v>
      </c>
      <c r="AM498" s="126"/>
      <c r="AN498" s="126"/>
    </row>
    <row r="499" spans="1:40" s="138" customFormat="1" ht="18" x14ac:dyDescent="0.2">
      <c r="A499" s="139"/>
      <c r="B499" s="140"/>
      <c r="C499" s="169"/>
      <c r="D499" s="170"/>
      <c r="E499" s="170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54"/>
      <c r="AL499" s="171"/>
      <c r="AM499" s="126"/>
      <c r="AN499" s="126"/>
    </row>
    <row r="500" spans="1:40" s="138" customFormat="1" ht="18" x14ac:dyDescent="0.2">
      <c r="A500" s="149"/>
      <c r="B500" s="132"/>
      <c r="C500" s="149"/>
      <c r="D500" s="149"/>
      <c r="E500" s="149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  <c r="AA500" s="124"/>
      <c r="AB500" s="124"/>
      <c r="AC500" s="124"/>
      <c r="AD500" s="124"/>
      <c r="AE500" s="124"/>
      <c r="AF500" s="124"/>
      <c r="AG500" s="124"/>
      <c r="AH500" s="124"/>
      <c r="AI500" s="124"/>
      <c r="AJ500" s="124"/>
      <c r="AK500" s="122"/>
      <c r="AL500" s="125"/>
      <c r="AM500" s="126"/>
      <c r="AN500" s="126"/>
    </row>
    <row r="501" spans="1:40" s="138" customFormat="1" ht="18" x14ac:dyDescent="0.2">
      <c r="A501" s="149"/>
      <c r="B501" s="176" t="s">
        <v>177</v>
      </c>
      <c r="C501" s="177"/>
      <c r="D501" s="177"/>
      <c r="E501" s="177"/>
      <c r="F501" s="178">
        <f t="shared" ref="F501:AJ501" si="187">SUM(F498,F487,F479,F464)</f>
        <v>402</v>
      </c>
      <c r="G501" s="178">
        <f t="shared" si="187"/>
        <v>284</v>
      </c>
      <c r="H501" s="178">
        <f t="shared" si="187"/>
        <v>20</v>
      </c>
      <c r="I501" s="178">
        <f t="shared" si="187"/>
        <v>20</v>
      </c>
      <c r="J501" s="178">
        <f t="shared" si="187"/>
        <v>809</v>
      </c>
      <c r="K501" s="178">
        <f t="shared" si="187"/>
        <v>86.4</v>
      </c>
      <c r="L501" s="178">
        <f t="shared" si="187"/>
        <v>0</v>
      </c>
      <c r="M501" s="178">
        <f t="shared" si="187"/>
        <v>40</v>
      </c>
      <c r="N501" s="178">
        <f t="shared" si="187"/>
        <v>0</v>
      </c>
      <c r="O501" s="178">
        <f t="shared" si="187"/>
        <v>0</v>
      </c>
      <c r="P501" s="178">
        <f t="shared" si="187"/>
        <v>0</v>
      </c>
      <c r="Q501" s="178">
        <f t="shared" si="187"/>
        <v>19.2</v>
      </c>
      <c r="R501" s="178">
        <f t="shared" si="187"/>
        <v>0</v>
      </c>
      <c r="S501" s="178">
        <f t="shared" si="187"/>
        <v>0</v>
      </c>
      <c r="T501" s="178">
        <f t="shared" si="187"/>
        <v>0</v>
      </c>
      <c r="U501" s="178">
        <f t="shared" si="187"/>
        <v>0</v>
      </c>
      <c r="V501" s="178">
        <f t="shared" si="187"/>
        <v>0</v>
      </c>
      <c r="W501" s="178">
        <f t="shared" si="187"/>
        <v>0</v>
      </c>
      <c r="X501" s="178">
        <f t="shared" si="187"/>
        <v>0</v>
      </c>
      <c r="Y501" s="178">
        <f t="shared" si="187"/>
        <v>0</v>
      </c>
      <c r="Z501" s="178">
        <f t="shared" si="187"/>
        <v>0</v>
      </c>
      <c r="AA501" s="178">
        <f t="shared" si="187"/>
        <v>0</v>
      </c>
      <c r="AB501" s="178">
        <f t="shared" si="187"/>
        <v>0</v>
      </c>
      <c r="AC501" s="178">
        <f t="shared" si="187"/>
        <v>0</v>
      </c>
      <c r="AD501" s="178">
        <f t="shared" si="187"/>
        <v>0</v>
      </c>
      <c r="AE501" s="178">
        <f t="shared" si="187"/>
        <v>0</v>
      </c>
      <c r="AF501" s="178">
        <f t="shared" si="187"/>
        <v>0</v>
      </c>
      <c r="AG501" s="178">
        <f t="shared" si="187"/>
        <v>0</v>
      </c>
      <c r="AH501" s="178">
        <f t="shared" si="187"/>
        <v>0</v>
      </c>
      <c r="AI501" s="178">
        <f t="shared" si="187"/>
        <v>29</v>
      </c>
      <c r="AJ501" s="178">
        <f t="shared" si="187"/>
        <v>1287.6000000000001</v>
      </c>
      <c r="AK501" s="137"/>
      <c r="AL501" s="126">
        <f>AJ501-SUM(I501:AI501,G501)</f>
        <v>0</v>
      </c>
      <c r="AM501" s="126"/>
      <c r="AN501" s="126"/>
    </row>
    <row r="502" spans="1:40" s="138" customFormat="1" ht="18" x14ac:dyDescent="0.2">
      <c r="A502" s="149"/>
      <c r="B502" s="131"/>
      <c r="C502" s="149"/>
      <c r="D502" s="149"/>
      <c r="E502" s="149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  <c r="AA502" s="124"/>
      <c r="AB502" s="124"/>
      <c r="AC502" s="124"/>
      <c r="AD502" s="124"/>
      <c r="AE502" s="124"/>
      <c r="AF502" s="124"/>
      <c r="AG502" s="124"/>
      <c r="AH502" s="124"/>
      <c r="AI502" s="124"/>
      <c r="AJ502" s="124"/>
      <c r="AK502" s="122"/>
      <c r="AL502" s="125"/>
      <c r="AM502" s="126"/>
      <c r="AN502" s="126"/>
    </row>
    <row r="503" spans="1:40" s="184" customFormat="1" ht="18" x14ac:dyDescent="0.2">
      <c r="A503" s="179"/>
      <c r="B503" s="180" t="s">
        <v>59</v>
      </c>
      <c r="C503" s="181"/>
      <c r="D503" s="181"/>
      <c r="E503" s="181"/>
      <c r="F503" s="182">
        <f t="shared" ref="F503:AJ503" si="188">F501+F452</f>
        <v>8862</v>
      </c>
      <c r="G503" s="182">
        <f t="shared" si="188"/>
        <v>6778</v>
      </c>
      <c r="H503" s="182">
        <f t="shared" si="188"/>
        <v>6784</v>
      </c>
      <c r="I503" s="182">
        <f t="shared" si="188"/>
        <v>6542</v>
      </c>
      <c r="J503" s="182">
        <f t="shared" si="188"/>
        <v>10379</v>
      </c>
      <c r="K503" s="182">
        <f t="shared" si="188"/>
        <v>1048.5</v>
      </c>
      <c r="L503" s="182">
        <f t="shared" si="188"/>
        <v>0</v>
      </c>
      <c r="M503" s="182">
        <f t="shared" si="188"/>
        <v>811.60000000000014</v>
      </c>
      <c r="N503" s="182">
        <f t="shared" si="188"/>
        <v>0</v>
      </c>
      <c r="O503" s="182">
        <f t="shared" si="188"/>
        <v>0</v>
      </c>
      <c r="P503" s="182">
        <f t="shared" si="188"/>
        <v>0</v>
      </c>
      <c r="Q503" s="182">
        <f t="shared" si="188"/>
        <v>421.90000000000015</v>
      </c>
      <c r="R503" s="182">
        <f t="shared" si="188"/>
        <v>0</v>
      </c>
      <c r="S503" s="182">
        <f t="shared" si="188"/>
        <v>244</v>
      </c>
      <c r="T503" s="182">
        <f t="shared" si="188"/>
        <v>1338</v>
      </c>
      <c r="U503" s="182">
        <f t="shared" si="188"/>
        <v>292.5</v>
      </c>
      <c r="V503" s="182">
        <f t="shared" si="188"/>
        <v>87</v>
      </c>
      <c r="W503" s="182">
        <f t="shared" si="188"/>
        <v>1900</v>
      </c>
      <c r="X503" s="182">
        <f t="shared" si="188"/>
        <v>90</v>
      </c>
      <c r="Y503" s="182">
        <f t="shared" si="188"/>
        <v>0</v>
      </c>
      <c r="Z503" s="182">
        <f t="shared" si="188"/>
        <v>0</v>
      </c>
      <c r="AA503" s="182">
        <f t="shared" si="188"/>
        <v>0</v>
      </c>
      <c r="AB503" s="182">
        <f t="shared" si="188"/>
        <v>360.5</v>
      </c>
      <c r="AC503" s="182">
        <f t="shared" si="188"/>
        <v>0</v>
      </c>
      <c r="AD503" s="182">
        <f t="shared" si="188"/>
        <v>0</v>
      </c>
      <c r="AE503" s="182">
        <f t="shared" si="188"/>
        <v>150</v>
      </c>
      <c r="AF503" s="182">
        <f t="shared" si="188"/>
        <v>0</v>
      </c>
      <c r="AG503" s="182">
        <f t="shared" si="188"/>
        <v>0</v>
      </c>
      <c r="AH503" s="182">
        <f t="shared" si="188"/>
        <v>0</v>
      </c>
      <c r="AI503" s="182">
        <f t="shared" si="188"/>
        <v>696</v>
      </c>
      <c r="AJ503" s="182">
        <f t="shared" si="188"/>
        <v>31139</v>
      </c>
      <c r="AK503" s="183"/>
      <c r="AL503" s="126">
        <f>AJ503-SUM(I503:AI503,G503)</f>
        <v>0</v>
      </c>
      <c r="AM503" s="126"/>
    </row>
    <row r="504" spans="1:40" s="138" customFormat="1" ht="18" x14ac:dyDescent="0.2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49"/>
      <c r="AE504" s="149"/>
      <c r="AF504" s="149"/>
      <c r="AG504" s="149"/>
      <c r="AH504" s="149"/>
      <c r="AI504" s="149"/>
      <c r="AJ504" s="124">
        <f>SUM(G503,I503:AI503)-AJ503</f>
        <v>0</v>
      </c>
      <c r="AK504" s="122"/>
      <c r="AM504" s="185"/>
    </row>
    <row r="505" spans="1:40" s="187" customFormat="1" ht="17.25" customHeight="1" x14ac:dyDescent="0.2">
      <c r="AK505" s="186"/>
      <c r="AM505" s="189"/>
    </row>
    <row r="506" spans="1:40" s="187" customFormat="1" ht="17.25" customHeight="1" x14ac:dyDescent="0.2">
      <c r="A506" s="384" t="s">
        <v>195</v>
      </c>
      <c r="B506" s="384"/>
      <c r="C506" s="384"/>
      <c r="D506" s="384"/>
      <c r="E506" s="384"/>
      <c r="F506" s="384"/>
      <c r="G506" s="384"/>
      <c r="H506" s="384"/>
      <c r="I506" s="384"/>
      <c r="J506" s="384"/>
      <c r="K506" s="384"/>
      <c r="L506" s="384"/>
      <c r="M506" s="384"/>
      <c r="N506" s="384"/>
      <c r="O506" s="384"/>
      <c r="P506" s="384"/>
      <c r="Q506" s="384"/>
      <c r="R506" s="384"/>
      <c r="S506" s="384"/>
      <c r="T506" s="384"/>
      <c r="U506" s="384"/>
      <c r="V506" s="384"/>
      <c r="W506" s="384"/>
      <c r="X506" s="384"/>
      <c r="Y506" s="384"/>
      <c r="Z506" s="384"/>
      <c r="AA506" s="384"/>
      <c r="AB506" s="384"/>
      <c r="AK506" s="186"/>
      <c r="AM506" s="189"/>
    </row>
    <row r="507" spans="1:40" s="187" customFormat="1" ht="17.25" customHeight="1" x14ac:dyDescent="0.2">
      <c r="A507" s="190"/>
      <c r="B507" s="190"/>
      <c r="C507" s="190"/>
      <c r="D507" s="190"/>
      <c r="E507" s="190"/>
      <c r="F507" s="190"/>
      <c r="G507" s="190"/>
      <c r="H507" s="190"/>
      <c r="I507" s="190"/>
      <c r="J507" s="190"/>
      <c r="K507" s="190"/>
      <c r="L507" s="190"/>
      <c r="M507" s="190"/>
      <c r="N507" s="190"/>
      <c r="O507" s="190"/>
      <c r="P507" s="190"/>
      <c r="Q507" s="190"/>
      <c r="R507" s="190"/>
      <c r="S507" s="190"/>
      <c r="T507" s="190"/>
      <c r="U507" s="190"/>
      <c r="V507" s="190"/>
      <c r="W507" s="190"/>
      <c r="X507" s="190"/>
      <c r="Y507" s="190"/>
      <c r="Z507" s="190"/>
      <c r="AA507" s="190"/>
      <c r="AB507" s="190"/>
      <c r="AK507" s="186"/>
      <c r="AM507" s="189"/>
    </row>
    <row r="508" spans="1:40" s="187" customFormat="1" ht="17.25" customHeight="1" x14ac:dyDescent="0.2">
      <c r="A508" s="384" t="s">
        <v>170</v>
      </c>
      <c r="B508" s="384"/>
      <c r="C508" s="384"/>
      <c r="D508" s="384"/>
      <c r="E508" s="384"/>
      <c r="F508" s="384"/>
      <c r="G508" s="384"/>
      <c r="H508" s="384"/>
      <c r="I508" s="384"/>
      <c r="J508" s="384"/>
      <c r="K508" s="384"/>
      <c r="L508" s="384"/>
      <c r="M508" s="384"/>
      <c r="N508" s="384"/>
      <c r="O508" s="384"/>
      <c r="P508" s="384"/>
      <c r="Q508" s="384"/>
      <c r="R508" s="384"/>
      <c r="S508" s="384"/>
      <c r="T508" s="384"/>
      <c r="U508" s="384"/>
      <c r="V508" s="384"/>
      <c r="W508" s="384"/>
      <c r="X508" s="384"/>
      <c r="Y508" s="384"/>
      <c r="Z508" s="384"/>
      <c r="AA508" s="384"/>
      <c r="AB508" s="384"/>
      <c r="AK508" s="186"/>
      <c r="AM508" s="189"/>
    </row>
  </sheetData>
  <sheetProtection selectLockedCells="1" selectUnlockedCells="1"/>
  <protectedRanges>
    <protectedRange sqref="A491 AK491" name="Диапазон1_7"/>
    <protectedRange sqref="L491 R491:AI491 N491:P491 B491:F491 H491" name="Диапазон1_19_4"/>
    <protectedRange sqref="M491" name="Диапазон1_4_1_3"/>
    <protectedRange sqref="Q491" name="Диапазон1_4_2_3"/>
    <protectedRange sqref="K491" name="Диапазон1_4_3_2"/>
    <protectedRange sqref="I493:J493 G493" name="Диапазон1_19_1"/>
    <protectedRange sqref="A493 AK493" name="Диапазон1_8"/>
    <protectedRange sqref="N493:P493 L493 B493:F493 R493:AI493 H493" name="Диапазон1_19_5"/>
    <protectedRange sqref="M493" name="Диапазон1_4_1_4"/>
    <protectedRange sqref="Q493" name="Диапазон1_4_2_4"/>
    <protectedRange sqref="K493" name="Диапазон1_4_3_3"/>
    <protectedRange sqref="G495 I495:J495" name="Диапазон1_19_2"/>
    <protectedRange sqref="AK495 A495" name="Диапазон1_8_1"/>
    <protectedRange sqref="H495 R495:AI495 N495:P495 L495 B495:F495" name="Диапазон1_19_5_1"/>
    <protectedRange sqref="M495" name="Диапазон1_4_1_4_1"/>
    <protectedRange sqref="Q495" name="Диапазон1_4_2_4_1"/>
    <protectedRange sqref="K495" name="Диапазон1_4_3_3_1"/>
    <protectedRange sqref="A457:AI457 C461 C463 B459:C459" name="Диапазон1_1_10"/>
    <protectedRange sqref="A459 D459:AI459" name="Диапазон1_1_10_1"/>
    <protectedRange sqref="L461 Z461:AH461 E461:I461 Z463:AH463 E463:I463 L463" name="Диапазон1_11"/>
    <protectedRange sqref="M461 AI461 J461:K461 A461:B461 Q461 D461 AI463 J463:K463 A463:B463 Q463 D463 M463" name="Диапазон1_1_10_2"/>
  </protectedRanges>
  <mergeCells count="102">
    <mergeCell ref="A508:AB508"/>
    <mergeCell ref="K481:AB481"/>
    <mergeCell ref="K489:AB489"/>
    <mergeCell ref="A506:AB506"/>
    <mergeCell ref="G482:AF482"/>
    <mergeCell ref="G484:AF484"/>
    <mergeCell ref="G496:AF496"/>
    <mergeCell ref="G494:AF494"/>
    <mergeCell ref="G492:AF492"/>
    <mergeCell ref="G490:AF490"/>
    <mergeCell ref="A13:A14"/>
    <mergeCell ref="B13:B14"/>
    <mergeCell ref="C13:C14"/>
    <mergeCell ref="D13:D14"/>
    <mergeCell ref="E13:E14"/>
    <mergeCell ref="K91:AB91"/>
    <mergeCell ref="K176:AB176"/>
    <mergeCell ref="L203:AA203"/>
    <mergeCell ref="K204:AB204"/>
    <mergeCell ref="K35:AB35"/>
    <mergeCell ref="K104:AB104"/>
    <mergeCell ref="K105:AB105"/>
    <mergeCell ref="K117:AB117"/>
    <mergeCell ref="N22:Y22"/>
    <mergeCell ref="K24:AB24"/>
    <mergeCell ref="K82:AB82"/>
    <mergeCell ref="B2:G2"/>
    <mergeCell ref="AF2:AK2"/>
    <mergeCell ref="B3:G3"/>
    <mergeCell ref="AC3:AK3"/>
    <mergeCell ref="B4:G4"/>
    <mergeCell ref="AC4:AK5"/>
    <mergeCell ref="B5:F5"/>
    <mergeCell ref="B6:G6"/>
    <mergeCell ref="F13:G13"/>
    <mergeCell ref="H13:I13"/>
    <mergeCell ref="J13:J14"/>
    <mergeCell ref="AC6:AK6"/>
    <mergeCell ref="AC7:AK7"/>
    <mergeCell ref="AK13:AK14"/>
    <mergeCell ref="AI13:AI14"/>
    <mergeCell ref="AJ13:AJ14"/>
    <mergeCell ref="B7:G7"/>
    <mergeCell ref="AC13:AD13"/>
    <mergeCell ref="AE13:AF13"/>
    <mergeCell ref="K13:K14"/>
    <mergeCell ref="K9:Z9"/>
    <mergeCell ref="K10:Z10"/>
    <mergeCell ref="P13:P14"/>
    <mergeCell ref="K364:AB364"/>
    <mergeCell ref="AF1:AK1"/>
    <mergeCell ref="L363:AA363"/>
    <mergeCell ref="W13:X13"/>
    <mergeCell ref="Y13:Y14"/>
    <mergeCell ref="Q13:R13"/>
    <mergeCell ref="AG13:AH13"/>
    <mergeCell ref="AA13:AA14"/>
    <mergeCell ref="L13:O13"/>
    <mergeCell ref="L23:AA23"/>
    <mergeCell ref="Z13:Z14"/>
    <mergeCell ref="S13:T13"/>
    <mergeCell ref="U13:U14"/>
    <mergeCell ref="V13:V14"/>
    <mergeCell ref="AB13:AB14"/>
    <mergeCell ref="L259:AA259"/>
    <mergeCell ref="K260:AB260"/>
    <mergeCell ref="K261:AB261"/>
    <mergeCell ref="L339:AA339"/>
    <mergeCell ref="K340:AB340"/>
    <mergeCell ref="K118:AB118"/>
    <mergeCell ref="K119:AB119"/>
    <mergeCell ref="K159:AB159"/>
    <mergeCell ref="K36:AB36"/>
    <mergeCell ref="L323:AA323"/>
    <mergeCell ref="K311:AB311"/>
    <mergeCell ref="K85:AB85"/>
    <mergeCell ref="L90:AA90"/>
    <mergeCell ref="K137:AB137"/>
    <mergeCell ref="K324:AB324"/>
    <mergeCell ref="K157:AB157"/>
    <mergeCell ref="K92:AB92"/>
    <mergeCell ref="K302:AB302"/>
    <mergeCell ref="K103:AB103"/>
    <mergeCell ref="R473:V473"/>
    <mergeCell ref="L387:AA387"/>
    <mergeCell ref="K400:AB400"/>
    <mergeCell ref="K454:AB454"/>
    <mergeCell ref="K410:AB410"/>
    <mergeCell ref="L433:AA433"/>
    <mergeCell ref="K434:AB434"/>
    <mergeCell ref="K462:AB462"/>
    <mergeCell ref="R476:V476"/>
    <mergeCell ref="I472:AD472"/>
    <mergeCell ref="I470:AD470"/>
    <mergeCell ref="R455:V455"/>
    <mergeCell ref="K458:AB458"/>
    <mergeCell ref="K466:AB466"/>
    <mergeCell ref="K456:AB456"/>
    <mergeCell ref="K460:AB460"/>
    <mergeCell ref="K390:AB390"/>
    <mergeCell ref="K468:AB468"/>
    <mergeCell ref="R467:V467"/>
  </mergeCells>
  <conditionalFormatting sqref="A145:C156 D147:V149 A164:E165 A166:XFD186">
    <cfRule type="cellIs" dxfId="171" priority="71" stopIfTrue="1" operator="equal">
      <formula>0</formula>
    </cfRule>
  </conditionalFormatting>
  <conditionalFormatting sqref="A26:E34">
    <cfRule type="cellIs" dxfId="170" priority="160" stopIfTrue="1" operator="equal">
      <formula>0</formula>
    </cfRule>
  </conditionalFormatting>
  <conditionalFormatting sqref="A126:E127">
    <cfRule type="cellIs" dxfId="169" priority="7" stopIfTrue="1" operator="equal">
      <formula>0</formula>
    </cfRule>
  </conditionalFormatting>
  <conditionalFormatting sqref="A351:E360">
    <cfRule type="cellIs" dxfId="168" priority="115" stopIfTrue="1" operator="equal">
      <formula>0</formula>
    </cfRule>
  </conditionalFormatting>
  <conditionalFormatting sqref="A437:E449">
    <cfRule type="cellIs" dxfId="167" priority="88" stopIfTrue="1" operator="equal">
      <formula>0</formula>
    </cfRule>
  </conditionalFormatting>
  <conditionalFormatting sqref="A259:J261">
    <cfRule type="cellIs" dxfId="166" priority="186" stopIfTrue="1" operator="equal">
      <formula>0</formula>
    </cfRule>
  </conditionalFormatting>
  <conditionalFormatting sqref="A340:K340 AC340:IV340 AE341:IV349">
    <cfRule type="cellIs" dxfId="165" priority="194" stopIfTrue="1" operator="equal">
      <formula>0</formula>
    </cfRule>
  </conditionalFormatting>
  <conditionalFormatting sqref="A365:P365 A366 C366 A367:C375 A376:P376 A479:XFD481 A482:AI483 A484:G484 AG484:AI484">
    <cfRule type="cellIs" dxfId="164" priority="228" stopIfTrue="1" operator="equal">
      <formula>0</formula>
    </cfRule>
  </conditionalFormatting>
  <conditionalFormatting sqref="A125:U125">
    <cfRule type="cellIs" dxfId="163" priority="13" stopIfTrue="1" operator="equal">
      <formula>0</formula>
    </cfRule>
  </conditionalFormatting>
  <conditionalFormatting sqref="A158:W158">
    <cfRule type="cellIs" dxfId="162" priority="84" stopIfTrue="1" operator="equal">
      <formula>0</formula>
    </cfRule>
  </conditionalFormatting>
  <conditionalFormatting sqref="A325:W333">
    <cfRule type="cellIs" dxfId="161" priority="163" stopIfTrue="1" operator="equal">
      <formula>0</formula>
    </cfRule>
  </conditionalFormatting>
  <conditionalFormatting sqref="A341:W349 R357:W357">
    <cfRule type="cellIs" dxfId="160" priority="187" stopIfTrue="1" operator="equal">
      <formula>0</formula>
    </cfRule>
  </conditionalFormatting>
  <conditionalFormatting sqref="A35:XFD124">
    <cfRule type="cellIs" dxfId="159" priority="58" stopIfTrue="1" operator="equal">
      <formula>0</formula>
    </cfRule>
  </conditionalFormatting>
  <conditionalFormatting sqref="A128:XFD144">
    <cfRule type="cellIs" dxfId="158" priority="1" stopIfTrue="1" operator="equal">
      <formula>0</formula>
    </cfRule>
  </conditionalFormatting>
  <conditionalFormatting sqref="A159:XFD163">
    <cfRule type="cellIs" dxfId="157" priority="21" stopIfTrue="1" operator="equal">
      <formula>0</formula>
    </cfRule>
  </conditionalFormatting>
  <conditionalFormatting sqref="A189:XFD196">
    <cfRule type="cellIs" dxfId="156" priority="35" stopIfTrue="1" operator="equal">
      <formula>0</formula>
    </cfRule>
  </conditionalFormatting>
  <conditionalFormatting sqref="A198:XFD258">
    <cfRule type="cellIs" dxfId="155" priority="24" stopIfTrue="1" operator="equal">
      <formula>0</formula>
    </cfRule>
  </conditionalFormatting>
  <conditionalFormatting sqref="A262:XFD323">
    <cfRule type="cellIs" dxfId="154" priority="170" stopIfTrue="1" operator="equal">
      <formula>0</formula>
    </cfRule>
  </conditionalFormatting>
  <conditionalFormatting sqref="A334:XFD339">
    <cfRule type="cellIs" dxfId="153" priority="161" stopIfTrue="1" operator="equal">
      <formula>0</formula>
    </cfRule>
  </conditionalFormatting>
  <conditionalFormatting sqref="A350:XFD350">
    <cfRule type="cellIs" dxfId="152" priority="144" stopIfTrue="1" operator="equal">
      <formula>0</formula>
    </cfRule>
  </conditionalFormatting>
  <conditionalFormatting sqref="A361:XFD364">
    <cfRule type="cellIs" dxfId="151" priority="193" stopIfTrue="1" operator="equal">
      <formula>0</formula>
    </cfRule>
  </conditionalFormatting>
  <conditionalFormatting sqref="A377:XFD391">
    <cfRule type="cellIs" dxfId="150" priority="63" stopIfTrue="1" operator="equal">
      <formula>0</formula>
    </cfRule>
  </conditionalFormatting>
  <conditionalFormatting sqref="A398:XFD409">
    <cfRule type="cellIs" dxfId="149" priority="15" stopIfTrue="1" operator="equal">
      <formula>0</formula>
    </cfRule>
  </conditionalFormatting>
  <conditionalFormatting sqref="A410:XFD420 A392:XFD397 A1:XFD25 AC147:IV149 A157:XFD157 A197:T197 Z197:XFD197 L259 AC259:XFD261 K260:K261 A470:I470 A487:XFD489 A490:G490 AG490:XFD490 A491:XFD491 A492:G492 AG492:XFD492 A493:XFD493 A494:G494 AG494:XFD494 A495:XFD495 A496:G496 AG496:XFD496 A497:XFD65614">
    <cfRule type="cellIs" dxfId="148" priority="258" stopIfTrue="1" operator="equal">
      <formula>0</formula>
    </cfRule>
  </conditionalFormatting>
  <conditionalFormatting sqref="A421:XFD432">
    <cfRule type="cellIs" dxfId="147" priority="61" stopIfTrue="1" operator="equal">
      <formula>0</formula>
    </cfRule>
  </conditionalFormatting>
  <conditionalFormatting sqref="A434:XFD436">
    <cfRule type="cellIs" dxfId="146" priority="93" stopIfTrue="1" operator="equal">
      <formula>0</formula>
    </cfRule>
  </conditionalFormatting>
  <conditionalFormatting sqref="A450:XFD466">
    <cfRule type="cellIs" dxfId="145" priority="64" stopIfTrue="1" operator="equal">
      <formula>0</formula>
    </cfRule>
  </conditionalFormatting>
  <conditionalFormatting sqref="D469 K469 M469">
    <cfRule type="cellIs" dxfId="144" priority="266" stopIfTrue="1" operator="equal">
      <formula>0</formula>
    </cfRule>
  </conditionalFormatting>
  <conditionalFormatting sqref="D471 K471 M471">
    <cfRule type="cellIs" dxfId="143" priority="181" stopIfTrue="1" operator="equal">
      <formula>0</formula>
    </cfRule>
  </conditionalFormatting>
  <conditionalFormatting sqref="D474:D478 K474:K478 M474:M478">
    <cfRule type="cellIs" dxfId="142" priority="179" stopIfTrue="1" operator="equal">
      <formula>0</formula>
    </cfRule>
  </conditionalFormatting>
  <conditionalFormatting sqref="D145:E146">
    <cfRule type="cellIs" dxfId="141" priority="78" stopIfTrue="1" operator="equal">
      <formula>0</formula>
    </cfRule>
  </conditionalFormatting>
  <conditionalFormatting sqref="D187:E196">
    <cfRule type="cellIs" dxfId="140" priority="30" stopIfTrue="1" operator="equal">
      <formula>0</formula>
    </cfRule>
  </conditionalFormatting>
  <conditionalFormatting sqref="D366:P375">
    <cfRule type="cellIs" dxfId="139" priority="111" stopIfTrue="1" operator="equal">
      <formula>0</formula>
    </cfRule>
  </conditionalFormatting>
  <conditionalFormatting sqref="D150:XFD156">
    <cfRule type="cellIs" dxfId="138" priority="69" stopIfTrue="1" operator="equal">
      <formula>0</formula>
    </cfRule>
  </conditionalFormatting>
  <conditionalFormatting sqref="F145:G145 M145:XFD145 F146:XFD146">
    <cfRule type="cellIs" dxfId="137" priority="80" stopIfTrue="1" operator="equal">
      <formula>0</formula>
    </cfRule>
  </conditionalFormatting>
  <conditionalFormatting sqref="F164:G164 M164:XFD164 F165:XFD165">
    <cfRule type="cellIs" dxfId="136" priority="77" stopIfTrue="1" operator="equal">
      <formula>0</formula>
    </cfRule>
  </conditionalFormatting>
  <conditionalFormatting sqref="F187:G187 M187:XFD187 A187:C188 F188:XFD188">
    <cfRule type="cellIs" dxfId="135" priority="75" stopIfTrue="1" operator="equal">
      <formula>0</formula>
    </cfRule>
  </conditionalFormatting>
  <conditionalFormatting sqref="F357:I358">
    <cfRule type="cellIs" dxfId="134" priority="119" stopIfTrue="1" operator="equal">
      <formula>0</formula>
    </cfRule>
  </conditionalFormatting>
  <conditionalFormatting sqref="F355:P356 R355:XFD356">
    <cfRule type="cellIs" dxfId="133" priority="132" stopIfTrue="1" operator="equal">
      <formula>0</formula>
    </cfRule>
  </conditionalFormatting>
  <conditionalFormatting sqref="F439:Q439 AA439:AI439 F440:AI449">
    <cfRule type="cellIs" dxfId="132" priority="90" stopIfTrue="1" operator="equal">
      <formula>0</formula>
    </cfRule>
  </conditionalFormatting>
  <conditionalFormatting sqref="F126:T126">
    <cfRule type="cellIs" dxfId="131" priority="11" stopIfTrue="1" operator="equal">
      <formula>0</formula>
    </cfRule>
  </conditionalFormatting>
  <conditionalFormatting sqref="F360:W360">
    <cfRule type="cellIs" dxfId="130" priority="113" stopIfTrue="1" operator="equal">
      <formula>0</formula>
    </cfRule>
  </conditionalFormatting>
  <conditionalFormatting sqref="F359:X359">
    <cfRule type="cellIs" dxfId="129" priority="117" stopIfTrue="1" operator="equal">
      <formula>0</formula>
    </cfRule>
  </conditionalFormatting>
  <conditionalFormatting sqref="F32:Y32 AE32:IV34 F33:X34 A472:I473">
    <cfRule type="cellIs" dxfId="128" priority="257" stopIfTrue="1" operator="equal">
      <formula>0</formula>
    </cfRule>
  </conditionalFormatting>
  <conditionalFormatting sqref="F26:XFD26 F27:W27 AD27:XFD29 F28:V29 F30:XFD31 A324:K324 AC324:IV324 R376:W376 AB376:IV376 A433:L433 AB433:XFD433 A467:R467 W467:IV467 A468:XFD468 AE470:AI470 AK470:IV470 AE472:AI473 AK472:IV473">
    <cfRule type="cellIs" dxfId="127" priority="267" stopIfTrue="1" operator="equal">
      <formula>0</formula>
    </cfRule>
  </conditionalFormatting>
  <conditionalFormatting sqref="F127:XFD127">
    <cfRule type="cellIs" dxfId="126" priority="9" stopIfTrue="1" operator="equal">
      <formula>0</formula>
    </cfRule>
  </conditionalFormatting>
  <conditionalFormatting sqref="F351:XFD354">
    <cfRule type="cellIs" dxfId="125" priority="135" stopIfTrue="1" operator="equal">
      <formula>0</formula>
    </cfRule>
  </conditionalFormatting>
  <conditionalFormatting sqref="F437:XFD438">
    <cfRule type="cellIs" dxfId="124" priority="91" stopIfTrue="1" operator="equal">
      <formula>0</formula>
    </cfRule>
  </conditionalFormatting>
  <conditionalFormatting sqref="J357:P357">
    <cfRule type="cellIs" dxfId="123" priority="128" stopIfTrue="1" operator="equal">
      <formula>0</formula>
    </cfRule>
  </conditionalFormatting>
  <conditionalFormatting sqref="J358:XFD358">
    <cfRule type="cellIs" dxfId="122" priority="118" stopIfTrue="1" operator="equal">
      <formula>0</formula>
    </cfRule>
  </conditionalFormatting>
  <conditionalFormatting sqref="Q355:Q357">
    <cfRule type="cellIs" dxfId="121" priority="125" stopIfTrue="1" operator="equal">
      <formula>0</formula>
    </cfRule>
  </conditionalFormatting>
  <conditionalFormatting sqref="Q365:Q376">
    <cfRule type="cellIs" dxfId="120" priority="212" stopIfTrue="1" operator="equal">
      <formula>0</formula>
    </cfRule>
  </conditionalFormatting>
  <conditionalFormatting sqref="R365:XFD375">
    <cfRule type="cellIs" dxfId="119" priority="213" stopIfTrue="1" operator="equal">
      <formula>0</formula>
    </cfRule>
  </conditionalFormatting>
  <conditionalFormatting sqref="S396">
    <cfRule type="cellIs" dxfId="118" priority="68" operator="equal">
      <formula>0</formula>
    </cfRule>
  </conditionalFormatting>
  <conditionalFormatting sqref="S419:T420">
    <cfRule type="cellIs" dxfId="117" priority="210" operator="equal">
      <formula>0</formula>
    </cfRule>
  </conditionalFormatting>
  <conditionalFormatting sqref="Z125:IV126">
    <cfRule type="cellIs" dxfId="116" priority="12" stopIfTrue="1" operator="equal">
      <formula>0</formula>
    </cfRule>
  </conditionalFormatting>
  <conditionalFormatting sqref="AD158:XFD158">
    <cfRule type="cellIs" dxfId="115" priority="85" stopIfTrue="1" operator="equal">
      <formula>0</formula>
    </cfRule>
  </conditionalFormatting>
  <conditionalFormatting sqref="AE325:IV333">
    <cfRule type="cellIs" dxfId="114" priority="165" stopIfTrue="1" operator="equal">
      <formula>0</formula>
    </cfRule>
  </conditionalFormatting>
  <conditionalFormatting sqref="AE357:IV357">
    <cfRule type="cellIs" dxfId="113" priority="124" stopIfTrue="1" operator="equal">
      <formula>0</formula>
    </cfRule>
  </conditionalFormatting>
  <conditionalFormatting sqref="AE359:IV360">
    <cfRule type="cellIs" dxfId="112" priority="112" stopIfTrue="1" operator="equal">
      <formula>0</formula>
    </cfRule>
  </conditionalFormatting>
  <conditionalFormatting sqref="AJ469:AJ478">
    <cfRule type="cellIs" dxfId="111" priority="182" stopIfTrue="1" operator="equal">
      <formula>0</formula>
    </cfRule>
  </conditionalFormatting>
  <conditionalFormatting sqref="AJ439:XFD449">
    <cfRule type="cellIs" dxfId="110" priority="89" stopIfTrue="1" operator="equal">
      <formula>0</formula>
    </cfRule>
  </conditionalFormatting>
  <conditionalFormatting sqref="AJ482:XFD486 A485:AI486">
    <cfRule type="cellIs" dxfId="109" priority="177" stopIfTrue="1" operator="equal">
      <formula>0</formula>
    </cfRule>
  </conditionalFormatting>
  <pageMargins left="0.19685039370078741" right="0.19685039370078741" top="0.39370078740157483" bottom="0.39370078740157483" header="0.31496062992125984" footer="0.31496062992125984"/>
  <pageSetup paperSize="9" scale="31" firstPageNumber="0" fitToHeight="0" orientation="landscape" r:id="rId1"/>
  <headerFooter alignWithMargins="0"/>
  <rowBreaks count="6" manualBreakCount="6">
    <brk id="81" max="36" man="1"/>
    <brk id="156" max="36" man="1"/>
    <brk id="252" max="36" man="1"/>
    <brk id="310" max="36" man="1"/>
    <brk id="386" max="36" man="1"/>
    <brk id="453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M53"/>
  <sheetViews>
    <sheetView view="pageBreakPreview" zoomScale="60" zoomScaleNormal="70" workbookViewId="0">
      <selection sqref="A1:XFD11"/>
    </sheetView>
  </sheetViews>
  <sheetFormatPr defaultColWidth="9.140625" defaultRowHeight="12.75" x14ac:dyDescent="0.2"/>
  <cols>
    <col min="1" max="1" width="19.85546875" style="20" customWidth="1"/>
    <col min="2" max="2" width="49.42578125" style="20" customWidth="1"/>
    <col min="3" max="5" width="5.5703125" style="20" customWidth="1"/>
    <col min="6" max="6" width="11.140625" style="20" customWidth="1"/>
    <col min="7" max="7" width="11.42578125" style="20" customWidth="1"/>
    <col min="8" max="8" width="10.5703125" style="20" bestFit="1" customWidth="1"/>
    <col min="9" max="9" width="10.85546875" style="20" customWidth="1"/>
    <col min="10" max="10" width="10.5703125" style="20" bestFit="1" customWidth="1"/>
    <col min="11" max="11" width="9.42578125" style="20" bestFit="1" customWidth="1"/>
    <col min="12" max="12" width="7.5703125" style="20" customWidth="1"/>
    <col min="13" max="14" width="9.42578125" style="20" bestFit="1" customWidth="1"/>
    <col min="15" max="15" width="6.5703125" style="20" customWidth="1"/>
    <col min="16" max="16" width="8.140625" style="20" customWidth="1"/>
    <col min="17" max="17" width="9.42578125" style="20" bestFit="1" customWidth="1"/>
    <col min="18" max="18" width="7.140625" style="20" customWidth="1"/>
    <col min="19" max="19" width="9.42578125" style="20" bestFit="1" customWidth="1"/>
    <col min="20" max="20" width="9.42578125" style="20" customWidth="1"/>
    <col min="21" max="21" width="7.140625" style="20" customWidth="1"/>
    <col min="22" max="22" width="9.140625" style="20" customWidth="1"/>
    <col min="23" max="24" width="9.42578125" style="20" bestFit="1" customWidth="1"/>
    <col min="25" max="25" width="7.42578125" style="20" customWidth="1"/>
    <col min="26" max="26" width="6.85546875" style="20" customWidth="1"/>
    <col min="27" max="27" width="7.140625" style="20" customWidth="1"/>
    <col min="28" max="28" width="9.140625" style="20" customWidth="1"/>
    <col min="29" max="30" width="6.140625" style="20" customWidth="1"/>
    <col min="31" max="31" width="7.5703125" style="20" bestFit="1" customWidth="1"/>
    <col min="32" max="32" width="8" style="20" bestFit="1" customWidth="1"/>
    <col min="33" max="33" width="7.5703125" style="20" customWidth="1"/>
    <col min="34" max="34" width="8.42578125" style="20" bestFit="1" customWidth="1"/>
    <col min="35" max="35" width="9.42578125" style="20" bestFit="1" customWidth="1"/>
    <col min="36" max="36" width="11.42578125" style="20" customWidth="1"/>
    <col min="37" max="37" width="15.85546875" style="20" bestFit="1" customWidth="1"/>
    <col min="38" max="38" width="9.140625" style="20"/>
    <col min="39" max="39" width="32.140625" style="20" customWidth="1"/>
    <col min="40" max="16384" width="9.140625" style="20"/>
  </cols>
  <sheetData>
    <row r="1" spans="1:37" s="205" customFormat="1" ht="15" x14ac:dyDescent="0.2">
      <c r="AF1" s="378" t="s">
        <v>153</v>
      </c>
      <c r="AG1" s="378"/>
      <c r="AH1" s="378"/>
      <c r="AI1" s="378"/>
      <c r="AJ1" s="378"/>
      <c r="AK1" s="378"/>
    </row>
    <row r="2" spans="1:37" s="205" customFormat="1" ht="15" x14ac:dyDescent="0.2">
      <c r="B2" s="378" t="s">
        <v>1</v>
      </c>
      <c r="C2" s="378"/>
      <c r="D2" s="378"/>
      <c r="E2" s="378"/>
      <c r="F2" s="378"/>
      <c r="G2" s="378"/>
      <c r="H2" s="277"/>
      <c r="I2" s="27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377"/>
      <c r="AG2" s="377"/>
      <c r="AH2" s="377"/>
      <c r="AI2" s="377"/>
      <c r="AJ2" s="377"/>
      <c r="AK2" s="377"/>
    </row>
    <row r="3" spans="1:37" s="205" customFormat="1" ht="15" x14ac:dyDescent="0.2">
      <c r="B3" s="378" t="s">
        <v>2</v>
      </c>
      <c r="C3" s="378"/>
      <c r="D3" s="378"/>
      <c r="E3" s="378"/>
      <c r="F3" s="378"/>
      <c r="G3" s="378"/>
      <c r="H3" s="277"/>
      <c r="I3" s="277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377" t="s">
        <v>3</v>
      </c>
      <c r="AD3" s="377"/>
      <c r="AE3" s="377"/>
      <c r="AF3" s="377"/>
      <c r="AG3" s="377"/>
      <c r="AH3" s="377"/>
      <c r="AI3" s="377"/>
      <c r="AJ3" s="377"/>
      <c r="AK3" s="377"/>
    </row>
    <row r="4" spans="1:37" s="205" customFormat="1" ht="15" x14ac:dyDescent="0.2">
      <c r="B4" s="378" t="s">
        <v>154</v>
      </c>
      <c r="C4" s="378"/>
      <c r="D4" s="378"/>
      <c r="E4" s="378"/>
      <c r="F4" s="378"/>
      <c r="G4" s="277"/>
      <c r="H4" s="277"/>
      <c r="I4" s="277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</row>
    <row r="5" spans="1:37" s="205" customFormat="1" ht="15" x14ac:dyDescent="0.2">
      <c r="B5" s="378" t="s">
        <v>6</v>
      </c>
      <c r="C5" s="378"/>
      <c r="D5" s="378"/>
      <c r="E5" s="378"/>
      <c r="F5" s="378"/>
      <c r="G5" s="378"/>
      <c r="H5" s="277"/>
      <c r="I5" s="27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77" t="s">
        <v>155</v>
      </c>
      <c r="AD5" s="377"/>
      <c r="AE5" s="377"/>
      <c r="AF5" s="377"/>
      <c r="AG5" s="377"/>
      <c r="AH5" s="377"/>
      <c r="AI5" s="377"/>
      <c r="AJ5" s="377"/>
      <c r="AK5" s="377"/>
    </row>
    <row r="6" spans="1:37" s="205" customFormat="1" ht="15" x14ac:dyDescent="0.2">
      <c r="B6" s="378" t="s">
        <v>7</v>
      </c>
      <c r="C6" s="378"/>
      <c r="D6" s="378"/>
      <c r="E6" s="378"/>
      <c r="F6" s="378"/>
      <c r="G6" s="378"/>
      <c r="H6" s="277"/>
      <c r="I6" s="277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377" t="s">
        <v>168</v>
      </c>
      <c r="AD6" s="377"/>
      <c r="AE6" s="377"/>
      <c r="AF6" s="377"/>
      <c r="AG6" s="377"/>
      <c r="AH6" s="377"/>
      <c r="AI6" s="377"/>
      <c r="AJ6" s="377"/>
      <c r="AK6" s="377"/>
    </row>
    <row r="7" spans="1:37" s="205" customFormat="1" ht="15" x14ac:dyDescent="0.2">
      <c r="B7" s="378" t="s">
        <v>9</v>
      </c>
      <c r="C7" s="378"/>
      <c r="D7" s="378"/>
      <c r="E7" s="378"/>
      <c r="F7" s="378"/>
      <c r="G7" s="378"/>
      <c r="H7" s="277"/>
      <c r="I7" s="277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377" t="s">
        <v>589</v>
      </c>
      <c r="AD7" s="377"/>
      <c r="AE7" s="377"/>
      <c r="AF7" s="377"/>
      <c r="AG7" s="377"/>
      <c r="AH7" s="377"/>
      <c r="AI7" s="377"/>
      <c r="AJ7" s="377"/>
      <c r="AK7" s="377"/>
    </row>
    <row r="8" spans="1:37" s="205" customFormat="1" ht="15" x14ac:dyDescent="0.2">
      <c r="B8" s="277"/>
      <c r="C8" s="277"/>
      <c r="D8" s="277"/>
      <c r="E8" s="277"/>
      <c r="F8" s="277"/>
      <c r="G8" s="277"/>
      <c r="H8" s="277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</row>
    <row r="9" spans="1:37" s="205" customFormat="1" ht="15.75" x14ac:dyDescent="0.2">
      <c r="B9" s="290" t="s">
        <v>131</v>
      </c>
      <c r="C9" s="277"/>
      <c r="D9" s="277"/>
      <c r="E9" s="277"/>
      <c r="F9" s="277"/>
      <c r="G9" s="277"/>
      <c r="H9" s="277"/>
      <c r="I9" s="403" t="s">
        <v>158</v>
      </c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3"/>
      <c r="AB9" s="278"/>
      <c r="AC9" s="278"/>
      <c r="AD9" s="278"/>
      <c r="AE9" s="278"/>
      <c r="AF9" s="278"/>
      <c r="AG9" s="278"/>
      <c r="AH9" s="278"/>
      <c r="AI9" s="278"/>
      <c r="AJ9" s="278"/>
      <c r="AK9" s="278"/>
    </row>
    <row r="10" spans="1:37" s="205" customFormat="1" ht="15.75" x14ac:dyDescent="0.2">
      <c r="B10" s="277"/>
      <c r="C10" s="277"/>
      <c r="D10" s="277"/>
      <c r="E10" s="277"/>
      <c r="F10" s="277"/>
      <c r="G10" s="277"/>
      <c r="H10" s="277"/>
      <c r="I10" s="277"/>
      <c r="J10" s="278"/>
      <c r="K10" s="403" t="str">
        <f>Бюджет!K10</f>
        <v>на 2025 - 2026 учебный год</v>
      </c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"/>
      <c r="Z10" s="4"/>
      <c r="AA10" s="4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</row>
    <row r="11" spans="1:37" s="205" customFormat="1" ht="15" x14ac:dyDescent="0.2">
      <c r="B11" s="277"/>
      <c r="C11" s="277"/>
      <c r="D11" s="277"/>
      <c r="E11" s="277"/>
      <c r="F11" s="277"/>
      <c r="G11" s="277"/>
      <c r="H11" s="277"/>
      <c r="I11" s="277"/>
      <c r="J11" s="278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291"/>
      <c r="Z11" s="291"/>
      <c r="AA11" s="291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</row>
    <row r="12" spans="1:37" x14ac:dyDescent="0.2">
      <c r="A12" s="394" t="s">
        <v>12</v>
      </c>
      <c r="B12" s="402" t="s">
        <v>13</v>
      </c>
      <c r="C12" s="387" t="s">
        <v>14</v>
      </c>
      <c r="D12" s="392" t="s">
        <v>15</v>
      </c>
      <c r="E12" s="387" t="s">
        <v>16</v>
      </c>
      <c r="F12" s="388" t="s">
        <v>17</v>
      </c>
      <c r="G12" s="388"/>
      <c r="H12" s="388" t="s">
        <v>18</v>
      </c>
      <c r="I12" s="388"/>
      <c r="J12" s="394" t="s">
        <v>19</v>
      </c>
      <c r="K12" s="394" t="s">
        <v>20</v>
      </c>
      <c r="L12" s="388" t="s">
        <v>21</v>
      </c>
      <c r="M12" s="388"/>
      <c r="N12" s="388"/>
      <c r="O12" s="388"/>
      <c r="P12" s="394" t="s">
        <v>22</v>
      </c>
      <c r="Q12" s="388" t="s">
        <v>23</v>
      </c>
      <c r="R12" s="388"/>
      <c r="S12" s="388" t="s">
        <v>24</v>
      </c>
      <c r="T12" s="388"/>
      <c r="U12" s="394" t="s">
        <v>25</v>
      </c>
      <c r="V12" s="394" t="s">
        <v>26</v>
      </c>
      <c r="W12" s="388" t="s">
        <v>27</v>
      </c>
      <c r="X12" s="388"/>
      <c r="Y12" s="394" t="s">
        <v>28</v>
      </c>
      <c r="Z12" s="394" t="s">
        <v>29</v>
      </c>
      <c r="AA12" s="394" t="s">
        <v>30</v>
      </c>
      <c r="AB12" s="394" t="s">
        <v>31</v>
      </c>
      <c r="AC12" s="388" t="s">
        <v>32</v>
      </c>
      <c r="AD12" s="388"/>
      <c r="AE12" s="388" t="s">
        <v>33</v>
      </c>
      <c r="AF12" s="388"/>
      <c r="AG12" s="388" t="s">
        <v>34</v>
      </c>
      <c r="AH12" s="388"/>
      <c r="AI12" s="394" t="s">
        <v>35</v>
      </c>
      <c r="AJ12" s="394" t="s">
        <v>36</v>
      </c>
      <c r="AK12" s="394" t="s">
        <v>156</v>
      </c>
    </row>
    <row r="13" spans="1:37" ht="122.25" x14ac:dyDescent="0.2">
      <c r="A13" s="394"/>
      <c r="B13" s="402"/>
      <c r="C13" s="387"/>
      <c r="D13" s="392"/>
      <c r="E13" s="387"/>
      <c r="F13" s="192" t="s">
        <v>38</v>
      </c>
      <c r="G13" s="193" t="s">
        <v>39</v>
      </c>
      <c r="H13" s="193" t="s">
        <v>38</v>
      </c>
      <c r="I13" s="193" t="s">
        <v>39</v>
      </c>
      <c r="J13" s="394"/>
      <c r="K13" s="394"/>
      <c r="L13" s="191" t="s">
        <v>40</v>
      </c>
      <c r="M13" s="191" t="s">
        <v>41</v>
      </c>
      <c r="N13" s="191" t="s">
        <v>42</v>
      </c>
      <c r="O13" s="191" t="s">
        <v>43</v>
      </c>
      <c r="P13" s="394"/>
      <c r="Q13" s="191" t="s">
        <v>44</v>
      </c>
      <c r="R13" s="191" t="s">
        <v>45</v>
      </c>
      <c r="S13" s="191" t="s">
        <v>46</v>
      </c>
      <c r="T13" s="191" t="s">
        <v>47</v>
      </c>
      <c r="U13" s="394"/>
      <c r="V13" s="394"/>
      <c r="W13" s="191" t="s">
        <v>33</v>
      </c>
      <c r="X13" s="191" t="s">
        <v>48</v>
      </c>
      <c r="Y13" s="394"/>
      <c r="Z13" s="394"/>
      <c r="AA13" s="394"/>
      <c r="AB13" s="394"/>
      <c r="AC13" s="191" t="s">
        <v>49</v>
      </c>
      <c r="AD13" s="191" t="s">
        <v>50</v>
      </c>
      <c r="AE13" s="191" t="s">
        <v>51</v>
      </c>
      <c r="AF13" s="191" t="s">
        <v>52</v>
      </c>
      <c r="AG13" s="191" t="s">
        <v>53</v>
      </c>
      <c r="AH13" s="191" t="s">
        <v>157</v>
      </c>
      <c r="AI13" s="394"/>
      <c r="AJ13" s="394"/>
      <c r="AK13" s="394"/>
    </row>
    <row r="14" spans="1:37" x14ac:dyDescent="0.2">
      <c r="A14" s="41">
        <v>1</v>
      </c>
      <c r="B14" s="41">
        <v>2</v>
      </c>
      <c r="C14" s="41">
        <v>3</v>
      </c>
      <c r="D14" s="41">
        <v>4</v>
      </c>
      <c r="E14" s="41">
        <v>5</v>
      </c>
      <c r="F14" s="41">
        <v>6</v>
      </c>
      <c r="G14" s="41">
        <v>7</v>
      </c>
      <c r="H14" s="41">
        <v>8</v>
      </c>
      <c r="I14" s="41">
        <v>9</v>
      </c>
      <c r="J14" s="41">
        <v>10</v>
      </c>
      <c r="K14" s="41">
        <v>11</v>
      </c>
      <c r="L14" s="41">
        <v>12</v>
      </c>
      <c r="M14" s="41">
        <v>13</v>
      </c>
      <c r="N14" s="41">
        <v>14</v>
      </c>
      <c r="O14" s="41">
        <v>15</v>
      </c>
      <c r="P14" s="41">
        <v>16</v>
      </c>
      <c r="Q14" s="41">
        <v>17</v>
      </c>
      <c r="R14" s="41">
        <v>18</v>
      </c>
      <c r="S14" s="41">
        <v>19</v>
      </c>
      <c r="T14" s="41">
        <v>20</v>
      </c>
      <c r="U14" s="41">
        <v>21</v>
      </c>
      <c r="V14" s="41">
        <v>22</v>
      </c>
      <c r="W14" s="41">
        <v>23</v>
      </c>
      <c r="X14" s="41">
        <v>24</v>
      </c>
      <c r="Y14" s="41">
        <v>25</v>
      </c>
      <c r="Z14" s="41">
        <v>26</v>
      </c>
      <c r="AA14" s="41">
        <v>27</v>
      </c>
      <c r="AB14" s="41">
        <v>28</v>
      </c>
      <c r="AC14" s="41">
        <v>29</v>
      </c>
      <c r="AD14" s="41">
        <v>30</v>
      </c>
      <c r="AE14" s="41">
        <v>31</v>
      </c>
      <c r="AF14" s="41">
        <v>32</v>
      </c>
      <c r="AG14" s="41">
        <v>33</v>
      </c>
      <c r="AH14" s="41">
        <v>34</v>
      </c>
      <c r="AI14" s="41">
        <v>35</v>
      </c>
      <c r="AJ14" s="41">
        <v>36</v>
      </c>
      <c r="AK14" s="41">
        <v>37</v>
      </c>
    </row>
    <row r="15" spans="1:37" s="207" customFormat="1" ht="15" x14ac:dyDescent="0.2">
      <c r="A15" s="194"/>
      <c r="B15" s="195" t="s">
        <v>55</v>
      </c>
      <c r="C15" s="195"/>
      <c r="D15" s="195"/>
      <c r="E15" s="195"/>
      <c r="F15" s="112">
        <f>F50</f>
        <v>402</v>
      </c>
      <c r="G15" s="112">
        <f>G44</f>
        <v>0</v>
      </c>
      <c r="H15" s="112">
        <f t="shared" ref="H15:AJ15" si="0">H44</f>
        <v>348</v>
      </c>
      <c r="I15" s="112">
        <f t="shared" si="0"/>
        <v>0</v>
      </c>
      <c r="J15" s="112">
        <f t="shared" si="0"/>
        <v>0</v>
      </c>
      <c r="K15" s="112">
        <f t="shared" si="0"/>
        <v>2.6999999999999997</v>
      </c>
      <c r="L15" s="112">
        <f t="shared" si="0"/>
        <v>0</v>
      </c>
      <c r="M15" s="112">
        <f t="shared" si="0"/>
        <v>1.2000000000000002</v>
      </c>
      <c r="N15" s="112">
        <f t="shared" si="0"/>
        <v>0</v>
      </c>
      <c r="O15" s="112">
        <f t="shared" si="0"/>
        <v>0</v>
      </c>
      <c r="P15" s="112">
        <f t="shared" si="0"/>
        <v>0</v>
      </c>
      <c r="Q15" s="112">
        <f t="shared" si="0"/>
        <v>0</v>
      </c>
      <c r="R15" s="112">
        <f t="shared" si="0"/>
        <v>0</v>
      </c>
      <c r="S15" s="112">
        <f t="shared" si="0"/>
        <v>0</v>
      </c>
      <c r="T15" s="112">
        <f t="shared" si="0"/>
        <v>2</v>
      </c>
      <c r="U15" s="112">
        <f t="shared" si="0"/>
        <v>0</v>
      </c>
      <c r="V15" s="112">
        <f t="shared" si="0"/>
        <v>0</v>
      </c>
      <c r="W15" s="112">
        <f t="shared" si="0"/>
        <v>0</v>
      </c>
      <c r="X15" s="112">
        <f t="shared" si="0"/>
        <v>0</v>
      </c>
      <c r="Y15" s="112">
        <f t="shared" si="0"/>
        <v>0</v>
      </c>
      <c r="Z15" s="112">
        <f t="shared" si="0"/>
        <v>0</v>
      </c>
      <c r="AA15" s="112">
        <f t="shared" si="0"/>
        <v>0</v>
      </c>
      <c r="AB15" s="112">
        <f t="shared" si="0"/>
        <v>0</v>
      </c>
      <c r="AC15" s="112">
        <f t="shared" si="0"/>
        <v>0</v>
      </c>
      <c r="AD15" s="112">
        <f t="shared" si="0"/>
        <v>0</v>
      </c>
      <c r="AE15" s="112">
        <f t="shared" si="0"/>
        <v>0</v>
      </c>
      <c r="AF15" s="112">
        <f t="shared" si="0"/>
        <v>0</v>
      </c>
      <c r="AG15" s="112">
        <f t="shared" si="0"/>
        <v>0</v>
      </c>
      <c r="AH15" s="112">
        <f t="shared" si="0"/>
        <v>0</v>
      </c>
      <c r="AI15" s="112">
        <f t="shared" si="0"/>
        <v>0</v>
      </c>
      <c r="AJ15" s="112">
        <f t="shared" si="0"/>
        <v>5.8999999999999986</v>
      </c>
      <c r="AK15" s="194"/>
    </row>
    <row r="16" spans="1:37" s="207" customFormat="1" ht="15" x14ac:dyDescent="0.2">
      <c r="A16" s="194"/>
      <c r="B16" s="195" t="s">
        <v>56</v>
      </c>
      <c r="C16" s="195"/>
      <c r="D16" s="195"/>
      <c r="E16" s="195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94"/>
    </row>
    <row r="17" spans="1:37" s="207" customFormat="1" ht="15" x14ac:dyDescent="0.2">
      <c r="A17" s="194"/>
      <c r="B17" s="195" t="s">
        <v>57</v>
      </c>
      <c r="C17" s="195"/>
      <c r="D17" s="195"/>
      <c r="E17" s="195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94"/>
    </row>
    <row r="18" spans="1:37" s="207" customFormat="1" ht="15" x14ac:dyDescent="0.2">
      <c r="A18" s="194"/>
      <c r="B18" s="195" t="s">
        <v>58</v>
      </c>
      <c r="C18" s="195"/>
      <c r="D18" s="195"/>
      <c r="E18" s="195"/>
      <c r="F18" s="112">
        <f>F48</f>
        <v>0</v>
      </c>
      <c r="G18" s="112">
        <f>G48</f>
        <v>0</v>
      </c>
      <c r="H18" s="112">
        <f t="shared" ref="H18:AJ18" si="1">H48</f>
        <v>0</v>
      </c>
      <c r="I18" s="112">
        <f t="shared" si="1"/>
        <v>0</v>
      </c>
      <c r="J18" s="112">
        <f t="shared" si="1"/>
        <v>0</v>
      </c>
      <c r="K18" s="112">
        <f t="shared" si="1"/>
        <v>0</v>
      </c>
      <c r="L18" s="112">
        <f t="shared" si="1"/>
        <v>0</v>
      </c>
      <c r="M18" s="112">
        <f t="shared" si="1"/>
        <v>0</v>
      </c>
      <c r="N18" s="112">
        <f t="shared" si="1"/>
        <v>0</v>
      </c>
      <c r="O18" s="112">
        <f t="shared" si="1"/>
        <v>0</v>
      </c>
      <c r="P18" s="112">
        <f t="shared" si="1"/>
        <v>0</v>
      </c>
      <c r="Q18" s="112">
        <f t="shared" si="1"/>
        <v>0</v>
      </c>
      <c r="R18" s="112">
        <f t="shared" si="1"/>
        <v>0</v>
      </c>
      <c r="S18" s="112">
        <f t="shared" si="1"/>
        <v>0</v>
      </c>
      <c r="T18" s="112">
        <f t="shared" si="1"/>
        <v>0</v>
      </c>
      <c r="U18" s="112">
        <f t="shared" si="1"/>
        <v>0</v>
      </c>
      <c r="V18" s="112">
        <f t="shared" si="1"/>
        <v>0</v>
      </c>
      <c r="W18" s="112">
        <f t="shared" si="1"/>
        <v>0</v>
      </c>
      <c r="X18" s="112">
        <f t="shared" si="1"/>
        <v>0</v>
      </c>
      <c r="Y18" s="112">
        <f t="shared" si="1"/>
        <v>0</v>
      </c>
      <c r="Z18" s="112">
        <f t="shared" si="1"/>
        <v>0</v>
      </c>
      <c r="AA18" s="112">
        <f t="shared" si="1"/>
        <v>0</v>
      </c>
      <c r="AB18" s="112">
        <f t="shared" si="1"/>
        <v>0</v>
      </c>
      <c r="AC18" s="112">
        <f t="shared" si="1"/>
        <v>0</v>
      </c>
      <c r="AD18" s="112">
        <f t="shared" si="1"/>
        <v>0</v>
      </c>
      <c r="AE18" s="112">
        <f t="shared" si="1"/>
        <v>0</v>
      </c>
      <c r="AF18" s="112">
        <f t="shared" si="1"/>
        <v>0</v>
      </c>
      <c r="AG18" s="112">
        <f t="shared" si="1"/>
        <v>0</v>
      </c>
      <c r="AH18" s="112">
        <f t="shared" si="1"/>
        <v>0</v>
      </c>
      <c r="AI18" s="112">
        <f t="shared" si="1"/>
        <v>0</v>
      </c>
      <c r="AJ18" s="112">
        <f t="shared" si="1"/>
        <v>0</v>
      </c>
      <c r="AK18" s="194"/>
    </row>
    <row r="19" spans="1:37" s="208" customFormat="1" ht="15.75" x14ac:dyDescent="0.2">
      <c r="A19" s="196"/>
      <c r="B19" s="196" t="s">
        <v>59</v>
      </c>
      <c r="C19" s="196"/>
      <c r="D19" s="196"/>
      <c r="E19" s="196"/>
      <c r="F19" s="113">
        <f t="shared" ref="F19:AI19" si="2">SUM(F15:F18)</f>
        <v>402</v>
      </c>
      <c r="G19" s="113">
        <f t="shared" si="2"/>
        <v>0</v>
      </c>
      <c r="H19" s="113">
        <f t="shared" si="2"/>
        <v>348</v>
      </c>
      <c r="I19" s="113">
        <f t="shared" si="2"/>
        <v>0</v>
      </c>
      <c r="J19" s="113">
        <f t="shared" si="2"/>
        <v>0</v>
      </c>
      <c r="K19" s="113">
        <f t="shared" si="2"/>
        <v>2.6999999999999997</v>
      </c>
      <c r="L19" s="113">
        <f t="shared" si="2"/>
        <v>0</v>
      </c>
      <c r="M19" s="113">
        <f t="shared" si="2"/>
        <v>1.2000000000000002</v>
      </c>
      <c r="N19" s="113">
        <f t="shared" si="2"/>
        <v>0</v>
      </c>
      <c r="O19" s="113">
        <f t="shared" si="2"/>
        <v>0</v>
      </c>
      <c r="P19" s="113">
        <f t="shared" si="2"/>
        <v>0</v>
      </c>
      <c r="Q19" s="113">
        <f t="shared" si="2"/>
        <v>0</v>
      </c>
      <c r="R19" s="113">
        <f t="shared" si="2"/>
        <v>0</v>
      </c>
      <c r="S19" s="113">
        <f t="shared" si="2"/>
        <v>0</v>
      </c>
      <c r="T19" s="113">
        <f t="shared" si="2"/>
        <v>2</v>
      </c>
      <c r="U19" s="113">
        <f t="shared" si="2"/>
        <v>0</v>
      </c>
      <c r="V19" s="113">
        <f t="shared" si="2"/>
        <v>0</v>
      </c>
      <c r="W19" s="113">
        <f t="shared" si="2"/>
        <v>0</v>
      </c>
      <c r="X19" s="113">
        <f t="shared" si="2"/>
        <v>0</v>
      </c>
      <c r="Y19" s="113">
        <f t="shared" si="2"/>
        <v>0</v>
      </c>
      <c r="Z19" s="113">
        <f t="shared" si="2"/>
        <v>0</v>
      </c>
      <c r="AA19" s="113">
        <f t="shared" si="2"/>
        <v>0</v>
      </c>
      <c r="AB19" s="113">
        <f t="shared" si="2"/>
        <v>0</v>
      </c>
      <c r="AC19" s="113">
        <f t="shared" si="2"/>
        <v>0</v>
      </c>
      <c r="AD19" s="113">
        <f t="shared" si="2"/>
        <v>0</v>
      </c>
      <c r="AE19" s="113">
        <f t="shared" si="2"/>
        <v>0</v>
      </c>
      <c r="AF19" s="113">
        <f t="shared" si="2"/>
        <v>0</v>
      </c>
      <c r="AG19" s="113">
        <f t="shared" si="2"/>
        <v>0</v>
      </c>
      <c r="AH19" s="113">
        <f t="shared" si="2"/>
        <v>0</v>
      </c>
      <c r="AI19" s="113">
        <f t="shared" si="2"/>
        <v>0</v>
      </c>
      <c r="AJ19" s="113">
        <f>SUM(AJ15:AJ18)</f>
        <v>5.8999999999999986</v>
      </c>
      <c r="AK19" s="196"/>
    </row>
    <row r="20" spans="1:37" s="208" customFormat="1" ht="15.75" x14ac:dyDescent="0.2">
      <c r="A20" s="196"/>
      <c r="B20" s="196"/>
      <c r="C20" s="196"/>
      <c r="D20" s="196"/>
      <c r="E20" s="196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96"/>
    </row>
    <row r="21" spans="1:37" s="109" customFormat="1" ht="15.75" x14ac:dyDescent="0.2">
      <c r="A21" s="74"/>
      <c r="B21" s="74"/>
      <c r="C21" s="74"/>
      <c r="D21" s="74"/>
      <c r="E21" s="74"/>
      <c r="F21" s="74"/>
      <c r="G21" s="74"/>
      <c r="H21" s="74"/>
      <c r="I21" s="74"/>
      <c r="J21" s="393" t="s">
        <v>55</v>
      </c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74"/>
      <c r="AE21" s="74"/>
      <c r="AF21" s="74"/>
      <c r="AG21" s="74"/>
      <c r="AH21" s="74"/>
      <c r="AI21" s="74"/>
      <c r="AJ21" s="74"/>
      <c r="AK21" s="74"/>
    </row>
    <row r="22" spans="1:37" s="109" customFormat="1" ht="15.75" x14ac:dyDescent="0.2">
      <c r="A22" s="74"/>
      <c r="B22" s="60"/>
      <c r="C22" s="74"/>
      <c r="D22" s="74"/>
      <c r="E22" s="74"/>
      <c r="F22" s="70"/>
      <c r="G22" s="70"/>
      <c r="H22" s="70"/>
      <c r="I22" s="70"/>
      <c r="J22" s="389" t="str">
        <f>Внебюджет!L23</f>
        <v>11.03.04  Электроника и наноэлектроника</v>
      </c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89"/>
      <c r="W22" s="389"/>
      <c r="X22" s="389"/>
      <c r="Y22" s="389"/>
      <c r="Z22" s="389"/>
      <c r="AA22" s="389"/>
      <c r="AB22" s="389"/>
      <c r="AC22" s="389"/>
      <c r="AD22" s="70"/>
      <c r="AE22" s="70"/>
      <c r="AF22" s="70"/>
      <c r="AG22" s="70"/>
      <c r="AH22" s="70"/>
      <c r="AI22" s="70"/>
      <c r="AJ22" s="70">
        <f>SUM(G22,I22:AI22)</f>
        <v>0</v>
      </c>
      <c r="AK22" s="74"/>
    </row>
    <row r="23" spans="1:37" s="109" customFormat="1" ht="15.75" x14ac:dyDescent="0.2">
      <c r="A23" s="74"/>
      <c r="B23" s="60"/>
      <c r="C23" s="74"/>
      <c r="D23" s="74"/>
      <c r="E23" s="74"/>
      <c r="F23" s="70" t="s">
        <v>184</v>
      </c>
      <c r="G23" s="70"/>
      <c r="H23" s="70"/>
      <c r="I23" s="70"/>
      <c r="J23" s="390" t="str">
        <f>Внебюджет!K24</f>
        <v>профиль "Электроника и наноэлектроника"</v>
      </c>
      <c r="K23" s="390"/>
      <c r="L23" s="390"/>
      <c r="M23" s="390"/>
      <c r="N23" s="390"/>
      <c r="O23" s="390"/>
      <c r="P23" s="390"/>
      <c r="Q23" s="390"/>
      <c r="R23" s="390"/>
      <c r="S23" s="390"/>
      <c r="T23" s="390"/>
      <c r="U23" s="390"/>
      <c r="V23" s="390"/>
      <c r="W23" s="390"/>
      <c r="X23" s="390"/>
      <c r="Y23" s="390"/>
      <c r="Z23" s="390"/>
      <c r="AA23" s="390"/>
      <c r="AB23" s="390"/>
      <c r="AC23" s="390"/>
      <c r="AD23" s="70"/>
      <c r="AE23" s="70"/>
      <c r="AF23" s="70"/>
      <c r="AG23" s="70"/>
      <c r="AH23" s="70"/>
      <c r="AI23" s="70"/>
      <c r="AJ23" s="70">
        <f>SUM(G23,I23:AI23)</f>
        <v>0</v>
      </c>
      <c r="AK23" s="74"/>
    </row>
    <row r="24" spans="1:37" s="109" customFormat="1" ht="15" x14ac:dyDescent="0.2">
      <c r="A24" s="60" t="str">
        <f>Внебюджет!A26</f>
        <v>Б1.О.17</v>
      </c>
      <c r="B24" s="60" t="str">
        <f>Внебюджет!B26</f>
        <v>Физика полупроводников</v>
      </c>
      <c r="C24" s="67" t="str">
        <f>Внебюджет!C26</f>
        <v>3\5</v>
      </c>
      <c r="D24" s="67">
        <f>Внебюджет!D26</f>
        <v>1</v>
      </c>
      <c r="E24" s="67">
        <f>Внебюджет!E26</f>
        <v>0</v>
      </c>
      <c r="F24" s="66">
        <f>Внебюджет!F26</f>
        <v>34</v>
      </c>
      <c r="G24" s="66">
        <f>Внебюджет!G26</f>
        <v>0</v>
      </c>
      <c r="H24" s="66">
        <f>Внебюджет!H26</f>
        <v>34</v>
      </c>
      <c r="I24" s="66">
        <f>Внебюджет!I26</f>
        <v>0</v>
      </c>
      <c r="J24" s="66">
        <f>Внебюджет!J26</f>
        <v>0</v>
      </c>
      <c r="K24" s="66">
        <f>Внебюджет!K26</f>
        <v>0.3</v>
      </c>
      <c r="L24" s="66">
        <f>Внебюджет!L26</f>
        <v>0</v>
      </c>
      <c r="M24" s="66">
        <f>Внебюджет!M26</f>
        <v>0</v>
      </c>
      <c r="N24" s="66">
        <f>Внебюджет!N26</f>
        <v>0</v>
      </c>
      <c r="O24" s="66">
        <f>Внебюджет!O26</f>
        <v>0</v>
      </c>
      <c r="P24" s="66">
        <f>Внебюджет!P26</f>
        <v>0</v>
      </c>
      <c r="Q24" s="66">
        <f>Внебюджет!Q26</f>
        <v>0</v>
      </c>
      <c r="R24" s="66">
        <f>Внебюджет!R26</f>
        <v>0</v>
      </c>
      <c r="S24" s="66">
        <f>Внебюджет!S26</f>
        <v>0</v>
      </c>
      <c r="T24" s="66">
        <f>Внебюджет!T26</f>
        <v>0</v>
      </c>
      <c r="U24" s="66">
        <f>Внебюджет!U26</f>
        <v>0</v>
      </c>
      <c r="V24" s="66">
        <f>Внебюджет!V26</f>
        <v>0</v>
      </c>
      <c r="W24" s="66">
        <f>Внебюджет!W26</f>
        <v>0</v>
      </c>
      <c r="X24" s="66">
        <f>Внебюджет!X26</f>
        <v>0</v>
      </c>
      <c r="Y24" s="66">
        <f>Внебюджет!Y26</f>
        <v>0</v>
      </c>
      <c r="Z24" s="66">
        <f>Внебюджет!Z26</f>
        <v>0</v>
      </c>
      <c r="AA24" s="66">
        <f>Внебюджет!AA26</f>
        <v>0</v>
      </c>
      <c r="AB24" s="66">
        <f>Внебюджет!AB26</f>
        <v>0</v>
      </c>
      <c r="AC24" s="66">
        <f>Внебюджет!AC26</f>
        <v>0</v>
      </c>
      <c r="AD24" s="66">
        <f>Внебюджет!AD26</f>
        <v>0</v>
      </c>
      <c r="AE24" s="66">
        <f>Внебюджет!AE26</f>
        <v>0</v>
      </c>
      <c r="AF24" s="66">
        <f>Внебюджет!AF26</f>
        <v>0</v>
      </c>
      <c r="AG24" s="66">
        <f>Внебюджет!AG26</f>
        <v>0</v>
      </c>
      <c r="AH24" s="66">
        <f>Внебюджет!AH26</f>
        <v>0</v>
      </c>
      <c r="AI24" s="66">
        <f>Внебюджет!AI26</f>
        <v>0</v>
      </c>
      <c r="AJ24" s="70">
        <f t="shared" ref="AJ24:AJ33" si="3">SUM(G24,I24:AI24)</f>
        <v>0.3</v>
      </c>
      <c r="AK24" s="70"/>
    </row>
    <row r="25" spans="1:37" s="109" customFormat="1" ht="15" x14ac:dyDescent="0.2">
      <c r="A25" s="60" t="str">
        <f>Внебюджет!A29</f>
        <v>Б1.О.20</v>
      </c>
      <c r="B25" s="60" t="str">
        <f>Внебюджет!B29</f>
        <v>Микро- и наноэлектроника</v>
      </c>
      <c r="C25" s="67" t="str">
        <f>Внебюджет!C29</f>
        <v>3\5</v>
      </c>
      <c r="D25" s="67">
        <f>Внебюджет!D29</f>
        <v>1</v>
      </c>
      <c r="E25" s="67">
        <f>Внебюджет!E29</f>
        <v>0</v>
      </c>
      <c r="F25" s="66">
        <f>Внебюджет!F29</f>
        <v>34</v>
      </c>
      <c r="G25" s="66">
        <f>Внебюджет!G29</f>
        <v>0</v>
      </c>
      <c r="H25" s="66">
        <f>Внебюджет!H29</f>
        <v>34</v>
      </c>
      <c r="I25" s="66">
        <f>Внебюджет!I29</f>
        <v>0</v>
      </c>
      <c r="J25" s="66">
        <f>Внебюджет!J29</f>
        <v>0</v>
      </c>
      <c r="K25" s="66">
        <f>Внебюджет!K29</f>
        <v>0.3</v>
      </c>
      <c r="L25" s="66">
        <f>Внебюджет!L29</f>
        <v>0</v>
      </c>
      <c r="M25" s="66">
        <f>Внебюджет!M29</f>
        <v>0</v>
      </c>
      <c r="N25" s="66">
        <f>Внебюджет!N29</f>
        <v>0</v>
      </c>
      <c r="O25" s="66">
        <f>Внебюджет!O29</f>
        <v>0</v>
      </c>
      <c r="P25" s="66">
        <f>Внебюджет!P29</f>
        <v>0</v>
      </c>
      <c r="Q25" s="66">
        <f>Внебюджет!Q29</f>
        <v>0</v>
      </c>
      <c r="R25" s="66">
        <f>Внебюджет!R29</f>
        <v>0</v>
      </c>
      <c r="S25" s="66">
        <f>Внебюджет!S29</f>
        <v>0</v>
      </c>
      <c r="T25" s="66">
        <f>Внебюджет!T29</f>
        <v>0</v>
      </c>
      <c r="U25" s="66">
        <f>Внебюджет!U29</f>
        <v>0</v>
      </c>
      <c r="V25" s="66">
        <f>Внебюджет!V29</f>
        <v>0</v>
      </c>
      <c r="W25" s="66">
        <f>Внебюджет!W29</f>
        <v>0</v>
      </c>
      <c r="X25" s="66">
        <f>Внебюджет!X29</f>
        <v>0</v>
      </c>
      <c r="Y25" s="66">
        <f>Внебюджет!Y29</f>
        <v>0</v>
      </c>
      <c r="Z25" s="66">
        <f>Внебюджет!Z29</f>
        <v>0</v>
      </c>
      <c r="AA25" s="66">
        <f>Внебюджет!AA29</f>
        <v>0</v>
      </c>
      <c r="AB25" s="66">
        <f>Внебюджет!AB29</f>
        <v>0</v>
      </c>
      <c r="AC25" s="66">
        <f>Внебюджет!AC29</f>
        <v>0</v>
      </c>
      <c r="AD25" s="66">
        <f>Внебюджет!AD29</f>
        <v>0</v>
      </c>
      <c r="AE25" s="66">
        <f>Внебюджет!AE29</f>
        <v>0</v>
      </c>
      <c r="AF25" s="66">
        <f>Внебюджет!AF29</f>
        <v>0</v>
      </c>
      <c r="AG25" s="66">
        <f>Внебюджет!AG29</f>
        <v>0</v>
      </c>
      <c r="AH25" s="66">
        <f>Внебюджет!AH29</f>
        <v>0</v>
      </c>
      <c r="AI25" s="66">
        <f>Внебюджет!AI29</f>
        <v>0</v>
      </c>
      <c r="AJ25" s="70">
        <f t="shared" si="3"/>
        <v>0.3</v>
      </c>
      <c r="AK25" s="70"/>
    </row>
    <row r="26" spans="1:37" s="109" customFormat="1" ht="15" x14ac:dyDescent="0.2">
      <c r="A26" s="60" t="str">
        <f>Внебюджет!A30</f>
        <v>Б1.О.21</v>
      </c>
      <c r="B26" s="60" t="str">
        <f>Внебюджет!B30</f>
        <v>Процессы микро- и нанотехнологий</v>
      </c>
      <c r="C26" s="67" t="str">
        <f>Внебюджет!C30</f>
        <v>3\6</v>
      </c>
      <c r="D26" s="67">
        <f>Внебюджет!D30</f>
        <v>1</v>
      </c>
      <c r="E26" s="67">
        <f>Внебюджет!E30</f>
        <v>0</v>
      </c>
      <c r="F26" s="66">
        <f>Внебюджет!F30</f>
        <v>18</v>
      </c>
      <c r="G26" s="66">
        <f>Внебюджет!G30</f>
        <v>0</v>
      </c>
      <c r="H26" s="66">
        <f>Внебюджет!H30</f>
        <v>56</v>
      </c>
      <c r="I26" s="66">
        <f>Внебюджет!I30</f>
        <v>0</v>
      </c>
      <c r="J26" s="66">
        <f>Внебюджет!J30</f>
        <v>0</v>
      </c>
      <c r="K26" s="66">
        <f>Внебюджет!K30</f>
        <v>0.3</v>
      </c>
      <c r="L26" s="66">
        <f>Внебюджет!L30</f>
        <v>0</v>
      </c>
      <c r="M26" s="66">
        <f>Внебюджет!M30</f>
        <v>0</v>
      </c>
      <c r="N26" s="66">
        <f>Внебюджет!N30</f>
        <v>0</v>
      </c>
      <c r="O26" s="66">
        <f>Внебюджет!O30</f>
        <v>0</v>
      </c>
      <c r="P26" s="66">
        <f>Внебюджет!P30</f>
        <v>0</v>
      </c>
      <c r="Q26" s="66">
        <f>Внебюджет!Q30</f>
        <v>0</v>
      </c>
      <c r="R26" s="66">
        <f>Внебюджет!R30</f>
        <v>0</v>
      </c>
      <c r="S26" s="66">
        <f>Внебюджет!S30</f>
        <v>0</v>
      </c>
      <c r="T26" s="66">
        <f>Внебюджет!T30</f>
        <v>0</v>
      </c>
      <c r="U26" s="66">
        <f>Внебюджет!U30</f>
        <v>0</v>
      </c>
      <c r="V26" s="66">
        <f>Внебюджет!V30</f>
        <v>0</v>
      </c>
      <c r="W26" s="66">
        <f>Внебюджет!W30</f>
        <v>0</v>
      </c>
      <c r="X26" s="66">
        <f>Внебюджет!X30</f>
        <v>0</v>
      </c>
      <c r="Y26" s="66">
        <f>Внебюджет!Y30</f>
        <v>0</v>
      </c>
      <c r="Z26" s="66">
        <f>Внебюджет!Z30</f>
        <v>0</v>
      </c>
      <c r="AA26" s="66">
        <f>Внебюджет!AA30</f>
        <v>0</v>
      </c>
      <c r="AB26" s="66">
        <f>Внебюджет!AB30</f>
        <v>0</v>
      </c>
      <c r="AC26" s="66">
        <f>Внебюджет!AC30</f>
        <v>0</v>
      </c>
      <c r="AD26" s="66">
        <f>Внебюджет!AD30</f>
        <v>0</v>
      </c>
      <c r="AE26" s="66">
        <f>Внебюджет!AE30</f>
        <v>0</v>
      </c>
      <c r="AF26" s="66">
        <f>Внебюджет!AF30</f>
        <v>0</v>
      </c>
      <c r="AG26" s="66">
        <f>Внебюджет!AG30</f>
        <v>0</v>
      </c>
      <c r="AH26" s="66">
        <f>Внебюджет!AH30</f>
        <v>0</v>
      </c>
      <c r="AI26" s="66">
        <f>Внебюджет!AI30</f>
        <v>0</v>
      </c>
      <c r="AJ26" s="70">
        <f t="shared" si="3"/>
        <v>0.3</v>
      </c>
      <c r="AK26" s="70"/>
    </row>
    <row r="27" spans="1:37" s="109" customFormat="1" ht="15" x14ac:dyDescent="0.2">
      <c r="A27" s="60" t="str">
        <f>Внебюджет!A31</f>
        <v>Б1.О.22</v>
      </c>
      <c r="B27" s="60" t="str">
        <f>Внебюджет!B31</f>
        <v>Физические основы электроники</v>
      </c>
      <c r="C27" s="67" t="str">
        <f>Внебюджет!C31</f>
        <v>3\6</v>
      </c>
      <c r="D27" s="67">
        <f>Внебюджет!D31</f>
        <v>1</v>
      </c>
      <c r="E27" s="67">
        <f>Внебюджет!E31</f>
        <v>0</v>
      </c>
      <c r="F27" s="66">
        <f>Внебюджет!F31</f>
        <v>38</v>
      </c>
      <c r="G27" s="66">
        <f>Внебюджет!G31</f>
        <v>0</v>
      </c>
      <c r="H27" s="66">
        <f>Внебюджет!H31</f>
        <v>38</v>
      </c>
      <c r="I27" s="66">
        <f>Внебюджет!I31</f>
        <v>0</v>
      </c>
      <c r="J27" s="66">
        <f>Внебюджет!J31</f>
        <v>0</v>
      </c>
      <c r="K27" s="66">
        <f>Внебюджет!K31</f>
        <v>0</v>
      </c>
      <c r="L27" s="66">
        <f>Внебюджет!L31</f>
        <v>0</v>
      </c>
      <c r="M27" s="66">
        <f>Внебюджет!M31</f>
        <v>0.4</v>
      </c>
      <c r="N27" s="66">
        <f>Внебюджет!N31</f>
        <v>0</v>
      </c>
      <c r="O27" s="66">
        <f>Внебюджет!O31</f>
        <v>0</v>
      </c>
      <c r="P27" s="66">
        <f>Внебюджет!P31</f>
        <v>0</v>
      </c>
      <c r="Q27" s="66">
        <f>Внебюджет!Q31</f>
        <v>0</v>
      </c>
      <c r="R27" s="66">
        <f>Внебюджет!R31</f>
        <v>0</v>
      </c>
      <c r="S27" s="66">
        <f>Внебюджет!S31</f>
        <v>0</v>
      </c>
      <c r="T27" s="66">
        <f>Внебюджет!T31</f>
        <v>0</v>
      </c>
      <c r="U27" s="66">
        <f>Внебюджет!U31</f>
        <v>0</v>
      </c>
      <c r="V27" s="66">
        <f>Внебюджет!V31</f>
        <v>0</v>
      </c>
      <c r="W27" s="66">
        <f>Внебюджет!W31</f>
        <v>0</v>
      </c>
      <c r="X27" s="66">
        <f>Внебюджет!X31</f>
        <v>0</v>
      </c>
      <c r="Y27" s="66">
        <f>Внебюджет!Y31</f>
        <v>0</v>
      </c>
      <c r="Z27" s="66">
        <f>Внебюджет!Z31</f>
        <v>0</v>
      </c>
      <c r="AA27" s="66">
        <f>Внебюджет!AA31</f>
        <v>0</v>
      </c>
      <c r="AB27" s="66">
        <f>Внебюджет!AB31</f>
        <v>0</v>
      </c>
      <c r="AC27" s="66">
        <f>Внебюджет!AC31</f>
        <v>0</v>
      </c>
      <c r="AD27" s="66">
        <f>Внебюджет!AD31</f>
        <v>0</v>
      </c>
      <c r="AE27" s="66">
        <f>Внебюджет!AE31</f>
        <v>0</v>
      </c>
      <c r="AF27" s="66">
        <f>Внебюджет!AF31</f>
        <v>0</v>
      </c>
      <c r="AG27" s="66">
        <f>Внебюджет!AG31</f>
        <v>0</v>
      </c>
      <c r="AH27" s="66">
        <f>Внебюджет!AH31</f>
        <v>0</v>
      </c>
      <c r="AI27" s="66">
        <f>Внебюджет!AI31</f>
        <v>0</v>
      </c>
      <c r="AJ27" s="70">
        <f t="shared" si="3"/>
        <v>0.4</v>
      </c>
      <c r="AK27" s="70"/>
    </row>
    <row r="28" spans="1:37" s="109" customFormat="1" ht="15" x14ac:dyDescent="0.2">
      <c r="A28" s="60" t="str">
        <f>Внебюджет!A32</f>
        <v>Б1.О.24</v>
      </c>
      <c r="B28" s="60" t="str">
        <f>Внебюджет!B32</f>
        <v>Теоретические основы электротехники</v>
      </c>
      <c r="C28" s="67" t="str">
        <f>Внебюджет!C32</f>
        <v>3\6</v>
      </c>
      <c r="D28" s="67">
        <f>Внебюджет!D32</f>
        <v>1</v>
      </c>
      <c r="E28" s="67">
        <f>Внебюджет!E32</f>
        <v>0</v>
      </c>
      <c r="F28" s="66">
        <f>Внебюджет!F32</f>
        <v>38</v>
      </c>
      <c r="G28" s="66">
        <f>Внебюджет!G32</f>
        <v>0</v>
      </c>
      <c r="H28" s="66">
        <f>Внебюджет!H32</f>
        <v>18</v>
      </c>
      <c r="I28" s="66">
        <f>Внебюджет!I32</f>
        <v>0</v>
      </c>
      <c r="J28" s="66">
        <f>Внебюджет!J32</f>
        <v>0</v>
      </c>
      <c r="K28" s="66">
        <f>Внебюджет!K32</f>
        <v>0.3</v>
      </c>
      <c r="L28" s="66">
        <f>Внебюджет!L32</f>
        <v>0</v>
      </c>
      <c r="M28" s="66">
        <f>Внебюджет!M32</f>
        <v>0</v>
      </c>
      <c r="N28" s="66">
        <f>Внебюджет!N32</f>
        <v>0</v>
      </c>
      <c r="O28" s="66">
        <f>Внебюджет!O32</f>
        <v>0</v>
      </c>
      <c r="P28" s="66">
        <f>Внебюджет!P32</f>
        <v>0</v>
      </c>
      <c r="Q28" s="66">
        <f>Внебюджет!Q32</f>
        <v>0</v>
      </c>
      <c r="R28" s="66">
        <f>Внебюджет!R32</f>
        <v>0</v>
      </c>
      <c r="S28" s="66">
        <f>Внебюджет!S32</f>
        <v>0</v>
      </c>
      <c r="T28" s="66">
        <f>Внебюджет!T32</f>
        <v>0</v>
      </c>
      <c r="U28" s="66">
        <f>Внебюджет!U32</f>
        <v>0</v>
      </c>
      <c r="V28" s="66">
        <f>Внебюджет!V32</f>
        <v>0</v>
      </c>
      <c r="W28" s="66">
        <f>Внебюджет!W32</f>
        <v>0</v>
      </c>
      <c r="X28" s="66">
        <f>Внебюджет!X32</f>
        <v>0</v>
      </c>
      <c r="Y28" s="66">
        <f>Внебюджет!Y32</f>
        <v>0</v>
      </c>
      <c r="Z28" s="66">
        <f>Внебюджет!Z32</f>
        <v>0</v>
      </c>
      <c r="AA28" s="66">
        <f>Внебюджет!AA32</f>
        <v>0</v>
      </c>
      <c r="AB28" s="66">
        <f>Внебюджет!AB32</f>
        <v>0</v>
      </c>
      <c r="AC28" s="66">
        <f>Внебюджет!AC32</f>
        <v>0</v>
      </c>
      <c r="AD28" s="66">
        <f>Внебюджет!AD32</f>
        <v>0</v>
      </c>
      <c r="AE28" s="66">
        <f>Внебюджет!AE32</f>
        <v>0</v>
      </c>
      <c r="AF28" s="66">
        <f>Внебюджет!AF32</f>
        <v>0</v>
      </c>
      <c r="AG28" s="66">
        <f>Внебюджет!AG32</f>
        <v>0</v>
      </c>
      <c r="AH28" s="66">
        <f>Внебюджет!AH32</f>
        <v>0</v>
      </c>
      <c r="AI28" s="66">
        <f>Внебюджет!AI32</f>
        <v>0</v>
      </c>
      <c r="AJ28" s="70">
        <f t="shared" si="3"/>
        <v>0.3</v>
      </c>
      <c r="AK28" s="70"/>
    </row>
    <row r="29" spans="1:37" s="109" customFormat="1" ht="15" x14ac:dyDescent="0.2">
      <c r="A29" s="60" t="str">
        <f>Внебюджет!A33</f>
        <v>Б1.О.26.01</v>
      </c>
      <c r="B29" s="60" t="str">
        <f>Внебюджет!B33</f>
        <v>Эмиссионный спектральный анализ</v>
      </c>
      <c r="C29" s="67" t="str">
        <f>Внебюджет!C33</f>
        <v>3\5</v>
      </c>
      <c r="D29" s="67">
        <f>Внебюджет!D33</f>
        <v>1</v>
      </c>
      <c r="E29" s="67">
        <f>Внебюджет!E33</f>
        <v>0</v>
      </c>
      <c r="F29" s="66">
        <f>Внебюджет!F33</f>
        <v>0</v>
      </c>
      <c r="G29" s="66">
        <f>Внебюджет!G33</f>
        <v>0</v>
      </c>
      <c r="H29" s="66">
        <f>Внебюджет!H33</f>
        <v>0</v>
      </c>
      <c r="I29" s="66">
        <f>Внебюджет!I33</f>
        <v>0</v>
      </c>
      <c r="J29" s="66">
        <f>Внебюджет!J33</f>
        <v>0</v>
      </c>
      <c r="K29" s="66">
        <f>Внебюджет!K33</f>
        <v>0.3</v>
      </c>
      <c r="L29" s="66">
        <f>Внебюджет!L33</f>
        <v>0</v>
      </c>
      <c r="M29" s="66">
        <f>Внебюджет!M33</f>
        <v>0</v>
      </c>
      <c r="N29" s="66">
        <f>Внебюджет!N33</f>
        <v>0</v>
      </c>
      <c r="O29" s="66">
        <f>Внебюджет!O33</f>
        <v>0</v>
      </c>
      <c r="P29" s="66">
        <f>Внебюджет!P33</f>
        <v>0</v>
      </c>
      <c r="Q29" s="66">
        <f>Внебюджет!Q33</f>
        <v>0</v>
      </c>
      <c r="R29" s="66">
        <f>Внебюджет!R33</f>
        <v>0</v>
      </c>
      <c r="S29" s="66">
        <f>Внебюджет!S33</f>
        <v>0</v>
      </c>
      <c r="T29" s="66">
        <f>Внебюджет!T33</f>
        <v>0</v>
      </c>
      <c r="U29" s="66">
        <f>Внебюджет!U33</f>
        <v>0</v>
      </c>
      <c r="V29" s="66">
        <f>Внебюджет!V33</f>
        <v>0</v>
      </c>
      <c r="W29" s="66">
        <f>Внебюджет!W33</f>
        <v>0</v>
      </c>
      <c r="X29" s="66">
        <f>Внебюджет!X33</f>
        <v>0</v>
      </c>
      <c r="Y29" s="66">
        <f>Внебюджет!Y33</f>
        <v>0</v>
      </c>
      <c r="Z29" s="66">
        <f>Внебюджет!Z33</f>
        <v>0</v>
      </c>
      <c r="AA29" s="66">
        <f>Внебюджет!AA33</f>
        <v>0</v>
      </c>
      <c r="AB29" s="66">
        <f>Внебюджет!AB33</f>
        <v>0</v>
      </c>
      <c r="AC29" s="66">
        <f>Внебюджет!AC33</f>
        <v>0</v>
      </c>
      <c r="AD29" s="66">
        <f>Внебюджет!AD33</f>
        <v>0</v>
      </c>
      <c r="AE29" s="66">
        <f>Внебюджет!AE33</f>
        <v>0</v>
      </c>
      <c r="AF29" s="66">
        <f>Внебюджет!AF33</f>
        <v>0</v>
      </c>
      <c r="AG29" s="66">
        <f>Внебюджет!AG33</f>
        <v>0</v>
      </c>
      <c r="AH29" s="66">
        <f>Внебюджет!AH33</f>
        <v>0</v>
      </c>
      <c r="AI29" s="66">
        <f>Внебюджет!AI33</f>
        <v>0</v>
      </c>
      <c r="AJ29" s="70">
        <f t="shared" si="3"/>
        <v>0.3</v>
      </c>
      <c r="AK29" s="70"/>
    </row>
    <row r="30" spans="1:37" s="109" customFormat="1" ht="30" x14ac:dyDescent="0.2">
      <c r="A30" s="60" t="str">
        <f>Внебюджет!A34</f>
        <v>Б1.О.26.02</v>
      </c>
      <c r="B30" s="60" t="str">
        <f>Внебюджет!B34</f>
        <v>Методы исследований материалов электроники</v>
      </c>
      <c r="C30" s="67" t="str">
        <f>Внебюджет!C34</f>
        <v>3\5</v>
      </c>
      <c r="D30" s="67">
        <f>Внебюджет!D34</f>
        <v>1</v>
      </c>
      <c r="E30" s="67">
        <f>Внебюджет!E34</f>
        <v>0</v>
      </c>
      <c r="F30" s="66">
        <f>Внебюджет!F34</f>
        <v>34</v>
      </c>
      <c r="G30" s="66">
        <f>Внебюджет!G34</f>
        <v>0</v>
      </c>
      <c r="H30" s="66">
        <f>Внебюджет!H34</f>
        <v>0</v>
      </c>
      <c r="I30" s="66">
        <f>Внебюджет!I34</f>
        <v>0</v>
      </c>
      <c r="J30" s="66">
        <f>Внебюджет!J34</f>
        <v>0</v>
      </c>
      <c r="K30" s="66">
        <f>Внебюджет!K34</f>
        <v>0.3</v>
      </c>
      <c r="L30" s="66">
        <f>Внебюджет!L34</f>
        <v>0</v>
      </c>
      <c r="M30" s="66">
        <f>Внебюджет!M34</f>
        <v>0</v>
      </c>
      <c r="N30" s="66">
        <f>Внебюджет!N34</f>
        <v>0</v>
      </c>
      <c r="O30" s="66">
        <f>Внебюджет!O34</f>
        <v>0</v>
      </c>
      <c r="P30" s="66">
        <f>Внебюджет!P34</f>
        <v>0</v>
      </c>
      <c r="Q30" s="66">
        <f>Внебюджет!Q34</f>
        <v>0</v>
      </c>
      <c r="R30" s="66">
        <f>Внебюджет!R34</f>
        <v>0</v>
      </c>
      <c r="S30" s="66">
        <f>Внебюджет!S34</f>
        <v>0</v>
      </c>
      <c r="T30" s="66">
        <f>Внебюджет!T34</f>
        <v>0</v>
      </c>
      <c r="U30" s="66">
        <f>Внебюджет!U34</f>
        <v>0</v>
      </c>
      <c r="V30" s="66">
        <f>Внебюджет!V34</f>
        <v>0</v>
      </c>
      <c r="W30" s="66">
        <f>Внебюджет!W34</f>
        <v>0</v>
      </c>
      <c r="X30" s="66">
        <f>Внебюджет!X34</f>
        <v>0</v>
      </c>
      <c r="Y30" s="66">
        <f>Внебюджет!Y34</f>
        <v>0</v>
      </c>
      <c r="Z30" s="66">
        <f>Внебюджет!Z34</f>
        <v>0</v>
      </c>
      <c r="AA30" s="66">
        <f>Внебюджет!AA34</f>
        <v>0</v>
      </c>
      <c r="AB30" s="66">
        <f>Внебюджет!AB34</f>
        <v>0</v>
      </c>
      <c r="AC30" s="66">
        <f>Внебюджет!AC34</f>
        <v>0</v>
      </c>
      <c r="AD30" s="66">
        <f>Внебюджет!AD34</f>
        <v>0</v>
      </c>
      <c r="AE30" s="66">
        <f>Внебюджет!AE34</f>
        <v>0</v>
      </c>
      <c r="AF30" s="66">
        <f>Внебюджет!AF34</f>
        <v>0</v>
      </c>
      <c r="AG30" s="66">
        <f>Внебюджет!AG34</f>
        <v>0</v>
      </c>
      <c r="AH30" s="66">
        <f>Внебюджет!AH34</f>
        <v>0</v>
      </c>
      <c r="AI30" s="66">
        <f>Внебюджет!AI34</f>
        <v>0</v>
      </c>
      <c r="AJ30" s="70">
        <f t="shared" ref="AJ30" si="4">SUM(G30,I30:AI30)</f>
        <v>0.3</v>
      </c>
      <c r="AK30" s="70"/>
    </row>
    <row r="31" spans="1:37" s="109" customFormat="1" ht="30" x14ac:dyDescent="0.2">
      <c r="A31" s="60" t="str">
        <f>Внебюджет!A36</f>
        <v>Б1.В.02</v>
      </c>
      <c r="B31" s="60" t="str">
        <f>Внебюджет!B36</f>
        <v>Основы проектирования электронной компонентной базы</v>
      </c>
      <c r="C31" s="67" t="str">
        <f>Внебюджет!C36</f>
        <v>3\6</v>
      </c>
      <c r="D31" s="67">
        <f>Внебюджет!D36</f>
        <v>1</v>
      </c>
      <c r="E31" s="67">
        <f>Внебюджет!E36</f>
        <v>0</v>
      </c>
      <c r="F31" s="66">
        <f>Внебюджет!F36</f>
        <v>38</v>
      </c>
      <c r="G31" s="66">
        <f>Внебюджет!G36</f>
        <v>0</v>
      </c>
      <c r="H31" s="66">
        <f>Внебюджет!H36</f>
        <v>0</v>
      </c>
      <c r="I31" s="66">
        <f>Внебюджет!I36</f>
        <v>0</v>
      </c>
      <c r="J31" s="66">
        <f>Внебюджет!J36</f>
        <v>0</v>
      </c>
      <c r="K31" s="66">
        <f>Внебюджет!K36</f>
        <v>0.3</v>
      </c>
      <c r="L31" s="66">
        <f>Внебюджет!L36</f>
        <v>0</v>
      </c>
      <c r="M31" s="66">
        <f>Внебюджет!M36</f>
        <v>0</v>
      </c>
      <c r="N31" s="66">
        <f>Внебюджет!N36</f>
        <v>0</v>
      </c>
      <c r="O31" s="66">
        <f>Внебюджет!O36</f>
        <v>0</v>
      </c>
      <c r="P31" s="66">
        <f>Внебюджет!P36</f>
        <v>0</v>
      </c>
      <c r="Q31" s="66">
        <f>Внебюджет!Q36</f>
        <v>0</v>
      </c>
      <c r="R31" s="66">
        <f>Внебюджет!R36</f>
        <v>0</v>
      </c>
      <c r="S31" s="66">
        <f>Внебюджет!S36</f>
        <v>0</v>
      </c>
      <c r="T31" s="66">
        <f>Внебюджет!T36</f>
        <v>0</v>
      </c>
      <c r="U31" s="66">
        <f>Внебюджет!U36</f>
        <v>0</v>
      </c>
      <c r="V31" s="66">
        <f>Внебюджет!V36</f>
        <v>0</v>
      </c>
      <c r="W31" s="66">
        <f>Внебюджет!W36</f>
        <v>0</v>
      </c>
      <c r="X31" s="66">
        <f>Внебюджет!X36</f>
        <v>0</v>
      </c>
      <c r="Y31" s="66">
        <f>Внебюджет!Y36</f>
        <v>0</v>
      </c>
      <c r="Z31" s="66">
        <f>Внебюджет!Z36</f>
        <v>0</v>
      </c>
      <c r="AA31" s="66">
        <f>Внебюджет!AA36</f>
        <v>0</v>
      </c>
      <c r="AB31" s="66">
        <f>Внебюджет!AB36</f>
        <v>0</v>
      </c>
      <c r="AC31" s="66">
        <f>Внебюджет!AC36</f>
        <v>0</v>
      </c>
      <c r="AD31" s="66">
        <f>Внебюджет!AD36</f>
        <v>0</v>
      </c>
      <c r="AE31" s="66">
        <f>Внебюджет!AE36</f>
        <v>0</v>
      </c>
      <c r="AF31" s="66">
        <f>Внебюджет!AF36</f>
        <v>0</v>
      </c>
      <c r="AG31" s="66">
        <f>Внебюджет!AG36</f>
        <v>0</v>
      </c>
      <c r="AH31" s="66">
        <f>Внебюджет!AH36</f>
        <v>0</v>
      </c>
      <c r="AI31" s="66">
        <f>Внебюджет!AI36</f>
        <v>0</v>
      </c>
      <c r="AJ31" s="70">
        <f t="shared" si="3"/>
        <v>0.3</v>
      </c>
      <c r="AK31" s="70"/>
    </row>
    <row r="32" spans="1:37" s="109" customFormat="1" ht="15" x14ac:dyDescent="0.2">
      <c r="A32" s="60" t="str">
        <f>Внебюджет!A37</f>
        <v>Б1.В.03</v>
      </c>
      <c r="B32" s="60" t="str">
        <f>Внебюджет!B37</f>
        <v>Физическая химия материалов</v>
      </c>
      <c r="C32" s="67" t="str">
        <f>Внебюджет!C37</f>
        <v>3\6</v>
      </c>
      <c r="D32" s="67">
        <f>Внебюджет!D37</f>
        <v>1</v>
      </c>
      <c r="E32" s="67">
        <f>Внебюджет!E37</f>
        <v>0</v>
      </c>
      <c r="F32" s="66">
        <f>Внебюджет!F37</f>
        <v>38</v>
      </c>
      <c r="G32" s="66">
        <f>Внебюджет!G37</f>
        <v>0</v>
      </c>
      <c r="H32" s="66">
        <f>Внебюджет!H37</f>
        <v>38</v>
      </c>
      <c r="I32" s="66">
        <f>Внебюджет!I37</f>
        <v>0</v>
      </c>
      <c r="J32" s="66">
        <f>Внебюджет!J37</f>
        <v>0</v>
      </c>
      <c r="K32" s="66">
        <f>Внебюджет!K37</f>
        <v>0.3</v>
      </c>
      <c r="L32" s="66">
        <f>Внебюджет!L37</f>
        <v>0</v>
      </c>
      <c r="M32" s="66">
        <f>Внебюджет!M37</f>
        <v>0</v>
      </c>
      <c r="N32" s="66">
        <f>Внебюджет!N37</f>
        <v>0</v>
      </c>
      <c r="O32" s="66">
        <f>Внебюджет!O37</f>
        <v>0</v>
      </c>
      <c r="P32" s="66">
        <f>Внебюджет!P37</f>
        <v>0</v>
      </c>
      <c r="Q32" s="66">
        <f>Внебюджет!Q37</f>
        <v>0</v>
      </c>
      <c r="R32" s="66">
        <f>Внебюджет!R37</f>
        <v>0</v>
      </c>
      <c r="S32" s="66">
        <f>Внебюджет!S37</f>
        <v>0</v>
      </c>
      <c r="T32" s="66">
        <f>Внебюджет!T37</f>
        <v>0</v>
      </c>
      <c r="U32" s="66">
        <f>Внебюджет!U37</f>
        <v>0</v>
      </c>
      <c r="V32" s="66">
        <f>Внебюджет!V37</f>
        <v>0</v>
      </c>
      <c r="W32" s="66">
        <f>Внебюджет!W37</f>
        <v>0</v>
      </c>
      <c r="X32" s="66">
        <f>Внебюджет!X37</f>
        <v>0</v>
      </c>
      <c r="Y32" s="66">
        <f>Внебюджет!Y37</f>
        <v>0</v>
      </c>
      <c r="Z32" s="66">
        <f>Внебюджет!Z37</f>
        <v>0</v>
      </c>
      <c r="AA32" s="66">
        <f>Внебюджет!AA37</f>
        <v>0</v>
      </c>
      <c r="AB32" s="66">
        <f>Внебюджет!AB37</f>
        <v>0</v>
      </c>
      <c r="AC32" s="66">
        <f>Внебюджет!AC37</f>
        <v>0</v>
      </c>
      <c r="AD32" s="66">
        <f>Внебюджет!AD37</f>
        <v>0</v>
      </c>
      <c r="AE32" s="66">
        <f>Внебюджет!AE37</f>
        <v>0</v>
      </c>
      <c r="AF32" s="66">
        <f>Внебюджет!AF37</f>
        <v>0</v>
      </c>
      <c r="AG32" s="66">
        <f>Внебюджет!AG37</f>
        <v>0</v>
      </c>
      <c r="AH32" s="66">
        <f>Внебюджет!AH37</f>
        <v>0</v>
      </c>
      <c r="AI32" s="66">
        <f>Внебюджет!AI37</f>
        <v>0</v>
      </c>
      <c r="AJ32" s="70">
        <f t="shared" si="3"/>
        <v>0.3</v>
      </c>
      <c r="AK32" s="70"/>
    </row>
    <row r="33" spans="1:39" s="109" customFormat="1" ht="45" x14ac:dyDescent="0.2">
      <c r="A33" s="60" t="str">
        <f>Внебюджет!A38</f>
        <v>Б2.О.02(П)</v>
      </c>
      <c r="B33" s="60" t="str">
        <f>Внебюджет!B38</f>
        <v>Технологическая (проектно-технологическая) практика 1 (рассред., 2 нед.)</v>
      </c>
      <c r="C33" s="67" t="str">
        <f>Внебюджет!C38</f>
        <v>3\6</v>
      </c>
      <c r="D33" s="67">
        <f>Внебюджет!D38</f>
        <v>1</v>
      </c>
      <c r="E33" s="67">
        <f>Внебюджет!E38</f>
        <v>0</v>
      </c>
      <c r="F33" s="66">
        <f>Внебюджет!F38</f>
        <v>0</v>
      </c>
      <c r="G33" s="66">
        <f>Внебюджет!G38</f>
        <v>0</v>
      </c>
      <c r="H33" s="66">
        <f>Внебюджет!H38</f>
        <v>0</v>
      </c>
      <c r="I33" s="66">
        <f>Внебюджет!I38</f>
        <v>0</v>
      </c>
      <c r="J33" s="66">
        <f>Внебюджет!J38</f>
        <v>0</v>
      </c>
      <c r="K33" s="66">
        <f>Внебюджет!K38</f>
        <v>0</v>
      </c>
      <c r="L33" s="66">
        <f>Внебюджет!L38</f>
        <v>0</v>
      </c>
      <c r="M33" s="66">
        <f>Внебюджет!M38</f>
        <v>0</v>
      </c>
      <c r="N33" s="66">
        <f>Внебюджет!N38</f>
        <v>0</v>
      </c>
      <c r="O33" s="66">
        <f>Внебюджет!O38</f>
        <v>0</v>
      </c>
      <c r="P33" s="66">
        <f>Внебюджет!P38</f>
        <v>0</v>
      </c>
      <c r="Q33" s="66">
        <f>Внебюджет!Q38</f>
        <v>0</v>
      </c>
      <c r="R33" s="66">
        <f>Внебюджет!R38</f>
        <v>0</v>
      </c>
      <c r="S33" s="66">
        <f>Внебюджет!S38</f>
        <v>0</v>
      </c>
      <c r="T33" s="66">
        <f>Внебюджет!T38</f>
        <v>2</v>
      </c>
      <c r="U33" s="66">
        <f>Внебюджет!U38</f>
        <v>0</v>
      </c>
      <c r="V33" s="66">
        <f>Внебюджет!V38</f>
        <v>0</v>
      </c>
      <c r="W33" s="66">
        <f>Внебюджет!W38</f>
        <v>0</v>
      </c>
      <c r="X33" s="66">
        <f>Внебюджет!X38</f>
        <v>0</v>
      </c>
      <c r="Y33" s="66">
        <f>Внебюджет!Y38</f>
        <v>0</v>
      </c>
      <c r="Z33" s="66">
        <f>Внебюджет!Z38</f>
        <v>0</v>
      </c>
      <c r="AA33" s="66">
        <f>Внебюджет!AA38</f>
        <v>0</v>
      </c>
      <c r="AB33" s="66">
        <f>Внебюджет!AB38</f>
        <v>0</v>
      </c>
      <c r="AC33" s="66">
        <f>Внебюджет!AC38</f>
        <v>0</v>
      </c>
      <c r="AD33" s="66">
        <f>Внебюджет!AD38</f>
        <v>0</v>
      </c>
      <c r="AE33" s="66">
        <f>Внебюджет!AE38</f>
        <v>0</v>
      </c>
      <c r="AF33" s="66">
        <f>Внебюджет!AF38</f>
        <v>0</v>
      </c>
      <c r="AG33" s="66">
        <f>Внебюджет!AG38</f>
        <v>0</v>
      </c>
      <c r="AH33" s="66">
        <f>Внебюджет!AH38</f>
        <v>0</v>
      </c>
      <c r="AI33" s="66">
        <f>Внебюджет!AI38</f>
        <v>0</v>
      </c>
      <c r="AJ33" s="70">
        <f t="shared" si="3"/>
        <v>2</v>
      </c>
      <c r="AK33" s="70"/>
    </row>
    <row r="34" spans="1:39" s="109" customFormat="1" ht="15.75" x14ac:dyDescent="0.2">
      <c r="A34" s="74"/>
      <c r="B34" s="94" t="s">
        <v>236</v>
      </c>
      <c r="C34" s="91"/>
      <c r="D34" s="91"/>
      <c r="E34" s="91"/>
      <c r="F34" s="88">
        <f>SUM(F24:F33)</f>
        <v>272</v>
      </c>
      <c r="G34" s="88">
        <f t="shared" ref="G34:AJ34" si="5">SUM(G24:G33)</f>
        <v>0</v>
      </c>
      <c r="H34" s="88">
        <f t="shared" si="5"/>
        <v>218</v>
      </c>
      <c r="I34" s="88">
        <f t="shared" si="5"/>
        <v>0</v>
      </c>
      <c r="J34" s="88">
        <f t="shared" si="5"/>
        <v>0</v>
      </c>
      <c r="K34" s="88">
        <f t="shared" si="5"/>
        <v>2.4</v>
      </c>
      <c r="L34" s="88">
        <f t="shared" si="5"/>
        <v>0</v>
      </c>
      <c r="M34" s="88">
        <f t="shared" si="5"/>
        <v>0.4</v>
      </c>
      <c r="N34" s="88">
        <f t="shared" si="5"/>
        <v>0</v>
      </c>
      <c r="O34" s="88">
        <f t="shared" si="5"/>
        <v>0</v>
      </c>
      <c r="P34" s="88">
        <f t="shared" si="5"/>
        <v>0</v>
      </c>
      <c r="Q34" s="88">
        <f t="shared" si="5"/>
        <v>0</v>
      </c>
      <c r="R34" s="88">
        <f t="shared" si="5"/>
        <v>0</v>
      </c>
      <c r="S34" s="88">
        <f t="shared" si="5"/>
        <v>0</v>
      </c>
      <c r="T34" s="88">
        <f t="shared" si="5"/>
        <v>2</v>
      </c>
      <c r="U34" s="88">
        <f t="shared" si="5"/>
        <v>0</v>
      </c>
      <c r="V34" s="88">
        <f t="shared" si="5"/>
        <v>0</v>
      </c>
      <c r="W34" s="88">
        <f t="shared" si="5"/>
        <v>0</v>
      </c>
      <c r="X34" s="88">
        <f t="shared" si="5"/>
        <v>0</v>
      </c>
      <c r="Y34" s="88">
        <f t="shared" si="5"/>
        <v>0</v>
      </c>
      <c r="Z34" s="88">
        <f t="shared" si="5"/>
        <v>0</v>
      </c>
      <c r="AA34" s="88">
        <f t="shared" si="5"/>
        <v>0</v>
      </c>
      <c r="AB34" s="88">
        <f t="shared" si="5"/>
        <v>0</v>
      </c>
      <c r="AC34" s="88">
        <f t="shared" si="5"/>
        <v>0</v>
      </c>
      <c r="AD34" s="88">
        <f t="shared" si="5"/>
        <v>0</v>
      </c>
      <c r="AE34" s="88">
        <f t="shared" si="5"/>
        <v>0</v>
      </c>
      <c r="AF34" s="88">
        <f t="shared" si="5"/>
        <v>0</v>
      </c>
      <c r="AG34" s="88">
        <f t="shared" si="5"/>
        <v>0</v>
      </c>
      <c r="AH34" s="88">
        <f t="shared" si="5"/>
        <v>0</v>
      </c>
      <c r="AI34" s="88">
        <f t="shared" si="5"/>
        <v>0</v>
      </c>
      <c r="AJ34" s="88">
        <f t="shared" si="5"/>
        <v>4.7999999999999989</v>
      </c>
      <c r="AK34" s="74"/>
      <c r="AM34" s="209"/>
    </row>
    <row r="35" spans="1:39" s="109" customFormat="1" ht="15" x14ac:dyDescent="0.2">
      <c r="A35" s="90"/>
      <c r="B35" s="60"/>
      <c r="C35" s="74"/>
      <c r="D35" s="74"/>
      <c r="E35" s="74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4"/>
      <c r="AM35" s="209"/>
    </row>
    <row r="36" spans="1:39" s="109" customFormat="1" ht="15.75" x14ac:dyDescent="0.2">
      <c r="A36" s="74"/>
      <c r="B36" s="60"/>
      <c r="C36" s="74"/>
      <c r="D36" s="74"/>
      <c r="E36" s="74"/>
      <c r="F36" s="70"/>
      <c r="G36" s="70"/>
      <c r="H36" s="70"/>
      <c r="I36" s="70"/>
      <c r="J36" s="408" t="str">
        <f>Внебюджет!L41</f>
        <v>10.03.01 Информационная безопасность</v>
      </c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409"/>
      <c r="X36" s="409"/>
      <c r="Y36" s="409"/>
      <c r="Z36" s="409"/>
      <c r="AA36" s="409"/>
      <c r="AB36" s="409"/>
      <c r="AC36" s="410"/>
      <c r="AD36" s="70"/>
      <c r="AE36" s="70"/>
      <c r="AF36" s="70"/>
      <c r="AG36" s="70"/>
      <c r="AH36" s="70"/>
      <c r="AI36" s="70"/>
      <c r="AJ36" s="70">
        <f>SUM(G36,I36:AI36)</f>
        <v>0</v>
      </c>
      <c r="AK36" s="74"/>
    </row>
    <row r="37" spans="1:39" s="109" customFormat="1" ht="15.75" x14ac:dyDescent="0.2">
      <c r="A37" s="74"/>
      <c r="B37" s="60"/>
      <c r="C37" s="74"/>
      <c r="D37" s="74"/>
      <c r="E37" s="74"/>
      <c r="F37" s="70" t="s">
        <v>184</v>
      </c>
      <c r="G37" s="70"/>
      <c r="H37" s="70"/>
      <c r="I37" s="70"/>
      <c r="J37" s="405" t="str">
        <f>Внебюджет!K42</f>
        <v>профиль "Техническая защита информации"</v>
      </c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7"/>
      <c r="AD37" s="70"/>
      <c r="AE37" s="70"/>
      <c r="AF37" s="70"/>
      <c r="AG37" s="70"/>
      <c r="AH37" s="70"/>
      <c r="AI37" s="70"/>
      <c r="AJ37" s="70">
        <f t="shared" ref="AJ37" si="6">SUM(G37,I37:AI37)</f>
        <v>0</v>
      </c>
      <c r="AK37" s="74"/>
    </row>
    <row r="38" spans="1:39" s="109" customFormat="1" ht="15.75" x14ac:dyDescent="0.2">
      <c r="A38" s="74"/>
      <c r="B38" s="60"/>
      <c r="C38" s="74"/>
      <c r="D38" s="74"/>
      <c r="E38" s="74"/>
      <c r="F38" s="70" t="s">
        <v>184</v>
      </c>
      <c r="G38" s="70"/>
      <c r="H38" s="70"/>
      <c r="I38" s="70"/>
      <c r="J38" s="405" t="str">
        <f>Внебюджет!K43</f>
        <v>профиль "Безопасность автоматизированных систем (по отрасли или в сфере профессиональной деятельности)"</v>
      </c>
      <c r="K38" s="406"/>
      <c r="L38" s="406"/>
      <c r="M38" s="406"/>
      <c r="N38" s="406"/>
      <c r="O38" s="406"/>
      <c r="P38" s="406"/>
      <c r="Q38" s="406"/>
      <c r="R38" s="406"/>
      <c r="S38" s="406"/>
      <c r="T38" s="406"/>
      <c r="U38" s="406"/>
      <c r="V38" s="406"/>
      <c r="W38" s="406"/>
      <c r="X38" s="406"/>
      <c r="Y38" s="406"/>
      <c r="Z38" s="406"/>
      <c r="AA38" s="406"/>
      <c r="AB38" s="406"/>
      <c r="AC38" s="407"/>
      <c r="AD38" s="70"/>
      <c r="AE38" s="70"/>
      <c r="AF38" s="70"/>
      <c r="AG38" s="70"/>
      <c r="AH38" s="70"/>
      <c r="AI38" s="70"/>
      <c r="AJ38" s="70">
        <f t="shared" ref="AJ38:AJ41" si="7">SUM(G38,I38:AI38)</f>
        <v>0</v>
      </c>
      <c r="AK38" s="74"/>
    </row>
    <row r="39" spans="1:39" s="109" customFormat="1" ht="30" x14ac:dyDescent="0.2">
      <c r="A39" s="60" t="str">
        <f>Внебюджет!A44</f>
        <v>Б1.О.01</v>
      </c>
      <c r="B39" s="60" t="str">
        <f>Внебюджет!B44</f>
        <v>Основы научно-исследовательской деятельности (поток НЭ, ИБ)</v>
      </c>
      <c r="C39" s="67" t="str">
        <f>Внебюджет!C44</f>
        <v>2\4</v>
      </c>
      <c r="D39" s="67">
        <f>Внебюджет!D44</f>
        <v>1</v>
      </c>
      <c r="E39" s="67">
        <f>Внебюджет!E44</f>
        <v>0</v>
      </c>
      <c r="F39" s="66">
        <f>Внебюджет!F44</f>
        <v>20</v>
      </c>
      <c r="G39" s="66">
        <f>Внебюджет!G44</f>
        <v>0</v>
      </c>
      <c r="H39" s="66">
        <f>Внебюджет!H44</f>
        <v>20</v>
      </c>
      <c r="I39" s="66">
        <f>Внебюджет!I44</f>
        <v>0</v>
      </c>
      <c r="J39" s="66">
        <f>Внебюджет!J44</f>
        <v>0</v>
      </c>
      <c r="K39" s="66">
        <f>Внебюджет!K44</f>
        <v>0.3</v>
      </c>
      <c r="L39" s="66">
        <f>Внебюджет!L44</f>
        <v>0</v>
      </c>
      <c r="M39" s="66">
        <f>Внебюджет!M44</f>
        <v>0</v>
      </c>
      <c r="N39" s="66">
        <f>Внебюджет!N44</f>
        <v>0</v>
      </c>
      <c r="O39" s="66">
        <f>Внебюджет!O44</f>
        <v>0</v>
      </c>
      <c r="P39" s="66">
        <f>Внебюджет!P44</f>
        <v>0</v>
      </c>
      <c r="Q39" s="66">
        <f>Внебюджет!Q44</f>
        <v>0</v>
      </c>
      <c r="R39" s="66">
        <f>Внебюджет!R44</f>
        <v>0</v>
      </c>
      <c r="S39" s="66">
        <f>Внебюджет!S44</f>
        <v>0</v>
      </c>
      <c r="T39" s="66">
        <f>Внебюджет!T44</f>
        <v>0</v>
      </c>
      <c r="U39" s="66">
        <f>Внебюджет!U44</f>
        <v>0</v>
      </c>
      <c r="V39" s="66">
        <f>Внебюджет!V44</f>
        <v>0</v>
      </c>
      <c r="W39" s="66">
        <f>Внебюджет!W44</f>
        <v>0</v>
      </c>
      <c r="X39" s="66">
        <f>Внебюджет!X44</f>
        <v>0</v>
      </c>
      <c r="Y39" s="66">
        <f>Внебюджет!Y44</f>
        <v>0</v>
      </c>
      <c r="Z39" s="66">
        <f>Внебюджет!Z44</f>
        <v>0</v>
      </c>
      <c r="AA39" s="66">
        <f>Внебюджет!AA44</f>
        <v>0</v>
      </c>
      <c r="AB39" s="66">
        <f>Внебюджет!AB44</f>
        <v>0</v>
      </c>
      <c r="AC39" s="66">
        <f>Внебюджет!AC44</f>
        <v>0</v>
      </c>
      <c r="AD39" s="66">
        <f>Внебюджет!AD44</f>
        <v>0</v>
      </c>
      <c r="AE39" s="66">
        <f>Внебюджет!AE44</f>
        <v>0</v>
      </c>
      <c r="AF39" s="66">
        <f>Внебюджет!AF44</f>
        <v>0</v>
      </c>
      <c r="AG39" s="66">
        <f>Внебюджет!AG44</f>
        <v>0</v>
      </c>
      <c r="AH39" s="66">
        <f>Внебюджет!AH44</f>
        <v>0</v>
      </c>
      <c r="AI39" s="66">
        <f>Внебюджет!AI44</f>
        <v>0</v>
      </c>
      <c r="AJ39" s="70">
        <f t="shared" si="7"/>
        <v>0.3</v>
      </c>
      <c r="AK39" s="70"/>
    </row>
    <row r="40" spans="1:39" s="109" customFormat="1" ht="30" x14ac:dyDescent="0.2">
      <c r="A40" s="60" t="str">
        <f>Внебюджет!A46</f>
        <v>Б1.О.16.02</v>
      </c>
      <c r="B40" s="60" t="str">
        <f>Внебюджет!B46</f>
        <v>Электричество, магнетизм и волновая оптика (поток НЭ, ИБ, ИСТ)</v>
      </c>
      <c r="C40" s="67" t="str">
        <f>Внебюджет!C46</f>
        <v>2\3</v>
      </c>
      <c r="D40" s="67">
        <f>Внебюджет!D46</f>
        <v>1</v>
      </c>
      <c r="E40" s="67">
        <f>Внебюджет!E46</f>
        <v>0</v>
      </c>
      <c r="F40" s="66">
        <f>Внебюджет!F46</f>
        <v>50</v>
      </c>
      <c r="G40" s="66">
        <f>Внебюджет!G46</f>
        <v>0</v>
      </c>
      <c r="H40" s="66">
        <f>Внебюджет!H46</f>
        <v>50</v>
      </c>
      <c r="I40" s="66">
        <f>Внебюджет!I46</f>
        <v>0</v>
      </c>
      <c r="J40" s="66">
        <f>Внебюджет!J46</f>
        <v>0</v>
      </c>
      <c r="K40" s="66">
        <f>Внебюджет!K46</f>
        <v>0</v>
      </c>
      <c r="L40" s="66">
        <f>Внебюджет!L46</f>
        <v>0</v>
      </c>
      <c r="M40" s="66">
        <f>Внебюджет!M46</f>
        <v>0.4</v>
      </c>
      <c r="N40" s="66">
        <f>Внебюджет!N46</f>
        <v>0</v>
      </c>
      <c r="O40" s="66">
        <f>Внебюджет!O46</f>
        <v>0</v>
      </c>
      <c r="P40" s="66">
        <f>Внебюджет!P46</f>
        <v>0</v>
      </c>
      <c r="Q40" s="66">
        <f>Внебюджет!Q46</f>
        <v>0</v>
      </c>
      <c r="R40" s="66">
        <f>Внебюджет!R46</f>
        <v>0</v>
      </c>
      <c r="S40" s="66">
        <f>Внебюджет!S46</f>
        <v>0</v>
      </c>
      <c r="T40" s="66">
        <f>Внебюджет!T46</f>
        <v>0</v>
      </c>
      <c r="U40" s="66">
        <f>Внебюджет!U46</f>
        <v>0</v>
      </c>
      <c r="V40" s="66">
        <f>Внебюджет!V46</f>
        <v>0</v>
      </c>
      <c r="W40" s="66">
        <f>Внебюджет!W46</f>
        <v>0</v>
      </c>
      <c r="X40" s="66">
        <f>Внебюджет!X46</f>
        <v>0</v>
      </c>
      <c r="Y40" s="66">
        <f>Внебюджет!Y46</f>
        <v>0</v>
      </c>
      <c r="Z40" s="66">
        <f>Внебюджет!Z46</f>
        <v>0</v>
      </c>
      <c r="AA40" s="66">
        <f>Внебюджет!AA46</f>
        <v>0</v>
      </c>
      <c r="AB40" s="66">
        <f>Внебюджет!AB46</f>
        <v>0</v>
      </c>
      <c r="AC40" s="66">
        <f>Внебюджет!AC46</f>
        <v>0</v>
      </c>
      <c r="AD40" s="66">
        <f>Внебюджет!AD46</f>
        <v>0</v>
      </c>
      <c r="AE40" s="66">
        <f>Внебюджет!AE46</f>
        <v>0</v>
      </c>
      <c r="AF40" s="66">
        <f>Внебюджет!AF46</f>
        <v>0</v>
      </c>
      <c r="AG40" s="66">
        <f>Внебюджет!AG46</f>
        <v>0</v>
      </c>
      <c r="AH40" s="66">
        <f>Внебюджет!AH46</f>
        <v>0</v>
      </c>
      <c r="AI40" s="66">
        <f>Внебюджет!AI46</f>
        <v>0</v>
      </c>
      <c r="AJ40" s="70">
        <f t="shared" si="7"/>
        <v>0.4</v>
      </c>
      <c r="AK40" s="70"/>
    </row>
    <row r="41" spans="1:39" s="109" customFormat="1" ht="30" x14ac:dyDescent="0.2">
      <c r="A41" s="60" t="str">
        <f>Внебюджет!A47</f>
        <v>Б1.О.16.03</v>
      </c>
      <c r="B41" s="60" t="str">
        <f>Внебюджет!B47</f>
        <v>Квантовая отптика и атомная физика (поток НЭ, ИБ, ИСТ)</v>
      </c>
      <c r="C41" s="67" t="str">
        <f>Внебюджет!C47</f>
        <v>2\4</v>
      </c>
      <c r="D41" s="67">
        <f>Внебюджет!D47</f>
        <v>1</v>
      </c>
      <c r="E41" s="67">
        <f>Внебюджет!E47</f>
        <v>0</v>
      </c>
      <c r="F41" s="66">
        <f>Внебюджет!F47</f>
        <v>60</v>
      </c>
      <c r="G41" s="66">
        <f>Внебюджет!G47</f>
        <v>0</v>
      </c>
      <c r="H41" s="66">
        <f>Внебюджет!H47</f>
        <v>60</v>
      </c>
      <c r="I41" s="66">
        <f>Внебюджет!I47</f>
        <v>0</v>
      </c>
      <c r="J41" s="66">
        <f>Внебюджет!J47</f>
        <v>0</v>
      </c>
      <c r="K41" s="66">
        <f>Внебюджет!K47</f>
        <v>0</v>
      </c>
      <c r="L41" s="66">
        <f>Внебюджет!L47</f>
        <v>0</v>
      </c>
      <c r="M41" s="66">
        <f>Внебюджет!M47</f>
        <v>0.4</v>
      </c>
      <c r="N41" s="66">
        <f>Внебюджет!N47</f>
        <v>0</v>
      </c>
      <c r="O41" s="66">
        <f>Внебюджет!O47</f>
        <v>0</v>
      </c>
      <c r="P41" s="66">
        <f>Внебюджет!P47</f>
        <v>0</v>
      </c>
      <c r="Q41" s="66">
        <f>Внебюджет!Q47</f>
        <v>0</v>
      </c>
      <c r="R41" s="66">
        <f>Внебюджет!R47</f>
        <v>0</v>
      </c>
      <c r="S41" s="66">
        <f>Внебюджет!S47</f>
        <v>0</v>
      </c>
      <c r="T41" s="66">
        <f>Внебюджет!T47</f>
        <v>0</v>
      </c>
      <c r="U41" s="66">
        <f>Внебюджет!U47</f>
        <v>0</v>
      </c>
      <c r="V41" s="66">
        <f>Внебюджет!V47</f>
        <v>0</v>
      </c>
      <c r="W41" s="66">
        <f>Внебюджет!W47</f>
        <v>0</v>
      </c>
      <c r="X41" s="66">
        <f>Внебюджет!X47</f>
        <v>0</v>
      </c>
      <c r="Y41" s="66">
        <f>Внебюджет!Y47</f>
        <v>0</v>
      </c>
      <c r="Z41" s="66">
        <f>Внебюджет!Z47</f>
        <v>0</v>
      </c>
      <c r="AA41" s="66">
        <f>Внебюджет!AA47</f>
        <v>0</v>
      </c>
      <c r="AB41" s="66">
        <f>Внебюджет!AB47</f>
        <v>0</v>
      </c>
      <c r="AC41" s="66">
        <f>Внебюджет!AC47</f>
        <v>0</v>
      </c>
      <c r="AD41" s="66">
        <f>Внебюджет!AD47</f>
        <v>0</v>
      </c>
      <c r="AE41" s="66">
        <f>Внебюджет!AE47</f>
        <v>0</v>
      </c>
      <c r="AF41" s="66">
        <f>Внебюджет!AF47</f>
        <v>0</v>
      </c>
      <c r="AG41" s="66">
        <f>Внебюджет!AG47</f>
        <v>0</v>
      </c>
      <c r="AH41" s="66">
        <f>Внебюджет!AH47</f>
        <v>0</v>
      </c>
      <c r="AI41" s="66">
        <f>Внебюджет!AI47</f>
        <v>0</v>
      </c>
      <c r="AJ41" s="70">
        <f t="shared" si="7"/>
        <v>0.4</v>
      </c>
      <c r="AK41" s="70"/>
    </row>
    <row r="42" spans="1:39" s="109" customFormat="1" ht="15.75" x14ac:dyDescent="0.2">
      <c r="A42" s="74"/>
      <c r="B42" s="94" t="s">
        <v>237</v>
      </c>
      <c r="C42" s="91"/>
      <c r="D42" s="91"/>
      <c r="E42" s="91"/>
      <c r="F42" s="88">
        <f t="shared" ref="F42:AJ42" si="8">SUM(F37:F41)</f>
        <v>130</v>
      </c>
      <c r="G42" s="88">
        <f t="shared" si="8"/>
        <v>0</v>
      </c>
      <c r="H42" s="88">
        <f t="shared" si="8"/>
        <v>130</v>
      </c>
      <c r="I42" s="88">
        <f t="shared" si="8"/>
        <v>0</v>
      </c>
      <c r="J42" s="88">
        <f t="shared" si="8"/>
        <v>0</v>
      </c>
      <c r="K42" s="88">
        <f t="shared" si="8"/>
        <v>0.3</v>
      </c>
      <c r="L42" s="88">
        <f t="shared" si="8"/>
        <v>0</v>
      </c>
      <c r="M42" s="88">
        <f t="shared" si="8"/>
        <v>0.8</v>
      </c>
      <c r="N42" s="88">
        <f t="shared" si="8"/>
        <v>0</v>
      </c>
      <c r="O42" s="88">
        <f t="shared" si="8"/>
        <v>0</v>
      </c>
      <c r="P42" s="88">
        <f t="shared" si="8"/>
        <v>0</v>
      </c>
      <c r="Q42" s="88">
        <f t="shared" si="8"/>
        <v>0</v>
      </c>
      <c r="R42" s="88">
        <f t="shared" si="8"/>
        <v>0</v>
      </c>
      <c r="S42" s="88">
        <f t="shared" si="8"/>
        <v>0</v>
      </c>
      <c r="T42" s="88">
        <f t="shared" si="8"/>
        <v>0</v>
      </c>
      <c r="U42" s="88">
        <f t="shared" si="8"/>
        <v>0</v>
      </c>
      <c r="V42" s="88">
        <f t="shared" si="8"/>
        <v>0</v>
      </c>
      <c r="W42" s="88">
        <f t="shared" si="8"/>
        <v>0</v>
      </c>
      <c r="X42" s="88">
        <f t="shared" si="8"/>
        <v>0</v>
      </c>
      <c r="Y42" s="88">
        <f t="shared" si="8"/>
        <v>0</v>
      </c>
      <c r="Z42" s="88">
        <f t="shared" si="8"/>
        <v>0</v>
      </c>
      <c r="AA42" s="88">
        <f t="shared" si="8"/>
        <v>0</v>
      </c>
      <c r="AB42" s="88">
        <f t="shared" si="8"/>
        <v>0</v>
      </c>
      <c r="AC42" s="88">
        <f t="shared" si="8"/>
        <v>0</v>
      </c>
      <c r="AD42" s="88">
        <f t="shared" si="8"/>
        <v>0</v>
      </c>
      <c r="AE42" s="88">
        <f t="shared" si="8"/>
        <v>0</v>
      </c>
      <c r="AF42" s="88">
        <f t="shared" si="8"/>
        <v>0</v>
      </c>
      <c r="AG42" s="88">
        <f t="shared" si="8"/>
        <v>0</v>
      </c>
      <c r="AH42" s="88">
        <f t="shared" si="8"/>
        <v>0</v>
      </c>
      <c r="AI42" s="88">
        <f t="shared" si="8"/>
        <v>0</v>
      </c>
      <c r="AJ42" s="88">
        <f t="shared" si="8"/>
        <v>1.1000000000000001</v>
      </c>
      <c r="AK42" s="74"/>
      <c r="AM42" s="209"/>
    </row>
    <row r="43" spans="1:39" s="109" customFormat="1" ht="15" x14ac:dyDescent="0.2">
      <c r="A43" s="90"/>
      <c r="B43" s="60"/>
      <c r="C43" s="74"/>
      <c r="D43" s="74"/>
      <c r="E43" s="74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4"/>
      <c r="AM43" s="209"/>
    </row>
    <row r="44" spans="1:39" s="110" customFormat="1" ht="15.75" x14ac:dyDescent="0.2">
      <c r="A44" s="201"/>
      <c r="B44" s="210" t="s">
        <v>239</v>
      </c>
      <c r="C44" s="238"/>
      <c r="D44" s="238"/>
      <c r="E44" s="238"/>
      <c r="F44" s="98">
        <f>SUM(F34,F42)</f>
        <v>402</v>
      </c>
      <c r="G44" s="98">
        <f t="shared" ref="G44:AJ44" si="9">SUM(G34,G42)</f>
        <v>0</v>
      </c>
      <c r="H44" s="98">
        <f t="shared" si="9"/>
        <v>348</v>
      </c>
      <c r="I44" s="98">
        <f t="shared" si="9"/>
        <v>0</v>
      </c>
      <c r="J44" s="98">
        <f t="shared" si="9"/>
        <v>0</v>
      </c>
      <c r="K44" s="98">
        <f t="shared" si="9"/>
        <v>2.6999999999999997</v>
      </c>
      <c r="L44" s="98">
        <f t="shared" si="9"/>
        <v>0</v>
      </c>
      <c r="M44" s="98">
        <f t="shared" si="9"/>
        <v>1.2000000000000002</v>
      </c>
      <c r="N44" s="98">
        <f t="shared" si="9"/>
        <v>0</v>
      </c>
      <c r="O44" s="98">
        <f t="shared" si="9"/>
        <v>0</v>
      </c>
      <c r="P44" s="98">
        <f t="shared" si="9"/>
        <v>0</v>
      </c>
      <c r="Q44" s="98">
        <f t="shared" si="9"/>
        <v>0</v>
      </c>
      <c r="R44" s="98">
        <f t="shared" si="9"/>
        <v>0</v>
      </c>
      <c r="S44" s="98">
        <f t="shared" si="9"/>
        <v>0</v>
      </c>
      <c r="T44" s="98">
        <f t="shared" si="9"/>
        <v>2</v>
      </c>
      <c r="U44" s="98">
        <f t="shared" si="9"/>
        <v>0</v>
      </c>
      <c r="V44" s="98">
        <f t="shared" si="9"/>
        <v>0</v>
      </c>
      <c r="W44" s="98">
        <f t="shared" si="9"/>
        <v>0</v>
      </c>
      <c r="X44" s="98">
        <f t="shared" si="9"/>
        <v>0</v>
      </c>
      <c r="Y44" s="98">
        <f t="shared" si="9"/>
        <v>0</v>
      </c>
      <c r="Z44" s="98">
        <f t="shared" si="9"/>
        <v>0</v>
      </c>
      <c r="AA44" s="98">
        <f t="shared" si="9"/>
        <v>0</v>
      </c>
      <c r="AB44" s="98">
        <f t="shared" si="9"/>
        <v>0</v>
      </c>
      <c r="AC44" s="98">
        <f t="shared" si="9"/>
        <v>0</v>
      </c>
      <c r="AD44" s="98">
        <f t="shared" si="9"/>
        <v>0</v>
      </c>
      <c r="AE44" s="98">
        <f t="shared" si="9"/>
        <v>0</v>
      </c>
      <c r="AF44" s="98">
        <f t="shared" si="9"/>
        <v>0</v>
      </c>
      <c r="AG44" s="98">
        <f t="shared" si="9"/>
        <v>0</v>
      </c>
      <c r="AH44" s="98">
        <f t="shared" si="9"/>
        <v>0</v>
      </c>
      <c r="AI44" s="98">
        <f t="shared" si="9"/>
        <v>0</v>
      </c>
      <c r="AJ44" s="98">
        <f t="shared" si="9"/>
        <v>5.8999999999999986</v>
      </c>
      <c r="AK44" s="200"/>
    </row>
    <row r="45" spans="1:39" s="110" customFormat="1" ht="15.75" x14ac:dyDescent="0.2">
      <c r="A45" s="201"/>
      <c r="B45" s="211"/>
      <c r="C45" s="211"/>
      <c r="D45" s="211"/>
      <c r="E45" s="211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00"/>
    </row>
    <row r="46" spans="1:39" s="110" customFormat="1" ht="15.75" x14ac:dyDescent="0.2">
      <c r="A46" s="201"/>
      <c r="B46" s="201"/>
      <c r="C46" s="201"/>
      <c r="D46" s="201"/>
      <c r="E46" s="201"/>
      <c r="F46" s="200"/>
      <c r="G46" s="200"/>
      <c r="H46" s="200"/>
      <c r="I46" s="200"/>
      <c r="J46" s="200"/>
      <c r="K46" s="200"/>
      <c r="L46" s="200"/>
      <c r="M46" s="200"/>
      <c r="N46" s="391" t="s">
        <v>58</v>
      </c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1"/>
    </row>
    <row r="47" spans="1:39" s="110" customFormat="1" ht="15" x14ac:dyDescent="0.2">
      <c r="A47" s="201"/>
      <c r="B47" s="74"/>
      <c r="C47" s="74"/>
      <c r="D47" s="74"/>
      <c r="E47" s="74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201"/>
    </row>
    <row r="48" spans="1:39" s="110" customFormat="1" ht="15.75" x14ac:dyDescent="0.2">
      <c r="A48" s="201"/>
      <c r="B48" s="199" t="s">
        <v>240</v>
      </c>
      <c r="C48" s="199"/>
      <c r="D48" s="199"/>
      <c r="E48" s="199"/>
      <c r="F48" s="98">
        <f t="shared" ref="F48:AJ48" si="10">SUM(F47)</f>
        <v>0</v>
      </c>
      <c r="G48" s="98">
        <f t="shared" si="10"/>
        <v>0</v>
      </c>
      <c r="H48" s="98">
        <f t="shared" si="10"/>
        <v>0</v>
      </c>
      <c r="I48" s="98">
        <f t="shared" si="10"/>
        <v>0</v>
      </c>
      <c r="J48" s="98">
        <f t="shared" si="10"/>
        <v>0</v>
      </c>
      <c r="K48" s="98">
        <f t="shared" si="10"/>
        <v>0</v>
      </c>
      <c r="L48" s="98">
        <f t="shared" si="10"/>
        <v>0</v>
      </c>
      <c r="M48" s="98">
        <f t="shared" si="10"/>
        <v>0</v>
      </c>
      <c r="N48" s="98">
        <f t="shared" si="10"/>
        <v>0</v>
      </c>
      <c r="O48" s="98">
        <f t="shared" si="10"/>
        <v>0</v>
      </c>
      <c r="P48" s="98">
        <f t="shared" si="10"/>
        <v>0</v>
      </c>
      <c r="Q48" s="98">
        <f t="shared" si="10"/>
        <v>0</v>
      </c>
      <c r="R48" s="98">
        <f t="shared" si="10"/>
        <v>0</v>
      </c>
      <c r="S48" s="98">
        <f t="shared" si="10"/>
        <v>0</v>
      </c>
      <c r="T48" s="98">
        <f t="shared" si="10"/>
        <v>0</v>
      </c>
      <c r="U48" s="98">
        <f t="shared" si="10"/>
        <v>0</v>
      </c>
      <c r="V48" s="98">
        <f t="shared" si="10"/>
        <v>0</v>
      </c>
      <c r="W48" s="98">
        <f t="shared" si="10"/>
        <v>0</v>
      </c>
      <c r="X48" s="98">
        <f t="shared" si="10"/>
        <v>0</v>
      </c>
      <c r="Y48" s="98">
        <f t="shared" si="10"/>
        <v>0</v>
      </c>
      <c r="Z48" s="98">
        <f t="shared" si="10"/>
        <v>0</v>
      </c>
      <c r="AA48" s="98">
        <f t="shared" si="10"/>
        <v>0</v>
      </c>
      <c r="AB48" s="98">
        <f t="shared" si="10"/>
        <v>0</v>
      </c>
      <c r="AC48" s="98">
        <f t="shared" si="10"/>
        <v>0</v>
      </c>
      <c r="AD48" s="98">
        <f t="shared" si="10"/>
        <v>0</v>
      </c>
      <c r="AE48" s="98">
        <f t="shared" si="10"/>
        <v>0</v>
      </c>
      <c r="AF48" s="98">
        <f t="shared" si="10"/>
        <v>0</v>
      </c>
      <c r="AG48" s="98">
        <f t="shared" si="10"/>
        <v>0</v>
      </c>
      <c r="AH48" s="98">
        <f t="shared" si="10"/>
        <v>0</v>
      </c>
      <c r="AI48" s="98">
        <f t="shared" si="10"/>
        <v>0</v>
      </c>
      <c r="AJ48" s="98">
        <f t="shared" si="10"/>
        <v>0</v>
      </c>
      <c r="AK48" s="201"/>
    </row>
    <row r="49" spans="1:37" s="110" customFormat="1" ht="15.75" x14ac:dyDescent="0.2">
      <c r="A49" s="201"/>
      <c r="B49" s="120"/>
      <c r="C49" s="120"/>
      <c r="D49" s="120"/>
      <c r="E49" s="120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201"/>
    </row>
    <row r="50" spans="1:37" s="110" customFormat="1" ht="15.75" x14ac:dyDescent="0.2">
      <c r="A50" s="213"/>
      <c r="B50" s="206" t="s">
        <v>181</v>
      </c>
      <c r="C50" s="206"/>
      <c r="D50" s="206"/>
      <c r="E50" s="206"/>
      <c r="F50" s="99">
        <f t="shared" ref="F50:AI50" si="11">SUM(F48,F44)</f>
        <v>402</v>
      </c>
      <c r="G50" s="99">
        <f t="shared" si="11"/>
        <v>0</v>
      </c>
      <c r="H50" s="99">
        <f t="shared" si="11"/>
        <v>348</v>
      </c>
      <c r="I50" s="99">
        <f t="shared" si="11"/>
        <v>0</v>
      </c>
      <c r="J50" s="99">
        <f t="shared" si="11"/>
        <v>0</v>
      </c>
      <c r="K50" s="99">
        <f t="shared" si="11"/>
        <v>2.6999999999999997</v>
      </c>
      <c r="L50" s="99">
        <f t="shared" si="11"/>
        <v>0</v>
      </c>
      <c r="M50" s="99">
        <f t="shared" si="11"/>
        <v>1.2000000000000002</v>
      </c>
      <c r="N50" s="99">
        <f t="shared" si="11"/>
        <v>0</v>
      </c>
      <c r="O50" s="99">
        <f t="shared" si="11"/>
        <v>0</v>
      </c>
      <c r="P50" s="99">
        <f t="shared" si="11"/>
        <v>0</v>
      </c>
      <c r="Q50" s="99">
        <f t="shared" si="11"/>
        <v>0</v>
      </c>
      <c r="R50" s="99">
        <f t="shared" si="11"/>
        <v>0</v>
      </c>
      <c r="S50" s="99">
        <f t="shared" si="11"/>
        <v>0</v>
      </c>
      <c r="T50" s="99">
        <f t="shared" si="11"/>
        <v>2</v>
      </c>
      <c r="U50" s="99">
        <f t="shared" si="11"/>
        <v>0</v>
      </c>
      <c r="V50" s="99">
        <f t="shared" si="11"/>
        <v>0</v>
      </c>
      <c r="W50" s="99">
        <f t="shared" si="11"/>
        <v>0</v>
      </c>
      <c r="X50" s="99">
        <f t="shared" si="11"/>
        <v>0</v>
      </c>
      <c r="Y50" s="99">
        <f t="shared" si="11"/>
        <v>0</v>
      </c>
      <c r="Z50" s="99">
        <f t="shared" si="11"/>
        <v>0</v>
      </c>
      <c r="AA50" s="99">
        <f t="shared" si="11"/>
        <v>0</v>
      </c>
      <c r="AB50" s="99">
        <f t="shared" si="11"/>
        <v>0</v>
      </c>
      <c r="AC50" s="99">
        <f t="shared" si="11"/>
        <v>0</v>
      </c>
      <c r="AD50" s="99">
        <f t="shared" si="11"/>
        <v>0</v>
      </c>
      <c r="AE50" s="99">
        <f t="shared" si="11"/>
        <v>0</v>
      </c>
      <c r="AF50" s="99">
        <f t="shared" si="11"/>
        <v>0</v>
      </c>
      <c r="AG50" s="99">
        <f t="shared" si="11"/>
        <v>0</v>
      </c>
      <c r="AH50" s="99">
        <f t="shared" si="11"/>
        <v>0</v>
      </c>
      <c r="AI50" s="99">
        <f t="shared" si="11"/>
        <v>0</v>
      </c>
      <c r="AJ50" s="99">
        <f>SUM(AJ48,AJ44)</f>
        <v>5.8999999999999986</v>
      </c>
      <c r="AK50" s="213"/>
    </row>
    <row r="51" spans="1:37" s="110" customFormat="1" ht="15" x14ac:dyDescent="0.2">
      <c r="A51" s="201"/>
      <c r="B51" s="201"/>
      <c r="C51" s="201"/>
      <c r="D51" s="201"/>
      <c r="E51" s="201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70">
        <f>SUM(G50,I50:AI50)-AJ50</f>
        <v>0</v>
      </c>
      <c r="AK51" s="201"/>
    </row>
    <row r="53" spans="1:37" ht="15" x14ac:dyDescent="0.2">
      <c r="A53" s="205" t="s">
        <v>393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</row>
  </sheetData>
  <protectedRanges>
    <protectedRange sqref="M22:AI22 AJ22:AK23 A15:AK20 A21:M21 O21:AK21 AK43 A36:K36 M36:AK36 A43:AI43 A22:K22 A42:AK42 A35:AI35 AK35 A37:AI41 AK37:AK41 A44:AK72 A23:AI33 AK24:AK33 A34:AK34" name="Диапазон1"/>
    <protectedRange sqref="AJ35 AJ43 AJ37:AJ41 AJ24:AJ33" name="Диапазон1_1"/>
    <protectedRange sqref="N1:AK11 I9 L1:M9 A1:H11 I1:K8 I10:L11" name="Диапазон1_2"/>
  </protectedRanges>
  <mergeCells count="48">
    <mergeCell ref="N46:Y46"/>
    <mergeCell ref="J38:AC38"/>
    <mergeCell ref="J22:AC22"/>
    <mergeCell ref="J23:AC23"/>
    <mergeCell ref="J36:AC36"/>
    <mergeCell ref="J37:AC37"/>
    <mergeCell ref="AK12:AK13"/>
    <mergeCell ref="J21:AC21"/>
    <mergeCell ref="AI12:AI13"/>
    <mergeCell ref="AJ12:AJ13"/>
    <mergeCell ref="S12:T12"/>
    <mergeCell ref="AB12:AB13"/>
    <mergeCell ref="AC12:AD12"/>
    <mergeCell ref="AE12:AF12"/>
    <mergeCell ref="AG12:AH12"/>
    <mergeCell ref="U12:U13"/>
    <mergeCell ref="V12:V13"/>
    <mergeCell ref="W12:X12"/>
    <mergeCell ref="Y12:Y13"/>
    <mergeCell ref="Z12:Z13"/>
    <mergeCell ref="AA12:AA13"/>
    <mergeCell ref="I9:Z9"/>
    <mergeCell ref="K10:X10"/>
    <mergeCell ref="K11:X11"/>
    <mergeCell ref="A12:A13"/>
    <mergeCell ref="B12:B13"/>
    <mergeCell ref="C12:C13"/>
    <mergeCell ref="D12:D13"/>
    <mergeCell ref="E12:E13"/>
    <mergeCell ref="F12:G12"/>
    <mergeCell ref="H12:I12"/>
    <mergeCell ref="J12:J13"/>
    <mergeCell ref="K12:K13"/>
    <mergeCell ref="L12:O12"/>
    <mergeCell ref="P12:P13"/>
    <mergeCell ref="Q12:R12"/>
    <mergeCell ref="B5:G5"/>
    <mergeCell ref="AC5:AK5"/>
    <mergeCell ref="B6:G6"/>
    <mergeCell ref="AC6:AK6"/>
    <mergeCell ref="B7:G7"/>
    <mergeCell ref="AC7:AK7"/>
    <mergeCell ref="B4:F4"/>
    <mergeCell ref="AF1:AK1"/>
    <mergeCell ref="B2:G2"/>
    <mergeCell ref="AF2:AK2"/>
    <mergeCell ref="B3:G3"/>
    <mergeCell ref="AC3:AK3"/>
  </mergeCells>
  <conditionalFormatting sqref="A1:XFD65437">
    <cfRule type="cellIs" dxfId="32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K49"/>
  <sheetViews>
    <sheetView view="pageBreakPreview" zoomScale="60" zoomScaleNormal="70" workbookViewId="0"/>
  </sheetViews>
  <sheetFormatPr defaultColWidth="9.140625" defaultRowHeight="12.75" x14ac:dyDescent="0.2"/>
  <cols>
    <col min="1" max="1" width="20.42578125" style="20" customWidth="1"/>
    <col min="2" max="2" width="54.42578125" style="20" customWidth="1"/>
    <col min="3" max="3" width="5.5703125" style="20" customWidth="1"/>
    <col min="4" max="4" width="8.42578125" style="20" customWidth="1"/>
    <col min="5" max="5" width="5.5703125" style="20" customWidth="1"/>
    <col min="6" max="6" width="12.140625" style="20" customWidth="1"/>
    <col min="7" max="7" width="11.140625" style="20" customWidth="1"/>
    <col min="8" max="8" width="13.140625" style="20" customWidth="1"/>
    <col min="9" max="9" width="11.42578125" style="20" customWidth="1"/>
    <col min="10" max="11" width="14.42578125" style="20" bestFit="1" customWidth="1"/>
    <col min="12" max="12" width="7.5703125" style="20" customWidth="1"/>
    <col min="13" max="13" width="10.140625" style="20" customWidth="1"/>
    <col min="14" max="14" width="10" style="20" customWidth="1"/>
    <col min="15" max="15" width="7.5703125" style="20" customWidth="1"/>
    <col min="16" max="16" width="8.5703125" style="20" customWidth="1"/>
    <col min="17" max="17" width="10.42578125" style="20" customWidth="1"/>
    <col min="18" max="18" width="6.5703125" style="20" customWidth="1"/>
    <col min="19" max="20" width="14.42578125" style="20" bestFit="1" customWidth="1"/>
    <col min="21" max="21" width="6.85546875" style="20" customWidth="1"/>
    <col min="22" max="22" width="7.5703125" style="20" customWidth="1"/>
    <col min="23" max="23" width="9.42578125" style="20" customWidth="1"/>
    <col min="24" max="24" width="8.140625" style="20" customWidth="1"/>
    <col min="25" max="26" width="6.42578125" style="20" customWidth="1"/>
    <col min="27" max="27" width="7.42578125" style="20" customWidth="1"/>
    <col min="28" max="28" width="8.42578125" style="20" customWidth="1"/>
    <col min="29" max="30" width="6.140625" style="20" customWidth="1"/>
    <col min="31" max="31" width="14.42578125" style="20" bestFit="1" customWidth="1"/>
    <col min="32" max="32" width="6.42578125" style="20" customWidth="1"/>
    <col min="33" max="33" width="7.5703125" style="20" customWidth="1"/>
    <col min="34" max="34" width="14.42578125" style="20" bestFit="1" customWidth="1"/>
    <col min="35" max="35" width="11.85546875" style="20" customWidth="1"/>
    <col min="36" max="36" width="12.140625" style="20" customWidth="1"/>
    <col min="37" max="37" width="24" style="20" customWidth="1"/>
    <col min="38" max="38" width="16.140625" style="20" customWidth="1"/>
    <col min="39" max="16384" width="9.140625" style="20"/>
  </cols>
  <sheetData>
    <row r="1" spans="1:37" s="205" customFormat="1" ht="15" x14ac:dyDescent="0.2">
      <c r="AF1" s="378" t="s">
        <v>153</v>
      </c>
      <c r="AG1" s="378"/>
      <c r="AH1" s="378"/>
      <c r="AI1" s="378"/>
      <c r="AJ1" s="378"/>
      <c r="AK1" s="378"/>
    </row>
    <row r="2" spans="1:37" s="205" customFormat="1" ht="15" x14ac:dyDescent="0.2">
      <c r="B2" s="378" t="s">
        <v>1</v>
      </c>
      <c r="C2" s="378"/>
      <c r="D2" s="378"/>
      <c r="E2" s="378"/>
      <c r="F2" s="378"/>
      <c r="G2" s="378"/>
      <c r="H2" s="277"/>
      <c r="I2" s="27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377"/>
      <c r="AG2" s="377"/>
      <c r="AH2" s="377"/>
      <c r="AI2" s="377"/>
      <c r="AJ2" s="377"/>
      <c r="AK2" s="377"/>
    </row>
    <row r="3" spans="1:37" s="205" customFormat="1" ht="15" x14ac:dyDescent="0.2">
      <c r="B3" s="378" t="s">
        <v>2</v>
      </c>
      <c r="C3" s="378"/>
      <c r="D3" s="378"/>
      <c r="E3" s="378"/>
      <c r="F3" s="378"/>
      <c r="G3" s="378"/>
      <c r="H3" s="277"/>
      <c r="I3" s="277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377" t="s">
        <v>3</v>
      </c>
      <c r="AD3" s="377"/>
      <c r="AE3" s="377"/>
      <c r="AF3" s="377"/>
      <c r="AG3" s="377"/>
      <c r="AH3" s="377"/>
      <c r="AI3" s="377"/>
      <c r="AJ3" s="377"/>
      <c r="AK3" s="377"/>
    </row>
    <row r="4" spans="1:37" s="205" customFormat="1" ht="15" x14ac:dyDescent="0.2">
      <c r="B4" s="378" t="s">
        <v>154</v>
      </c>
      <c r="C4" s="378"/>
      <c r="D4" s="378"/>
      <c r="E4" s="378"/>
      <c r="F4" s="378"/>
      <c r="G4" s="277"/>
      <c r="H4" s="277"/>
      <c r="I4" s="277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</row>
    <row r="5" spans="1:37" s="205" customFormat="1" ht="15" x14ac:dyDescent="0.2">
      <c r="B5" s="378" t="s">
        <v>6</v>
      </c>
      <c r="C5" s="378"/>
      <c r="D5" s="378"/>
      <c r="E5" s="378"/>
      <c r="F5" s="378"/>
      <c r="G5" s="378"/>
      <c r="H5" s="277"/>
      <c r="I5" s="27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77" t="s">
        <v>155</v>
      </c>
      <c r="AD5" s="377"/>
      <c r="AE5" s="377"/>
      <c r="AF5" s="377"/>
      <c r="AG5" s="377"/>
      <c r="AH5" s="377"/>
      <c r="AI5" s="377"/>
      <c r="AJ5" s="377"/>
      <c r="AK5" s="377"/>
    </row>
    <row r="6" spans="1:37" s="205" customFormat="1" ht="15" x14ac:dyDescent="0.2">
      <c r="B6" s="378" t="s">
        <v>7</v>
      </c>
      <c r="C6" s="378"/>
      <c r="D6" s="378"/>
      <c r="E6" s="378"/>
      <c r="F6" s="378"/>
      <c r="G6" s="378"/>
      <c r="H6" s="277"/>
      <c r="I6" s="277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377" t="s">
        <v>168</v>
      </c>
      <c r="AD6" s="377"/>
      <c r="AE6" s="377"/>
      <c r="AF6" s="377"/>
      <c r="AG6" s="377"/>
      <c r="AH6" s="377"/>
      <c r="AI6" s="377"/>
      <c r="AJ6" s="377"/>
      <c r="AK6" s="377"/>
    </row>
    <row r="7" spans="1:37" s="205" customFormat="1" ht="15" x14ac:dyDescent="0.2">
      <c r="B7" s="378" t="s">
        <v>9</v>
      </c>
      <c r="C7" s="378"/>
      <c r="D7" s="378"/>
      <c r="E7" s="378"/>
      <c r="F7" s="378"/>
      <c r="G7" s="378"/>
      <c r="H7" s="277"/>
      <c r="I7" s="277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377" t="s">
        <v>589</v>
      </c>
      <c r="AD7" s="377"/>
      <c r="AE7" s="377"/>
      <c r="AF7" s="377"/>
      <c r="AG7" s="377"/>
      <c r="AH7" s="377"/>
      <c r="AI7" s="377"/>
      <c r="AJ7" s="377"/>
      <c r="AK7" s="377"/>
    </row>
    <row r="8" spans="1:37" s="205" customFormat="1" ht="15" x14ac:dyDescent="0.2">
      <c r="B8" s="277"/>
      <c r="C8" s="277"/>
      <c r="D8" s="277"/>
      <c r="E8" s="277"/>
      <c r="F8" s="277"/>
      <c r="G8" s="277"/>
      <c r="H8" s="277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</row>
    <row r="9" spans="1:37" s="205" customFormat="1" ht="15.75" customHeight="1" x14ac:dyDescent="0.2">
      <c r="B9" s="290" t="s">
        <v>131</v>
      </c>
      <c r="C9" s="277"/>
      <c r="D9" s="277"/>
      <c r="E9" s="277"/>
      <c r="F9" s="277"/>
      <c r="G9" s="277"/>
      <c r="H9" s="277"/>
      <c r="I9" s="403" t="s">
        <v>159</v>
      </c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3"/>
      <c r="AB9" s="278"/>
      <c r="AC9" s="278"/>
      <c r="AD9" s="278"/>
      <c r="AE9" s="278"/>
      <c r="AF9" s="278"/>
      <c r="AG9" s="278"/>
      <c r="AH9" s="278"/>
      <c r="AI9" s="278"/>
      <c r="AJ9" s="278"/>
      <c r="AK9" s="278"/>
    </row>
    <row r="10" spans="1:37" s="205" customFormat="1" ht="15.75" x14ac:dyDescent="0.2">
      <c r="B10" s="277"/>
      <c r="C10" s="277"/>
      <c r="D10" s="277"/>
      <c r="E10" s="277"/>
      <c r="F10" s="277"/>
      <c r="G10" s="277"/>
      <c r="H10" s="277"/>
      <c r="I10" s="277"/>
      <c r="J10" s="278"/>
      <c r="K10" s="403" t="str">
        <f>Бюджет!K10</f>
        <v>на 2025 - 2026 учебный год</v>
      </c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"/>
      <c r="Z10" s="4"/>
      <c r="AA10" s="4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</row>
    <row r="11" spans="1:37" s="205" customFormat="1" ht="15" x14ac:dyDescent="0.2">
      <c r="B11" s="277"/>
      <c r="C11" s="277"/>
      <c r="D11" s="277"/>
      <c r="E11" s="277"/>
      <c r="F11" s="277"/>
      <c r="G11" s="277"/>
      <c r="H11" s="277"/>
      <c r="I11" s="277"/>
      <c r="J11" s="278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291"/>
      <c r="Z11" s="291"/>
      <c r="AA11" s="291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</row>
    <row r="12" spans="1:37" s="277" customFormat="1" ht="15" x14ac:dyDescent="0.2">
      <c r="A12" s="205"/>
      <c r="J12" s="278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291"/>
      <c r="Z12" s="291"/>
      <c r="AA12" s="291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</row>
    <row r="13" spans="1:37" s="109" customFormat="1" ht="15" x14ac:dyDescent="0.2">
      <c r="A13" s="394" t="s">
        <v>12</v>
      </c>
      <c r="B13" s="402" t="s">
        <v>13</v>
      </c>
      <c r="C13" s="387" t="s">
        <v>14</v>
      </c>
      <c r="D13" s="392" t="s">
        <v>15</v>
      </c>
      <c r="E13" s="387" t="s">
        <v>16</v>
      </c>
      <c r="F13" s="388" t="s">
        <v>17</v>
      </c>
      <c r="G13" s="388"/>
      <c r="H13" s="388" t="s">
        <v>18</v>
      </c>
      <c r="I13" s="388"/>
      <c r="J13" s="394" t="s">
        <v>19</v>
      </c>
      <c r="K13" s="394" t="s">
        <v>20</v>
      </c>
      <c r="L13" s="388" t="s">
        <v>21</v>
      </c>
      <c r="M13" s="388"/>
      <c r="N13" s="388"/>
      <c r="O13" s="388"/>
      <c r="P13" s="394" t="s">
        <v>22</v>
      </c>
      <c r="Q13" s="388" t="s">
        <v>23</v>
      </c>
      <c r="R13" s="388"/>
      <c r="S13" s="388" t="s">
        <v>24</v>
      </c>
      <c r="T13" s="388"/>
      <c r="U13" s="394" t="s">
        <v>25</v>
      </c>
      <c r="V13" s="394" t="s">
        <v>26</v>
      </c>
      <c r="W13" s="388" t="s">
        <v>27</v>
      </c>
      <c r="X13" s="388"/>
      <c r="Y13" s="394" t="s">
        <v>28</v>
      </c>
      <c r="Z13" s="394" t="s">
        <v>29</v>
      </c>
      <c r="AA13" s="394" t="s">
        <v>30</v>
      </c>
      <c r="AB13" s="394" t="s">
        <v>31</v>
      </c>
      <c r="AC13" s="388" t="s">
        <v>32</v>
      </c>
      <c r="AD13" s="388"/>
      <c r="AE13" s="388" t="s">
        <v>33</v>
      </c>
      <c r="AF13" s="388"/>
      <c r="AG13" s="388" t="s">
        <v>34</v>
      </c>
      <c r="AH13" s="388"/>
      <c r="AI13" s="394" t="s">
        <v>35</v>
      </c>
      <c r="AJ13" s="394" t="s">
        <v>36</v>
      </c>
      <c r="AK13" s="394" t="s">
        <v>156</v>
      </c>
    </row>
    <row r="14" spans="1:37" s="109" customFormat="1" ht="122.25" x14ac:dyDescent="0.2">
      <c r="A14" s="394"/>
      <c r="B14" s="402"/>
      <c r="C14" s="387"/>
      <c r="D14" s="392"/>
      <c r="E14" s="387"/>
      <c r="F14" s="192" t="s">
        <v>38</v>
      </c>
      <c r="G14" s="193" t="s">
        <v>39</v>
      </c>
      <c r="H14" s="193" t="s">
        <v>38</v>
      </c>
      <c r="I14" s="193" t="s">
        <v>39</v>
      </c>
      <c r="J14" s="394"/>
      <c r="K14" s="394"/>
      <c r="L14" s="191" t="s">
        <v>40</v>
      </c>
      <c r="M14" s="191" t="s">
        <v>41</v>
      </c>
      <c r="N14" s="191" t="s">
        <v>42</v>
      </c>
      <c r="O14" s="191" t="s">
        <v>43</v>
      </c>
      <c r="P14" s="394"/>
      <c r="Q14" s="191" t="s">
        <v>44</v>
      </c>
      <c r="R14" s="191" t="s">
        <v>45</v>
      </c>
      <c r="S14" s="191" t="s">
        <v>46</v>
      </c>
      <c r="T14" s="191" t="s">
        <v>47</v>
      </c>
      <c r="U14" s="394"/>
      <c r="V14" s="394"/>
      <c r="W14" s="191" t="s">
        <v>33</v>
      </c>
      <c r="X14" s="191" t="s">
        <v>48</v>
      </c>
      <c r="Y14" s="394"/>
      <c r="Z14" s="394"/>
      <c r="AA14" s="394"/>
      <c r="AB14" s="394"/>
      <c r="AC14" s="191" t="s">
        <v>49</v>
      </c>
      <c r="AD14" s="191" t="s">
        <v>50</v>
      </c>
      <c r="AE14" s="191" t="s">
        <v>51</v>
      </c>
      <c r="AF14" s="191" t="s">
        <v>52</v>
      </c>
      <c r="AG14" s="191" t="s">
        <v>53</v>
      </c>
      <c r="AH14" s="191" t="s">
        <v>157</v>
      </c>
      <c r="AI14" s="394"/>
      <c r="AJ14" s="394"/>
      <c r="AK14" s="394"/>
    </row>
    <row r="15" spans="1:37" s="109" customFormat="1" ht="15" x14ac:dyDescent="0.2">
      <c r="A15" s="41">
        <v>1</v>
      </c>
      <c r="B15" s="41">
        <v>2</v>
      </c>
      <c r="C15" s="41">
        <v>3</v>
      </c>
      <c r="D15" s="41">
        <v>4</v>
      </c>
      <c r="E15" s="41">
        <v>5</v>
      </c>
      <c r="F15" s="41">
        <v>6</v>
      </c>
      <c r="G15" s="41">
        <v>7</v>
      </c>
      <c r="H15" s="41">
        <v>8</v>
      </c>
      <c r="I15" s="41">
        <v>9</v>
      </c>
      <c r="J15" s="41">
        <v>10</v>
      </c>
      <c r="K15" s="41">
        <v>11</v>
      </c>
      <c r="L15" s="41">
        <v>12</v>
      </c>
      <c r="M15" s="41">
        <v>13</v>
      </c>
      <c r="N15" s="41">
        <v>14</v>
      </c>
      <c r="O15" s="41">
        <v>15</v>
      </c>
      <c r="P15" s="41">
        <v>16</v>
      </c>
      <c r="Q15" s="41">
        <v>17</v>
      </c>
      <c r="R15" s="41">
        <v>18</v>
      </c>
      <c r="S15" s="41">
        <v>19</v>
      </c>
      <c r="T15" s="41">
        <v>20</v>
      </c>
      <c r="U15" s="41">
        <v>21</v>
      </c>
      <c r="V15" s="41">
        <v>22</v>
      </c>
      <c r="W15" s="41">
        <v>23</v>
      </c>
      <c r="X15" s="41">
        <v>24</v>
      </c>
      <c r="Y15" s="41">
        <v>25</v>
      </c>
      <c r="Z15" s="41">
        <v>26</v>
      </c>
      <c r="AA15" s="41">
        <v>27</v>
      </c>
      <c r="AB15" s="41">
        <v>28</v>
      </c>
      <c r="AC15" s="41">
        <v>29</v>
      </c>
      <c r="AD15" s="41">
        <v>30</v>
      </c>
      <c r="AE15" s="41">
        <v>31</v>
      </c>
      <c r="AF15" s="41">
        <v>32</v>
      </c>
      <c r="AG15" s="41">
        <v>33</v>
      </c>
      <c r="AH15" s="41">
        <v>34</v>
      </c>
      <c r="AI15" s="41">
        <v>35</v>
      </c>
      <c r="AJ15" s="41">
        <v>36</v>
      </c>
      <c r="AK15" s="41">
        <v>37</v>
      </c>
    </row>
    <row r="16" spans="1:37" s="109" customFormat="1" ht="15" x14ac:dyDescent="0.2">
      <c r="A16" s="194"/>
      <c r="B16" s="195" t="s">
        <v>55</v>
      </c>
      <c r="C16" s="195"/>
      <c r="D16" s="195"/>
      <c r="E16" s="195"/>
      <c r="F16" s="112">
        <f>F33</f>
        <v>20</v>
      </c>
      <c r="G16" s="112">
        <f t="shared" ref="G16:AJ16" si="0">G33</f>
        <v>0</v>
      </c>
      <c r="H16" s="112">
        <f t="shared" si="0"/>
        <v>20</v>
      </c>
      <c r="I16" s="112">
        <f t="shared" si="0"/>
        <v>0</v>
      </c>
      <c r="J16" s="112">
        <f t="shared" si="0"/>
        <v>0</v>
      </c>
      <c r="K16" s="112">
        <f t="shared" si="0"/>
        <v>0.3</v>
      </c>
      <c r="L16" s="112">
        <f t="shared" si="0"/>
        <v>0</v>
      </c>
      <c r="M16" s="112">
        <f t="shared" si="0"/>
        <v>0.4</v>
      </c>
      <c r="N16" s="112">
        <f t="shared" si="0"/>
        <v>0</v>
      </c>
      <c r="O16" s="112">
        <f t="shared" si="0"/>
        <v>0</v>
      </c>
      <c r="P16" s="112">
        <f t="shared" si="0"/>
        <v>0</v>
      </c>
      <c r="Q16" s="112">
        <f t="shared" si="0"/>
        <v>0</v>
      </c>
      <c r="R16" s="112">
        <f t="shared" si="0"/>
        <v>0</v>
      </c>
      <c r="S16" s="112">
        <f t="shared" si="0"/>
        <v>0</v>
      </c>
      <c r="T16" s="112">
        <f t="shared" si="0"/>
        <v>0</v>
      </c>
      <c r="U16" s="112">
        <f t="shared" si="0"/>
        <v>0</v>
      </c>
      <c r="V16" s="112">
        <f t="shared" si="0"/>
        <v>0</v>
      </c>
      <c r="W16" s="112">
        <f t="shared" si="0"/>
        <v>0</v>
      </c>
      <c r="X16" s="112">
        <f t="shared" si="0"/>
        <v>0</v>
      </c>
      <c r="Y16" s="112">
        <f t="shared" si="0"/>
        <v>0</v>
      </c>
      <c r="Z16" s="112">
        <f t="shared" si="0"/>
        <v>0</v>
      </c>
      <c r="AA16" s="112">
        <f t="shared" si="0"/>
        <v>0</v>
      </c>
      <c r="AB16" s="112">
        <f t="shared" si="0"/>
        <v>0</v>
      </c>
      <c r="AC16" s="112">
        <f t="shared" si="0"/>
        <v>0</v>
      </c>
      <c r="AD16" s="112">
        <f t="shared" si="0"/>
        <v>0</v>
      </c>
      <c r="AE16" s="112">
        <f t="shared" si="0"/>
        <v>0</v>
      </c>
      <c r="AF16" s="112">
        <f t="shared" si="0"/>
        <v>0</v>
      </c>
      <c r="AG16" s="112">
        <f t="shared" si="0"/>
        <v>0</v>
      </c>
      <c r="AH16" s="112">
        <f t="shared" si="0"/>
        <v>0</v>
      </c>
      <c r="AI16" s="112">
        <f t="shared" si="0"/>
        <v>0</v>
      </c>
      <c r="AJ16" s="112">
        <f t="shared" si="0"/>
        <v>0.7</v>
      </c>
      <c r="AK16" s="112"/>
    </row>
    <row r="17" spans="1:37" s="109" customFormat="1" ht="15" x14ac:dyDescent="0.2">
      <c r="A17" s="194"/>
      <c r="B17" s="195" t="s">
        <v>56</v>
      </c>
      <c r="C17" s="195"/>
      <c r="D17" s="195"/>
      <c r="E17" s="195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</row>
    <row r="18" spans="1:37" s="109" customFormat="1" ht="15" x14ac:dyDescent="0.2">
      <c r="A18" s="194"/>
      <c r="B18" s="195" t="s">
        <v>57</v>
      </c>
      <c r="C18" s="195"/>
      <c r="D18" s="195"/>
      <c r="E18" s="195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</row>
    <row r="19" spans="1:37" s="109" customFormat="1" ht="15" x14ac:dyDescent="0.2">
      <c r="A19" s="194"/>
      <c r="B19" s="195" t="s">
        <v>58</v>
      </c>
      <c r="C19" s="195"/>
      <c r="D19" s="195"/>
      <c r="E19" s="195"/>
      <c r="F19" s="112">
        <f>F44</f>
        <v>48</v>
      </c>
      <c r="G19" s="112">
        <f t="shared" ref="G19:AJ19" si="1">G44</f>
        <v>12</v>
      </c>
      <c r="H19" s="112">
        <f t="shared" si="1"/>
        <v>14</v>
      </c>
      <c r="I19" s="112">
        <f t="shared" si="1"/>
        <v>44</v>
      </c>
      <c r="J19" s="112">
        <f t="shared" si="1"/>
        <v>0</v>
      </c>
      <c r="K19" s="112">
        <f t="shared" si="1"/>
        <v>3.9</v>
      </c>
      <c r="L19" s="112">
        <f t="shared" si="1"/>
        <v>0</v>
      </c>
      <c r="M19" s="112">
        <f t="shared" si="1"/>
        <v>24.4</v>
      </c>
      <c r="N19" s="112">
        <f t="shared" si="1"/>
        <v>0</v>
      </c>
      <c r="O19" s="112">
        <f t="shared" si="1"/>
        <v>0</v>
      </c>
      <c r="P19" s="112">
        <f t="shared" si="1"/>
        <v>0</v>
      </c>
      <c r="Q19" s="112">
        <f t="shared" si="1"/>
        <v>3.8000000000000003</v>
      </c>
      <c r="R19" s="112">
        <f t="shared" si="1"/>
        <v>0</v>
      </c>
      <c r="S19" s="112">
        <f t="shared" si="1"/>
        <v>0</v>
      </c>
      <c r="T19" s="112">
        <f t="shared" si="1"/>
        <v>0</v>
      </c>
      <c r="U19" s="112">
        <f t="shared" si="1"/>
        <v>0</v>
      </c>
      <c r="V19" s="112">
        <f t="shared" si="1"/>
        <v>0</v>
      </c>
      <c r="W19" s="112">
        <f t="shared" si="1"/>
        <v>0</v>
      </c>
      <c r="X19" s="112">
        <f t="shared" si="1"/>
        <v>0</v>
      </c>
      <c r="Y19" s="112">
        <f t="shared" si="1"/>
        <v>0</v>
      </c>
      <c r="Z19" s="112">
        <f t="shared" si="1"/>
        <v>0</v>
      </c>
      <c r="AA19" s="112">
        <f t="shared" si="1"/>
        <v>0</v>
      </c>
      <c r="AB19" s="112">
        <f t="shared" si="1"/>
        <v>0</v>
      </c>
      <c r="AC19" s="112">
        <f t="shared" si="1"/>
        <v>0</v>
      </c>
      <c r="AD19" s="112">
        <f t="shared" si="1"/>
        <v>0</v>
      </c>
      <c r="AE19" s="112">
        <f t="shared" si="1"/>
        <v>0</v>
      </c>
      <c r="AF19" s="112">
        <f t="shared" si="1"/>
        <v>0</v>
      </c>
      <c r="AG19" s="112">
        <f t="shared" si="1"/>
        <v>0</v>
      </c>
      <c r="AH19" s="112">
        <f t="shared" si="1"/>
        <v>0</v>
      </c>
      <c r="AI19" s="112">
        <f t="shared" si="1"/>
        <v>0</v>
      </c>
      <c r="AJ19" s="112">
        <f t="shared" si="1"/>
        <v>88.100000000000009</v>
      </c>
      <c r="AK19" s="112"/>
    </row>
    <row r="20" spans="1:37" s="109" customFormat="1" ht="15.75" x14ac:dyDescent="0.2">
      <c r="A20" s="196"/>
      <c r="B20" s="196" t="s">
        <v>59</v>
      </c>
      <c r="C20" s="196"/>
      <c r="D20" s="196"/>
      <c r="E20" s="196"/>
      <c r="F20" s="113">
        <f t="shared" ref="F20:AI20" si="2">SUM(F16:F19)</f>
        <v>68</v>
      </c>
      <c r="G20" s="113">
        <f t="shared" si="2"/>
        <v>12</v>
      </c>
      <c r="H20" s="113">
        <f t="shared" si="2"/>
        <v>34</v>
      </c>
      <c r="I20" s="113">
        <f t="shared" si="2"/>
        <v>44</v>
      </c>
      <c r="J20" s="113">
        <f t="shared" si="2"/>
        <v>0</v>
      </c>
      <c r="K20" s="113">
        <f t="shared" si="2"/>
        <v>4.2</v>
      </c>
      <c r="L20" s="113">
        <f t="shared" si="2"/>
        <v>0</v>
      </c>
      <c r="M20" s="113">
        <f t="shared" si="2"/>
        <v>24.799999999999997</v>
      </c>
      <c r="N20" s="113">
        <f t="shared" si="2"/>
        <v>0</v>
      </c>
      <c r="O20" s="113">
        <f t="shared" si="2"/>
        <v>0</v>
      </c>
      <c r="P20" s="113">
        <f t="shared" si="2"/>
        <v>0</v>
      </c>
      <c r="Q20" s="113">
        <f t="shared" si="2"/>
        <v>3.8000000000000003</v>
      </c>
      <c r="R20" s="113">
        <f t="shared" si="2"/>
        <v>0</v>
      </c>
      <c r="S20" s="113">
        <f t="shared" si="2"/>
        <v>0</v>
      </c>
      <c r="T20" s="113">
        <f t="shared" si="2"/>
        <v>0</v>
      </c>
      <c r="U20" s="113">
        <f t="shared" si="2"/>
        <v>0</v>
      </c>
      <c r="V20" s="113">
        <f t="shared" si="2"/>
        <v>0</v>
      </c>
      <c r="W20" s="113">
        <f t="shared" si="2"/>
        <v>0</v>
      </c>
      <c r="X20" s="113">
        <f t="shared" si="2"/>
        <v>0</v>
      </c>
      <c r="Y20" s="113">
        <f t="shared" si="2"/>
        <v>0</v>
      </c>
      <c r="Z20" s="113">
        <f t="shared" si="2"/>
        <v>0</v>
      </c>
      <c r="AA20" s="113">
        <f t="shared" si="2"/>
        <v>0</v>
      </c>
      <c r="AB20" s="113">
        <f t="shared" si="2"/>
        <v>0</v>
      </c>
      <c r="AC20" s="113">
        <f t="shared" si="2"/>
        <v>0</v>
      </c>
      <c r="AD20" s="113">
        <f t="shared" si="2"/>
        <v>0</v>
      </c>
      <c r="AE20" s="113">
        <f t="shared" si="2"/>
        <v>0</v>
      </c>
      <c r="AF20" s="113">
        <f t="shared" si="2"/>
        <v>0</v>
      </c>
      <c r="AG20" s="113">
        <f t="shared" si="2"/>
        <v>0</v>
      </c>
      <c r="AH20" s="113">
        <f t="shared" si="2"/>
        <v>0</v>
      </c>
      <c r="AI20" s="113">
        <f t="shared" si="2"/>
        <v>0</v>
      </c>
      <c r="AJ20" s="113">
        <f>SUM(AJ16:AJ19)</f>
        <v>88.800000000000011</v>
      </c>
      <c r="AK20" s="113"/>
    </row>
    <row r="21" spans="1:37" s="109" customFormat="1" ht="15.75" x14ac:dyDescent="0.2">
      <c r="A21" s="74"/>
      <c r="B21" s="74"/>
      <c r="C21" s="74"/>
      <c r="D21" s="74"/>
      <c r="E21" s="74"/>
      <c r="F21" s="70"/>
      <c r="G21" s="70"/>
      <c r="H21" s="70"/>
      <c r="I21" s="70"/>
      <c r="J21" s="70"/>
      <c r="K21" s="70"/>
      <c r="L21" s="70"/>
      <c r="M21" s="70"/>
      <c r="N21" s="391" t="s">
        <v>55</v>
      </c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</row>
    <row r="22" spans="1:37" s="109" customFormat="1" ht="15.75" x14ac:dyDescent="0.2">
      <c r="A22" s="74"/>
      <c r="B22" s="74"/>
      <c r="C22" s="74"/>
      <c r="D22" s="74"/>
      <c r="E22" s="74"/>
      <c r="F22" s="70"/>
      <c r="G22" s="70"/>
      <c r="H22" s="70"/>
      <c r="I22" s="70"/>
      <c r="J22" s="70"/>
      <c r="K22" s="73"/>
      <c r="L22" s="401" t="str">
        <f>Внебюджет!L23</f>
        <v>11.03.04  Электроника и наноэлектроника</v>
      </c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73"/>
      <c r="AC22" s="70"/>
      <c r="AD22" s="70"/>
      <c r="AE22" s="70"/>
      <c r="AF22" s="70"/>
      <c r="AG22" s="70"/>
      <c r="AH22" s="70"/>
      <c r="AI22" s="70"/>
      <c r="AJ22" s="70"/>
      <c r="AK22" s="74"/>
    </row>
    <row r="23" spans="1:37" s="109" customFormat="1" ht="15.75" x14ac:dyDescent="0.2">
      <c r="A23" s="74"/>
      <c r="B23" s="74"/>
      <c r="C23" s="74"/>
      <c r="D23" s="74"/>
      <c r="E23" s="74"/>
      <c r="F23" s="70"/>
      <c r="G23" s="70"/>
      <c r="H23" s="70"/>
      <c r="I23" s="70"/>
      <c r="J23" s="70"/>
      <c r="K23" s="386" t="str">
        <f>Внебюджет!K24</f>
        <v>профиль "Электроника и наноэлектроника"</v>
      </c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  <c r="AC23" s="70"/>
      <c r="AD23" s="70"/>
      <c r="AE23" s="70"/>
      <c r="AF23" s="70"/>
      <c r="AG23" s="70"/>
      <c r="AH23" s="70"/>
      <c r="AI23" s="70"/>
      <c r="AJ23" s="70"/>
      <c r="AK23" s="74"/>
    </row>
    <row r="24" spans="1:37" s="109" customFormat="1" ht="15" x14ac:dyDescent="0.2">
      <c r="A24" s="90" t="str">
        <f>Внебюджет!A28</f>
        <v>Б1.О.19</v>
      </c>
      <c r="B24" s="60" t="str">
        <f>Внебюджет!B28</f>
        <v>Практикум по твердотельной электронике</v>
      </c>
      <c r="C24" s="74" t="str">
        <f>Внебюджет!C28</f>
        <v>3\6</v>
      </c>
      <c r="D24" s="74">
        <f>Внебюджет!D28</f>
        <v>1</v>
      </c>
      <c r="E24" s="74">
        <f>Внебюджет!E28</f>
        <v>0</v>
      </c>
      <c r="F24" s="70">
        <f>Внебюджет!F28</f>
        <v>0</v>
      </c>
      <c r="G24" s="70">
        <f>Внебюджет!G28</f>
        <v>0</v>
      </c>
      <c r="H24" s="70">
        <f>Внебюджет!H28</f>
        <v>0</v>
      </c>
      <c r="I24" s="70">
        <f>Внебюджет!I28</f>
        <v>0</v>
      </c>
      <c r="J24" s="70">
        <f>Внебюджет!J28</f>
        <v>0</v>
      </c>
      <c r="K24" s="70">
        <f>Внебюджет!K28</f>
        <v>0.3</v>
      </c>
      <c r="L24" s="70">
        <f>Внебюджет!L28</f>
        <v>0</v>
      </c>
      <c r="M24" s="70">
        <f>Внебюджет!M28</f>
        <v>0</v>
      </c>
      <c r="N24" s="70">
        <f>Внебюджет!N28</f>
        <v>0</v>
      </c>
      <c r="O24" s="70">
        <f>Внебюджет!O28</f>
        <v>0</v>
      </c>
      <c r="P24" s="70">
        <f>Внебюджет!P28</f>
        <v>0</v>
      </c>
      <c r="Q24" s="70">
        <f>Внебюджет!Q28</f>
        <v>0</v>
      </c>
      <c r="R24" s="70">
        <f>Внебюджет!R28</f>
        <v>0</v>
      </c>
      <c r="S24" s="70">
        <f>Внебюджет!S28</f>
        <v>0</v>
      </c>
      <c r="T24" s="70">
        <f>Внебюджет!T28</f>
        <v>0</v>
      </c>
      <c r="U24" s="70">
        <f>Внебюджет!U28</f>
        <v>0</v>
      </c>
      <c r="V24" s="70">
        <f>Внебюджет!V28</f>
        <v>0</v>
      </c>
      <c r="W24" s="70">
        <f>Внебюджет!W28</f>
        <v>0</v>
      </c>
      <c r="X24" s="70">
        <f>Внебюджет!X28</f>
        <v>0</v>
      </c>
      <c r="Y24" s="70">
        <f>Внебюджет!Y28</f>
        <v>0</v>
      </c>
      <c r="Z24" s="70">
        <f>Внебюджет!Z28</f>
        <v>0</v>
      </c>
      <c r="AA24" s="70">
        <f>Внебюджет!AA28</f>
        <v>0</v>
      </c>
      <c r="AB24" s="70">
        <f>Внебюджет!AB28</f>
        <v>0</v>
      </c>
      <c r="AC24" s="70">
        <f>Внебюджет!AC28</f>
        <v>0</v>
      </c>
      <c r="AD24" s="70">
        <f>Внебюджет!AD28</f>
        <v>0</v>
      </c>
      <c r="AE24" s="70">
        <f>Внебюджет!AE28</f>
        <v>0</v>
      </c>
      <c r="AF24" s="70">
        <f>Внебюджет!AF28</f>
        <v>0</v>
      </c>
      <c r="AG24" s="70">
        <f>Внебюджет!AG28</f>
        <v>0</v>
      </c>
      <c r="AH24" s="70">
        <f>Внебюджет!AH28</f>
        <v>0</v>
      </c>
      <c r="AI24" s="70">
        <f>Внебюджет!AI28</f>
        <v>0</v>
      </c>
      <c r="AJ24" s="70">
        <f>SUM(G24,I24:AI24)</f>
        <v>0.3</v>
      </c>
      <c r="AK24" s="74"/>
    </row>
    <row r="25" spans="1:37" s="109" customFormat="1" ht="15.75" x14ac:dyDescent="0.2">
      <c r="A25" s="74"/>
      <c r="B25" s="108" t="s">
        <v>227</v>
      </c>
      <c r="C25" s="91"/>
      <c r="D25" s="91"/>
      <c r="E25" s="91"/>
      <c r="F25" s="88">
        <f>SUM(F24:F24)</f>
        <v>0</v>
      </c>
      <c r="G25" s="88">
        <f t="shared" ref="G25:AJ25" si="3">SUM(G24:G24)</f>
        <v>0</v>
      </c>
      <c r="H25" s="88">
        <f t="shared" si="3"/>
        <v>0</v>
      </c>
      <c r="I25" s="88">
        <f t="shared" si="3"/>
        <v>0</v>
      </c>
      <c r="J25" s="88">
        <f t="shared" si="3"/>
        <v>0</v>
      </c>
      <c r="K25" s="88">
        <f t="shared" si="3"/>
        <v>0.3</v>
      </c>
      <c r="L25" s="88">
        <f t="shared" si="3"/>
        <v>0</v>
      </c>
      <c r="M25" s="88">
        <f t="shared" si="3"/>
        <v>0</v>
      </c>
      <c r="N25" s="88">
        <f t="shared" si="3"/>
        <v>0</v>
      </c>
      <c r="O25" s="88">
        <f t="shared" si="3"/>
        <v>0</v>
      </c>
      <c r="P25" s="88">
        <f t="shared" si="3"/>
        <v>0</v>
      </c>
      <c r="Q25" s="88">
        <f t="shared" si="3"/>
        <v>0</v>
      </c>
      <c r="R25" s="88">
        <f t="shared" si="3"/>
        <v>0</v>
      </c>
      <c r="S25" s="88">
        <f t="shared" si="3"/>
        <v>0</v>
      </c>
      <c r="T25" s="88">
        <f t="shared" si="3"/>
        <v>0</v>
      </c>
      <c r="U25" s="88">
        <f t="shared" si="3"/>
        <v>0</v>
      </c>
      <c r="V25" s="88">
        <f t="shared" si="3"/>
        <v>0</v>
      </c>
      <c r="W25" s="88">
        <f t="shared" si="3"/>
        <v>0</v>
      </c>
      <c r="X25" s="88">
        <f t="shared" si="3"/>
        <v>0</v>
      </c>
      <c r="Y25" s="88">
        <f t="shared" si="3"/>
        <v>0</v>
      </c>
      <c r="Z25" s="88">
        <f t="shared" si="3"/>
        <v>0</v>
      </c>
      <c r="AA25" s="88">
        <f t="shared" si="3"/>
        <v>0</v>
      </c>
      <c r="AB25" s="88">
        <f t="shared" si="3"/>
        <v>0</v>
      </c>
      <c r="AC25" s="88">
        <f t="shared" si="3"/>
        <v>0</v>
      </c>
      <c r="AD25" s="88">
        <f t="shared" si="3"/>
        <v>0</v>
      </c>
      <c r="AE25" s="88">
        <f t="shared" si="3"/>
        <v>0</v>
      </c>
      <c r="AF25" s="88">
        <f t="shared" si="3"/>
        <v>0</v>
      </c>
      <c r="AG25" s="88">
        <f t="shared" si="3"/>
        <v>0</v>
      </c>
      <c r="AH25" s="88">
        <f t="shared" si="3"/>
        <v>0</v>
      </c>
      <c r="AI25" s="88">
        <f t="shared" si="3"/>
        <v>0</v>
      </c>
      <c r="AJ25" s="88">
        <f t="shared" si="3"/>
        <v>0.3</v>
      </c>
      <c r="AK25" s="74"/>
    </row>
    <row r="26" spans="1:37" s="110" customFormat="1" ht="15.75" x14ac:dyDescent="0.2">
      <c r="A26" s="74"/>
      <c r="B26" s="100"/>
      <c r="C26" s="275"/>
      <c r="D26" s="275"/>
      <c r="E26" s="275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0">
        <f>SUM(G26,I26:AI26)</f>
        <v>0</v>
      </c>
      <c r="AK26" s="70"/>
    </row>
    <row r="27" spans="1:37" s="110" customFormat="1" ht="15.75" x14ac:dyDescent="0.2">
      <c r="A27" s="74"/>
      <c r="B27" s="92"/>
      <c r="C27" s="74"/>
      <c r="D27" s="74"/>
      <c r="E27" s="74"/>
      <c r="F27" s="70"/>
      <c r="G27" s="70"/>
      <c r="H27" s="70"/>
      <c r="I27" s="70"/>
      <c r="J27" s="389" t="str">
        <f>Внебюджет!L41</f>
        <v>10.03.01 Информационная безопасность</v>
      </c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70"/>
      <c r="AE27" s="70"/>
      <c r="AF27" s="70"/>
      <c r="AG27" s="70"/>
      <c r="AH27" s="70"/>
      <c r="AI27" s="70"/>
      <c r="AJ27" s="70">
        <f>SUM(G27,I27:AI27)</f>
        <v>0</v>
      </c>
      <c r="AK27" s="70"/>
    </row>
    <row r="28" spans="1:37" s="110" customFormat="1" ht="15.75" x14ac:dyDescent="0.2">
      <c r="A28" s="74"/>
      <c r="B28" s="92"/>
      <c r="C28" s="74"/>
      <c r="D28" s="74"/>
      <c r="E28" s="74"/>
      <c r="F28" s="70"/>
      <c r="G28" s="70"/>
      <c r="H28" s="70"/>
      <c r="I28" s="70"/>
      <c r="J28" s="390" t="str">
        <f>Внебюджет!K42</f>
        <v>профиль "Техническая защита информации"</v>
      </c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0"/>
      <c r="AA28" s="390"/>
      <c r="AB28" s="390"/>
      <c r="AC28" s="390"/>
      <c r="AD28" s="70"/>
      <c r="AE28" s="70"/>
      <c r="AF28" s="70"/>
      <c r="AG28" s="70"/>
      <c r="AH28" s="70"/>
      <c r="AI28" s="70"/>
      <c r="AJ28" s="70">
        <f>SUM(G28,I28:AI28)</f>
        <v>0</v>
      </c>
      <c r="AK28" s="70"/>
    </row>
    <row r="29" spans="1:37" s="110" customFormat="1" ht="15.75" x14ac:dyDescent="0.2">
      <c r="A29" s="74"/>
      <c r="B29" s="92"/>
      <c r="C29" s="74"/>
      <c r="D29" s="74"/>
      <c r="E29" s="74"/>
      <c r="F29" s="70"/>
      <c r="G29" s="70"/>
      <c r="H29" s="70"/>
      <c r="I29" s="70"/>
      <c r="J29" s="390" t="str">
        <f>Внебюджет!K43</f>
        <v>профиль "Безопасность автоматизированных систем (по отрасли или в сфере профессиональной деятельности)"</v>
      </c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0"/>
      <c r="AB29" s="390"/>
      <c r="AC29" s="390"/>
      <c r="AD29" s="70"/>
      <c r="AE29" s="70"/>
      <c r="AF29" s="70"/>
      <c r="AG29" s="70"/>
      <c r="AH29" s="70"/>
      <c r="AI29" s="70"/>
      <c r="AJ29" s="70"/>
      <c r="AK29" s="70"/>
    </row>
    <row r="30" spans="1:37" s="110" customFormat="1" ht="15" x14ac:dyDescent="0.2">
      <c r="A30" s="60" t="str">
        <f>Внебюджет!A49</f>
        <v>Б1.О.23</v>
      </c>
      <c r="B30" s="60" t="str">
        <f>Внебюджет!B49</f>
        <v>Электротехника</v>
      </c>
      <c r="C30" s="67" t="str">
        <f>Внебюджет!C49</f>
        <v>2\4</v>
      </c>
      <c r="D30" s="67">
        <f>Внебюджет!D49</f>
        <v>1</v>
      </c>
      <c r="E30" s="67">
        <f>Внебюджет!E49</f>
        <v>0</v>
      </c>
      <c r="F30" s="66">
        <f>Внебюджет!F49</f>
        <v>20</v>
      </c>
      <c r="G30" s="66">
        <f>Внебюджет!G49</f>
        <v>0</v>
      </c>
      <c r="H30" s="66">
        <f>Внебюджет!H49</f>
        <v>20</v>
      </c>
      <c r="I30" s="66">
        <f>Внебюджет!I49</f>
        <v>0</v>
      </c>
      <c r="J30" s="66">
        <f>Внебюджет!J49</f>
        <v>0</v>
      </c>
      <c r="K30" s="66">
        <f>Внебюджет!K49</f>
        <v>0</v>
      </c>
      <c r="L30" s="66">
        <f>Внебюджет!L49</f>
        <v>0</v>
      </c>
      <c r="M30" s="66">
        <f>Внебюджет!M49</f>
        <v>0.4</v>
      </c>
      <c r="N30" s="66">
        <f>Внебюджет!N49</f>
        <v>0</v>
      </c>
      <c r="O30" s="66">
        <f>Внебюджет!O49</f>
        <v>0</v>
      </c>
      <c r="P30" s="66">
        <f>Внебюджет!P49</f>
        <v>0</v>
      </c>
      <c r="Q30" s="66">
        <f>Внебюджет!Q49</f>
        <v>0</v>
      </c>
      <c r="R30" s="66">
        <f>Внебюджет!R49</f>
        <v>0</v>
      </c>
      <c r="S30" s="66">
        <f>Внебюджет!S49</f>
        <v>0</v>
      </c>
      <c r="T30" s="66">
        <f>Внебюджет!T49</f>
        <v>0</v>
      </c>
      <c r="U30" s="66">
        <f>Внебюджет!U49</f>
        <v>0</v>
      </c>
      <c r="V30" s="66">
        <f>Внебюджет!V49</f>
        <v>0</v>
      </c>
      <c r="W30" s="66">
        <f>Внебюджет!W49</f>
        <v>0</v>
      </c>
      <c r="X30" s="66">
        <f>Внебюджет!X49</f>
        <v>0</v>
      </c>
      <c r="Y30" s="66">
        <f>Внебюджет!Y49</f>
        <v>0</v>
      </c>
      <c r="Z30" s="66">
        <f>Внебюджет!Z49</f>
        <v>0</v>
      </c>
      <c r="AA30" s="66">
        <f>Внебюджет!AA49</f>
        <v>0</v>
      </c>
      <c r="AB30" s="66">
        <f>Внебюджет!AB49</f>
        <v>0</v>
      </c>
      <c r="AC30" s="66">
        <f>Внебюджет!AC49</f>
        <v>0</v>
      </c>
      <c r="AD30" s="66">
        <f>Внебюджет!AD49</f>
        <v>0</v>
      </c>
      <c r="AE30" s="66">
        <f>Внебюджет!AE49</f>
        <v>0</v>
      </c>
      <c r="AF30" s="66">
        <f>Внебюджет!AF49</f>
        <v>0</v>
      </c>
      <c r="AG30" s="66">
        <f>Внебюджет!AG49</f>
        <v>0</v>
      </c>
      <c r="AH30" s="66">
        <f>Внебюджет!AH49</f>
        <v>0</v>
      </c>
      <c r="AI30" s="66">
        <f>Внебюджет!AI49</f>
        <v>0</v>
      </c>
      <c r="AJ30" s="70">
        <f t="shared" ref="AJ30" si="4">SUM(G30,I30:AI30)</f>
        <v>0.4</v>
      </c>
      <c r="AK30" s="197"/>
    </row>
    <row r="31" spans="1:37" s="110" customFormat="1" ht="15.75" x14ac:dyDescent="0.2">
      <c r="A31" s="74"/>
      <c r="B31" s="108" t="s">
        <v>237</v>
      </c>
      <c r="C31" s="91"/>
      <c r="D31" s="91"/>
      <c r="E31" s="91"/>
      <c r="F31" s="88">
        <f t="shared" ref="F31:AJ31" si="5">SUM(F30:F30)</f>
        <v>20</v>
      </c>
      <c r="G31" s="88">
        <f t="shared" si="5"/>
        <v>0</v>
      </c>
      <c r="H31" s="88">
        <f t="shared" si="5"/>
        <v>20</v>
      </c>
      <c r="I31" s="88">
        <f t="shared" si="5"/>
        <v>0</v>
      </c>
      <c r="J31" s="88">
        <f t="shared" si="5"/>
        <v>0</v>
      </c>
      <c r="K31" s="88">
        <f t="shared" si="5"/>
        <v>0</v>
      </c>
      <c r="L31" s="88">
        <f t="shared" si="5"/>
        <v>0</v>
      </c>
      <c r="M31" s="88">
        <f t="shared" si="5"/>
        <v>0.4</v>
      </c>
      <c r="N31" s="88">
        <f t="shared" si="5"/>
        <v>0</v>
      </c>
      <c r="O31" s="88">
        <f t="shared" si="5"/>
        <v>0</v>
      </c>
      <c r="P31" s="88">
        <f t="shared" si="5"/>
        <v>0</v>
      </c>
      <c r="Q31" s="88">
        <f t="shared" si="5"/>
        <v>0</v>
      </c>
      <c r="R31" s="88">
        <f t="shared" si="5"/>
        <v>0</v>
      </c>
      <c r="S31" s="88">
        <f t="shared" si="5"/>
        <v>0</v>
      </c>
      <c r="T31" s="88">
        <f t="shared" si="5"/>
        <v>0</v>
      </c>
      <c r="U31" s="88">
        <f t="shared" si="5"/>
        <v>0</v>
      </c>
      <c r="V31" s="88">
        <f t="shared" si="5"/>
        <v>0</v>
      </c>
      <c r="W31" s="88">
        <f t="shared" si="5"/>
        <v>0</v>
      </c>
      <c r="X31" s="88">
        <f t="shared" si="5"/>
        <v>0</v>
      </c>
      <c r="Y31" s="88">
        <f t="shared" si="5"/>
        <v>0</v>
      </c>
      <c r="Z31" s="88">
        <f t="shared" si="5"/>
        <v>0</v>
      </c>
      <c r="AA31" s="88">
        <f t="shared" si="5"/>
        <v>0</v>
      </c>
      <c r="AB31" s="88">
        <f t="shared" si="5"/>
        <v>0</v>
      </c>
      <c r="AC31" s="88">
        <f t="shared" si="5"/>
        <v>0</v>
      </c>
      <c r="AD31" s="88">
        <f t="shared" si="5"/>
        <v>0</v>
      </c>
      <c r="AE31" s="88">
        <f t="shared" si="5"/>
        <v>0</v>
      </c>
      <c r="AF31" s="88">
        <f t="shared" si="5"/>
        <v>0</v>
      </c>
      <c r="AG31" s="88">
        <f t="shared" si="5"/>
        <v>0</v>
      </c>
      <c r="AH31" s="88">
        <f t="shared" si="5"/>
        <v>0</v>
      </c>
      <c r="AI31" s="88">
        <f t="shared" si="5"/>
        <v>0</v>
      </c>
      <c r="AJ31" s="88">
        <f t="shared" si="5"/>
        <v>0.4</v>
      </c>
      <c r="AK31" s="70"/>
    </row>
    <row r="32" spans="1:37" s="110" customFormat="1" ht="15.75" x14ac:dyDescent="0.2">
      <c r="A32" s="74"/>
      <c r="B32" s="100"/>
      <c r="C32" s="275"/>
      <c r="D32" s="275"/>
      <c r="E32" s="275"/>
      <c r="F32" s="73"/>
      <c r="G32" s="73"/>
      <c r="H32" s="73"/>
      <c r="I32" s="73"/>
      <c r="J32" s="117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9"/>
      <c r="AD32" s="73"/>
      <c r="AE32" s="73"/>
      <c r="AF32" s="73"/>
      <c r="AG32" s="73"/>
      <c r="AH32" s="73"/>
      <c r="AI32" s="73"/>
      <c r="AJ32" s="73"/>
      <c r="AK32" s="74"/>
    </row>
    <row r="33" spans="1:37" s="110" customFormat="1" ht="15.75" x14ac:dyDescent="0.2">
      <c r="A33" s="74"/>
      <c r="B33" s="198" t="s">
        <v>239</v>
      </c>
      <c r="C33" s="199"/>
      <c r="D33" s="199"/>
      <c r="E33" s="199"/>
      <c r="F33" s="98">
        <f>F31+F25</f>
        <v>20</v>
      </c>
      <c r="G33" s="98">
        <f t="shared" ref="G33:AJ33" si="6">G31+G25</f>
        <v>0</v>
      </c>
      <c r="H33" s="98">
        <f t="shared" si="6"/>
        <v>20</v>
      </c>
      <c r="I33" s="98">
        <f t="shared" si="6"/>
        <v>0</v>
      </c>
      <c r="J33" s="98">
        <f t="shared" si="6"/>
        <v>0</v>
      </c>
      <c r="K33" s="98">
        <f t="shared" si="6"/>
        <v>0.3</v>
      </c>
      <c r="L33" s="98">
        <f t="shared" si="6"/>
        <v>0</v>
      </c>
      <c r="M33" s="98">
        <f t="shared" si="6"/>
        <v>0.4</v>
      </c>
      <c r="N33" s="98">
        <f t="shared" si="6"/>
        <v>0</v>
      </c>
      <c r="O33" s="98">
        <f t="shared" si="6"/>
        <v>0</v>
      </c>
      <c r="P33" s="98">
        <f t="shared" si="6"/>
        <v>0</v>
      </c>
      <c r="Q33" s="98">
        <f t="shared" si="6"/>
        <v>0</v>
      </c>
      <c r="R33" s="98">
        <f t="shared" si="6"/>
        <v>0</v>
      </c>
      <c r="S33" s="98">
        <f t="shared" si="6"/>
        <v>0</v>
      </c>
      <c r="T33" s="98">
        <f t="shared" si="6"/>
        <v>0</v>
      </c>
      <c r="U33" s="98">
        <f t="shared" si="6"/>
        <v>0</v>
      </c>
      <c r="V33" s="98">
        <f t="shared" si="6"/>
        <v>0</v>
      </c>
      <c r="W33" s="98">
        <f t="shared" si="6"/>
        <v>0</v>
      </c>
      <c r="X33" s="98">
        <f t="shared" si="6"/>
        <v>0</v>
      </c>
      <c r="Y33" s="98">
        <f t="shared" si="6"/>
        <v>0</v>
      </c>
      <c r="Z33" s="98">
        <f t="shared" si="6"/>
        <v>0</v>
      </c>
      <c r="AA33" s="98">
        <f t="shared" si="6"/>
        <v>0</v>
      </c>
      <c r="AB33" s="98">
        <f t="shared" si="6"/>
        <v>0</v>
      </c>
      <c r="AC33" s="98">
        <f t="shared" si="6"/>
        <v>0</v>
      </c>
      <c r="AD33" s="98">
        <f t="shared" si="6"/>
        <v>0</v>
      </c>
      <c r="AE33" s="98">
        <f t="shared" si="6"/>
        <v>0</v>
      </c>
      <c r="AF33" s="98">
        <f t="shared" si="6"/>
        <v>0</v>
      </c>
      <c r="AG33" s="98">
        <f t="shared" si="6"/>
        <v>0</v>
      </c>
      <c r="AH33" s="98">
        <f t="shared" si="6"/>
        <v>0</v>
      </c>
      <c r="AI33" s="98">
        <f t="shared" si="6"/>
        <v>0</v>
      </c>
      <c r="AJ33" s="98">
        <f t="shared" si="6"/>
        <v>0.7</v>
      </c>
      <c r="AK33" s="200"/>
    </row>
    <row r="34" spans="1:37" s="110" customFormat="1" ht="15" x14ac:dyDescent="0.2">
      <c r="A34" s="201"/>
      <c r="B34" s="92"/>
      <c r="C34" s="90"/>
      <c r="D34" s="90"/>
      <c r="E34" s="9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>
        <f>SUM(I33:AI33)+G33-AJ33</f>
        <v>0</v>
      </c>
      <c r="AK34" s="74"/>
    </row>
    <row r="35" spans="1:37" s="110" customFormat="1" ht="15" x14ac:dyDescent="0.2">
      <c r="A35" s="201"/>
      <c r="B35" s="92"/>
      <c r="C35" s="90"/>
      <c r="D35" s="90"/>
      <c r="E35" s="9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4"/>
    </row>
    <row r="36" spans="1:37" s="110" customFormat="1" ht="15.75" x14ac:dyDescent="0.2">
      <c r="A36" s="201"/>
      <c r="B36" s="92"/>
      <c r="C36" s="201"/>
      <c r="D36" s="201"/>
      <c r="E36" s="201"/>
      <c r="F36" s="70"/>
      <c r="G36" s="70"/>
      <c r="H36" s="70"/>
      <c r="I36" s="70"/>
      <c r="J36" s="391" t="s">
        <v>58</v>
      </c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  <c r="AC36" s="391"/>
      <c r="AD36" s="70"/>
      <c r="AE36" s="70"/>
      <c r="AF36" s="70"/>
      <c r="AG36" s="70"/>
      <c r="AH36" s="70"/>
      <c r="AI36" s="70"/>
      <c r="AJ36" s="70">
        <f t="shared" ref="AJ36:AJ43" si="7">SUM(G36,I36:AI36)</f>
        <v>0</v>
      </c>
      <c r="AK36" s="200"/>
    </row>
    <row r="37" spans="1:37" s="110" customFormat="1" ht="15.75" x14ac:dyDescent="0.2">
      <c r="A37" s="201"/>
      <c r="B37" s="92"/>
      <c r="C37" s="201"/>
      <c r="D37" s="201"/>
      <c r="E37" s="201"/>
      <c r="F37" s="70"/>
      <c r="G37" s="70"/>
      <c r="H37" s="70"/>
      <c r="I37" s="70"/>
      <c r="J37" s="70"/>
      <c r="K37" s="73"/>
      <c r="L37" s="401" t="str">
        <f>Внебюджет!K62</f>
        <v>Геологический факультет</v>
      </c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73"/>
      <c r="AC37" s="70"/>
      <c r="AD37" s="70"/>
      <c r="AE37" s="70"/>
      <c r="AF37" s="70"/>
      <c r="AG37" s="70"/>
      <c r="AH37" s="70"/>
      <c r="AI37" s="70"/>
      <c r="AJ37" s="70">
        <f t="shared" si="7"/>
        <v>0</v>
      </c>
      <c r="AK37" s="201"/>
    </row>
    <row r="38" spans="1:37" s="110" customFormat="1" ht="15.75" customHeight="1" x14ac:dyDescent="0.2">
      <c r="A38" s="201"/>
      <c r="B38" s="92"/>
      <c r="C38" s="201"/>
      <c r="D38" s="201"/>
      <c r="E38" s="201"/>
      <c r="F38" s="70"/>
      <c r="G38" s="70"/>
      <c r="H38" s="70"/>
      <c r="I38" s="70"/>
      <c r="J38" s="398" t="str">
        <f>Внебюджет!G63</f>
        <v>ДНЕВНОЕ ОТДЕЛЕНИЕ Направление  05.03.01    "Геология"  (профили "Геология", "Геология, разработка месторождений нефти и газа")</v>
      </c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400"/>
      <c r="AD38" s="70"/>
      <c r="AE38" s="70"/>
      <c r="AF38" s="70"/>
      <c r="AG38" s="70"/>
      <c r="AH38" s="70"/>
      <c r="AI38" s="70"/>
      <c r="AJ38" s="70">
        <f t="shared" si="7"/>
        <v>0</v>
      </c>
      <c r="AK38" s="201"/>
    </row>
    <row r="39" spans="1:37" s="110" customFormat="1" ht="15" x14ac:dyDescent="0.2">
      <c r="A39" s="201" t="str">
        <f>Внебюджет!A64</f>
        <v>Б1.О.15</v>
      </c>
      <c r="B39" s="201" t="str">
        <f>Внебюджет!B64</f>
        <v xml:space="preserve">Физика </v>
      </c>
      <c r="C39" s="74">
        <f>Внебюджет!C64</f>
        <v>1.1000000000000001</v>
      </c>
      <c r="D39" s="74">
        <f>Внебюджет!D64</f>
        <v>1</v>
      </c>
      <c r="E39" s="74">
        <f>Внебюджет!E64</f>
        <v>1</v>
      </c>
      <c r="F39" s="70">
        <f>Внебюджет!F64</f>
        <v>36</v>
      </c>
      <c r="G39" s="70">
        <f>Внебюджет!G64</f>
        <v>0</v>
      </c>
      <c r="H39" s="70">
        <f>Внебюджет!H64</f>
        <v>0</v>
      </c>
      <c r="I39" s="70">
        <f>Внебюджет!I64</f>
        <v>0</v>
      </c>
      <c r="J39" s="70">
        <f>Внебюджет!J64</f>
        <v>0</v>
      </c>
      <c r="K39" s="70">
        <f>Внебюджет!K64</f>
        <v>0</v>
      </c>
      <c r="L39" s="70">
        <f>Внебюджет!L64</f>
        <v>0</v>
      </c>
      <c r="M39" s="70">
        <f>Внебюджет!M64</f>
        <v>0.4</v>
      </c>
      <c r="N39" s="70">
        <f>Внебюджет!N64</f>
        <v>0</v>
      </c>
      <c r="O39" s="70">
        <f>Внебюджет!O64</f>
        <v>0</v>
      </c>
      <c r="P39" s="70">
        <f>Внебюджет!P64</f>
        <v>0</v>
      </c>
      <c r="Q39" s="70">
        <f>Внебюджет!Q64</f>
        <v>0</v>
      </c>
      <c r="R39" s="70">
        <f>Внебюджет!R64</f>
        <v>0</v>
      </c>
      <c r="S39" s="70">
        <f>Внебюджет!S64</f>
        <v>0</v>
      </c>
      <c r="T39" s="70">
        <f>Внебюджет!T64</f>
        <v>0</v>
      </c>
      <c r="U39" s="70">
        <f>Внебюджет!U64</f>
        <v>0</v>
      </c>
      <c r="V39" s="70">
        <f>Внебюджет!V64</f>
        <v>0</v>
      </c>
      <c r="W39" s="70">
        <f>Внебюджет!W64</f>
        <v>0</v>
      </c>
      <c r="X39" s="70">
        <f>Внебюджет!X64</f>
        <v>0</v>
      </c>
      <c r="Y39" s="70">
        <f>Внебюджет!Y64</f>
        <v>0</v>
      </c>
      <c r="Z39" s="70">
        <f>Внебюджет!Z64</f>
        <v>0</v>
      </c>
      <c r="AA39" s="70">
        <f>Внебюджет!AA64</f>
        <v>0</v>
      </c>
      <c r="AB39" s="70">
        <f>Внебюджет!AB64</f>
        <v>0</v>
      </c>
      <c r="AC39" s="70">
        <f>Внебюджет!AC64</f>
        <v>0</v>
      </c>
      <c r="AD39" s="70">
        <f>Внебюджет!AD64</f>
        <v>0</v>
      </c>
      <c r="AE39" s="70">
        <f>Внебюджет!AE64</f>
        <v>0</v>
      </c>
      <c r="AF39" s="70">
        <f>Внебюджет!AF64</f>
        <v>0</v>
      </c>
      <c r="AG39" s="70">
        <f>Внебюджет!AG64</f>
        <v>0</v>
      </c>
      <c r="AH39" s="70">
        <f>Внебюджет!AH64</f>
        <v>0</v>
      </c>
      <c r="AI39" s="70">
        <f>Внебюджет!AI64</f>
        <v>0</v>
      </c>
      <c r="AJ39" s="70">
        <f t="shared" si="7"/>
        <v>0.4</v>
      </c>
      <c r="AK39" s="201"/>
    </row>
    <row r="40" spans="1:37" s="110" customFormat="1" ht="15.75" x14ac:dyDescent="0.2">
      <c r="A40" s="201"/>
      <c r="B40" s="92"/>
      <c r="C40" s="74"/>
      <c r="D40" s="74"/>
      <c r="E40" s="74"/>
      <c r="F40" s="70"/>
      <c r="G40" s="70"/>
      <c r="H40" s="70"/>
      <c r="I40" s="70"/>
      <c r="J40" s="398" t="str">
        <f>Внебюджет!G65</f>
        <v>ЗАОЧНОЕ ОТДЕЛЕНИЕ Специальность 21.05.02 "Прикладная геология" (специализации "Геология месторождений  нефти и газа", "Геологическая съемка, поиски и разведка месторождений твердых полезных ископаемых")</v>
      </c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400"/>
      <c r="AD40" s="70"/>
      <c r="AE40" s="70"/>
      <c r="AF40" s="70"/>
      <c r="AG40" s="70"/>
      <c r="AH40" s="70"/>
      <c r="AI40" s="70"/>
      <c r="AJ40" s="70">
        <f t="shared" si="7"/>
        <v>0</v>
      </c>
      <c r="AK40" s="201"/>
    </row>
    <row r="41" spans="1:37" s="110" customFormat="1" ht="15" x14ac:dyDescent="0.2">
      <c r="A41" s="201" t="str">
        <f>Внебюджет!A66</f>
        <v>Б1.О.15</v>
      </c>
      <c r="B41" s="201" t="str">
        <f>Внебюджет!B66</f>
        <v>Физика</v>
      </c>
      <c r="C41" s="74">
        <f>Внебюджет!C66</f>
        <v>1</v>
      </c>
      <c r="D41" s="74">
        <f>Внебюджет!D66</f>
        <v>60</v>
      </c>
      <c r="E41" s="74">
        <f>Внебюджет!E66</f>
        <v>2</v>
      </c>
      <c r="F41" s="70">
        <f>Внебюджет!F66</f>
        <v>8</v>
      </c>
      <c r="G41" s="70">
        <f>Внебюджет!G66</f>
        <v>8</v>
      </c>
      <c r="H41" s="70">
        <f>Внебюджет!H66</f>
        <v>10</v>
      </c>
      <c r="I41" s="70">
        <f>Внебюджет!I66</f>
        <v>40</v>
      </c>
      <c r="J41" s="70">
        <f>Внебюджет!J66</f>
        <v>0</v>
      </c>
      <c r="K41" s="70">
        <f>Внебюджет!K66</f>
        <v>0</v>
      </c>
      <c r="L41" s="70">
        <f>Внебюджет!L66</f>
        <v>0</v>
      </c>
      <c r="M41" s="70">
        <f>Внебюджет!M66</f>
        <v>24</v>
      </c>
      <c r="N41" s="70">
        <f>Внебюджет!N66</f>
        <v>0</v>
      </c>
      <c r="O41" s="70">
        <f>Внебюджет!O66</f>
        <v>0</v>
      </c>
      <c r="P41" s="70">
        <f>Внебюджет!P66</f>
        <v>0</v>
      </c>
      <c r="Q41" s="70">
        <f>Внебюджет!Q66</f>
        <v>3.2</v>
      </c>
      <c r="R41" s="70">
        <f>Внебюджет!R66</f>
        <v>0</v>
      </c>
      <c r="S41" s="70">
        <f>Внебюджет!S66</f>
        <v>0</v>
      </c>
      <c r="T41" s="70">
        <f>Внебюджет!T66</f>
        <v>0</v>
      </c>
      <c r="U41" s="70">
        <f>Внебюджет!U66</f>
        <v>0</v>
      </c>
      <c r="V41" s="70">
        <f>Внебюджет!V66</f>
        <v>0</v>
      </c>
      <c r="W41" s="70">
        <f>Внебюджет!W66</f>
        <v>0</v>
      </c>
      <c r="X41" s="70">
        <f>Внебюджет!X66</f>
        <v>0</v>
      </c>
      <c r="Y41" s="70">
        <f>Внебюджет!Y66</f>
        <v>0</v>
      </c>
      <c r="Z41" s="70">
        <f>Внебюджет!Z66</f>
        <v>0</v>
      </c>
      <c r="AA41" s="70">
        <f>Внебюджет!AA66</f>
        <v>0</v>
      </c>
      <c r="AB41" s="70">
        <f>Внебюджет!AB66</f>
        <v>0</v>
      </c>
      <c r="AC41" s="70">
        <f>Внебюджет!AC66</f>
        <v>0</v>
      </c>
      <c r="AD41" s="70">
        <f>Внебюджет!AD66</f>
        <v>0</v>
      </c>
      <c r="AE41" s="70">
        <f>Внебюджет!AE66</f>
        <v>0</v>
      </c>
      <c r="AF41" s="70">
        <f>Внебюджет!AF66</f>
        <v>0</v>
      </c>
      <c r="AG41" s="70">
        <f>Внебюджет!AG66</f>
        <v>0</v>
      </c>
      <c r="AH41" s="70">
        <f>Внебюджет!AH66</f>
        <v>0</v>
      </c>
      <c r="AI41" s="70">
        <f>Внебюджет!AI66</f>
        <v>0</v>
      </c>
      <c r="AJ41" s="70">
        <f t="shared" si="7"/>
        <v>75.2</v>
      </c>
      <c r="AK41" s="201"/>
    </row>
    <row r="42" spans="1:37" s="110" customFormat="1" ht="15.75" x14ac:dyDescent="0.2">
      <c r="A42" s="201"/>
      <c r="B42" s="92"/>
      <c r="C42" s="74"/>
      <c r="D42" s="74"/>
      <c r="E42" s="74"/>
      <c r="F42" s="70"/>
      <c r="G42" s="70"/>
      <c r="H42" s="70"/>
      <c r="I42" s="70"/>
      <c r="J42" s="398" t="str">
        <f>Внебюджет!G67</f>
        <v>ЗАОЧНОЕ ОТДЕЛЕНИЕ Специальность 21.05.02 "Прикладная геология" (специализации "Геология месторождений  нефти и газа")</v>
      </c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400"/>
      <c r="AD42" s="70"/>
      <c r="AE42" s="70"/>
      <c r="AF42" s="70"/>
      <c r="AG42" s="70"/>
      <c r="AH42" s="70"/>
      <c r="AI42" s="70"/>
      <c r="AJ42" s="70">
        <f t="shared" si="7"/>
        <v>0</v>
      </c>
      <c r="AK42" s="201"/>
    </row>
    <row r="43" spans="1:37" s="110" customFormat="1" ht="15" x14ac:dyDescent="0.2">
      <c r="A43" s="201" t="str">
        <f>Внебюджет!A68</f>
        <v>ЭЛК.ДВ.03.01</v>
      </c>
      <c r="B43" s="201" t="str">
        <f>Внебюджет!B68</f>
        <v xml:space="preserve">Электротехника и электроника </v>
      </c>
      <c r="C43" s="74">
        <f>Внебюджет!C68</f>
        <v>3</v>
      </c>
      <c r="D43" s="74">
        <f>Внебюджет!D68</f>
        <v>13</v>
      </c>
      <c r="E43" s="74">
        <f>Внебюджет!E68</f>
        <v>1</v>
      </c>
      <c r="F43" s="70">
        <f>Внебюджет!F68</f>
        <v>4</v>
      </c>
      <c r="G43" s="70">
        <f>Внебюджет!G68</f>
        <v>4</v>
      </c>
      <c r="H43" s="70">
        <f>Внебюджет!H68</f>
        <v>4</v>
      </c>
      <c r="I43" s="70">
        <f>Внебюджет!I68</f>
        <v>4</v>
      </c>
      <c r="J43" s="70">
        <f>Внебюджет!J68</f>
        <v>0</v>
      </c>
      <c r="K43" s="70">
        <f>Внебюджет!K68</f>
        <v>3.9</v>
      </c>
      <c r="L43" s="70">
        <f>Внебюджет!L68</f>
        <v>0</v>
      </c>
      <c r="M43" s="70">
        <f>Внебюджет!M68</f>
        <v>0</v>
      </c>
      <c r="N43" s="70">
        <f>Внебюджет!N68</f>
        <v>0</v>
      </c>
      <c r="O43" s="70">
        <f>Внебюджет!O68</f>
        <v>0</v>
      </c>
      <c r="P43" s="70">
        <f>Внебюджет!P68</f>
        <v>0</v>
      </c>
      <c r="Q43" s="70">
        <f>Внебюджет!Q68</f>
        <v>0.6</v>
      </c>
      <c r="R43" s="70">
        <f>Внебюджет!R68</f>
        <v>0</v>
      </c>
      <c r="S43" s="70">
        <f>Внебюджет!S68</f>
        <v>0</v>
      </c>
      <c r="T43" s="70">
        <f>Внебюджет!T68</f>
        <v>0</v>
      </c>
      <c r="U43" s="70">
        <f>Внебюджет!U68</f>
        <v>0</v>
      </c>
      <c r="V43" s="70">
        <f>Внебюджет!V68</f>
        <v>0</v>
      </c>
      <c r="W43" s="70">
        <f>Внебюджет!W68</f>
        <v>0</v>
      </c>
      <c r="X43" s="70">
        <f>Внебюджет!X68</f>
        <v>0</v>
      </c>
      <c r="Y43" s="70">
        <f>Внебюджет!Y68</f>
        <v>0</v>
      </c>
      <c r="Z43" s="70">
        <f>Внебюджет!Z68</f>
        <v>0</v>
      </c>
      <c r="AA43" s="70">
        <f>Внебюджет!AA68</f>
        <v>0</v>
      </c>
      <c r="AB43" s="70">
        <f>Внебюджет!AB68</f>
        <v>0</v>
      </c>
      <c r="AC43" s="70">
        <f>Внебюджет!AC68</f>
        <v>0</v>
      </c>
      <c r="AD43" s="70">
        <f>Внебюджет!AD68</f>
        <v>0</v>
      </c>
      <c r="AE43" s="70">
        <f>Внебюджет!AE68</f>
        <v>0</v>
      </c>
      <c r="AF43" s="70">
        <f>Внебюджет!AF68</f>
        <v>0</v>
      </c>
      <c r="AG43" s="70">
        <f>Внебюджет!AG68</f>
        <v>0</v>
      </c>
      <c r="AH43" s="70">
        <f>Внебюджет!AH68</f>
        <v>0</v>
      </c>
      <c r="AI43" s="70">
        <f>Внебюджет!AI68</f>
        <v>0</v>
      </c>
      <c r="AJ43" s="70">
        <f t="shared" si="7"/>
        <v>12.5</v>
      </c>
      <c r="AK43" s="201"/>
    </row>
    <row r="44" spans="1:37" s="110" customFormat="1" ht="15.75" x14ac:dyDescent="0.2">
      <c r="A44" s="201"/>
      <c r="B44" s="198" t="s">
        <v>240</v>
      </c>
      <c r="C44" s="210"/>
      <c r="D44" s="210"/>
      <c r="E44" s="210"/>
      <c r="F44" s="98">
        <f>SUM(F38:F43)</f>
        <v>48</v>
      </c>
      <c r="G44" s="98">
        <f t="shared" ref="G44:AJ44" si="8">SUM(G38:G43)</f>
        <v>12</v>
      </c>
      <c r="H44" s="98">
        <f t="shared" si="8"/>
        <v>14</v>
      </c>
      <c r="I44" s="98">
        <f t="shared" si="8"/>
        <v>44</v>
      </c>
      <c r="J44" s="98">
        <f t="shared" si="8"/>
        <v>0</v>
      </c>
      <c r="K44" s="98">
        <f t="shared" si="8"/>
        <v>3.9</v>
      </c>
      <c r="L44" s="98">
        <f t="shared" si="8"/>
        <v>0</v>
      </c>
      <c r="M44" s="98">
        <f t="shared" si="8"/>
        <v>24.4</v>
      </c>
      <c r="N44" s="98">
        <f t="shared" si="8"/>
        <v>0</v>
      </c>
      <c r="O44" s="98">
        <f t="shared" si="8"/>
        <v>0</v>
      </c>
      <c r="P44" s="98">
        <f t="shared" si="8"/>
        <v>0</v>
      </c>
      <c r="Q44" s="98">
        <f t="shared" si="8"/>
        <v>3.8000000000000003</v>
      </c>
      <c r="R44" s="98">
        <f t="shared" si="8"/>
        <v>0</v>
      </c>
      <c r="S44" s="98">
        <f t="shared" si="8"/>
        <v>0</v>
      </c>
      <c r="T44" s="98">
        <f t="shared" si="8"/>
        <v>0</v>
      </c>
      <c r="U44" s="98">
        <f t="shared" si="8"/>
        <v>0</v>
      </c>
      <c r="V44" s="98">
        <f t="shared" si="8"/>
        <v>0</v>
      </c>
      <c r="W44" s="98">
        <f t="shared" si="8"/>
        <v>0</v>
      </c>
      <c r="X44" s="98">
        <f t="shared" si="8"/>
        <v>0</v>
      </c>
      <c r="Y44" s="98">
        <f t="shared" si="8"/>
        <v>0</v>
      </c>
      <c r="Z44" s="98">
        <f t="shared" si="8"/>
        <v>0</v>
      </c>
      <c r="AA44" s="98">
        <f t="shared" si="8"/>
        <v>0</v>
      </c>
      <c r="AB44" s="98">
        <f t="shared" si="8"/>
        <v>0</v>
      </c>
      <c r="AC44" s="98">
        <f t="shared" si="8"/>
        <v>0</v>
      </c>
      <c r="AD44" s="98">
        <f t="shared" si="8"/>
        <v>0</v>
      </c>
      <c r="AE44" s="98">
        <f t="shared" si="8"/>
        <v>0</v>
      </c>
      <c r="AF44" s="98">
        <f t="shared" si="8"/>
        <v>0</v>
      </c>
      <c r="AG44" s="98">
        <f t="shared" si="8"/>
        <v>0</v>
      </c>
      <c r="AH44" s="98">
        <f t="shared" si="8"/>
        <v>0</v>
      </c>
      <c r="AI44" s="98">
        <f t="shared" si="8"/>
        <v>0</v>
      </c>
      <c r="AJ44" s="98">
        <f t="shared" si="8"/>
        <v>88.100000000000009</v>
      </c>
      <c r="AK44" s="201"/>
    </row>
    <row r="45" spans="1:37" s="110" customFormat="1" ht="15" x14ac:dyDescent="0.2">
      <c r="A45" s="201"/>
      <c r="B45" s="92"/>
      <c r="C45" s="201"/>
      <c r="D45" s="201"/>
      <c r="E45" s="201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201"/>
    </row>
    <row r="46" spans="1:37" s="110" customFormat="1" ht="15.75" x14ac:dyDescent="0.2">
      <c r="A46" s="201"/>
      <c r="B46" s="206" t="s">
        <v>181</v>
      </c>
      <c r="C46" s="206"/>
      <c r="D46" s="206"/>
      <c r="E46" s="206"/>
      <c r="F46" s="99">
        <f t="shared" ref="F46:AJ46" si="9">SUM(F44,F33)</f>
        <v>68</v>
      </c>
      <c r="G46" s="99">
        <f t="shared" si="9"/>
        <v>12</v>
      </c>
      <c r="H46" s="99">
        <f t="shared" si="9"/>
        <v>34</v>
      </c>
      <c r="I46" s="99">
        <f t="shared" si="9"/>
        <v>44</v>
      </c>
      <c r="J46" s="99">
        <f t="shared" si="9"/>
        <v>0</v>
      </c>
      <c r="K46" s="99">
        <f t="shared" si="9"/>
        <v>4.2</v>
      </c>
      <c r="L46" s="99">
        <f t="shared" si="9"/>
        <v>0</v>
      </c>
      <c r="M46" s="99">
        <f t="shared" si="9"/>
        <v>24.799999999999997</v>
      </c>
      <c r="N46" s="99">
        <f t="shared" si="9"/>
        <v>0</v>
      </c>
      <c r="O46" s="99">
        <f t="shared" si="9"/>
        <v>0</v>
      </c>
      <c r="P46" s="99">
        <f t="shared" si="9"/>
        <v>0</v>
      </c>
      <c r="Q46" s="99">
        <f t="shared" si="9"/>
        <v>3.8000000000000003</v>
      </c>
      <c r="R46" s="99">
        <f t="shared" si="9"/>
        <v>0</v>
      </c>
      <c r="S46" s="99">
        <f t="shared" si="9"/>
        <v>0</v>
      </c>
      <c r="T46" s="99">
        <f t="shared" si="9"/>
        <v>0</v>
      </c>
      <c r="U46" s="99">
        <f t="shared" si="9"/>
        <v>0</v>
      </c>
      <c r="V46" s="99">
        <f t="shared" si="9"/>
        <v>0</v>
      </c>
      <c r="W46" s="99">
        <f t="shared" si="9"/>
        <v>0</v>
      </c>
      <c r="X46" s="99">
        <f t="shared" si="9"/>
        <v>0</v>
      </c>
      <c r="Y46" s="99">
        <f t="shared" si="9"/>
        <v>0</v>
      </c>
      <c r="Z46" s="99">
        <f t="shared" si="9"/>
        <v>0</v>
      </c>
      <c r="AA46" s="99">
        <f t="shared" si="9"/>
        <v>0</v>
      </c>
      <c r="AB46" s="99">
        <f t="shared" si="9"/>
        <v>0</v>
      </c>
      <c r="AC46" s="99">
        <f t="shared" si="9"/>
        <v>0</v>
      </c>
      <c r="AD46" s="99">
        <f t="shared" si="9"/>
        <v>0</v>
      </c>
      <c r="AE46" s="99">
        <f t="shared" si="9"/>
        <v>0</v>
      </c>
      <c r="AF46" s="99">
        <f t="shared" si="9"/>
        <v>0</v>
      </c>
      <c r="AG46" s="99">
        <f t="shared" si="9"/>
        <v>0</v>
      </c>
      <c r="AH46" s="99">
        <f t="shared" si="9"/>
        <v>0</v>
      </c>
      <c r="AI46" s="99">
        <f t="shared" si="9"/>
        <v>0</v>
      </c>
      <c r="AJ46" s="99">
        <f t="shared" si="9"/>
        <v>88.800000000000011</v>
      </c>
      <c r="AK46" s="200"/>
    </row>
    <row r="47" spans="1:37" s="205" customFormat="1" ht="15" x14ac:dyDescent="0.2">
      <c r="AJ47" s="218">
        <f>SUM(G46,I46:AI46)-AJ46</f>
        <v>0</v>
      </c>
    </row>
    <row r="48" spans="1:37" s="205" customFormat="1" ht="15" x14ac:dyDescent="0.2">
      <c r="A48" s="205" t="s">
        <v>391</v>
      </c>
      <c r="B48" s="219"/>
      <c r="F48" s="411"/>
      <c r="G48" s="411"/>
      <c r="H48" s="411"/>
    </row>
    <row r="49" s="205" customFormat="1" ht="15" x14ac:dyDescent="0.2"/>
  </sheetData>
  <protectedRanges>
    <protectedRange sqref="A26 N12:AK12 A12:L12 A34:AJ35 A33:AK33 A46:AJ46 A45:AI45 AD36:AI36 A44 A16:AK21 A27:AI30 AK26:AK31 A31:A32 AC37:AI38 A36:I38 J37 A40:I40 AC40:AI40 A42:I42 AC42:AI42 A39:AI39 A41:AI41 AK36 A43:AI43 C44:AJ44" name="Диапазон1"/>
    <protectedRange sqref="C32:AJ32" name="Диапазон1_1"/>
    <protectedRange sqref="C31:AJ31" name="Диапазон1_4"/>
    <protectedRange sqref="C26:AI26" name="Диапазон1_5"/>
    <protectedRange sqref="J36:M36 O36:AC36" name="Диапазон1_6"/>
    <protectedRange sqref="B25" name="Диапазон1_8"/>
    <protectedRange sqref="B26" name="Диапазон1_10"/>
    <protectedRange sqref="B31" name="Диапазон1_2"/>
    <protectedRange sqref="B32" name="Диапазон1_3"/>
    <protectedRange sqref="B44" name="Диапазон1_9"/>
    <protectedRange sqref="A48" name="Диапазон1_12"/>
    <protectedRange sqref="AJ30 AJ24 AJ36:AJ43" name="Диапазон1_15"/>
    <protectedRange sqref="A1:H11 I1:AK8 I10:L11 N10:AK11 AA9:AK9" name="Диапазон1_2_1"/>
    <protectedRange sqref="I9 L9:Z9" name="Диапазон1_7_1"/>
  </protectedRanges>
  <mergeCells count="54">
    <mergeCell ref="J36:AC36"/>
    <mergeCell ref="F48:H48"/>
    <mergeCell ref="J28:AC28"/>
    <mergeCell ref="P13:P14"/>
    <mergeCell ref="Q13:R13"/>
    <mergeCell ref="J27:AC27"/>
    <mergeCell ref="J29:AC29"/>
    <mergeCell ref="Y13:Y14"/>
    <mergeCell ref="Z13:Z14"/>
    <mergeCell ref="J13:J14"/>
    <mergeCell ref="K13:K14"/>
    <mergeCell ref="L13:O13"/>
    <mergeCell ref="L37:AA37"/>
    <mergeCell ref="J38:AC38"/>
    <mergeCell ref="J40:AC40"/>
    <mergeCell ref="K23:AB23"/>
    <mergeCell ref="AI13:AI14"/>
    <mergeCell ref="AJ13:AJ14"/>
    <mergeCell ref="U13:U14"/>
    <mergeCell ref="V13:V14"/>
    <mergeCell ref="S13:T13"/>
    <mergeCell ref="W13:X13"/>
    <mergeCell ref="AA13:AA14"/>
    <mergeCell ref="AB13:AB14"/>
    <mergeCell ref="AC13:AD13"/>
    <mergeCell ref="AE13:AF13"/>
    <mergeCell ref="AG13:AH13"/>
    <mergeCell ref="A13:A14"/>
    <mergeCell ref="B13:B14"/>
    <mergeCell ref="C13:C14"/>
    <mergeCell ref="D13:D14"/>
    <mergeCell ref="E13:E14"/>
    <mergeCell ref="B4:F4"/>
    <mergeCell ref="AF1:AK1"/>
    <mergeCell ref="B2:G2"/>
    <mergeCell ref="AF2:AK2"/>
    <mergeCell ref="B3:G3"/>
    <mergeCell ref="AC3:AK3"/>
    <mergeCell ref="J42:AC42"/>
    <mergeCell ref="K11:X11"/>
    <mergeCell ref="I9:Z9"/>
    <mergeCell ref="K10:X10"/>
    <mergeCell ref="B5:G5"/>
    <mergeCell ref="AC5:AK5"/>
    <mergeCell ref="B6:G6"/>
    <mergeCell ref="AC6:AK6"/>
    <mergeCell ref="B7:G7"/>
    <mergeCell ref="AC7:AK7"/>
    <mergeCell ref="K12:X12"/>
    <mergeCell ref="F13:G13"/>
    <mergeCell ref="H13:I13"/>
    <mergeCell ref="AK13:AK14"/>
    <mergeCell ref="N21:Y21"/>
    <mergeCell ref="L22:AA22"/>
  </mergeCells>
  <conditionalFormatting sqref="A40:J40">
    <cfRule type="cellIs" dxfId="31" priority="3" stopIfTrue="1" operator="equal">
      <formula>0</formula>
    </cfRule>
  </conditionalFormatting>
  <conditionalFormatting sqref="A42:J42">
    <cfRule type="cellIs" dxfId="30" priority="2" stopIfTrue="1" operator="equal">
      <formula>0</formula>
    </cfRule>
  </conditionalFormatting>
  <conditionalFormatting sqref="A37:AI37 AK37:XFD43 A38:J38 AD38:AI38 A39:AI39 AD40:AI40 A41:AI41 AD42:AI42 A43:AI43">
    <cfRule type="cellIs" dxfId="29" priority="32" stopIfTrue="1" operator="equal">
      <formula>0</formula>
    </cfRule>
  </conditionalFormatting>
  <conditionalFormatting sqref="A32:IV32">
    <cfRule type="cellIs" dxfId="28" priority="38" stopIfTrue="1" operator="equal">
      <formula>0</formula>
    </cfRule>
  </conditionalFormatting>
  <conditionalFormatting sqref="A44:IV44">
    <cfRule type="cellIs" dxfId="27" priority="57" stopIfTrue="1" operator="equal">
      <formula>0</formula>
    </cfRule>
  </conditionalFormatting>
  <conditionalFormatting sqref="A1:XFD31">
    <cfRule type="cellIs" dxfId="26" priority="4" stopIfTrue="1" operator="equal">
      <formula>0</formula>
    </cfRule>
  </conditionalFormatting>
  <conditionalFormatting sqref="A33:XFD33">
    <cfRule type="cellIs" dxfId="25" priority="55" stopIfTrue="1" operator="equal">
      <formula>0</formula>
    </cfRule>
  </conditionalFormatting>
  <conditionalFormatting sqref="A45:XFD65414">
    <cfRule type="cellIs" dxfId="24" priority="50" stopIfTrue="1" operator="equal">
      <formula>0</formula>
    </cfRule>
  </conditionalFormatting>
  <conditionalFormatting sqref="K34:IV35 A34:J36 AD36:AI36 AK36:IV36">
    <cfRule type="cellIs" dxfId="23" priority="59" stopIfTrue="1" operator="equal">
      <formula>0</formula>
    </cfRule>
  </conditionalFormatting>
  <conditionalFormatting sqref="AJ36:AJ43">
    <cfRule type="cellIs" dxfId="22" priority="1" stopIfTrue="1" operator="equal">
      <formula>0</formula>
    </cfRule>
  </conditionalFormatting>
  <pageMargins left="0.7" right="0.7" top="0.75" bottom="0.75" header="0.3" footer="0.3"/>
  <pageSetup paperSize="9" scale="31" fitToHeight="0" orientation="landscape" r:id="rId1"/>
  <rowBreaks count="1" manualBreakCount="1">
    <brk id="34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K42"/>
  <sheetViews>
    <sheetView view="pageBreakPreview" zoomScale="60" zoomScaleNormal="70" workbookViewId="0"/>
  </sheetViews>
  <sheetFormatPr defaultRowHeight="12.75" x14ac:dyDescent="0.2"/>
  <cols>
    <col min="1" max="1" width="19.28515625" customWidth="1"/>
    <col min="2" max="2" width="53.42578125" customWidth="1"/>
    <col min="3" max="3" width="5.5703125" customWidth="1"/>
    <col min="4" max="4" width="7.140625" bestFit="1" customWidth="1"/>
    <col min="5" max="5" width="5.5703125" customWidth="1"/>
    <col min="6" max="6" width="10.85546875" customWidth="1"/>
    <col min="7" max="8" width="11.42578125" customWidth="1"/>
    <col min="9" max="9" width="11.5703125" customWidth="1"/>
    <col min="10" max="10" width="12" customWidth="1"/>
    <col min="11" max="11" width="10.42578125" customWidth="1"/>
    <col min="12" max="12" width="6.85546875" customWidth="1"/>
    <col min="13" max="13" width="10" customWidth="1"/>
    <col min="14" max="14" width="8.5703125" bestFit="1" customWidth="1"/>
    <col min="15" max="15" width="7.5703125" customWidth="1"/>
    <col min="16" max="16" width="9.85546875" customWidth="1"/>
    <col min="17" max="17" width="9.42578125" bestFit="1" customWidth="1"/>
    <col min="18" max="18" width="7.42578125" customWidth="1"/>
    <col min="19" max="19" width="9.42578125" bestFit="1" customWidth="1"/>
    <col min="20" max="20" width="10.5703125" customWidth="1"/>
    <col min="21" max="21" width="8.5703125" bestFit="1" customWidth="1"/>
    <col min="22" max="22" width="10.42578125" customWidth="1"/>
    <col min="23" max="23" width="9.85546875" bestFit="1" customWidth="1"/>
    <col min="24" max="24" width="8.5703125" bestFit="1" customWidth="1"/>
    <col min="25" max="25" width="7.140625" customWidth="1"/>
    <col min="26" max="26" width="6.140625" customWidth="1"/>
    <col min="27" max="27" width="7.140625" customWidth="1"/>
    <col min="28" max="28" width="9.5703125" customWidth="1"/>
    <col min="29" max="30" width="6.140625" customWidth="1"/>
    <col min="31" max="31" width="7.5703125" customWidth="1"/>
    <col min="32" max="32" width="6.85546875" customWidth="1"/>
    <col min="33" max="33" width="7.5703125" customWidth="1"/>
    <col min="34" max="34" width="10.5703125" customWidth="1"/>
    <col min="35" max="35" width="10" customWidth="1"/>
    <col min="36" max="36" width="13.42578125" customWidth="1"/>
    <col min="37" max="37" width="21.5703125" customWidth="1"/>
    <col min="39" max="39" width="32.140625" customWidth="1"/>
  </cols>
  <sheetData>
    <row r="1" spans="1:37" s="205" customFormat="1" ht="15" x14ac:dyDescent="0.2">
      <c r="AF1" s="378" t="s">
        <v>153</v>
      </c>
      <c r="AG1" s="378"/>
      <c r="AH1" s="378"/>
      <c r="AI1" s="378"/>
      <c r="AJ1" s="378"/>
      <c r="AK1" s="378"/>
    </row>
    <row r="2" spans="1:37" s="205" customFormat="1" ht="15" x14ac:dyDescent="0.2">
      <c r="B2" s="378" t="s">
        <v>1</v>
      </c>
      <c r="C2" s="378"/>
      <c r="D2" s="378"/>
      <c r="E2" s="378"/>
      <c r="F2" s="378"/>
      <c r="G2" s="378"/>
      <c r="H2" s="277"/>
      <c r="I2" s="27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377"/>
      <c r="AG2" s="377"/>
      <c r="AH2" s="377"/>
      <c r="AI2" s="377"/>
      <c r="AJ2" s="377"/>
      <c r="AK2" s="377"/>
    </row>
    <row r="3" spans="1:37" s="205" customFormat="1" ht="15" x14ac:dyDescent="0.2">
      <c r="B3" s="378" t="s">
        <v>2</v>
      </c>
      <c r="C3" s="378"/>
      <c r="D3" s="378"/>
      <c r="E3" s="378"/>
      <c r="F3" s="378"/>
      <c r="G3" s="378"/>
      <c r="H3" s="277"/>
      <c r="I3" s="277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377" t="s">
        <v>3</v>
      </c>
      <c r="AD3" s="377"/>
      <c r="AE3" s="377"/>
      <c r="AF3" s="377"/>
      <c r="AG3" s="377"/>
      <c r="AH3" s="377"/>
      <c r="AI3" s="377"/>
      <c r="AJ3" s="377"/>
      <c r="AK3" s="377"/>
    </row>
    <row r="4" spans="1:37" s="205" customFormat="1" ht="15" x14ac:dyDescent="0.2">
      <c r="B4" s="378" t="s">
        <v>154</v>
      </c>
      <c r="C4" s="378"/>
      <c r="D4" s="378"/>
      <c r="E4" s="378"/>
      <c r="F4" s="378"/>
      <c r="G4" s="277"/>
      <c r="H4" s="277"/>
      <c r="I4" s="277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</row>
    <row r="5" spans="1:37" s="205" customFormat="1" ht="15" x14ac:dyDescent="0.2">
      <c r="B5" s="378" t="s">
        <v>6</v>
      </c>
      <c r="C5" s="378"/>
      <c r="D5" s="378"/>
      <c r="E5" s="378"/>
      <c r="F5" s="378"/>
      <c r="G5" s="378"/>
      <c r="H5" s="277"/>
      <c r="I5" s="27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77" t="s">
        <v>155</v>
      </c>
      <c r="AD5" s="377"/>
      <c r="AE5" s="377"/>
      <c r="AF5" s="377"/>
      <c r="AG5" s="377"/>
      <c r="AH5" s="377"/>
      <c r="AI5" s="377"/>
      <c r="AJ5" s="377"/>
      <c r="AK5" s="377"/>
    </row>
    <row r="6" spans="1:37" s="205" customFormat="1" ht="15" x14ac:dyDescent="0.2">
      <c r="B6" s="378" t="s">
        <v>7</v>
      </c>
      <c r="C6" s="378"/>
      <c r="D6" s="378"/>
      <c r="E6" s="378"/>
      <c r="F6" s="378"/>
      <c r="G6" s="378"/>
      <c r="H6" s="277"/>
      <c r="I6" s="277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377" t="s">
        <v>168</v>
      </c>
      <c r="AD6" s="377"/>
      <c r="AE6" s="377"/>
      <c r="AF6" s="377"/>
      <c r="AG6" s="377"/>
      <c r="AH6" s="377"/>
      <c r="AI6" s="377"/>
      <c r="AJ6" s="377"/>
      <c r="AK6" s="377"/>
    </row>
    <row r="7" spans="1:37" s="205" customFormat="1" ht="15" x14ac:dyDescent="0.2">
      <c r="B7" s="378" t="s">
        <v>9</v>
      </c>
      <c r="C7" s="378"/>
      <c r="D7" s="378"/>
      <c r="E7" s="378"/>
      <c r="F7" s="378"/>
      <c r="G7" s="378"/>
      <c r="H7" s="277"/>
      <c r="I7" s="277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377" t="s">
        <v>589</v>
      </c>
      <c r="AD7" s="377"/>
      <c r="AE7" s="377"/>
      <c r="AF7" s="377"/>
      <c r="AG7" s="377"/>
      <c r="AH7" s="377"/>
      <c r="AI7" s="377"/>
      <c r="AJ7" s="377"/>
      <c r="AK7" s="377"/>
    </row>
    <row r="8" spans="1:37" s="205" customFormat="1" ht="15" x14ac:dyDescent="0.2">
      <c r="B8" s="277"/>
      <c r="C8" s="277"/>
      <c r="D8" s="277"/>
      <c r="E8" s="277"/>
      <c r="F8" s="277"/>
      <c r="G8" s="277"/>
      <c r="H8" s="277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</row>
    <row r="9" spans="1:37" s="205" customFormat="1" ht="15.75" customHeight="1" x14ac:dyDescent="0.2">
      <c r="B9" s="290" t="s">
        <v>131</v>
      </c>
      <c r="C9" s="277"/>
      <c r="D9" s="277"/>
      <c r="E9" s="277"/>
      <c r="F9" s="277"/>
      <c r="G9" s="277"/>
      <c r="H9" s="277"/>
      <c r="I9" s="403" t="s">
        <v>160</v>
      </c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3"/>
      <c r="AB9" s="278"/>
      <c r="AC9" s="278"/>
      <c r="AD9" s="278"/>
      <c r="AE9" s="278"/>
      <c r="AF9" s="278"/>
      <c r="AG9" s="278"/>
      <c r="AH9" s="278"/>
      <c r="AI9" s="278"/>
      <c r="AJ9" s="278"/>
      <c r="AK9" s="278"/>
    </row>
    <row r="10" spans="1:37" s="205" customFormat="1" ht="15.75" x14ac:dyDescent="0.2">
      <c r="B10" s="277"/>
      <c r="C10" s="277"/>
      <c r="D10" s="277"/>
      <c r="E10" s="277"/>
      <c r="F10" s="277"/>
      <c r="G10" s="277"/>
      <c r="H10" s="277"/>
      <c r="I10" s="277"/>
      <c r="J10" s="278"/>
      <c r="K10" s="403" t="str">
        <f>Бюджет!K10</f>
        <v>на 2025 - 2026 учебный год</v>
      </c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"/>
      <c r="Z10" s="4"/>
      <c r="AA10" s="4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</row>
    <row r="11" spans="1:37" s="205" customFormat="1" ht="15" x14ac:dyDescent="0.2">
      <c r="B11" s="277"/>
      <c r="C11" s="277"/>
      <c r="D11" s="277"/>
      <c r="E11" s="277"/>
      <c r="F11" s="277"/>
      <c r="G11" s="277"/>
      <c r="H11" s="277"/>
      <c r="I11" s="277"/>
      <c r="J11" s="278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291"/>
      <c r="Z11" s="291"/>
      <c r="AA11" s="291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</row>
    <row r="12" spans="1:37" x14ac:dyDescent="0.2">
      <c r="A12" s="394" t="s">
        <v>12</v>
      </c>
      <c r="B12" s="402" t="s">
        <v>13</v>
      </c>
      <c r="C12" s="422" t="s">
        <v>14</v>
      </c>
      <c r="D12" s="428" t="s">
        <v>15</v>
      </c>
      <c r="E12" s="422" t="s">
        <v>16</v>
      </c>
      <c r="F12" s="388" t="s">
        <v>17</v>
      </c>
      <c r="G12" s="388"/>
      <c r="H12" s="388" t="s">
        <v>18</v>
      </c>
      <c r="I12" s="388"/>
      <c r="J12" s="421" t="s">
        <v>19</v>
      </c>
      <c r="K12" s="421" t="s">
        <v>20</v>
      </c>
      <c r="L12" s="388" t="s">
        <v>21</v>
      </c>
      <c r="M12" s="388"/>
      <c r="N12" s="388"/>
      <c r="O12" s="388"/>
      <c r="P12" s="421" t="s">
        <v>22</v>
      </c>
      <c r="Q12" s="388" t="s">
        <v>23</v>
      </c>
      <c r="R12" s="388"/>
      <c r="S12" s="388" t="s">
        <v>24</v>
      </c>
      <c r="T12" s="388"/>
      <c r="U12" s="421" t="s">
        <v>25</v>
      </c>
      <c r="V12" s="421" t="s">
        <v>26</v>
      </c>
      <c r="W12" s="388" t="s">
        <v>27</v>
      </c>
      <c r="X12" s="388"/>
      <c r="Y12" s="421" t="s">
        <v>28</v>
      </c>
      <c r="Z12" s="421" t="s">
        <v>29</v>
      </c>
      <c r="AA12" s="421" t="s">
        <v>30</v>
      </c>
      <c r="AB12" s="421" t="s">
        <v>31</v>
      </c>
      <c r="AC12" s="388" t="s">
        <v>32</v>
      </c>
      <c r="AD12" s="388"/>
      <c r="AE12" s="388" t="s">
        <v>33</v>
      </c>
      <c r="AF12" s="388"/>
      <c r="AG12" s="388" t="s">
        <v>34</v>
      </c>
      <c r="AH12" s="388"/>
      <c r="AI12" s="421" t="s">
        <v>35</v>
      </c>
      <c r="AJ12" s="421" t="s">
        <v>36</v>
      </c>
      <c r="AK12" s="421" t="s">
        <v>156</v>
      </c>
    </row>
    <row r="13" spans="1:37" ht="122.25" x14ac:dyDescent="0.2">
      <c r="A13" s="394"/>
      <c r="B13" s="402"/>
      <c r="C13" s="422"/>
      <c r="D13" s="428"/>
      <c r="E13" s="422"/>
      <c r="F13" s="21" t="s">
        <v>38</v>
      </c>
      <c r="G13" s="22" t="s">
        <v>39</v>
      </c>
      <c r="H13" s="22" t="s">
        <v>38</v>
      </c>
      <c r="I13" s="22" t="s">
        <v>39</v>
      </c>
      <c r="J13" s="421"/>
      <c r="K13" s="421"/>
      <c r="L13" s="23" t="s">
        <v>40</v>
      </c>
      <c r="M13" s="23" t="s">
        <v>41</v>
      </c>
      <c r="N13" s="23" t="s">
        <v>42</v>
      </c>
      <c r="O13" s="23" t="s">
        <v>43</v>
      </c>
      <c r="P13" s="421"/>
      <c r="Q13" s="23" t="s">
        <v>44</v>
      </c>
      <c r="R13" s="23" t="s">
        <v>45</v>
      </c>
      <c r="S13" s="23" t="s">
        <v>46</v>
      </c>
      <c r="T13" s="23" t="s">
        <v>47</v>
      </c>
      <c r="U13" s="421"/>
      <c r="V13" s="421"/>
      <c r="W13" s="23" t="s">
        <v>33</v>
      </c>
      <c r="X13" s="23" t="s">
        <v>48</v>
      </c>
      <c r="Y13" s="421"/>
      <c r="Z13" s="421"/>
      <c r="AA13" s="421"/>
      <c r="AB13" s="421"/>
      <c r="AC13" s="23" t="s">
        <v>49</v>
      </c>
      <c r="AD13" s="23" t="s">
        <v>50</v>
      </c>
      <c r="AE13" s="23" t="s">
        <v>51</v>
      </c>
      <c r="AF13" s="23" t="s">
        <v>52</v>
      </c>
      <c r="AG13" s="23" t="s">
        <v>53</v>
      </c>
      <c r="AH13" s="23" t="s">
        <v>157</v>
      </c>
      <c r="AI13" s="421"/>
      <c r="AJ13" s="421"/>
      <c r="AK13" s="421"/>
    </row>
    <row r="14" spans="1:37" x14ac:dyDescent="0.2">
      <c r="A14" s="41">
        <v>1</v>
      </c>
      <c r="B14" s="41">
        <v>2</v>
      </c>
      <c r="C14" s="41">
        <v>3</v>
      </c>
      <c r="D14" s="41">
        <v>4</v>
      </c>
      <c r="E14" s="41">
        <v>5</v>
      </c>
      <c r="F14" s="41">
        <v>6</v>
      </c>
      <c r="G14" s="41">
        <v>7</v>
      </c>
      <c r="H14" s="41">
        <v>8</v>
      </c>
      <c r="I14" s="41">
        <v>9</v>
      </c>
      <c r="J14" s="41">
        <v>10</v>
      </c>
      <c r="K14" s="41">
        <v>11</v>
      </c>
      <c r="L14" s="41">
        <v>12</v>
      </c>
      <c r="M14" s="41">
        <v>13</v>
      </c>
      <c r="N14" s="41">
        <v>14</v>
      </c>
      <c r="O14" s="41">
        <v>15</v>
      </c>
      <c r="P14" s="41">
        <v>16</v>
      </c>
      <c r="Q14" s="41">
        <v>17</v>
      </c>
      <c r="R14" s="41">
        <v>18</v>
      </c>
      <c r="S14" s="41">
        <v>19</v>
      </c>
      <c r="T14" s="41">
        <v>20</v>
      </c>
      <c r="U14" s="41">
        <v>21</v>
      </c>
      <c r="V14" s="41">
        <v>22</v>
      </c>
      <c r="W14" s="41">
        <v>23</v>
      </c>
      <c r="X14" s="41">
        <v>24</v>
      </c>
      <c r="Y14" s="41">
        <v>25</v>
      </c>
      <c r="Z14" s="41">
        <v>26</v>
      </c>
      <c r="AA14" s="41">
        <v>27</v>
      </c>
      <c r="AB14" s="41">
        <v>28</v>
      </c>
      <c r="AC14" s="41">
        <v>29</v>
      </c>
      <c r="AD14" s="41">
        <v>30</v>
      </c>
      <c r="AE14" s="41">
        <v>31</v>
      </c>
      <c r="AF14" s="41">
        <v>32</v>
      </c>
      <c r="AG14" s="41">
        <v>33</v>
      </c>
      <c r="AH14" s="41">
        <v>34</v>
      </c>
      <c r="AI14" s="41">
        <v>35</v>
      </c>
      <c r="AJ14" s="41">
        <v>36</v>
      </c>
      <c r="AK14" s="41">
        <v>37</v>
      </c>
    </row>
    <row r="15" spans="1:37" s="26" customFormat="1" ht="15" x14ac:dyDescent="0.2">
      <c r="A15" s="24"/>
      <c r="B15" s="25" t="s">
        <v>55</v>
      </c>
      <c r="C15" s="25"/>
      <c r="D15" s="25"/>
      <c r="E15" s="25"/>
      <c r="F15" s="35">
        <f>F33</f>
        <v>144</v>
      </c>
      <c r="G15" s="35">
        <f t="shared" ref="G15:AJ15" si="0">G33</f>
        <v>0</v>
      </c>
      <c r="H15" s="35">
        <f t="shared" si="0"/>
        <v>114</v>
      </c>
      <c r="I15" s="35">
        <f t="shared" si="0"/>
        <v>0</v>
      </c>
      <c r="J15" s="35">
        <f t="shared" si="0"/>
        <v>0</v>
      </c>
      <c r="K15" s="35">
        <f t="shared" si="0"/>
        <v>1.8</v>
      </c>
      <c r="L15" s="35">
        <f t="shared" si="0"/>
        <v>0</v>
      </c>
      <c r="M15" s="35">
        <f t="shared" si="0"/>
        <v>0</v>
      </c>
      <c r="N15" s="35">
        <f t="shared" si="0"/>
        <v>0</v>
      </c>
      <c r="O15" s="35">
        <f t="shared" si="0"/>
        <v>0</v>
      </c>
      <c r="P15" s="35">
        <f t="shared" si="0"/>
        <v>0</v>
      </c>
      <c r="Q15" s="35">
        <f t="shared" si="0"/>
        <v>0</v>
      </c>
      <c r="R15" s="35">
        <f t="shared" si="0"/>
        <v>0</v>
      </c>
      <c r="S15" s="35">
        <f t="shared" si="0"/>
        <v>0</v>
      </c>
      <c r="T15" s="35">
        <f t="shared" si="0"/>
        <v>0</v>
      </c>
      <c r="U15" s="35">
        <f t="shared" si="0"/>
        <v>0.3</v>
      </c>
      <c r="V15" s="35">
        <f t="shared" si="0"/>
        <v>0</v>
      </c>
      <c r="W15" s="35">
        <f t="shared" si="0"/>
        <v>0</v>
      </c>
      <c r="X15" s="35">
        <f t="shared" si="0"/>
        <v>0</v>
      </c>
      <c r="Y15" s="35">
        <f t="shared" si="0"/>
        <v>0</v>
      </c>
      <c r="Z15" s="35">
        <f t="shared" si="0"/>
        <v>0</v>
      </c>
      <c r="AA15" s="35">
        <f t="shared" si="0"/>
        <v>0</v>
      </c>
      <c r="AB15" s="35">
        <f t="shared" si="0"/>
        <v>0</v>
      </c>
      <c r="AC15" s="35">
        <f t="shared" si="0"/>
        <v>0</v>
      </c>
      <c r="AD15" s="35">
        <f t="shared" si="0"/>
        <v>0</v>
      </c>
      <c r="AE15" s="35">
        <f t="shared" si="0"/>
        <v>0</v>
      </c>
      <c r="AF15" s="35">
        <f t="shared" si="0"/>
        <v>0</v>
      </c>
      <c r="AG15" s="35">
        <f t="shared" si="0"/>
        <v>0</v>
      </c>
      <c r="AH15" s="35">
        <f t="shared" si="0"/>
        <v>0</v>
      </c>
      <c r="AI15" s="35">
        <f t="shared" si="0"/>
        <v>0</v>
      </c>
      <c r="AJ15" s="35">
        <f t="shared" si="0"/>
        <v>2.1</v>
      </c>
      <c r="AK15" s="24"/>
    </row>
    <row r="16" spans="1:37" s="26" customFormat="1" ht="15" x14ac:dyDescent="0.2">
      <c r="A16" s="24"/>
      <c r="B16" s="25" t="s">
        <v>56</v>
      </c>
      <c r="C16" s="25"/>
      <c r="D16" s="25"/>
      <c r="E16" s="2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24"/>
    </row>
    <row r="17" spans="1:37" s="26" customFormat="1" ht="15" x14ac:dyDescent="0.2">
      <c r="A17" s="24"/>
      <c r="B17" s="25" t="s">
        <v>57</v>
      </c>
      <c r="C17" s="25"/>
      <c r="D17" s="25"/>
      <c r="E17" s="2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24"/>
    </row>
    <row r="18" spans="1:37" s="26" customFormat="1" ht="15" x14ac:dyDescent="0.2">
      <c r="A18" s="24"/>
      <c r="B18" s="25" t="s">
        <v>58</v>
      </c>
      <c r="C18" s="25"/>
      <c r="D18" s="25"/>
      <c r="E18" s="25"/>
      <c r="F18" s="35">
        <f>F37</f>
        <v>0</v>
      </c>
      <c r="G18" s="35">
        <f t="shared" ref="G18:AJ18" si="1">G37</f>
        <v>0</v>
      </c>
      <c r="H18" s="35">
        <f t="shared" si="1"/>
        <v>0</v>
      </c>
      <c r="I18" s="35">
        <f t="shared" si="1"/>
        <v>0</v>
      </c>
      <c r="J18" s="35">
        <f t="shared" si="1"/>
        <v>0</v>
      </c>
      <c r="K18" s="35">
        <f t="shared" si="1"/>
        <v>0</v>
      </c>
      <c r="L18" s="35">
        <f t="shared" si="1"/>
        <v>0</v>
      </c>
      <c r="M18" s="35">
        <f t="shared" si="1"/>
        <v>0</v>
      </c>
      <c r="N18" s="35">
        <f t="shared" si="1"/>
        <v>0</v>
      </c>
      <c r="O18" s="35">
        <f t="shared" si="1"/>
        <v>0</v>
      </c>
      <c r="P18" s="35">
        <f t="shared" si="1"/>
        <v>0</v>
      </c>
      <c r="Q18" s="35">
        <f t="shared" si="1"/>
        <v>0</v>
      </c>
      <c r="R18" s="35">
        <f t="shared" si="1"/>
        <v>0</v>
      </c>
      <c r="S18" s="35">
        <f t="shared" si="1"/>
        <v>0</v>
      </c>
      <c r="T18" s="35">
        <f t="shared" si="1"/>
        <v>0</v>
      </c>
      <c r="U18" s="35">
        <f t="shared" si="1"/>
        <v>0</v>
      </c>
      <c r="V18" s="35">
        <f t="shared" si="1"/>
        <v>0</v>
      </c>
      <c r="W18" s="35">
        <f t="shared" si="1"/>
        <v>0</v>
      </c>
      <c r="X18" s="35">
        <f t="shared" si="1"/>
        <v>0</v>
      </c>
      <c r="Y18" s="35">
        <f t="shared" si="1"/>
        <v>0</v>
      </c>
      <c r="Z18" s="35">
        <f t="shared" si="1"/>
        <v>0</v>
      </c>
      <c r="AA18" s="35">
        <f t="shared" si="1"/>
        <v>0</v>
      </c>
      <c r="AB18" s="35">
        <f t="shared" si="1"/>
        <v>0</v>
      </c>
      <c r="AC18" s="35">
        <f t="shared" si="1"/>
        <v>0</v>
      </c>
      <c r="AD18" s="35">
        <f t="shared" si="1"/>
        <v>0</v>
      </c>
      <c r="AE18" s="35">
        <f t="shared" si="1"/>
        <v>0</v>
      </c>
      <c r="AF18" s="35">
        <f t="shared" si="1"/>
        <v>0</v>
      </c>
      <c r="AG18" s="35">
        <f t="shared" si="1"/>
        <v>0</v>
      </c>
      <c r="AH18" s="35">
        <f t="shared" si="1"/>
        <v>0</v>
      </c>
      <c r="AI18" s="35">
        <f t="shared" si="1"/>
        <v>0</v>
      </c>
      <c r="AJ18" s="35">
        <f t="shared" si="1"/>
        <v>0</v>
      </c>
      <c r="AK18" s="24"/>
    </row>
    <row r="19" spans="1:37" s="28" customFormat="1" ht="15.75" x14ac:dyDescent="0.25">
      <c r="A19" s="27"/>
      <c r="B19" s="27" t="s">
        <v>59</v>
      </c>
      <c r="C19" s="27"/>
      <c r="D19" s="27"/>
      <c r="E19" s="27"/>
      <c r="F19" s="36">
        <f>SUM(F15:F18)</f>
        <v>144</v>
      </c>
      <c r="G19" s="36">
        <f t="shared" ref="G19:AI19" si="2">SUM(G15:G18)</f>
        <v>0</v>
      </c>
      <c r="H19" s="36">
        <f t="shared" si="2"/>
        <v>114</v>
      </c>
      <c r="I19" s="36">
        <f t="shared" si="2"/>
        <v>0</v>
      </c>
      <c r="J19" s="36">
        <f t="shared" si="2"/>
        <v>0</v>
      </c>
      <c r="K19" s="36">
        <f t="shared" si="2"/>
        <v>1.8</v>
      </c>
      <c r="L19" s="36">
        <f t="shared" si="2"/>
        <v>0</v>
      </c>
      <c r="M19" s="36">
        <f t="shared" si="2"/>
        <v>0</v>
      </c>
      <c r="N19" s="36">
        <f t="shared" si="2"/>
        <v>0</v>
      </c>
      <c r="O19" s="36">
        <f t="shared" si="2"/>
        <v>0</v>
      </c>
      <c r="P19" s="36">
        <f t="shared" si="2"/>
        <v>0</v>
      </c>
      <c r="Q19" s="36">
        <f>SUM(Q15:Q18)</f>
        <v>0</v>
      </c>
      <c r="R19" s="36">
        <f t="shared" si="2"/>
        <v>0</v>
      </c>
      <c r="S19" s="36">
        <f t="shared" si="2"/>
        <v>0</v>
      </c>
      <c r="T19" s="36">
        <f t="shared" si="2"/>
        <v>0</v>
      </c>
      <c r="U19" s="36">
        <f t="shared" si="2"/>
        <v>0.3</v>
      </c>
      <c r="V19" s="36">
        <f t="shared" si="2"/>
        <v>0</v>
      </c>
      <c r="W19" s="36">
        <f t="shared" si="2"/>
        <v>0</v>
      </c>
      <c r="X19" s="36">
        <f t="shared" si="2"/>
        <v>0</v>
      </c>
      <c r="Y19" s="36">
        <f t="shared" si="2"/>
        <v>0</v>
      </c>
      <c r="Z19" s="36">
        <f t="shared" si="2"/>
        <v>0</v>
      </c>
      <c r="AA19" s="36">
        <f t="shared" si="2"/>
        <v>0</v>
      </c>
      <c r="AB19" s="36">
        <f t="shared" si="2"/>
        <v>0</v>
      </c>
      <c r="AC19" s="36">
        <f t="shared" si="2"/>
        <v>0</v>
      </c>
      <c r="AD19" s="36">
        <f t="shared" si="2"/>
        <v>0</v>
      </c>
      <c r="AE19" s="36">
        <f t="shared" si="2"/>
        <v>0</v>
      </c>
      <c r="AF19" s="36">
        <f t="shared" si="2"/>
        <v>0</v>
      </c>
      <c r="AG19" s="36">
        <f t="shared" si="2"/>
        <v>0</v>
      </c>
      <c r="AH19" s="36">
        <f t="shared" si="2"/>
        <v>0</v>
      </c>
      <c r="AI19" s="36">
        <f t="shared" si="2"/>
        <v>0</v>
      </c>
      <c r="AJ19" s="36">
        <f>SUM(AJ15:AJ18)</f>
        <v>2.1</v>
      </c>
      <c r="AK19" s="27"/>
    </row>
    <row r="20" spans="1:37" s="30" customFormat="1" ht="15.75" x14ac:dyDescent="0.25">
      <c r="A20" s="29"/>
      <c r="B20" s="29"/>
      <c r="C20" s="29"/>
      <c r="D20" s="29"/>
      <c r="E20" s="29"/>
      <c r="F20" s="33"/>
      <c r="G20" s="33"/>
      <c r="H20" s="33"/>
      <c r="I20" s="33"/>
      <c r="J20" s="33"/>
      <c r="K20" s="33"/>
      <c r="L20" s="33"/>
      <c r="M20" s="33"/>
      <c r="N20" s="429" t="s">
        <v>55</v>
      </c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29"/>
    </row>
    <row r="21" spans="1:37" s="30" customFormat="1" ht="15.75" x14ac:dyDescent="0.25">
      <c r="A21" s="29"/>
      <c r="B21" s="34"/>
      <c r="C21" s="29"/>
      <c r="D21" s="29"/>
      <c r="E21" s="29"/>
      <c r="F21" s="33"/>
      <c r="G21" s="33"/>
      <c r="H21" s="33"/>
      <c r="I21" s="33"/>
      <c r="J21" s="33"/>
      <c r="K21" s="276"/>
      <c r="L21" s="401" t="str">
        <f>Внебюджет!L41</f>
        <v>10.03.01 Информационная безопасность</v>
      </c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1"/>
      <c r="AB21" s="276"/>
      <c r="AC21" s="33"/>
      <c r="AD21" s="33"/>
      <c r="AE21" s="33"/>
      <c r="AF21" s="33"/>
      <c r="AG21" s="33"/>
      <c r="AH21" s="33"/>
      <c r="AI21" s="33"/>
      <c r="AJ21" s="33"/>
      <c r="AK21" s="74"/>
    </row>
    <row r="22" spans="1:37" s="30" customFormat="1" ht="15.75" x14ac:dyDescent="0.2">
      <c r="A22" s="29"/>
      <c r="B22" s="34"/>
      <c r="C22" s="29"/>
      <c r="D22" s="29"/>
      <c r="E22" s="29"/>
      <c r="F22" s="33"/>
      <c r="G22" s="33"/>
      <c r="H22" s="33"/>
      <c r="I22" s="33"/>
      <c r="J22" s="417" t="str">
        <f>Внебюджет!K42</f>
        <v>профиль "Техническая защита информации"</v>
      </c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9"/>
      <c r="AD22" s="33"/>
      <c r="AE22" s="33"/>
      <c r="AF22" s="33"/>
      <c r="AG22" s="33"/>
      <c r="AH22" s="33"/>
      <c r="AI22" s="33"/>
      <c r="AJ22" s="70">
        <f t="shared" ref="AJ22:AJ30" si="3">SUM(G22,I22:AI22)</f>
        <v>0</v>
      </c>
      <c r="AK22" s="74"/>
    </row>
    <row r="23" spans="1:37" s="30" customFormat="1" ht="15.75" x14ac:dyDescent="0.2">
      <c r="A23" s="29"/>
      <c r="B23" s="34"/>
      <c r="C23" s="29"/>
      <c r="D23" s="29"/>
      <c r="E23" s="29"/>
      <c r="F23" s="33"/>
      <c r="G23" s="33"/>
      <c r="H23" s="33"/>
      <c r="I23" s="33"/>
      <c r="J23" s="417" t="str">
        <f>Внебюджет!K43</f>
        <v>профиль "Безопасность автоматизированных систем (по отрасли или в сфере профессиональной деятельности)"</v>
      </c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419"/>
      <c r="AD23" s="33"/>
      <c r="AE23" s="33"/>
      <c r="AF23" s="33"/>
      <c r="AG23" s="33"/>
      <c r="AH23" s="33"/>
      <c r="AI23" s="33"/>
      <c r="AJ23" s="70">
        <f t="shared" si="3"/>
        <v>0</v>
      </c>
      <c r="AK23" s="74"/>
    </row>
    <row r="24" spans="1:37" s="30" customFormat="1" ht="30" x14ac:dyDescent="0.2">
      <c r="A24" s="90" t="str">
        <f>Внебюджет!A48</f>
        <v>Б1.О.17</v>
      </c>
      <c r="B24" s="60" t="str">
        <f>Внебюджет!B48</f>
        <v>Объектно-ориентированное программирование и моделирование</v>
      </c>
      <c r="C24" s="74" t="str">
        <f>Внебюджет!C48</f>
        <v>2\3</v>
      </c>
      <c r="D24" s="74">
        <f>Внебюджет!D48</f>
        <v>1</v>
      </c>
      <c r="E24" s="74">
        <f>Внебюджет!E48</f>
        <v>0</v>
      </c>
      <c r="F24" s="70">
        <f>Внебюджет!F48</f>
        <v>16</v>
      </c>
      <c r="G24" s="70">
        <f>Внебюджет!G48</f>
        <v>0</v>
      </c>
      <c r="H24" s="70">
        <f>Внебюджет!H48</f>
        <v>0</v>
      </c>
      <c r="I24" s="70">
        <f>Внебюджет!I48</f>
        <v>0</v>
      </c>
      <c r="J24" s="70">
        <f>Внебюджет!J48</f>
        <v>0</v>
      </c>
      <c r="K24" s="70">
        <f>Внебюджет!K48</f>
        <v>0.3</v>
      </c>
      <c r="L24" s="70">
        <f>Внебюджет!L48</f>
        <v>0</v>
      </c>
      <c r="M24" s="70">
        <f>Внебюджет!M48</f>
        <v>0</v>
      </c>
      <c r="N24" s="70">
        <f>Внебюджет!N48</f>
        <v>0</v>
      </c>
      <c r="O24" s="70">
        <f>Внебюджет!O48</f>
        <v>0</v>
      </c>
      <c r="P24" s="70">
        <f>Внебюджет!P48</f>
        <v>0</v>
      </c>
      <c r="Q24" s="70">
        <f>Внебюджет!Q48</f>
        <v>0</v>
      </c>
      <c r="R24" s="70">
        <f>Внебюджет!R48</f>
        <v>0</v>
      </c>
      <c r="S24" s="70">
        <f>Внебюджет!S48</f>
        <v>0</v>
      </c>
      <c r="T24" s="70">
        <f>Внебюджет!T48</f>
        <v>0</v>
      </c>
      <c r="U24" s="70">
        <f>Внебюджет!U48</f>
        <v>0</v>
      </c>
      <c r="V24" s="70">
        <f>Внебюджет!V48</f>
        <v>0</v>
      </c>
      <c r="W24" s="70">
        <f>Внебюджет!W48</f>
        <v>0</v>
      </c>
      <c r="X24" s="70">
        <f>Внебюджет!X48</f>
        <v>0</v>
      </c>
      <c r="Y24" s="70">
        <f>Внебюджет!Y48</f>
        <v>0</v>
      </c>
      <c r="Z24" s="70">
        <f>Внебюджет!Z48</f>
        <v>0</v>
      </c>
      <c r="AA24" s="70">
        <f>Внебюджет!AA48</f>
        <v>0</v>
      </c>
      <c r="AB24" s="70">
        <f>Внебюджет!AB48</f>
        <v>0</v>
      </c>
      <c r="AC24" s="70">
        <f>Внебюджет!AC48</f>
        <v>0</v>
      </c>
      <c r="AD24" s="70">
        <f>Внебюджет!AD48</f>
        <v>0</v>
      </c>
      <c r="AE24" s="70">
        <f>Внебюджет!AE48</f>
        <v>0</v>
      </c>
      <c r="AF24" s="70">
        <f>Внебюджет!AF48</f>
        <v>0</v>
      </c>
      <c r="AG24" s="70">
        <f>Внебюджет!AG48</f>
        <v>0</v>
      </c>
      <c r="AH24" s="70">
        <f>Внебюджет!AH48</f>
        <v>0</v>
      </c>
      <c r="AI24" s="70">
        <f>Внебюджет!AI48</f>
        <v>0</v>
      </c>
      <c r="AJ24" s="70">
        <f t="shared" ref="AJ24" si="4">SUM(G24,I24:AI24)</f>
        <v>0.3</v>
      </c>
      <c r="AK24" s="74"/>
    </row>
    <row r="25" spans="1:37" s="30" customFormat="1" ht="15" x14ac:dyDescent="0.2">
      <c r="A25" s="90" t="str">
        <f>Внебюджет!A50</f>
        <v>Б1.О.24</v>
      </c>
      <c r="B25" s="60" t="str">
        <f>Внебюджет!B50</f>
        <v>Инженерная и компьютерная графика</v>
      </c>
      <c r="C25" s="74" t="str">
        <f>Внебюджет!C50</f>
        <v>2\3</v>
      </c>
      <c r="D25" s="74">
        <f>Внебюджет!D50</f>
        <v>1</v>
      </c>
      <c r="E25" s="74">
        <f>Внебюджет!E50</f>
        <v>0</v>
      </c>
      <c r="F25" s="70">
        <f>Внебюджет!F50</f>
        <v>34</v>
      </c>
      <c r="G25" s="70">
        <f>Внебюджет!G50</f>
        <v>0</v>
      </c>
      <c r="H25" s="70">
        <f>Внебюджет!H50</f>
        <v>0</v>
      </c>
      <c r="I25" s="70">
        <f>Внебюджет!I50</f>
        <v>0</v>
      </c>
      <c r="J25" s="70">
        <f>Внебюджет!J50</f>
        <v>0</v>
      </c>
      <c r="K25" s="70">
        <f>Внебюджет!K50</f>
        <v>0.3</v>
      </c>
      <c r="L25" s="70">
        <f>Внебюджет!L50</f>
        <v>0</v>
      </c>
      <c r="M25" s="70">
        <f>Внебюджет!M50</f>
        <v>0</v>
      </c>
      <c r="N25" s="70">
        <f>Внебюджет!N50</f>
        <v>0</v>
      </c>
      <c r="O25" s="70">
        <f>Внебюджет!O50</f>
        <v>0</v>
      </c>
      <c r="P25" s="70">
        <f>Внебюджет!P50</f>
        <v>0</v>
      </c>
      <c r="Q25" s="70">
        <f>Внебюджет!Q50</f>
        <v>0</v>
      </c>
      <c r="R25" s="70">
        <f>Внебюджет!R50</f>
        <v>0</v>
      </c>
      <c r="S25" s="70">
        <f>Внебюджет!S50</f>
        <v>0</v>
      </c>
      <c r="T25" s="70">
        <f>Внебюджет!T50</f>
        <v>0</v>
      </c>
      <c r="U25" s="70">
        <f>Внебюджет!U50</f>
        <v>0</v>
      </c>
      <c r="V25" s="70">
        <f>Внебюджет!V50</f>
        <v>0</v>
      </c>
      <c r="W25" s="70">
        <f>Внебюджет!W50</f>
        <v>0</v>
      </c>
      <c r="X25" s="70">
        <f>Внебюджет!X50</f>
        <v>0</v>
      </c>
      <c r="Y25" s="70">
        <f>Внебюджет!Y50</f>
        <v>0</v>
      </c>
      <c r="Z25" s="70">
        <f>Внебюджет!Z50</f>
        <v>0</v>
      </c>
      <c r="AA25" s="70">
        <f>Внебюджет!AA50</f>
        <v>0</v>
      </c>
      <c r="AB25" s="70">
        <f>Внебюджет!AB50</f>
        <v>0</v>
      </c>
      <c r="AC25" s="70">
        <f>Внебюджет!AC50</f>
        <v>0</v>
      </c>
      <c r="AD25" s="70">
        <f>Внебюджет!AD50</f>
        <v>0</v>
      </c>
      <c r="AE25" s="70">
        <f>Внебюджет!AE50</f>
        <v>0</v>
      </c>
      <c r="AF25" s="70">
        <f>Внебюджет!AF50</f>
        <v>0</v>
      </c>
      <c r="AG25" s="70">
        <f>Внебюджет!AG50</f>
        <v>0</v>
      </c>
      <c r="AH25" s="70">
        <f>Внебюджет!AH50</f>
        <v>0</v>
      </c>
      <c r="AI25" s="70">
        <f>Внебюджет!AI50</f>
        <v>0</v>
      </c>
      <c r="AJ25" s="70">
        <f t="shared" si="3"/>
        <v>0.3</v>
      </c>
      <c r="AK25" s="74"/>
    </row>
    <row r="26" spans="1:37" s="30" customFormat="1" ht="30" x14ac:dyDescent="0.2">
      <c r="A26" s="90" t="str">
        <f>Внебюджет!A51</f>
        <v>Б1.О.31</v>
      </c>
      <c r="B26" s="60" t="str">
        <f>Внебюджет!B51</f>
        <v>Документоведение. Нормативные документы в сфере информационной безопасности</v>
      </c>
      <c r="C26" s="74" t="str">
        <f>Внебюджет!C51</f>
        <v>2\3</v>
      </c>
      <c r="D26" s="74">
        <f>Внебюджет!D51</f>
        <v>1</v>
      </c>
      <c r="E26" s="74">
        <f>Внебюджет!E51</f>
        <v>0</v>
      </c>
      <c r="F26" s="70">
        <f>Внебюджет!F51</f>
        <v>34</v>
      </c>
      <c r="G26" s="70">
        <f>Внебюджет!G51</f>
        <v>0</v>
      </c>
      <c r="H26" s="70">
        <f>Внебюджет!H51</f>
        <v>34</v>
      </c>
      <c r="I26" s="70">
        <f>Внебюджет!I51</f>
        <v>0</v>
      </c>
      <c r="J26" s="70">
        <f>Внебюджет!J51</f>
        <v>0</v>
      </c>
      <c r="K26" s="70">
        <f>Внебюджет!K51</f>
        <v>0.3</v>
      </c>
      <c r="L26" s="70">
        <f>Внебюджет!L51</f>
        <v>0</v>
      </c>
      <c r="M26" s="70">
        <f>Внебюджет!M51</f>
        <v>0</v>
      </c>
      <c r="N26" s="70">
        <f>Внебюджет!N51</f>
        <v>0</v>
      </c>
      <c r="O26" s="70">
        <f>Внебюджет!O51</f>
        <v>0</v>
      </c>
      <c r="P26" s="70">
        <f>Внебюджет!P51</f>
        <v>0</v>
      </c>
      <c r="Q26" s="70">
        <f>Внебюджет!Q51</f>
        <v>0</v>
      </c>
      <c r="R26" s="70">
        <f>Внебюджет!R51</f>
        <v>0</v>
      </c>
      <c r="S26" s="70">
        <f>Внебюджет!S51</f>
        <v>0</v>
      </c>
      <c r="T26" s="70">
        <f>Внебюджет!T51</f>
        <v>0</v>
      </c>
      <c r="U26" s="70">
        <f>Внебюджет!U51</f>
        <v>0</v>
      </c>
      <c r="V26" s="70">
        <f>Внебюджет!V51</f>
        <v>0</v>
      </c>
      <c r="W26" s="70">
        <f>Внебюджет!W51</f>
        <v>0</v>
      </c>
      <c r="X26" s="70">
        <f>Внебюджет!X51</f>
        <v>0</v>
      </c>
      <c r="Y26" s="70">
        <f>Внебюджет!Y51</f>
        <v>0</v>
      </c>
      <c r="Z26" s="70">
        <f>Внебюджет!Z51</f>
        <v>0</v>
      </c>
      <c r="AA26" s="70">
        <f>Внебюджет!AA51</f>
        <v>0</v>
      </c>
      <c r="AB26" s="70">
        <f>Внебюджет!AB51</f>
        <v>0</v>
      </c>
      <c r="AC26" s="70">
        <f>Внебюджет!AC51</f>
        <v>0</v>
      </c>
      <c r="AD26" s="70">
        <f>Внебюджет!AD51</f>
        <v>0</v>
      </c>
      <c r="AE26" s="70">
        <f>Внебюджет!AE51</f>
        <v>0</v>
      </c>
      <c r="AF26" s="70">
        <f>Внебюджет!AF51</f>
        <v>0</v>
      </c>
      <c r="AG26" s="70">
        <f>Внебюджет!AG51</f>
        <v>0</v>
      </c>
      <c r="AH26" s="70">
        <f>Внебюджет!AH51</f>
        <v>0</v>
      </c>
      <c r="AI26" s="70">
        <f>Внебюджет!AI51</f>
        <v>0</v>
      </c>
      <c r="AJ26" s="70">
        <f t="shared" si="3"/>
        <v>0.3</v>
      </c>
      <c r="AK26" s="74"/>
    </row>
    <row r="27" spans="1:37" s="30" customFormat="1" ht="15" x14ac:dyDescent="0.2">
      <c r="A27" s="90" t="str">
        <f>Внебюджет!A52</f>
        <v>Б1.О.35</v>
      </c>
      <c r="B27" s="60" t="str">
        <f>Внебюджет!B52</f>
        <v>Дискретная математика</v>
      </c>
      <c r="C27" s="74" t="str">
        <f>Внебюджет!C52</f>
        <v>2\4</v>
      </c>
      <c r="D27" s="74">
        <f>Внебюджет!D52</f>
        <v>1</v>
      </c>
      <c r="E27" s="74">
        <f>Внебюджет!E52</f>
        <v>0</v>
      </c>
      <c r="F27" s="70">
        <f>Внебюджет!F52</f>
        <v>20</v>
      </c>
      <c r="G27" s="70">
        <f>Внебюджет!G52</f>
        <v>0</v>
      </c>
      <c r="H27" s="70">
        <f>Внебюджет!H52</f>
        <v>40</v>
      </c>
      <c r="I27" s="70">
        <f>Внебюджет!I52</f>
        <v>0</v>
      </c>
      <c r="J27" s="70">
        <f>Внебюджет!J52</f>
        <v>0</v>
      </c>
      <c r="K27" s="70">
        <f>Внебюджет!K52</f>
        <v>0.3</v>
      </c>
      <c r="L27" s="70">
        <f>Внебюджет!L52</f>
        <v>0</v>
      </c>
      <c r="M27" s="70">
        <f>Внебюджет!M52</f>
        <v>0</v>
      </c>
      <c r="N27" s="70">
        <f>Внебюджет!N52</f>
        <v>0</v>
      </c>
      <c r="O27" s="70">
        <f>Внебюджет!O52</f>
        <v>0</v>
      </c>
      <c r="P27" s="70">
        <f>Внебюджет!P52</f>
        <v>0</v>
      </c>
      <c r="Q27" s="70">
        <f>Внебюджет!Q52</f>
        <v>0</v>
      </c>
      <c r="R27" s="70">
        <f>Внебюджет!R52</f>
        <v>0</v>
      </c>
      <c r="S27" s="70">
        <f>Внебюджет!S52</f>
        <v>0</v>
      </c>
      <c r="T27" s="70">
        <f>Внебюджет!T52</f>
        <v>0</v>
      </c>
      <c r="U27" s="70">
        <f>Внебюджет!U52</f>
        <v>0.3</v>
      </c>
      <c r="V27" s="70">
        <f>Внебюджет!V52</f>
        <v>0</v>
      </c>
      <c r="W27" s="70">
        <f>Внебюджет!W52</f>
        <v>0</v>
      </c>
      <c r="X27" s="70">
        <f>Внебюджет!X52</f>
        <v>0</v>
      </c>
      <c r="Y27" s="70">
        <f>Внебюджет!Y52</f>
        <v>0</v>
      </c>
      <c r="Z27" s="70">
        <f>Внебюджет!Z52</f>
        <v>0</v>
      </c>
      <c r="AA27" s="70">
        <f>Внебюджет!AA52</f>
        <v>0</v>
      </c>
      <c r="AB27" s="70">
        <f>Внебюджет!AB52</f>
        <v>0</v>
      </c>
      <c r="AC27" s="70">
        <f>Внебюджет!AC52</f>
        <v>0</v>
      </c>
      <c r="AD27" s="70">
        <f>Внебюджет!AD52</f>
        <v>0</v>
      </c>
      <c r="AE27" s="70">
        <f>Внебюджет!AE52</f>
        <v>0</v>
      </c>
      <c r="AF27" s="70">
        <f>Внебюджет!AF52</f>
        <v>0</v>
      </c>
      <c r="AG27" s="70">
        <f>Внебюджет!AG52</f>
        <v>0</v>
      </c>
      <c r="AH27" s="70">
        <f>Внебюджет!AH52</f>
        <v>0</v>
      </c>
      <c r="AI27" s="70">
        <f>Внебюджет!AI52</f>
        <v>0</v>
      </c>
      <c r="AJ27" s="70">
        <f t="shared" si="3"/>
        <v>0.6</v>
      </c>
      <c r="AK27" s="74"/>
    </row>
    <row r="28" spans="1:37" s="30" customFormat="1" ht="15" x14ac:dyDescent="0.2">
      <c r="A28" s="90" t="str">
        <f>Внебюджет!A53</f>
        <v>Б2.О.01(У)</v>
      </c>
      <c r="B28" s="60" t="str">
        <f>Внебюджет!B53</f>
        <v>Учебная практика. Ознакомительная практика</v>
      </c>
      <c r="C28" s="74" t="str">
        <f>Внебюджет!C53</f>
        <v>2\4</v>
      </c>
      <c r="D28" s="74">
        <f>Внебюджет!D53</f>
        <v>1</v>
      </c>
      <c r="E28" s="74">
        <f>Внебюджет!E53</f>
        <v>0</v>
      </c>
      <c r="F28" s="70">
        <f>Внебюджет!F53</f>
        <v>0</v>
      </c>
      <c r="G28" s="70">
        <f>Внебюджет!G53</f>
        <v>0</v>
      </c>
      <c r="H28" s="70">
        <f>Внебюджет!H53</f>
        <v>40</v>
      </c>
      <c r="I28" s="70">
        <f>Внебюджет!I53</f>
        <v>0</v>
      </c>
      <c r="J28" s="70">
        <f>Внебюджет!J53</f>
        <v>0</v>
      </c>
      <c r="K28" s="70">
        <f>Внебюджет!K53</f>
        <v>0.3</v>
      </c>
      <c r="L28" s="70">
        <f>Внебюджет!L53</f>
        <v>0</v>
      </c>
      <c r="M28" s="70">
        <f>Внебюджет!M53</f>
        <v>0</v>
      </c>
      <c r="N28" s="70">
        <f>Внебюджет!N53</f>
        <v>0</v>
      </c>
      <c r="O28" s="70">
        <f>Внебюджет!O53</f>
        <v>0</v>
      </c>
      <c r="P28" s="70">
        <f>Внебюджет!P53</f>
        <v>0</v>
      </c>
      <c r="Q28" s="70">
        <f>Внебюджет!Q53</f>
        <v>0</v>
      </c>
      <c r="R28" s="70">
        <f>Внебюджет!R53</f>
        <v>0</v>
      </c>
      <c r="S28" s="70">
        <f>Внебюджет!S53</f>
        <v>0</v>
      </c>
      <c r="T28" s="70">
        <f>Внебюджет!T53</f>
        <v>0</v>
      </c>
      <c r="U28" s="70">
        <f>Внебюджет!U53</f>
        <v>0</v>
      </c>
      <c r="V28" s="70">
        <f>Внебюджет!V53</f>
        <v>0</v>
      </c>
      <c r="W28" s="70">
        <f>Внебюджет!W53</f>
        <v>0</v>
      </c>
      <c r="X28" s="70">
        <f>Внебюджет!X53</f>
        <v>0</v>
      </c>
      <c r="Y28" s="70">
        <f>Внебюджет!Y53</f>
        <v>0</v>
      </c>
      <c r="Z28" s="70">
        <f>Внебюджет!Z53</f>
        <v>0</v>
      </c>
      <c r="AA28" s="70">
        <f>Внебюджет!AA53</f>
        <v>0</v>
      </c>
      <c r="AB28" s="70">
        <f>Внебюджет!AB53</f>
        <v>0</v>
      </c>
      <c r="AC28" s="70">
        <f>Внебюджет!AC53</f>
        <v>0</v>
      </c>
      <c r="AD28" s="70">
        <f>Внебюджет!AD53</f>
        <v>0</v>
      </c>
      <c r="AE28" s="70">
        <f>Внебюджет!AE53</f>
        <v>0</v>
      </c>
      <c r="AF28" s="70">
        <f>Внебюджет!AF53</f>
        <v>0</v>
      </c>
      <c r="AG28" s="70">
        <f>Внебюджет!AG53</f>
        <v>0</v>
      </c>
      <c r="AH28" s="70">
        <f>Внебюджет!AH53</f>
        <v>0</v>
      </c>
      <c r="AI28" s="70">
        <f>Внебюджет!AI53</f>
        <v>0</v>
      </c>
      <c r="AJ28" s="70">
        <f t="shared" si="3"/>
        <v>0.3</v>
      </c>
      <c r="AK28" s="74"/>
    </row>
    <row r="29" spans="1:37" s="30" customFormat="1" ht="15.75" x14ac:dyDescent="0.2">
      <c r="A29" s="90"/>
      <c r="B29" s="60"/>
      <c r="C29" s="74"/>
      <c r="D29" s="74"/>
      <c r="E29" s="74"/>
      <c r="F29" s="70"/>
      <c r="G29" s="70"/>
      <c r="H29" s="70"/>
      <c r="I29" s="70"/>
      <c r="J29" s="417" t="str">
        <f>Внебюджет!K54</f>
        <v>профиль "Безопасность автоматизированных систем (по отрасли или в сфере профессиональной деятельности)"</v>
      </c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  <c r="AC29" s="419"/>
      <c r="AD29" s="70"/>
      <c r="AE29" s="70"/>
      <c r="AF29" s="70"/>
      <c r="AG29" s="70"/>
      <c r="AH29" s="70"/>
      <c r="AI29" s="70"/>
      <c r="AJ29" s="70">
        <f t="shared" si="3"/>
        <v>0</v>
      </c>
      <c r="AK29" s="74"/>
    </row>
    <row r="30" spans="1:37" s="30" customFormat="1" ht="30" x14ac:dyDescent="0.2">
      <c r="A30" s="90" t="str">
        <f>Внебюджет!A55</f>
        <v>Б1.В.04</v>
      </c>
      <c r="B30" s="60" t="str">
        <f>Внебюджет!B55</f>
        <v>Безопасность операционных систем (лекции поток ТЗИ и БАС)</v>
      </c>
      <c r="C30" s="74" t="str">
        <f>Внебюджет!C55</f>
        <v>2\4</v>
      </c>
      <c r="D30" s="74">
        <f>Внебюджет!D55</f>
        <v>1</v>
      </c>
      <c r="E30" s="74">
        <f>Внебюджет!E55</f>
        <v>0</v>
      </c>
      <c r="F30" s="70">
        <f>Внебюджет!F55</f>
        <v>40</v>
      </c>
      <c r="G30" s="70">
        <f>Внебюджет!G55</f>
        <v>0</v>
      </c>
      <c r="H30" s="70">
        <f>Внебюджет!H55</f>
        <v>0</v>
      </c>
      <c r="I30" s="70">
        <f>Внебюджет!I55</f>
        <v>0</v>
      </c>
      <c r="J30" s="70">
        <f>Внебюджет!J55</f>
        <v>0</v>
      </c>
      <c r="K30" s="70">
        <f>Внебюджет!K55</f>
        <v>0.3</v>
      </c>
      <c r="L30" s="70">
        <f>Внебюджет!L55</f>
        <v>0</v>
      </c>
      <c r="M30" s="70">
        <f>Внебюджет!M55</f>
        <v>0</v>
      </c>
      <c r="N30" s="70">
        <f>Внебюджет!N55</f>
        <v>0</v>
      </c>
      <c r="O30" s="70">
        <f>Внебюджет!O55</f>
        <v>0</v>
      </c>
      <c r="P30" s="70">
        <f>Внебюджет!P55</f>
        <v>0</v>
      </c>
      <c r="Q30" s="70">
        <f>Внебюджет!Q55</f>
        <v>0</v>
      </c>
      <c r="R30" s="70">
        <f>Внебюджет!R55</f>
        <v>0</v>
      </c>
      <c r="S30" s="70">
        <f>Внебюджет!S55</f>
        <v>0</v>
      </c>
      <c r="T30" s="70">
        <f>Внебюджет!T55</f>
        <v>0</v>
      </c>
      <c r="U30" s="70">
        <f>Внебюджет!U55</f>
        <v>0</v>
      </c>
      <c r="V30" s="70">
        <f>Внебюджет!V55</f>
        <v>0</v>
      </c>
      <c r="W30" s="70">
        <f>Внебюджет!W55</f>
        <v>0</v>
      </c>
      <c r="X30" s="70">
        <f>Внебюджет!X55</f>
        <v>0</v>
      </c>
      <c r="Y30" s="70">
        <f>Внебюджет!Y55</f>
        <v>0</v>
      </c>
      <c r="Z30" s="70">
        <f>Внебюджет!Z55</f>
        <v>0</v>
      </c>
      <c r="AA30" s="70">
        <f>Внебюджет!AA55</f>
        <v>0</v>
      </c>
      <c r="AB30" s="70">
        <f>Внебюджет!AB55</f>
        <v>0</v>
      </c>
      <c r="AC30" s="70">
        <f>Внебюджет!AC55</f>
        <v>0</v>
      </c>
      <c r="AD30" s="70">
        <f>Внебюджет!AD55</f>
        <v>0</v>
      </c>
      <c r="AE30" s="70">
        <f>Внебюджет!AE55</f>
        <v>0</v>
      </c>
      <c r="AF30" s="70">
        <f>Внебюджет!AF55</f>
        <v>0</v>
      </c>
      <c r="AG30" s="70">
        <f>Внебюджет!AG55</f>
        <v>0</v>
      </c>
      <c r="AH30" s="70">
        <f>Внебюджет!AH55</f>
        <v>0</v>
      </c>
      <c r="AI30" s="70">
        <f>Внебюджет!AI55</f>
        <v>0</v>
      </c>
      <c r="AJ30" s="70">
        <f t="shared" si="3"/>
        <v>0.3</v>
      </c>
      <c r="AK30" s="74"/>
    </row>
    <row r="31" spans="1:37" s="30" customFormat="1" ht="15.75" x14ac:dyDescent="0.25">
      <c r="A31" s="29"/>
      <c r="B31" s="85" t="s">
        <v>237</v>
      </c>
      <c r="C31" s="91"/>
      <c r="D31" s="91"/>
      <c r="E31" s="91"/>
      <c r="F31" s="88">
        <f>SUM(F24:F30)</f>
        <v>144</v>
      </c>
      <c r="G31" s="88">
        <f t="shared" ref="G31:AJ31" si="5">SUM(G24:G30)</f>
        <v>0</v>
      </c>
      <c r="H31" s="88">
        <f t="shared" si="5"/>
        <v>114</v>
      </c>
      <c r="I31" s="88">
        <f t="shared" si="5"/>
        <v>0</v>
      </c>
      <c r="J31" s="88">
        <f t="shared" si="5"/>
        <v>0</v>
      </c>
      <c r="K31" s="88">
        <f t="shared" si="5"/>
        <v>1.8</v>
      </c>
      <c r="L31" s="88">
        <f t="shared" si="5"/>
        <v>0</v>
      </c>
      <c r="M31" s="88">
        <f t="shared" si="5"/>
        <v>0</v>
      </c>
      <c r="N31" s="88">
        <f t="shared" si="5"/>
        <v>0</v>
      </c>
      <c r="O31" s="88">
        <f t="shared" si="5"/>
        <v>0</v>
      </c>
      <c r="P31" s="88">
        <f t="shared" si="5"/>
        <v>0</v>
      </c>
      <c r="Q31" s="88">
        <f t="shared" si="5"/>
        <v>0</v>
      </c>
      <c r="R31" s="88">
        <f t="shared" si="5"/>
        <v>0</v>
      </c>
      <c r="S31" s="88">
        <f t="shared" si="5"/>
        <v>0</v>
      </c>
      <c r="T31" s="88">
        <f t="shared" si="5"/>
        <v>0</v>
      </c>
      <c r="U31" s="88">
        <f t="shared" si="5"/>
        <v>0.3</v>
      </c>
      <c r="V31" s="88">
        <f t="shared" si="5"/>
        <v>0</v>
      </c>
      <c r="W31" s="88">
        <f t="shared" si="5"/>
        <v>0</v>
      </c>
      <c r="X31" s="88">
        <f t="shared" si="5"/>
        <v>0</v>
      </c>
      <c r="Y31" s="88">
        <f t="shared" si="5"/>
        <v>0</v>
      </c>
      <c r="Z31" s="88">
        <f t="shared" si="5"/>
        <v>0</v>
      </c>
      <c r="AA31" s="88">
        <f t="shared" si="5"/>
        <v>0</v>
      </c>
      <c r="AB31" s="88">
        <f t="shared" si="5"/>
        <v>0</v>
      </c>
      <c r="AC31" s="88">
        <f t="shared" si="5"/>
        <v>0</v>
      </c>
      <c r="AD31" s="88">
        <f t="shared" si="5"/>
        <v>0</v>
      </c>
      <c r="AE31" s="88">
        <f t="shared" si="5"/>
        <v>0</v>
      </c>
      <c r="AF31" s="88">
        <f t="shared" si="5"/>
        <v>0</v>
      </c>
      <c r="AG31" s="88">
        <f t="shared" si="5"/>
        <v>0</v>
      </c>
      <c r="AH31" s="88">
        <f t="shared" si="5"/>
        <v>0</v>
      </c>
      <c r="AI31" s="88">
        <f t="shared" si="5"/>
        <v>0</v>
      </c>
      <c r="AJ31" s="88">
        <f t="shared" si="5"/>
        <v>2.1</v>
      </c>
      <c r="AK31" s="29"/>
    </row>
    <row r="32" spans="1:37" s="30" customFormat="1" ht="15.75" x14ac:dyDescent="0.25">
      <c r="A32" s="29"/>
      <c r="B32" s="34"/>
      <c r="C32" s="29"/>
      <c r="D32" s="29"/>
      <c r="E32" s="29"/>
      <c r="F32" s="33"/>
      <c r="G32" s="33"/>
      <c r="H32" s="33"/>
      <c r="I32" s="33"/>
      <c r="J32" s="33"/>
      <c r="K32" s="33"/>
      <c r="L32" s="33"/>
      <c r="M32" s="33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54">
        <f>SUM(G31,I31:AI31)-AJ31</f>
        <v>0</v>
      </c>
      <c r="AK32" s="29"/>
    </row>
    <row r="33" spans="1:37" s="32" customFormat="1" ht="15.75" x14ac:dyDescent="0.25">
      <c r="A33" s="31"/>
      <c r="B33" s="97" t="s">
        <v>239</v>
      </c>
      <c r="C33" s="104"/>
      <c r="D33" s="104"/>
      <c r="E33" s="104"/>
      <c r="F33" s="96">
        <f>SUM(F31)</f>
        <v>144</v>
      </c>
      <c r="G33" s="96">
        <f t="shared" ref="G33:AJ33" si="6">SUM(G31)</f>
        <v>0</v>
      </c>
      <c r="H33" s="96">
        <f t="shared" si="6"/>
        <v>114</v>
      </c>
      <c r="I33" s="96">
        <f t="shared" si="6"/>
        <v>0</v>
      </c>
      <c r="J33" s="96">
        <f t="shared" si="6"/>
        <v>0</v>
      </c>
      <c r="K33" s="96">
        <f t="shared" si="6"/>
        <v>1.8</v>
      </c>
      <c r="L33" s="96">
        <f t="shared" si="6"/>
        <v>0</v>
      </c>
      <c r="M33" s="96">
        <f t="shared" si="6"/>
        <v>0</v>
      </c>
      <c r="N33" s="96">
        <f t="shared" si="6"/>
        <v>0</v>
      </c>
      <c r="O33" s="96">
        <f t="shared" si="6"/>
        <v>0</v>
      </c>
      <c r="P33" s="96">
        <f t="shared" si="6"/>
        <v>0</v>
      </c>
      <c r="Q33" s="96">
        <f t="shared" si="6"/>
        <v>0</v>
      </c>
      <c r="R33" s="96">
        <f t="shared" si="6"/>
        <v>0</v>
      </c>
      <c r="S33" s="96">
        <f t="shared" si="6"/>
        <v>0</v>
      </c>
      <c r="T33" s="96">
        <f t="shared" si="6"/>
        <v>0</v>
      </c>
      <c r="U33" s="96">
        <f t="shared" si="6"/>
        <v>0.3</v>
      </c>
      <c r="V33" s="96">
        <f t="shared" si="6"/>
        <v>0</v>
      </c>
      <c r="W33" s="96">
        <f t="shared" si="6"/>
        <v>0</v>
      </c>
      <c r="X33" s="96">
        <f t="shared" si="6"/>
        <v>0</v>
      </c>
      <c r="Y33" s="96">
        <f t="shared" si="6"/>
        <v>0</v>
      </c>
      <c r="Z33" s="96">
        <f t="shared" si="6"/>
        <v>0</v>
      </c>
      <c r="AA33" s="96">
        <f t="shared" si="6"/>
        <v>0</v>
      </c>
      <c r="AB33" s="96">
        <f t="shared" si="6"/>
        <v>0</v>
      </c>
      <c r="AC33" s="96">
        <f t="shared" si="6"/>
        <v>0</v>
      </c>
      <c r="AD33" s="96">
        <f t="shared" si="6"/>
        <v>0</v>
      </c>
      <c r="AE33" s="96">
        <f t="shared" si="6"/>
        <v>0</v>
      </c>
      <c r="AF33" s="96">
        <f t="shared" si="6"/>
        <v>0</v>
      </c>
      <c r="AG33" s="96">
        <f t="shared" si="6"/>
        <v>0</v>
      </c>
      <c r="AH33" s="96">
        <f t="shared" si="6"/>
        <v>0</v>
      </c>
      <c r="AI33" s="96">
        <f t="shared" si="6"/>
        <v>0</v>
      </c>
      <c r="AJ33" s="96">
        <f t="shared" si="6"/>
        <v>2.1</v>
      </c>
      <c r="AK33" s="31"/>
    </row>
    <row r="34" spans="1:37" s="32" customFormat="1" ht="15" x14ac:dyDescent="0.2">
      <c r="A34" s="29"/>
      <c r="B34" s="34"/>
      <c r="C34" s="29"/>
      <c r="D34" s="29"/>
      <c r="E34" s="29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62"/>
    </row>
    <row r="35" spans="1:37" s="32" customFormat="1" ht="15.75" x14ac:dyDescent="0.2">
      <c r="A35" s="29"/>
      <c r="B35" s="34"/>
      <c r="C35" s="29"/>
      <c r="D35" s="29"/>
      <c r="E35" s="29"/>
      <c r="F35" s="33"/>
      <c r="G35" s="33"/>
      <c r="H35" s="33"/>
      <c r="I35" s="33"/>
      <c r="J35" s="391" t="s">
        <v>58</v>
      </c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3"/>
      <c r="AE35" s="33"/>
      <c r="AF35" s="33"/>
      <c r="AG35" s="33"/>
      <c r="AH35" s="33"/>
      <c r="AI35" s="33"/>
      <c r="AJ35" s="33"/>
      <c r="AK35" s="59"/>
    </row>
    <row r="36" spans="1:37" s="32" customFormat="1" ht="15" x14ac:dyDescent="0.2">
      <c r="A36" s="31"/>
      <c r="B36" s="34"/>
      <c r="C36" s="31"/>
      <c r="D36" s="31"/>
      <c r="E36" s="31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1"/>
    </row>
    <row r="37" spans="1:37" s="32" customFormat="1" ht="15.75" x14ac:dyDescent="0.25">
      <c r="A37" s="31"/>
      <c r="B37" s="97" t="s">
        <v>240</v>
      </c>
      <c r="C37" s="104"/>
      <c r="D37" s="104"/>
      <c r="E37" s="104"/>
      <c r="F37" s="96">
        <f>SUM(F36)</f>
        <v>0</v>
      </c>
      <c r="G37" s="96">
        <f t="shared" ref="G37:AJ37" si="7">SUM(G36)</f>
        <v>0</v>
      </c>
      <c r="H37" s="96">
        <f t="shared" si="7"/>
        <v>0</v>
      </c>
      <c r="I37" s="96">
        <f t="shared" si="7"/>
        <v>0</v>
      </c>
      <c r="J37" s="96">
        <f t="shared" si="7"/>
        <v>0</v>
      </c>
      <c r="K37" s="96">
        <f t="shared" si="7"/>
        <v>0</v>
      </c>
      <c r="L37" s="96">
        <f t="shared" si="7"/>
        <v>0</v>
      </c>
      <c r="M37" s="96">
        <f t="shared" si="7"/>
        <v>0</v>
      </c>
      <c r="N37" s="96">
        <f t="shared" si="7"/>
        <v>0</v>
      </c>
      <c r="O37" s="96">
        <f t="shared" si="7"/>
        <v>0</v>
      </c>
      <c r="P37" s="96">
        <f t="shared" si="7"/>
        <v>0</v>
      </c>
      <c r="Q37" s="96">
        <f t="shared" si="7"/>
        <v>0</v>
      </c>
      <c r="R37" s="96">
        <f t="shared" si="7"/>
        <v>0</v>
      </c>
      <c r="S37" s="96">
        <f t="shared" si="7"/>
        <v>0</v>
      </c>
      <c r="T37" s="96">
        <f t="shared" si="7"/>
        <v>0</v>
      </c>
      <c r="U37" s="96">
        <f t="shared" si="7"/>
        <v>0</v>
      </c>
      <c r="V37" s="96">
        <f t="shared" si="7"/>
        <v>0</v>
      </c>
      <c r="W37" s="96">
        <f t="shared" si="7"/>
        <v>0</v>
      </c>
      <c r="X37" s="96">
        <f t="shared" si="7"/>
        <v>0</v>
      </c>
      <c r="Y37" s="96">
        <f t="shared" si="7"/>
        <v>0</v>
      </c>
      <c r="Z37" s="96">
        <f t="shared" si="7"/>
        <v>0</v>
      </c>
      <c r="AA37" s="96">
        <f t="shared" si="7"/>
        <v>0</v>
      </c>
      <c r="AB37" s="96">
        <f t="shared" si="7"/>
        <v>0</v>
      </c>
      <c r="AC37" s="96">
        <f t="shared" si="7"/>
        <v>0</v>
      </c>
      <c r="AD37" s="96">
        <f t="shared" si="7"/>
        <v>0</v>
      </c>
      <c r="AE37" s="96">
        <f t="shared" si="7"/>
        <v>0</v>
      </c>
      <c r="AF37" s="96">
        <f t="shared" si="7"/>
        <v>0</v>
      </c>
      <c r="AG37" s="96">
        <f t="shared" si="7"/>
        <v>0</v>
      </c>
      <c r="AH37" s="96">
        <f t="shared" si="7"/>
        <v>0</v>
      </c>
      <c r="AI37" s="96">
        <f t="shared" si="7"/>
        <v>0</v>
      </c>
      <c r="AJ37" s="96">
        <f t="shared" si="7"/>
        <v>0</v>
      </c>
      <c r="AK37" s="31"/>
    </row>
    <row r="38" spans="1:37" s="32" customFormat="1" ht="15" x14ac:dyDescent="0.2">
      <c r="A38" s="31"/>
      <c r="B38" s="31"/>
      <c r="C38" s="31"/>
      <c r="D38" s="31"/>
      <c r="E38" s="31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1"/>
    </row>
    <row r="39" spans="1:37" s="32" customFormat="1" ht="15.75" x14ac:dyDescent="0.25">
      <c r="A39" s="105"/>
      <c r="B39" s="37" t="s">
        <v>181</v>
      </c>
      <c r="C39" s="106"/>
      <c r="D39" s="106"/>
      <c r="E39" s="106"/>
      <c r="F39" s="87">
        <f t="shared" ref="F39:AJ39" si="8">SUM(F37,F33)</f>
        <v>144</v>
      </c>
      <c r="G39" s="87">
        <f t="shared" si="8"/>
        <v>0</v>
      </c>
      <c r="H39" s="87">
        <f t="shared" si="8"/>
        <v>114</v>
      </c>
      <c r="I39" s="87">
        <f t="shared" si="8"/>
        <v>0</v>
      </c>
      <c r="J39" s="87">
        <f t="shared" si="8"/>
        <v>0</v>
      </c>
      <c r="K39" s="87">
        <f t="shared" si="8"/>
        <v>1.8</v>
      </c>
      <c r="L39" s="87">
        <f t="shared" si="8"/>
        <v>0</v>
      </c>
      <c r="M39" s="87">
        <f t="shared" si="8"/>
        <v>0</v>
      </c>
      <c r="N39" s="87">
        <f t="shared" si="8"/>
        <v>0</v>
      </c>
      <c r="O39" s="87">
        <f t="shared" si="8"/>
        <v>0</v>
      </c>
      <c r="P39" s="87">
        <f t="shared" si="8"/>
        <v>0</v>
      </c>
      <c r="Q39" s="87">
        <f t="shared" si="8"/>
        <v>0</v>
      </c>
      <c r="R39" s="87">
        <f t="shared" si="8"/>
        <v>0</v>
      </c>
      <c r="S39" s="87">
        <f t="shared" si="8"/>
        <v>0</v>
      </c>
      <c r="T39" s="87">
        <f t="shared" si="8"/>
        <v>0</v>
      </c>
      <c r="U39" s="87">
        <f t="shared" si="8"/>
        <v>0.3</v>
      </c>
      <c r="V39" s="87">
        <f t="shared" si="8"/>
        <v>0</v>
      </c>
      <c r="W39" s="87">
        <f t="shared" si="8"/>
        <v>0</v>
      </c>
      <c r="X39" s="87">
        <f t="shared" si="8"/>
        <v>0</v>
      </c>
      <c r="Y39" s="87">
        <f t="shared" si="8"/>
        <v>0</v>
      </c>
      <c r="Z39" s="87">
        <f t="shared" si="8"/>
        <v>0</v>
      </c>
      <c r="AA39" s="87">
        <f t="shared" si="8"/>
        <v>0</v>
      </c>
      <c r="AB39" s="87">
        <f t="shared" si="8"/>
        <v>0</v>
      </c>
      <c r="AC39" s="87">
        <f t="shared" si="8"/>
        <v>0</v>
      </c>
      <c r="AD39" s="87">
        <f t="shared" si="8"/>
        <v>0</v>
      </c>
      <c r="AE39" s="87">
        <f t="shared" si="8"/>
        <v>0</v>
      </c>
      <c r="AF39" s="87">
        <f t="shared" si="8"/>
        <v>0</v>
      </c>
      <c r="AG39" s="87">
        <f t="shared" si="8"/>
        <v>0</v>
      </c>
      <c r="AH39" s="87">
        <f t="shared" si="8"/>
        <v>0</v>
      </c>
      <c r="AI39" s="87">
        <f t="shared" si="8"/>
        <v>0</v>
      </c>
      <c r="AJ39" s="87">
        <f t="shared" si="8"/>
        <v>2.1</v>
      </c>
      <c r="AK39" s="105"/>
    </row>
    <row r="40" spans="1:37" s="32" customFormat="1" ht="15" x14ac:dyDescent="0.2">
      <c r="AJ40" s="54">
        <f>SUM(G39,I39:AI39)-AJ39</f>
        <v>0</v>
      </c>
    </row>
    <row r="41" spans="1:37" s="32" customFormat="1" ht="15" x14ac:dyDescent="0.2">
      <c r="A41" s="423" t="s">
        <v>394</v>
      </c>
      <c r="B41" s="423"/>
      <c r="C41" s="423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</row>
    <row r="42" spans="1:37" s="32" customFormat="1" ht="15" x14ac:dyDescent="0.2"/>
  </sheetData>
  <protectedRanges>
    <protectedRange sqref="A37 A36:AK36 A15:AK20 A31 A38:AK60 A32:AK33 C37:AK37 AJ22:AJ30 C31:AK31" name="Диапазон1"/>
    <protectedRange sqref="B34:B35" name="Диапазон1_5_1"/>
    <protectedRange sqref="B31" name="Диапазон1_7"/>
    <protectedRange sqref="B37" name="Диапазон1_9"/>
    <protectedRange sqref="J35:M35 O35:AC35" name="Диапазон1_6_1"/>
    <protectedRange sqref="A1:H11 I1:AK8 I10:L11 N10:AK11 AA9:AK9" name="Диапазон1_2_1"/>
    <protectedRange sqref="I9:J9 L9:Z9" name="Диапазон1_3"/>
  </protectedRanges>
  <mergeCells count="49">
    <mergeCell ref="L21:AA21"/>
    <mergeCell ref="A41:AB41"/>
    <mergeCell ref="N32:Y32"/>
    <mergeCell ref="J23:AC23"/>
    <mergeCell ref="J35:AC35"/>
    <mergeCell ref="J22:AC22"/>
    <mergeCell ref="J29:AC29"/>
    <mergeCell ref="N20:Y20"/>
    <mergeCell ref="AI12:AI13"/>
    <mergeCell ref="AJ12:AJ13"/>
    <mergeCell ref="AE12:AF12"/>
    <mergeCell ref="AG12:AH12"/>
    <mergeCell ref="U12:U13"/>
    <mergeCell ref="V12:V13"/>
    <mergeCell ref="W12:X12"/>
    <mergeCell ref="AA12:AA13"/>
    <mergeCell ref="Y12:Y13"/>
    <mergeCell ref="Z12:Z13"/>
    <mergeCell ref="A12:A13"/>
    <mergeCell ref="B12:B13"/>
    <mergeCell ref="C12:C13"/>
    <mergeCell ref="D12:D13"/>
    <mergeCell ref="E12:E13"/>
    <mergeCell ref="AF1:AK1"/>
    <mergeCell ref="B2:G2"/>
    <mergeCell ref="AF2:AK2"/>
    <mergeCell ref="B3:G3"/>
    <mergeCell ref="AC3:AK3"/>
    <mergeCell ref="B4:F4"/>
    <mergeCell ref="B5:G5"/>
    <mergeCell ref="AC5:AK5"/>
    <mergeCell ref="B6:G6"/>
    <mergeCell ref="AC6:AK6"/>
    <mergeCell ref="F12:G12"/>
    <mergeCell ref="H12:I12"/>
    <mergeCell ref="AB12:AB13"/>
    <mergeCell ref="AC12:AD12"/>
    <mergeCell ref="B7:G7"/>
    <mergeCell ref="AC7:AK7"/>
    <mergeCell ref="I9:Z9"/>
    <mergeCell ref="K10:X10"/>
    <mergeCell ref="K11:X11"/>
    <mergeCell ref="J12:J13"/>
    <mergeCell ref="K12:K13"/>
    <mergeCell ref="L12:O12"/>
    <mergeCell ref="P12:P13"/>
    <mergeCell ref="Q12:R12"/>
    <mergeCell ref="S12:T12"/>
    <mergeCell ref="AK12:AK13"/>
  </mergeCells>
  <conditionalFormatting sqref="A22:J23 AD22:AI23 A31:XFD34 A38:XFD65412">
    <cfRule type="cellIs" dxfId="21" priority="40" stopIfTrue="1" operator="equal">
      <formula>0</formula>
    </cfRule>
  </conditionalFormatting>
  <conditionalFormatting sqref="A29:J29">
    <cfRule type="cellIs" dxfId="20" priority="36" stopIfTrue="1" operator="equal">
      <formula>0</formula>
    </cfRule>
  </conditionalFormatting>
  <conditionalFormatting sqref="A35:J35">
    <cfRule type="cellIs" dxfId="19" priority="34" stopIfTrue="1" operator="equal">
      <formula>0</formula>
    </cfRule>
  </conditionalFormatting>
  <conditionalFormatting sqref="A24:AI28">
    <cfRule type="cellIs" dxfId="18" priority="1" stopIfTrue="1" operator="equal">
      <formula>0</formula>
    </cfRule>
  </conditionalFormatting>
  <conditionalFormatting sqref="A1:XFD21">
    <cfRule type="cellIs" dxfId="17" priority="7" stopIfTrue="1" operator="equal">
      <formula>0</formula>
    </cfRule>
  </conditionalFormatting>
  <conditionalFormatting sqref="AD29:AI29 A30:AI30 AD35:XFD35 A37:IV37">
    <cfRule type="cellIs" dxfId="16" priority="41" stopIfTrue="1" operator="equal">
      <formula>0</formula>
    </cfRule>
  </conditionalFormatting>
  <conditionalFormatting sqref="AJ22:AJ30">
    <cfRule type="cellIs" dxfId="15" priority="2" stopIfTrue="1" operator="equal">
      <formula>0</formula>
    </cfRule>
  </conditionalFormatting>
  <conditionalFormatting sqref="AK29:IV30 A36:XFD36">
    <cfRule type="cellIs" dxfId="14" priority="32" stopIfTrue="1" operator="equal">
      <formula>0</formula>
    </cfRule>
  </conditionalFormatting>
  <conditionalFormatting sqref="AK22:XFD28">
    <cfRule type="cellIs" dxfId="13" priority="3" stopIfTrue="1" operator="equal">
      <formula>0</formula>
    </cfRule>
  </conditionalFormatting>
  <pageMargins left="0.7" right="0.7" top="0.75" bottom="0.75" header="0.3" footer="0.3"/>
  <pageSetup paperSize="9" scale="3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K43"/>
  <sheetViews>
    <sheetView view="pageBreakPreview" zoomScale="55" zoomScaleNormal="80" zoomScaleSheetLayoutView="55" workbookViewId="0"/>
  </sheetViews>
  <sheetFormatPr defaultColWidth="9.140625" defaultRowHeight="12.75" x14ac:dyDescent="0.2"/>
  <cols>
    <col min="1" max="1" width="22.7109375" style="20" customWidth="1"/>
    <col min="2" max="2" width="58" style="20" customWidth="1"/>
    <col min="3" max="5" width="5.5703125" style="20" customWidth="1"/>
    <col min="6" max="6" width="11.140625" style="20" customWidth="1"/>
    <col min="7" max="7" width="10.28515625" style="20" bestFit="1" customWidth="1"/>
    <col min="8" max="8" width="11" style="20" customWidth="1"/>
    <col min="9" max="9" width="11.42578125" style="20" customWidth="1"/>
    <col min="10" max="10" width="9.42578125" style="20" customWidth="1"/>
    <col min="11" max="12" width="8.140625" style="20" customWidth="1"/>
    <col min="13" max="13" width="9.5703125" style="20" customWidth="1"/>
    <col min="14" max="14" width="8.85546875" style="20" customWidth="1"/>
    <col min="15" max="15" width="6.42578125" style="20" bestFit="1" customWidth="1"/>
    <col min="16" max="16" width="7.42578125" style="20" customWidth="1"/>
    <col min="17" max="17" width="9" style="20" bestFit="1" customWidth="1"/>
    <col min="18" max="18" width="6.85546875" style="20" customWidth="1"/>
    <col min="19" max="19" width="7.42578125" style="20" customWidth="1"/>
    <col min="20" max="20" width="9.5703125" style="20" customWidth="1"/>
    <col min="21" max="21" width="10.42578125" style="20" customWidth="1"/>
    <col min="22" max="22" width="9.42578125" style="20" customWidth="1"/>
    <col min="23" max="23" width="8.5703125" style="20" customWidth="1"/>
    <col min="24" max="24" width="7.42578125" style="20" customWidth="1"/>
    <col min="25" max="27" width="6.5703125" style="20" customWidth="1"/>
    <col min="28" max="28" width="8.5703125" style="20" customWidth="1"/>
    <col min="29" max="30" width="6.140625" style="20" customWidth="1"/>
    <col min="31" max="31" width="6" style="20" customWidth="1"/>
    <col min="32" max="32" width="8" style="20" bestFit="1" customWidth="1"/>
    <col min="33" max="33" width="7.5703125" style="20" customWidth="1"/>
    <col min="34" max="34" width="10.28515625" style="20" customWidth="1"/>
    <col min="35" max="35" width="9.5703125" style="20" customWidth="1"/>
    <col min="36" max="36" width="10.5703125" style="20" customWidth="1"/>
    <col min="37" max="37" width="15.85546875" style="20" bestFit="1" customWidth="1"/>
    <col min="38" max="38" width="9.140625" style="20"/>
    <col min="39" max="39" width="9.5703125" style="20" bestFit="1" customWidth="1"/>
    <col min="40" max="16384" width="9.140625" style="20"/>
  </cols>
  <sheetData>
    <row r="1" spans="1:37" s="205" customFormat="1" ht="15" x14ac:dyDescent="0.2">
      <c r="AF1" s="378" t="s">
        <v>153</v>
      </c>
      <c r="AG1" s="378"/>
      <c r="AH1" s="378"/>
      <c r="AI1" s="378"/>
      <c r="AJ1" s="378"/>
      <c r="AK1" s="378"/>
    </row>
    <row r="2" spans="1:37" s="205" customFormat="1" ht="15" x14ac:dyDescent="0.2">
      <c r="B2" s="378" t="s">
        <v>1</v>
      </c>
      <c r="C2" s="378"/>
      <c r="D2" s="378"/>
      <c r="E2" s="378"/>
      <c r="F2" s="378"/>
      <c r="G2" s="378"/>
      <c r="H2" s="277"/>
      <c r="I2" s="27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377"/>
      <c r="AG2" s="377"/>
      <c r="AH2" s="377"/>
      <c r="AI2" s="377"/>
      <c r="AJ2" s="377"/>
      <c r="AK2" s="377"/>
    </row>
    <row r="3" spans="1:37" s="205" customFormat="1" ht="15" x14ac:dyDescent="0.2">
      <c r="B3" s="378" t="s">
        <v>2</v>
      </c>
      <c r="C3" s="378"/>
      <c r="D3" s="378"/>
      <c r="E3" s="378"/>
      <c r="F3" s="378"/>
      <c r="G3" s="378"/>
      <c r="H3" s="277"/>
      <c r="I3" s="277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377" t="s">
        <v>3</v>
      </c>
      <c r="AD3" s="377"/>
      <c r="AE3" s="377"/>
      <c r="AF3" s="377"/>
      <c r="AG3" s="377"/>
      <c r="AH3" s="377"/>
      <c r="AI3" s="377"/>
      <c r="AJ3" s="377"/>
      <c r="AK3" s="377"/>
    </row>
    <row r="4" spans="1:37" s="205" customFormat="1" ht="15" x14ac:dyDescent="0.2">
      <c r="B4" s="378" t="s">
        <v>154</v>
      </c>
      <c r="C4" s="378"/>
      <c r="D4" s="378"/>
      <c r="E4" s="378"/>
      <c r="F4" s="378"/>
      <c r="G4" s="277"/>
      <c r="H4" s="277"/>
      <c r="I4" s="277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</row>
    <row r="5" spans="1:37" s="205" customFormat="1" ht="15" x14ac:dyDescent="0.2">
      <c r="B5" s="378" t="s">
        <v>6</v>
      </c>
      <c r="C5" s="378"/>
      <c r="D5" s="378"/>
      <c r="E5" s="378"/>
      <c r="F5" s="378"/>
      <c r="G5" s="378"/>
      <c r="H5" s="277"/>
      <c r="I5" s="27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77" t="s">
        <v>155</v>
      </c>
      <c r="AD5" s="377"/>
      <c r="AE5" s="377"/>
      <c r="AF5" s="377"/>
      <c r="AG5" s="377"/>
      <c r="AH5" s="377"/>
      <c r="AI5" s="377"/>
      <c r="AJ5" s="377"/>
      <c r="AK5" s="377"/>
    </row>
    <row r="6" spans="1:37" s="205" customFormat="1" ht="15" x14ac:dyDescent="0.2">
      <c r="B6" s="378" t="s">
        <v>7</v>
      </c>
      <c r="C6" s="378"/>
      <c r="D6" s="378"/>
      <c r="E6" s="378"/>
      <c r="F6" s="378"/>
      <c r="G6" s="378"/>
      <c r="H6" s="277"/>
      <c r="I6" s="277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377" t="s">
        <v>168</v>
      </c>
      <c r="AD6" s="377"/>
      <c r="AE6" s="377"/>
      <c r="AF6" s="377"/>
      <c r="AG6" s="377"/>
      <c r="AH6" s="377"/>
      <c r="AI6" s="377"/>
      <c r="AJ6" s="377"/>
      <c r="AK6" s="377"/>
    </row>
    <row r="7" spans="1:37" s="205" customFormat="1" ht="15" x14ac:dyDescent="0.2">
      <c r="B7" s="378" t="s">
        <v>9</v>
      </c>
      <c r="C7" s="378"/>
      <c r="D7" s="378"/>
      <c r="E7" s="378"/>
      <c r="F7" s="378"/>
      <c r="G7" s="378"/>
      <c r="H7" s="277"/>
      <c r="I7" s="277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377" t="s">
        <v>589</v>
      </c>
      <c r="AD7" s="377"/>
      <c r="AE7" s="377"/>
      <c r="AF7" s="377"/>
      <c r="AG7" s="377"/>
      <c r="AH7" s="377"/>
      <c r="AI7" s="377"/>
      <c r="AJ7" s="377"/>
      <c r="AK7" s="377"/>
    </row>
    <row r="8" spans="1:37" s="205" customFormat="1" ht="15" x14ac:dyDescent="0.2">
      <c r="B8" s="277"/>
      <c r="C8" s="277"/>
      <c r="D8" s="277"/>
      <c r="E8" s="277"/>
      <c r="F8" s="277"/>
      <c r="G8" s="277"/>
      <c r="H8" s="277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</row>
    <row r="9" spans="1:37" s="205" customFormat="1" ht="15.75" customHeight="1" x14ac:dyDescent="0.2">
      <c r="B9" s="290" t="s">
        <v>131</v>
      </c>
      <c r="C9" s="277"/>
      <c r="D9" s="277"/>
      <c r="E9" s="277"/>
      <c r="F9" s="277"/>
      <c r="G9" s="277"/>
      <c r="H9" s="277"/>
      <c r="I9" s="403" t="s">
        <v>161</v>
      </c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3"/>
      <c r="AB9" s="278"/>
      <c r="AC9" s="278"/>
      <c r="AD9" s="278"/>
      <c r="AE9" s="278"/>
      <c r="AF9" s="278"/>
      <c r="AG9" s="278"/>
      <c r="AH9" s="278"/>
      <c r="AI9" s="278"/>
      <c r="AJ9" s="278"/>
      <c r="AK9" s="278"/>
    </row>
    <row r="10" spans="1:37" s="205" customFormat="1" ht="15.75" x14ac:dyDescent="0.2">
      <c r="B10" s="277"/>
      <c r="C10" s="277"/>
      <c r="D10" s="277"/>
      <c r="E10" s="277"/>
      <c r="F10" s="277"/>
      <c r="G10" s="277"/>
      <c r="H10" s="277"/>
      <c r="I10" s="277"/>
      <c r="J10" s="278"/>
      <c r="K10" s="403" t="str">
        <f>Бюджет!K10</f>
        <v>на 2025 - 2026 учебный год</v>
      </c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"/>
      <c r="Z10" s="4"/>
      <c r="AA10" s="4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</row>
    <row r="11" spans="1:37" s="205" customFormat="1" ht="15" x14ac:dyDescent="0.2">
      <c r="B11" s="277"/>
      <c r="C11" s="277"/>
      <c r="D11" s="277"/>
      <c r="E11" s="277"/>
      <c r="F11" s="277"/>
      <c r="G11" s="277"/>
      <c r="H11" s="277"/>
      <c r="I11" s="277"/>
      <c r="J11" s="278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291"/>
      <c r="Z11" s="291"/>
      <c r="AA11" s="291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</row>
    <row r="12" spans="1:37" x14ac:dyDescent="0.2">
      <c r="A12" s="394" t="s">
        <v>12</v>
      </c>
      <c r="B12" s="402" t="s">
        <v>13</v>
      </c>
      <c r="C12" s="387" t="s">
        <v>14</v>
      </c>
      <c r="D12" s="392" t="s">
        <v>15</v>
      </c>
      <c r="E12" s="387" t="s">
        <v>16</v>
      </c>
      <c r="F12" s="388" t="s">
        <v>17</v>
      </c>
      <c r="G12" s="388"/>
      <c r="H12" s="388" t="s">
        <v>18</v>
      </c>
      <c r="I12" s="388"/>
      <c r="J12" s="394" t="s">
        <v>19</v>
      </c>
      <c r="K12" s="394" t="s">
        <v>20</v>
      </c>
      <c r="L12" s="388" t="s">
        <v>21</v>
      </c>
      <c r="M12" s="388"/>
      <c r="N12" s="388"/>
      <c r="O12" s="388"/>
      <c r="P12" s="394" t="s">
        <v>22</v>
      </c>
      <c r="Q12" s="388" t="s">
        <v>23</v>
      </c>
      <c r="R12" s="388"/>
      <c r="S12" s="388" t="s">
        <v>24</v>
      </c>
      <c r="T12" s="388"/>
      <c r="U12" s="394" t="s">
        <v>25</v>
      </c>
      <c r="V12" s="394" t="s">
        <v>26</v>
      </c>
      <c r="W12" s="388" t="s">
        <v>27</v>
      </c>
      <c r="X12" s="388"/>
      <c r="Y12" s="394" t="s">
        <v>28</v>
      </c>
      <c r="Z12" s="394" t="s">
        <v>29</v>
      </c>
      <c r="AA12" s="394" t="s">
        <v>30</v>
      </c>
      <c r="AB12" s="394" t="s">
        <v>31</v>
      </c>
      <c r="AC12" s="388" t="s">
        <v>32</v>
      </c>
      <c r="AD12" s="388"/>
      <c r="AE12" s="388" t="s">
        <v>33</v>
      </c>
      <c r="AF12" s="388"/>
      <c r="AG12" s="388" t="s">
        <v>34</v>
      </c>
      <c r="AH12" s="388"/>
      <c r="AI12" s="394" t="s">
        <v>35</v>
      </c>
      <c r="AJ12" s="394" t="s">
        <v>36</v>
      </c>
      <c r="AK12" s="394" t="s">
        <v>156</v>
      </c>
    </row>
    <row r="13" spans="1:37" ht="122.25" x14ac:dyDescent="0.2">
      <c r="A13" s="394"/>
      <c r="B13" s="402"/>
      <c r="C13" s="387"/>
      <c r="D13" s="392"/>
      <c r="E13" s="387"/>
      <c r="F13" s="192" t="s">
        <v>38</v>
      </c>
      <c r="G13" s="193" t="s">
        <v>39</v>
      </c>
      <c r="H13" s="193" t="s">
        <v>38</v>
      </c>
      <c r="I13" s="193" t="s">
        <v>39</v>
      </c>
      <c r="J13" s="394"/>
      <c r="K13" s="394"/>
      <c r="L13" s="191" t="s">
        <v>40</v>
      </c>
      <c r="M13" s="191" t="s">
        <v>41</v>
      </c>
      <c r="N13" s="191" t="s">
        <v>42</v>
      </c>
      <c r="O13" s="191" t="s">
        <v>43</v>
      </c>
      <c r="P13" s="394"/>
      <c r="Q13" s="191" t="s">
        <v>44</v>
      </c>
      <c r="R13" s="191" t="s">
        <v>45</v>
      </c>
      <c r="S13" s="191" t="s">
        <v>46</v>
      </c>
      <c r="T13" s="191" t="s">
        <v>47</v>
      </c>
      <c r="U13" s="394"/>
      <c r="V13" s="394"/>
      <c r="W13" s="191" t="s">
        <v>33</v>
      </c>
      <c r="X13" s="191" t="s">
        <v>48</v>
      </c>
      <c r="Y13" s="394"/>
      <c r="Z13" s="394"/>
      <c r="AA13" s="394"/>
      <c r="AB13" s="394"/>
      <c r="AC13" s="191" t="s">
        <v>49</v>
      </c>
      <c r="AD13" s="191" t="s">
        <v>50</v>
      </c>
      <c r="AE13" s="191" t="s">
        <v>51</v>
      </c>
      <c r="AF13" s="191" t="s">
        <v>52</v>
      </c>
      <c r="AG13" s="191" t="s">
        <v>53</v>
      </c>
      <c r="AH13" s="191" t="s">
        <v>157</v>
      </c>
      <c r="AI13" s="394"/>
      <c r="AJ13" s="394"/>
      <c r="AK13" s="394"/>
    </row>
    <row r="14" spans="1:37" x14ac:dyDescent="0.2">
      <c r="A14" s="41">
        <v>1</v>
      </c>
      <c r="B14" s="41">
        <v>2</v>
      </c>
      <c r="C14" s="41">
        <v>3</v>
      </c>
      <c r="D14" s="41">
        <v>4</v>
      </c>
      <c r="E14" s="41">
        <v>5</v>
      </c>
      <c r="F14" s="41">
        <v>6</v>
      </c>
      <c r="G14" s="41">
        <v>7</v>
      </c>
      <c r="H14" s="41">
        <v>8</v>
      </c>
      <c r="I14" s="41">
        <v>9</v>
      </c>
      <c r="J14" s="41">
        <v>10</v>
      </c>
      <c r="K14" s="41">
        <v>11</v>
      </c>
      <c r="L14" s="41">
        <v>12</v>
      </c>
      <c r="M14" s="41">
        <v>13</v>
      </c>
      <c r="N14" s="41">
        <v>14</v>
      </c>
      <c r="O14" s="41">
        <v>15</v>
      </c>
      <c r="P14" s="41">
        <v>16</v>
      </c>
      <c r="Q14" s="41">
        <v>17</v>
      </c>
      <c r="R14" s="41">
        <v>18</v>
      </c>
      <c r="S14" s="41">
        <v>19</v>
      </c>
      <c r="T14" s="41">
        <v>20</v>
      </c>
      <c r="U14" s="41">
        <v>21</v>
      </c>
      <c r="V14" s="41">
        <v>22</v>
      </c>
      <c r="W14" s="41">
        <v>23</v>
      </c>
      <c r="X14" s="41">
        <v>24</v>
      </c>
      <c r="Y14" s="41">
        <v>25</v>
      </c>
      <c r="Z14" s="41">
        <v>26</v>
      </c>
      <c r="AA14" s="41">
        <v>27</v>
      </c>
      <c r="AB14" s="41">
        <v>28</v>
      </c>
      <c r="AC14" s="41">
        <v>29</v>
      </c>
      <c r="AD14" s="41">
        <v>30</v>
      </c>
      <c r="AE14" s="41">
        <v>31</v>
      </c>
      <c r="AF14" s="41">
        <v>32</v>
      </c>
      <c r="AG14" s="41">
        <v>33</v>
      </c>
      <c r="AH14" s="41">
        <v>34</v>
      </c>
      <c r="AI14" s="41">
        <v>35</v>
      </c>
      <c r="AJ14" s="41">
        <v>36</v>
      </c>
      <c r="AK14" s="41">
        <v>37</v>
      </c>
    </row>
    <row r="15" spans="1:37" s="207" customFormat="1" ht="15" x14ac:dyDescent="0.2">
      <c r="A15" s="194"/>
      <c r="B15" s="195" t="s">
        <v>55</v>
      </c>
      <c r="C15" s="195"/>
      <c r="D15" s="195"/>
      <c r="E15" s="195"/>
      <c r="F15" s="112">
        <f>F40</f>
        <v>168</v>
      </c>
      <c r="G15" s="112">
        <f>G34</f>
        <v>0</v>
      </c>
      <c r="H15" s="112">
        <f t="shared" ref="H15:AJ15" si="0">H34</f>
        <v>186</v>
      </c>
      <c r="I15" s="112">
        <f t="shared" si="0"/>
        <v>0</v>
      </c>
      <c r="J15" s="112">
        <f t="shared" si="0"/>
        <v>0</v>
      </c>
      <c r="K15" s="112">
        <f t="shared" si="0"/>
        <v>0</v>
      </c>
      <c r="L15" s="112">
        <f t="shared" si="0"/>
        <v>0</v>
      </c>
      <c r="M15" s="112">
        <f t="shared" si="0"/>
        <v>1.6</v>
      </c>
      <c r="N15" s="112">
        <f t="shared" si="0"/>
        <v>0</v>
      </c>
      <c r="O15" s="112">
        <f t="shared" si="0"/>
        <v>0</v>
      </c>
      <c r="P15" s="112">
        <f t="shared" si="0"/>
        <v>0</v>
      </c>
      <c r="Q15" s="112">
        <f t="shared" si="0"/>
        <v>0</v>
      </c>
      <c r="R15" s="112">
        <f t="shared" si="0"/>
        <v>0</v>
      </c>
      <c r="S15" s="112">
        <f t="shared" si="0"/>
        <v>0</v>
      </c>
      <c r="T15" s="112">
        <f t="shared" si="0"/>
        <v>0</v>
      </c>
      <c r="U15" s="112">
        <f t="shared" si="0"/>
        <v>0.89999999999999991</v>
      </c>
      <c r="V15" s="112">
        <f t="shared" si="0"/>
        <v>0</v>
      </c>
      <c r="W15" s="112">
        <f t="shared" si="0"/>
        <v>0</v>
      </c>
      <c r="X15" s="112">
        <f t="shared" si="0"/>
        <v>0</v>
      </c>
      <c r="Y15" s="112">
        <f t="shared" si="0"/>
        <v>0</v>
      </c>
      <c r="Z15" s="112">
        <f t="shared" si="0"/>
        <v>0</v>
      </c>
      <c r="AA15" s="112">
        <f t="shared" si="0"/>
        <v>0</v>
      </c>
      <c r="AB15" s="112">
        <f t="shared" si="0"/>
        <v>0</v>
      </c>
      <c r="AC15" s="112">
        <f t="shared" si="0"/>
        <v>0</v>
      </c>
      <c r="AD15" s="112">
        <f t="shared" si="0"/>
        <v>0</v>
      </c>
      <c r="AE15" s="112">
        <f t="shared" si="0"/>
        <v>0</v>
      </c>
      <c r="AF15" s="112">
        <f t="shared" si="0"/>
        <v>0</v>
      </c>
      <c r="AG15" s="112">
        <f t="shared" si="0"/>
        <v>0</v>
      </c>
      <c r="AH15" s="112">
        <f t="shared" si="0"/>
        <v>0</v>
      </c>
      <c r="AI15" s="112">
        <f t="shared" si="0"/>
        <v>0</v>
      </c>
      <c r="AJ15" s="112">
        <f t="shared" si="0"/>
        <v>2.5</v>
      </c>
      <c r="AK15" s="194"/>
    </row>
    <row r="16" spans="1:37" s="207" customFormat="1" ht="15" x14ac:dyDescent="0.2">
      <c r="A16" s="194"/>
      <c r="B16" s="195" t="s">
        <v>56</v>
      </c>
      <c r="C16" s="195"/>
      <c r="D16" s="195"/>
      <c r="E16" s="195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94"/>
    </row>
    <row r="17" spans="1:37" s="207" customFormat="1" ht="15" x14ac:dyDescent="0.2">
      <c r="A17" s="194"/>
      <c r="B17" s="195" t="s">
        <v>57</v>
      </c>
      <c r="C17" s="195"/>
      <c r="D17" s="195"/>
      <c r="E17" s="195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94"/>
    </row>
    <row r="18" spans="1:37" s="207" customFormat="1" ht="15" x14ac:dyDescent="0.2">
      <c r="A18" s="194"/>
      <c r="B18" s="195" t="s">
        <v>58</v>
      </c>
      <c r="C18" s="195"/>
      <c r="D18" s="195"/>
      <c r="E18" s="195"/>
      <c r="F18" s="112">
        <f>G18</f>
        <v>0</v>
      </c>
      <c r="G18" s="112">
        <f t="shared" ref="G18:AJ18" si="1">G38</f>
        <v>0</v>
      </c>
      <c r="H18" s="112">
        <f t="shared" si="1"/>
        <v>0</v>
      </c>
      <c r="I18" s="112">
        <f t="shared" si="1"/>
        <v>0</v>
      </c>
      <c r="J18" s="112">
        <f t="shared" si="1"/>
        <v>0</v>
      </c>
      <c r="K18" s="112">
        <f t="shared" si="1"/>
        <v>0</v>
      </c>
      <c r="L18" s="112">
        <f t="shared" si="1"/>
        <v>0</v>
      </c>
      <c r="M18" s="112">
        <f t="shared" si="1"/>
        <v>0</v>
      </c>
      <c r="N18" s="112">
        <f t="shared" si="1"/>
        <v>0</v>
      </c>
      <c r="O18" s="112">
        <f t="shared" si="1"/>
        <v>0</v>
      </c>
      <c r="P18" s="112">
        <f t="shared" si="1"/>
        <v>0</v>
      </c>
      <c r="Q18" s="112">
        <f t="shared" si="1"/>
        <v>0</v>
      </c>
      <c r="R18" s="112">
        <f t="shared" si="1"/>
        <v>0</v>
      </c>
      <c r="S18" s="112">
        <f t="shared" si="1"/>
        <v>0</v>
      </c>
      <c r="T18" s="112">
        <f t="shared" si="1"/>
        <v>0</v>
      </c>
      <c r="U18" s="112">
        <f t="shared" si="1"/>
        <v>0</v>
      </c>
      <c r="V18" s="112">
        <f t="shared" si="1"/>
        <v>0</v>
      </c>
      <c r="W18" s="112">
        <f t="shared" si="1"/>
        <v>0</v>
      </c>
      <c r="X18" s="112">
        <f t="shared" si="1"/>
        <v>0</v>
      </c>
      <c r="Y18" s="112">
        <f t="shared" si="1"/>
        <v>0</v>
      </c>
      <c r="Z18" s="112">
        <f t="shared" si="1"/>
        <v>0</v>
      </c>
      <c r="AA18" s="112">
        <f t="shared" si="1"/>
        <v>0</v>
      </c>
      <c r="AB18" s="112">
        <f t="shared" si="1"/>
        <v>0</v>
      </c>
      <c r="AC18" s="112">
        <f t="shared" si="1"/>
        <v>0</v>
      </c>
      <c r="AD18" s="112">
        <f t="shared" si="1"/>
        <v>0</v>
      </c>
      <c r="AE18" s="112">
        <f t="shared" si="1"/>
        <v>0</v>
      </c>
      <c r="AF18" s="112">
        <f t="shared" si="1"/>
        <v>0</v>
      </c>
      <c r="AG18" s="112">
        <f t="shared" si="1"/>
        <v>0</v>
      </c>
      <c r="AH18" s="112">
        <f t="shared" si="1"/>
        <v>0</v>
      </c>
      <c r="AI18" s="112">
        <f t="shared" si="1"/>
        <v>0</v>
      </c>
      <c r="AJ18" s="112">
        <f t="shared" si="1"/>
        <v>0</v>
      </c>
      <c r="AK18" s="194"/>
    </row>
    <row r="19" spans="1:37" s="208" customFormat="1" ht="15.75" x14ac:dyDescent="0.2">
      <c r="A19" s="196"/>
      <c r="B19" s="196" t="s">
        <v>59</v>
      </c>
      <c r="C19" s="196"/>
      <c r="D19" s="196"/>
      <c r="E19" s="196"/>
      <c r="F19" s="113">
        <f t="shared" ref="F19:AI19" si="2">SUM(F15:F18)</f>
        <v>168</v>
      </c>
      <c r="G19" s="113">
        <f t="shared" si="2"/>
        <v>0</v>
      </c>
      <c r="H19" s="113">
        <f t="shared" si="2"/>
        <v>186</v>
      </c>
      <c r="I19" s="113">
        <f t="shared" si="2"/>
        <v>0</v>
      </c>
      <c r="J19" s="113">
        <f t="shared" si="2"/>
        <v>0</v>
      </c>
      <c r="K19" s="113">
        <f t="shared" si="2"/>
        <v>0</v>
      </c>
      <c r="L19" s="113">
        <f t="shared" si="2"/>
        <v>0</v>
      </c>
      <c r="M19" s="113">
        <f t="shared" si="2"/>
        <v>1.6</v>
      </c>
      <c r="N19" s="113">
        <f t="shared" si="2"/>
        <v>0</v>
      </c>
      <c r="O19" s="113">
        <f t="shared" si="2"/>
        <v>0</v>
      </c>
      <c r="P19" s="113">
        <f t="shared" si="2"/>
        <v>0</v>
      </c>
      <c r="Q19" s="113">
        <f t="shared" si="2"/>
        <v>0</v>
      </c>
      <c r="R19" s="113">
        <f t="shared" si="2"/>
        <v>0</v>
      </c>
      <c r="S19" s="113">
        <f t="shared" si="2"/>
        <v>0</v>
      </c>
      <c r="T19" s="113">
        <f t="shared" si="2"/>
        <v>0</v>
      </c>
      <c r="U19" s="113">
        <f t="shared" si="2"/>
        <v>0.89999999999999991</v>
      </c>
      <c r="V19" s="113">
        <f t="shared" si="2"/>
        <v>0</v>
      </c>
      <c r="W19" s="113">
        <f t="shared" si="2"/>
        <v>0</v>
      </c>
      <c r="X19" s="113">
        <f t="shared" si="2"/>
        <v>0</v>
      </c>
      <c r="Y19" s="113">
        <f t="shared" si="2"/>
        <v>0</v>
      </c>
      <c r="Z19" s="113">
        <f t="shared" si="2"/>
        <v>0</v>
      </c>
      <c r="AA19" s="113">
        <f t="shared" si="2"/>
        <v>0</v>
      </c>
      <c r="AB19" s="113">
        <f t="shared" si="2"/>
        <v>0</v>
      </c>
      <c r="AC19" s="113">
        <f t="shared" si="2"/>
        <v>0</v>
      </c>
      <c r="AD19" s="113">
        <f t="shared" si="2"/>
        <v>0</v>
      </c>
      <c r="AE19" s="113">
        <f t="shared" si="2"/>
        <v>0</v>
      </c>
      <c r="AF19" s="113">
        <f t="shared" si="2"/>
        <v>0</v>
      </c>
      <c r="AG19" s="113">
        <f t="shared" si="2"/>
        <v>0</v>
      </c>
      <c r="AH19" s="113">
        <f t="shared" si="2"/>
        <v>0</v>
      </c>
      <c r="AI19" s="113">
        <f t="shared" si="2"/>
        <v>0</v>
      </c>
      <c r="AJ19" s="113">
        <f>SUM(AJ15:AJ18)</f>
        <v>2.5</v>
      </c>
      <c r="AK19" s="196"/>
    </row>
    <row r="20" spans="1:37" s="109" customFormat="1" ht="15.75" x14ac:dyDescent="0.2">
      <c r="A20" s="74"/>
      <c r="B20" s="74"/>
      <c r="C20" s="74"/>
      <c r="D20" s="74"/>
      <c r="E20" s="74"/>
      <c r="F20" s="70"/>
      <c r="G20" s="70"/>
      <c r="H20" s="70"/>
      <c r="I20" s="70"/>
      <c r="J20" s="70"/>
      <c r="K20" s="70"/>
      <c r="L20" s="70"/>
      <c r="M20" s="70"/>
      <c r="N20" s="391" t="s">
        <v>55</v>
      </c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4"/>
    </row>
    <row r="21" spans="1:37" s="109" customFormat="1" ht="15.75" x14ac:dyDescent="0.2">
      <c r="A21" s="74"/>
      <c r="B21" s="60"/>
      <c r="C21" s="74"/>
      <c r="D21" s="74"/>
      <c r="E21" s="74"/>
      <c r="F21" s="70"/>
      <c r="G21" s="70"/>
      <c r="H21" s="70"/>
      <c r="I21" s="70"/>
      <c r="J21" s="70"/>
      <c r="K21" s="73"/>
      <c r="L21" s="395" t="str">
        <f>Внебюджет!L23</f>
        <v>11.03.04  Электроника и наноэлектроника</v>
      </c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7"/>
      <c r="AB21" s="73"/>
      <c r="AC21" s="70"/>
      <c r="AD21" s="70"/>
      <c r="AE21" s="70"/>
      <c r="AF21" s="70"/>
      <c r="AG21" s="70"/>
      <c r="AH21" s="70"/>
      <c r="AI21" s="70"/>
      <c r="AJ21" s="70"/>
      <c r="AK21" s="74"/>
    </row>
    <row r="22" spans="1:37" s="109" customFormat="1" ht="15.75" x14ac:dyDescent="0.2">
      <c r="A22" s="74"/>
      <c r="B22" s="60"/>
      <c r="C22" s="74"/>
      <c r="D22" s="74"/>
      <c r="E22" s="74"/>
      <c r="F22" s="70"/>
      <c r="G22" s="70"/>
      <c r="H22" s="70"/>
      <c r="I22" s="70"/>
      <c r="J22" s="398" t="str">
        <f>Внебюджет!K24</f>
        <v>профиль "Электроника и наноэлектроника"</v>
      </c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400"/>
      <c r="AD22" s="70"/>
      <c r="AE22" s="70"/>
      <c r="AF22" s="70"/>
      <c r="AG22" s="70"/>
      <c r="AH22" s="70"/>
      <c r="AI22" s="70"/>
      <c r="AJ22" s="70"/>
      <c r="AK22" s="74"/>
    </row>
    <row r="23" spans="1:37" s="109" customFormat="1" ht="30" x14ac:dyDescent="0.2">
      <c r="A23" s="60" t="str">
        <f>Внебюджет!A25</f>
        <v>Б1.О.14.06</v>
      </c>
      <c r="B23" s="60" t="str">
        <f>Внебюджет!B25</f>
        <v>Термодинамика и статистическая физика (поток РФ, НЭ)</v>
      </c>
      <c r="C23" s="67" t="str">
        <f>Внебюджет!C25</f>
        <v>3\6</v>
      </c>
      <c r="D23" s="67">
        <f>Внебюджет!D25</f>
        <v>1</v>
      </c>
      <c r="E23" s="67">
        <f>Внебюджет!E25</f>
        <v>0</v>
      </c>
      <c r="F23" s="66">
        <f>Внебюджет!F25</f>
        <v>36</v>
      </c>
      <c r="G23" s="66">
        <f>Внебюджет!G25</f>
        <v>0</v>
      </c>
      <c r="H23" s="66">
        <f>Внебюджет!H25</f>
        <v>36</v>
      </c>
      <c r="I23" s="66">
        <f>Внебюджет!I25</f>
        <v>0</v>
      </c>
      <c r="J23" s="66">
        <f>Внебюджет!J25</f>
        <v>0</v>
      </c>
      <c r="K23" s="66">
        <f>Внебюджет!K25</f>
        <v>0</v>
      </c>
      <c r="L23" s="66">
        <f>Внебюджет!L25</f>
        <v>0</v>
      </c>
      <c r="M23" s="66">
        <f>Внебюджет!M25</f>
        <v>0.4</v>
      </c>
      <c r="N23" s="66">
        <f>Внебюджет!N25</f>
        <v>0</v>
      </c>
      <c r="O23" s="66">
        <f>Внебюджет!O25</f>
        <v>0</v>
      </c>
      <c r="P23" s="66">
        <f>Внебюджет!P25</f>
        <v>0</v>
      </c>
      <c r="Q23" s="66">
        <f>Внебюджет!Q25</f>
        <v>0</v>
      </c>
      <c r="R23" s="66">
        <f>Внебюджет!R25</f>
        <v>0</v>
      </c>
      <c r="S23" s="66">
        <f>Внебюджет!S25</f>
        <v>0</v>
      </c>
      <c r="T23" s="66">
        <f>Внебюджет!T25</f>
        <v>0</v>
      </c>
      <c r="U23" s="66">
        <f>Внебюджет!U25</f>
        <v>0.3</v>
      </c>
      <c r="V23" s="66">
        <f>Внебюджет!V25</f>
        <v>0</v>
      </c>
      <c r="W23" s="66">
        <f>Внебюджет!W25</f>
        <v>0</v>
      </c>
      <c r="X23" s="66">
        <f>Внебюджет!X25</f>
        <v>0</v>
      </c>
      <c r="Y23" s="66">
        <f>Внебюджет!Y25</f>
        <v>0</v>
      </c>
      <c r="Z23" s="66">
        <f>Внебюджет!Z25</f>
        <v>0</v>
      </c>
      <c r="AA23" s="66">
        <f>Внебюджет!AA25</f>
        <v>0</v>
      </c>
      <c r="AB23" s="66">
        <f>Внебюджет!AB25</f>
        <v>0</v>
      </c>
      <c r="AC23" s="66">
        <f>Внебюджет!AC25</f>
        <v>0</v>
      </c>
      <c r="AD23" s="66">
        <f>Внебюджет!AD25</f>
        <v>0</v>
      </c>
      <c r="AE23" s="66">
        <f>Внебюджет!AE25</f>
        <v>0</v>
      </c>
      <c r="AF23" s="66">
        <f>Внебюджет!AF25</f>
        <v>0</v>
      </c>
      <c r="AG23" s="66">
        <f>Внебюджет!AG25</f>
        <v>0</v>
      </c>
      <c r="AH23" s="66">
        <f>Внебюджет!AH25</f>
        <v>0</v>
      </c>
      <c r="AI23" s="66">
        <f>Внебюджет!AI25</f>
        <v>0</v>
      </c>
      <c r="AJ23" s="70">
        <f t="shared" ref="AJ23:AJ25" si="3">SUM(G23,I23:AI23)</f>
        <v>0.7</v>
      </c>
      <c r="AK23" s="74"/>
    </row>
    <row r="24" spans="1:37" s="109" customFormat="1" ht="15" x14ac:dyDescent="0.2">
      <c r="A24" s="60" t="str">
        <f>Внебюджет!A27</f>
        <v>Б1.О.18</v>
      </c>
      <c r="B24" s="60" t="str">
        <f>Внебюджет!B27</f>
        <v>Квантовая механика (поток ФИЗ, НЭ)</v>
      </c>
      <c r="C24" s="67" t="str">
        <f>Внебюджет!C27</f>
        <v>3\5</v>
      </c>
      <c r="D24" s="67">
        <f>Внебюджет!D27</f>
        <v>1</v>
      </c>
      <c r="E24" s="67">
        <f>Внебюджет!E27</f>
        <v>0</v>
      </c>
      <c r="F24" s="66">
        <f>Внебюджет!F27</f>
        <v>50</v>
      </c>
      <c r="G24" s="66">
        <f>Внебюджет!G27</f>
        <v>0</v>
      </c>
      <c r="H24" s="66">
        <f>Внебюджет!H27</f>
        <v>68</v>
      </c>
      <c r="I24" s="66">
        <f>Внебюджет!I27</f>
        <v>0</v>
      </c>
      <c r="J24" s="66">
        <f>Внебюджет!J27</f>
        <v>0</v>
      </c>
      <c r="K24" s="66">
        <f>Внебюджет!K27</f>
        <v>0</v>
      </c>
      <c r="L24" s="66">
        <f>Внебюджет!L27</f>
        <v>0</v>
      </c>
      <c r="M24" s="66">
        <f>Внебюджет!M27</f>
        <v>0.4</v>
      </c>
      <c r="N24" s="66">
        <f>Внебюджет!N27</f>
        <v>0</v>
      </c>
      <c r="O24" s="66">
        <f>Внебюджет!O27</f>
        <v>0</v>
      </c>
      <c r="P24" s="66">
        <f>Внебюджет!P27</f>
        <v>0</v>
      </c>
      <c r="Q24" s="66">
        <f>Внебюджет!Q27</f>
        <v>0</v>
      </c>
      <c r="R24" s="66">
        <f>Внебюджет!R27</f>
        <v>0</v>
      </c>
      <c r="S24" s="66">
        <f>Внебюджет!S27</f>
        <v>0</v>
      </c>
      <c r="T24" s="66">
        <f>Внебюджет!T27</f>
        <v>0</v>
      </c>
      <c r="U24" s="66">
        <f>Внебюджет!U27</f>
        <v>0.3</v>
      </c>
      <c r="V24" s="66">
        <f>Внебюджет!V27</f>
        <v>0</v>
      </c>
      <c r="W24" s="66">
        <f>Внебюджет!W27</f>
        <v>0</v>
      </c>
      <c r="X24" s="66">
        <f>Внебюджет!X27</f>
        <v>0</v>
      </c>
      <c r="Y24" s="66">
        <f>Внебюджет!Y27</f>
        <v>0</v>
      </c>
      <c r="Z24" s="66">
        <f>Внебюджет!Z27</f>
        <v>0</v>
      </c>
      <c r="AA24" s="66">
        <f>Внебюджет!AA27</f>
        <v>0</v>
      </c>
      <c r="AB24" s="66">
        <f>Внебюджет!AB27</f>
        <v>0</v>
      </c>
      <c r="AC24" s="66">
        <f>Внебюджет!AC27</f>
        <v>0</v>
      </c>
      <c r="AD24" s="66">
        <f>Внебюджет!AD27</f>
        <v>0</v>
      </c>
      <c r="AE24" s="66">
        <f>Внебюджет!AE27</f>
        <v>0</v>
      </c>
      <c r="AF24" s="66">
        <f>Внебюджет!AF27</f>
        <v>0</v>
      </c>
      <c r="AG24" s="66">
        <f>Внебюджет!AG27</f>
        <v>0</v>
      </c>
      <c r="AH24" s="66">
        <f>Внебюджет!AH27</f>
        <v>0</v>
      </c>
      <c r="AI24" s="66">
        <f>Внебюджет!AI27</f>
        <v>0</v>
      </c>
      <c r="AJ24" s="70">
        <f t="shared" si="3"/>
        <v>0.7</v>
      </c>
      <c r="AK24" s="74"/>
    </row>
    <row r="25" spans="1:37" s="109" customFormat="1" ht="15" x14ac:dyDescent="0.2">
      <c r="A25" s="60" t="str">
        <f>Внебюджет!A35</f>
        <v>Б1.О.28</v>
      </c>
      <c r="B25" s="60" t="str">
        <f>Внебюджет!B35</f>
        <v>Методы математической физики (поток ФИЗ, НЭ)</v>
      </c>
      <c r="C25" s="67" t="str">
        <f>Внебюджет!C35</f>
        <v>3\5</v>
      </c>
      <c r="D25" s="67">
        <f>Внебюджет!D35</f>
        <v>1</v>
      </c>
      <c r="E25" s="67">
        <f>Внебюджет!E35</f>
        <v>0</v>
      </c>
      <c r="F25" s="66">
        <f>Внебюджет!F35</f>
        <v>50</v>
      </c>
      <c r="G25" s="66">
        <f>Внебюджет!G35</f>
        <v>0</v>
      </c>
      <c r="H25" s="66">
        <f>Внебюджет!H35</f>
        <v>50</v>
      </c>
      <c r="I25" s="66">
        <f>Внебюджет!I35</f>
        <v>0</v>
      </c>
      <c r="J25" s="66">
        <f>Внебюджет!J35</f>
        <v>0</v>
      </c>
      <c r="K25" s="66">
        <f>Внебюджет!K35</f>
        <v>0</v>
      </c>
      <c r="L25" s="66">
        <f>Внебюджет!L35</f>
        <v>0</v>
      </c>
      <c r="M25" s="66">
        <f>Внебюджет!M35</f>
        <v>0.4</v>
      </c>
      <c r="N25" s="66">
        <f>Внебюджет!N35</f>
        <v>0</v>
      </c>
      <c r="O25" s="66">
        <f>Внебюджет!O35</f>
        <v>0</v>
      </c>
      <c r="P25" s="66">
        <f>Внебюджет!P35</f>
        <v>0</v>
      </c>
      <c r="Q25" s="66">
        <f>Внебюджет!Q35</f>
        <v>0</v>
      </c>
      <c r="R25" s="66">
        <f>Внебюджет!R35</f>
        <v>0</v>
      </c>
      <c r="S25" s="66">
        <f>Внебюджет!S35</f>
        <v>0</v>
      </c>
      <c r="T25" s="66">
        <f>Внебюджет!T35</f>
        <v>0</v>
      </c>
      <c r="U25" s="66">
        <f>Внебюджет!U35</f>
        <v>0</v>
      </c>
      <c r="V25" s="66">
        <f>Внебюджет!V35</f>
        <v>0</v>
      </c>
      <c r="W25" s="66">
        <f>Внебюджет!W35</f>
        <v>0</v>
      </c>
      <c r="X25" s="66">
        <f>Внебюджет!X35</f>
        <v>0</v>
      </c>
      <c r="Y25" s="66">
        <f>Внебюджет!Y35</f>
        <v>0</v>
      </c>
      <c r="Z25" s="66">
        <f>Внебюджет!Z35</f>
        <v>0</v>
      </c>
      <c r="AA25" s="66">
        <f>Внебюджет!AA35</f>
        <v>0</v>
      </c>
      <c r="AB25" s="66">
        <f>Внебюджет!AB35</f>
        <v>0</v>
      </c>
      <c r="AC25" s="66">
        <f>Внебюджет!AC35</f>
        <v>0</v>
      </c>
      <c r="AD25" s="66">
        <f>Внебюджет!AD35</f>
        <v>0</v>
      </c>
      <c r="AE25" s="66">
        <f>Внебюджет!AE35</f>
        <v>0</v>
      </c>
      <c r="AF25" s="66">
        <f>Внебюджет!AF35</f>
        <v>0</v>
      </c>
      <c r="AG25" s="66">
        <f>Внебюджет!AG35</f>
        <v>0</v>
      </c>
      <c r="AH25" s="66">
        <f>Внебюджет!AH35</f>
        <v>0</v>
      </c>
      <c r="AI25" s="66">
        <f>Внебюджет!AI35</f>
        <v>0</v>
      </c>
      <c r="AJ25" s="70">
        <f t="shared" si="3"/>
        <v>0.4</v>
      </c>
      <c r="AK25" s="74"/>
    </row>
    <row r="26" spans="1:37" s="109" customFormat="1" ht="15.75" x14ac:dyDescent="0.2">
      <c r="A26" s="74"/>
      <c r="B26" s="214" t="s">
        <v>236</v>
      </c>
      <c r="C26" s="91"/>
      <c r="D26" s="91"/>
      <c r="E26" s="91"/>
      <c r="F26" s="88">
        <f t="shared" ref="F26:AJ26" si="4">SUM(F23:F25)</f>
        <v>136</v>
      </c>
      <c r="G26" s="88">
        <f t="shared" si="4"/>
        <v>0</v>
      </c>
      <c r="H26" s="88">
        <f t="shared" si="4"/>
        <v>154</v>
      </c>
      <c r="I26" s="88">
        <f t="shared" si="4"/>
        <v>0</v>
      </c>
      <c r="J26" s="88">
        <f t="shared" si="4"/>
        <v>0</v>
      </c>
      <c r="K26" s="88">
        <f t="shared" si="4"/>
        <v>0</v>
      </c>
      <c r="L26" s="88">
        <f t="shared" si="4"/>
        <v>0</v>
      </c>
      <c r="M26" s="88">
        <f t="shared" si="4"/>
        <v>1.2000000000000002</v>
      </c>
      <c r="N26" s="88">
        <f t="shared" si="4"/>
        <v>0</v>
      </c>
      <c r="O26" s="88">
        <f t="shared" si="4"/>
        <v>0</v>
      </c>
      <c r="P26" s="88">
        <f t="shared" si="4"/>
        <v>0</v>
      </c>
      <c r="Q26" s="88">
        <f t="shared" si="4"/>
        <v>0</v>
      </c>
      <c r="R26" s="88">
        <f t="shared" si="4"/>
        <v>0</v>
      </c>
      <c r="S26" s="88">
        <f t="shared" si="4"/>
        <v>0</v>
      </c>
      <c r="T26" s="88">
        <f t="shared" si="4"/>
        <v>0</v>
      </c>
      <c r="U26" s="88">
        <f t="shared" si="4"/>
        <v>0.6</v>
      </c>
      <c r="V26" s="88">
        <f t="shared" si="4"/>
        <v>0</v>
      </c>
      <c r="W26" s="88">
        <f t="shared" si="4"/>
        <v>0</v>
      </c>
      <c r="X26" s="88">
        <f t="shared" si="4"/>
        <v>0</v>
      </c>
      <c r="Y26" s="88">
        <f t="shared" si="4"/>
        <v>0</v>
      </c>
      <c r="Z26" s="88">
        <f t="shared" si="4"/>
        <v>0</v>
      </c>
      <c r="AA26" s="88">
        <f t="shared" si="4"/>
        <v>0</v>
      </c>
      <c r="AB26" s="88">
        <f t="shared" si="4"/>
        <v>0</v>
      </c>
      <c r="AC26" s="88">
        <f t="shared" si="4"/>
        <v>0</v>
      </c>
      <c r="AD26" s="88">
        <f t="shared" si="4"/>
        <v>0</v>
      </c>
      <c r="AE26" s="88">
        <f t="shared" si="4"/>
        <v>0</v>
      </c>
      <c r="AF26" s="88">
        <f t="shared" si="4"/>
        <v>0</v>
      </c>
      <c r="AG26" s="88">
        <f t="shared" si="4"/>
        <v>0</v>
      </c>
      <c r="AH26" s="88">
        <f t="shared" si="4"/>
        <v>0</v>
      </c>
      <c r="AI26" s="88">
        <f t="shared" si="4"/>
        <v>0</v>
      </c>
      <c r="AJ26" s="88">
        <f t="shared" si="4"/>
        <v>1.7999999999999998</v>
      </c>
      <c r="AK26" s="74"/>
    </row>
    <row r="27" spans="1:37" s="110" customFormat="1" ht="15" x14ac:dyDescent="0.2">
      <c r="A27" s="74"/>
      <c r="B27" s="60"/>
      <c r="C27" s="74"/>
      <c r="D27" s="74"/>
      <c r="E27" s="74"/>
      <c r="F27" s="70"/>
      <c r="G27" s="70"/>
      <c r="H27" s="70"/>
      <c r="I27" s="70"/>
      <c r="J27" s="70"/>
      <c r="K27" s="66"/>
      <c r="L27" s="70"/>
      <c r="M27" s="70"/>
      <c r="N27" s="70"/>
      <c r="O27" s="70"/>
      <c r="P27" s="70"/>
      <c r="Q27" s="66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4"/>
    </row>
    <row r="28" spans="1:37" s="110" customFormat="1" ht="15.75" x14ac:dyDescent="0.2">
      <c r="A28" s="74"/>
      <c r="B28" s="60"/>
      <c r="C28" s="74"/>
      <c r="D28" s="74"/>
      <c r="E28" s="74"/>
      <c r="F28" s="70"/>
      <c r="G28" s="70"/>
      <c r="H28" s="70"/>
      <c r="I28" s="70"/>
      <c r="J28" s="70"/>
      <c r="K28" s="73"/>
      <c r="L28" s="401" t="str">
        <f>Внебюджет!L41</f>
        <v>10.03.01 Информационная безопасность</v>
      </c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73"/>
      <c r="AC28" s="70"/>
      <c r="AD28" s="70"/>
      <c r="AE28" s="70"/>
      <c r="AF28" s="70"/>
      <c r="AG28" s="70"/>
      <c r="AH28" s="70"/>
      <c r="AI28" s="70"/>
      <c r="AJ28" s="70"/>
      <c r="AK28" s="74"/>
    </row>
    <row r="29" spans="1:37" s="110" customFormat="1" ht="15.75" x14ac:dyDescent="0.2">
      <c r="A29" s="60"/>
      <c r="B29" s="60"/>
      <c r="C29" s="74"/>
      <c r="D29" s="74"/>
      <c r="E29" s="74"/>
      <c r="F29" s="70"/>
      <c r="G29" s="70"/>
      <c r="H29" s="70"/>
      <c r="I29" s="70"/>
      <c r="J29" s="398" t="str">
        <f>Внебюджет!K42</f>
        <v>профиль "Техническая защита информации"</v>
      </c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400"/>
      <c r="AD29" s="70"/>
      <c r="AE29" s="70"/>
      <c r="AF29" s="70"/>
      <c r="AG29" s="70"/>
      <c r="AH29" s="70"/>
      <c r="AI29" s="70"/>
      <c r="AJ29" s="70">
        <f>SUM(G29,I29:AI29)</f>
        <v>0</v>
      </c>
      <c r="AK29" s="74"/>
    </row>
    <row r="30" spans="1:37" s="110" customFormat="1" ht="15.75" x14ac:dyDescent="0.2">
      <c r="A30" s="60"/>
      <c r="B30" s="60"/>
      <c r="C30" s="74"/>
      <c r="D30" s="74"/>
      <c r="E30" s="74"/>
      <c r="F30" s="70"/>
      <c r="G30" s="70"/>
      <c r="H30" s="70"/>
      <c r="I30" s="70"/>
      <c r="J30" s="398" t="str">
        <f>Внебюджет!K43</f>
        <v>профиль "Безопасность автоматизированных систем (по отрасли или в сфере профессиональной деятельности)"</v>
      </c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400"/>
      <c r="AD30" s="70"/>
      <c r="AE30" s="70"/>
      <c r="AF30" s="70"/>
      <c r="AG30" s="70"/>
      <c r="AH30" s="70"/>
      <c r="AI30" s="70"/>
      <c r="AJ30" s="70"/>
      <c r="AK30" s="74"/>
    </row>
    <row r="31" spans="1:37" s="110" customFormat="1" ht="15" x14ac:dyDescent="0.2">
      <c r="A31" s="90" t="str">
        <f>Внебюджет!A45</f>
        <v>Б1.О.15.01</v>
      </c>
      <c r="B31" s="90" t="str">
        <f>Внебюджет!B45</f>
        <v>Математический анализ (поток РФ, ИБ, НЭ, ИСТ)</v>
      </c>
      <c r="C31" s="74" t="str">
        <f>Внебюджет!C45</f>
        <v>2\3</v>
      </c>
      <c r="D31" s="74">
        <f>Внебюджет!D45</f>
        <v>1</v>
      </c>
      <c r="E31" s="74">
        <f>Внебюджет!E45</f>
        <v>0</v>
      </c>
      <c r="F31" s="70">
        <f>Внебюджет!F45</f>
        <v>32</v>
      </c>
      <c r="G31" s="70">
        <f>Внебюджет!G45</f>
        <v>0</v>
      </c>
      <c r="H31" s="70">
        <f>Внебюджет!H45</f>
        <v>32</v>
      </c>
      <c r="I31" s="70">
        <f>Внебюджет!I45</f>
        <v>0</v>
      </c>
      <c r="J31" s="70">
        <f>Внебюджет!J45</f>
        <v>0</v>
      </c>
      <c r="K31" s="70">
        <f>Внебюджет!K45</f>
        <v>0</v>
      </c>
      <c r="L31" s="70">
        <f>Внебюджет!L45</f>
        <v>0</v>
      </c>
      <c r="M31" s="70">
        <f>Внебюджет!M45</f>
        <v>0.4</v>
      </c>
      <c r="N31" s="70">
        <f>Внебюджет!N45</f>
        <v>0</v>
      </c>
      <c r="O31" s="70">
        <f>Внебюджет!O45</f>
        <v>0</v>
      </c>
      <c r="P31" s="70">
        <f>Внебюджет!P45</f>
        <v>0</v>
      </c>
      <c r="Q31" s="70">
        <f>Внебюджет!Q45</f>
        <v>0</v>
      </c>
      <c r="R31" s="70">
        <f>Внебюджет!R45</f>
        <v>0</v>
      </c>
      <c r="S31" s="70">
        <f>Внебюджет!S45</f>
        <v>0</v>
      </c>
      <c r="T31" s="70">
        <f>Внебюджет!T45</f>
        <v>0</v>
      </c>
      <c r="U31" s="70">
        <f>Внебюджет!U45</f>
        <v>0.3</v>
      </c>
      <c r="V31" s="70">
        <f>Внебюджет!V45</f>
        <v>0</v>
      </c>
      <c r="W31" s="70">
        <f>Внебюджет!W45</f>
        <v>0</v>
      </c>
      <c r="X31" s="70">
        <f>Внебюджет!X45</f>
        <v>0</v>
      </c>
      <c r="Y31" s="70">
        <f>Внебюджет!Y45</f>
        <v>0</v>
      </c>
      <c r="Z31" s="70">
        <f>Внебюджет!Z45</f>
        <v>0</v>
      </c>
      <c r="AA31" s="70">
        <f>Внебюджет!AA45</f>
        <v>0</v>
      </c>
      <c r="AB31" s="70">
        <f>Внебюджет!AB45</f>
        <v>0</v>
      </c>
      <c r="AC31" s="70">
        <f>Внебюджет!AC45</f>
        <v>0</v>
      </c>
      <c r="AD31" s="70">
        <f>Внебюджет!AD45</f>
        <v>0</v>
      </c>
      <c r="AE31" s="70">
        <f>Внебюджет!AE45</f>
        <v>0</v>
      </c>
      <c r="AF31" s="70">
        <f>Внебюджет!AF45</f>
        <v>0</v>
      </c>
      <c r="AG31" s="70">
        <f>Внебюджет!AG45</f>
        <v>0</v>
      </c>
      <c r="AH31" s="70">
        <f>Внебюджет!AH45</f>
        <v>0</v>
      </c>
      <c r="AI31" s="70">
        <f>Внебюджет!AI45</f>
        <v>0</v>
      </c>
      <c r="AJ31" s="70">
        <f>SUM(G31,I31:AI31)</f>
        <v>0.7</v>
      </c>
      <c r="AK31" s="74"/>
    </row>
    <row r="32" spans="1:37" s="109" customFormat="1" ht="15.75" x14ac:dyDescent="0.2">
      <c r="A32" s="74"/>
      <c r="B32" s="214" t="s">
        <v>237</v>
      </c>
      <c r="C32" s="91"/>
      <c r="D32" s="91"/>
      <c r="E32" s="91"/>
      <c r="F32" s="88">
        <f>SUM(F31:F31)</f>
        <v>32</v>
      </c>
      <c r="G32" s="88">
        <f t="shared" ref="G32:AJ32" si="5">SUM(G31:G31)</f>
        <v>0</v>
      </c>
      <c r="H32" s="88">
        <f t="shared" si="5"/>
        <v>32</v>
      </c>
      <c r="I32" s="88">
        <f t="shared" si="5"/>
        <v>0</v>
      </c>
      <c r="J32" s="88">
        <f t="shared" si="5"/>
        <v>0</v>
      </c>
      <c r="K32" s="88">
        <f t="shared" si="5"/>
        <v>0</v>
      </c>
      <c r="L32" s="88">
        <f t="shared" si="5"/>
        <v>0</v>
      </c>
      <c r="M32" s="88">
        <f t="shared" si="5"/>
        <v>0.4</v>
      </c>
      <c r="N32" s="88">
        <f t="shared" si="5"/>
        <v>0</v>
      </c>
      <c r="O32" s="88">
        <f t="shared" si="5"/>
        <v>0</v>
      </c>
      <c r="P32" s="88">
        <f t="shared" si="5"/>
        <v>0</v>
      </c>
      <c r="Q32" s="88">
        <f t="shared" si="5"/>
        <v>0</v>
      </c>
      <c r="R32" s="88">
        <f t="shared" si="5"/>
        <v>0</v>
      </c>
      <c r="S32" s="88">
        <f t="shared" si="5"/>
        <v>0</v>
      </c>
      <c r="T32" s="88">
        <f t="shared" si="5"/>
        <v>0</v>
      </c>
      <c r="U32" s="88">
        <f t="shared" si="5"/>
        <v>0.3</v>
      </c>
      <c r="V32" s="88">
        <f t="shared" si="5"/>
        <v>0</v>
      </c>
      <c r="W32" s="88">
        <f t="shared" si="5"/>
        <v>0</v>
      </c>
      <c r="X32" s="88">
        <f t="shared" si="5"/>
        <v>0</v>
      </c>
      <c r="Y32" s="88">
        <f t="shared" si="5"/>
        <v>0</v>
      </c>
      <c r="Z32" s="88">
        <f t="shared" si="5"/>
        <v>0</v>
      </c>
      <c r="AA32" s="88">
        <f t="shared" si="5"/>
        <v>0</v>
      </c>
      <c r="AB32" s="88">
        <f t="shared" si="5"/>
        <v>0</v>
      </c>
      <c r="AC32" s="88">
        <f t="shared" si="5"/>
        <v>0</v>
      </c>
      <c r="AD32" s="88">
        <f t="shared" si="5"/>
        <v>0</v>
      </c>
      <c r="AE32" s="88">
        <f t="shared" si="5"/>
        <v>0</v>
      </c>
      <c r="AF32" s="88">
        <f t="shared" si="5"/>
        <v>0</v>
      </c>
      <c r="AG32" s="88">
        <f t="shared" si="5"/>
        <v>0</v>
      </c>
      <c r="AH32" s="88">
        <f t="shared" si="5"/>
        <v>0</v>
      </c>
      <c r="AI32" s="88">
        <f t="shared" si="5"/>
        <v>0</v>
      </c>
      <c r="AJ32" s="88">
        <f t="shared" si="5"/>
        <v>0.7</v>
      </c>
      <c r="AK32" s="74"/>
    </row>
    <row r="33" spans="1:37" s="110" customFormat="1" ht="15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0"/>
      <c r="AK33" s="74"/>
    </row>
    <row r="34" spans="1:37" s="110" customFormat="1" ht="15.75" x14ac:dyDescent="0.2">
      <c r="A34" s="74"/>
      <c r="B34" s="215" t="s">
        <v>239</v>
      </c>
      <c r="C34" s="199"/>
      <c r="D34" s="199"/>
      <c r="E34" s="199"/>
      <c r="F34" s="98">
        <f>SUM(F26,F32)</f>
        <v>168</v>
      </c>
      <c r="G34" s="98">
        <f t="shared" ref="G34:AJ34" si="6">SUM(G26,G32)</f>
        <v>0</v>
      </c>
      <c r="H34" s="98">
        <f t="shared" si="6"/>
        <v>186</v>
      </c>
      <c r="I34" s="98">
        <f t="shared" si="6"/>
        <v>0</v>
      </c>
      <c r="J34" s="98">
        <f t="shared" si="6"/>
        <v>0</v>
      </c>
      <c r="K34" s="98">
        <f t="shared" si="6"/>
        <v>0</v>
      </c>
      <c r="L34" s="98">
        <f t="shared" si="6"/>
        <v>0</v>
      </c>
      <c r="M34" s="98">
        <f t="shared" si="6"/>
        <v>1.6</v>
      </c>
      <c r="N34" s="98">
        <f t="shared" si="6"/>
        <v>0</v>
      </c>
      <c r="O34" s="98">
        <f t="shared" si="6"/>
        <v>0</v>
      </c>
      <c r="P34" s="98">
        <f t="shared" si="6"/>
        <v>0</v>
      </c>
      <c r="Q34" s="98">
        <f t="shared" si="6"/>
        <v>0</v>
      </c>
      <c r="R34" s="98">
        <f t="shared" si="6"/>
        <v>0</v>
      </c>
      <c r="S34" s="98">
        <f t="shared" si="6"/>
        <v>0</v>
      </c>
      <c r="T34" s="98">
        <f t="shared" si="6"/>
        <v>0</v>
      </c>
      <c r="U34" s="98">
        <f t="shared" si="6"/>
        <v>0.89999999999999991</v>
      </c>
      <c r="V34" s="98">
        <f t="shared" si="6"/>
        <v>0</v>
      </c>
      <c r="W34" s="98">
        <f t="shared" si="6"/>
        <v>0</v>
      </c>
      <c r="X34" s="98">
        <f t="shared" si="6"/>
        <v>0</v>
      </c>
      <c r="Y34" s="98">
        <f t="shared" si="6"/>
        <v>0</v>
      </c>
      <c r="Z34" s="98">
        <f t="shared" si="6"/>
        <v>0</v>
      </c>
      <c r="AA34" s="98">
        <f t="shared" si="6"/>
        <v>0</v>
      </c>
      <c r="AB34" s="98">
        <f t="shared" si="6"/>
        <v>0</v>
      </c>
      <c r="AC34" s="98">
        <f t="shared" si="6"/>
        <v>0</v>
      </c>
      <c r="AD34" s="98">
        <f t="shared" si="6"/>
        <v>0</v>
      </c>
      <c r="AE34" s="98">
        <f t="shared" si="6"/>
        <v>0</v>
      </c>
      <c r="AF34" s="98">
        <f t="shared" si="6"/>
        <v>0</v>
      </c>
      <c r="AG34" s="98">
        <f t="shared" si="6"/>
        <v>0</v>
      </c>
      <c r="AH34" s="98">
        <f t="shared" si="6"/>
        <v>0</v>
      </c>
      <c r="AI34" s="98">
        <f t="shared" si="6"/>
        <v>0</v>
      </c>
      <c r="AJ34" s="98">
        <f t="shared" si="6"/>
        <v>2.5</v>
      </c>
      <c r="AK34" s="70"/>
    </row>
    <row r="35" spans="1:37" s="110" customFormat="1" ht="15.75" x14ac:dyDescent="0.2">
      <c r="A35" s="74"/>
      <c r="B35" s="107"/>
      <c r="C35" s="120"/>
      <c r="D35" s="120"/>
      <c r="E35" s="120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0"/>
    </row>
    <row r="36" spans="1:37" s="216" customFormat="1" ht="15.75" x14ac:dyDescent="0.2">
      <c r="A36" s="201"/>
      <c r="B36" s="60"/>
      <c r="C36" s="201"/>
      <c r="D36" s="201"/>
      <c r="E36" s="201"/>
      <c r="F36" s="200"/>
      <c r="G36" s="200"/>
      <c r="H36" s="200"/>
      <c r="I36" s="200"/>
      <c r="J36" s="200"/>
      <c r="K36" s="200"/>
      <c r="L36" s="200"/>
      <c r="M36" s="200"/>
      <c r="N36" s="391" t="s">
        <v>58</v>
      </c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</row>
    <row r="37" spans="1:37" s="110" customFormat="1" ht="15" x14ac:dyDescent="0.2">
      <c r="A37" s="201"/>
      <c r="B37" s="60"/>
      <c r="C37" s="201"/>
      <c r="D37" s="201"/>
      <c r="E37" s="201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</row>
    <row r="38" spans="1:37" s="110" customFormat="1" ht="15.75" x14ac:dyDescent="0.2">
      <c r="A38" s="201"/>
      <c r="B38" s="215" t="s">
        <v>240</v>
      </c>
      <c r="C38" s="199"/>
      <c r="D38" s="199"/>
      <c r="E38" s="199"/>
      <c r="F38" s="98">
        <f>SUM(F37)</f>
        <v>0</v>
      </c>
      <c r="G38" s="98">
        <f t="shared" ref="G38:AJ38" si="7">SUM(G37)</f>
        <v>0</v>
      </c>
      <c r="H38" s="98">
        <f t="shared" si="7"/>
        <v>0</v>
      </c>
      <c r="I38" s="98">
        <f t="shared" si="7"/>
        <v>0</v>
      </c>
      <c r="J38" s="98">
        <f t="shared" si="7"/>
        <v>0</v>
      </c>
      <c r="K38" s="98">
        <f t="shared" si="7"/>
        <v>0</v>
      </c>
      <c r="L38" s="98">
        <f t="shared" si="7"/>
        <v>0</v>
      </c>
      <c r="M38" s="98">
        <f t="shared" si="7"/>
        <v>0</v>
      </c>
      <c r="N38" s="98">
        <f t="shared" si="7"/>
        <v>0</v>
      </c>
      <c r="O38" s="98">
        <f t="shared" si="7"/>
        <v>0</v>
      </c>
      <c r="P38" s="98">
        <f t="shared" si="7"/>
        <v>0</v>
      </c>
      <c r="Q38" s="98">
        <f t="shared" si="7"/>
        <v>0</v>
      </c>
      <c r="R38" s="98">
        <f t="shared" si="7"/>
        <v>0</v>
      </c>
      <c r="S38" s="98">
        <f t="shared" si="7"/>
        <v>0</v>
      </c>
      <c r="T38" s="98">
        <f t="shared" si="7"/>
        <v>0</v>
      </c>
      <c r="U38" s="98">
        <f t="shared" si="7"/>
        <v>0</v>
      </c>
      <c r="V38" s="98">
        <f t="shared" si="7"/>
        <v>0</v>
      </c>
      <c r="W38" s="98">
        <f t="shared" si="7"/>
        <v>0</v>
      </c>
      <c r="X38" s="98">
        <f t="shared" si="7"/>
        <v>0</v>
      </c>
      <c r="Y38" s="98">
        <f t="shared" si="7"/>
        <v>0</v>
      </c>
      <c r="Z38" s="98">
        <f t="shared" si="7"/>
        <v>0</v>
      </c>
      <c r="AA38" s="98">
        <f t="shared" si="7"/>
        <v>0</v>
      </c>
      <c r="AB38" s="98">
        <f t="shared" si="7"/>
        <v>0</v>
      </c>
      <c r="AC38" s="98">
        <f t="shared" si="7"/>
        <v>0</v>
      </c>
      <c r="AD38" s="98">
        <f t="shared" si="7"/>
        <v>0</v>
      </c>
      <c r="AE38" s="98">
        <f t="shared" si="7"/>
        <v>0</v>
      </c>
      <c r="AF38" s="98">
        <f t="shared" si="7"/>
        <v>0</v>
      </c>
      <c r="AG38" s="98">
        <f t="shared" si="7"/>
        <v>0</v>
      </c>
      <c r="AH38" s="98">
        <f t="shared" si="7"/>
        <v>0</v>
      </c>
      <c r="AI38" s="98">
        <f t="shared" si="7"/>
        <v>0</v>
      </c>
      <c r="AJ38" s="98">
        <f t="shared" si="7"/>
        <v>0</v>
      </c>
      <c r="AK38" s="200"/>
    </row>
    <row r="39" spans="1:37" s="110" customFormat="1" ht="15" x14ac:dyDescent="0.2">
      <c r="A39" s="201"/>
      <c r="B39" s="90"/>
      <c r="C39" s="90"/>
      <c r="D39" s="90"/>
      <c r="E39" s="9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</row>
    <row r="40" spans="1:37" s="110" customFormat="1" ht="15.75" x14ac:dyDescent="0.2">
      <c r="A40" s="213"/>
      <c r="B40" s="206" t="s">
        <v>59</v>
      </c>
      <c r="C40" s="206"/>
      <c r="D40" s="206"/>
      <c r="E40" s="206"/>
      <c r="F40" s="99">
        <f>F34+F38</f>
        <v>168</v>
      </c>
      <c r="G40" s="99">
        <f t="shared" ref="G40:AJ40" si="8">G34+G38</f>
        <v>0</v>
      </c>
      <c r="H40" s="99">
        <f t="shared" si="8"/>
        <v>186</v>
      </c>
      <c r="I40" s="99">
        <f t="shared" si="8"/>
        <v>0</v>
      </c>
      <c r="J40" s="99">
        <f t="shared" si="8"/>
        <v>0</v>
      </c>
      <c r="K40" s="99">
        <f t="shared" si="8"/>
        <v>0</v>
      </c>
      <c r="L40" s="99">
        <f t="shared" si="8"/>
        <v>0</v>
      </c>
      <c r="M40" s="99">
        <f t="shared" si="8"/>
        <v>1.6</v>
      </c>
      <c r="N40" s="99">
        <f t="shared" si="8"/>
        <v>0</v>
      </c>
      <c r="O40" s="99">
        <f t="shared" si="8"/>
        <v>0</v>
      </c>
      <c r="P40" s="99">
        <f t="shared" si="8"/>
        <v>0</v>
      </c>
      <c r="Q40" s="99">
        <f t="shared" si="8"/>
        <v>0</v>
      </c>
      <c r="R40" s="99">
        <f t="shared" si="8"/>
        <v>0</v>
      </c>
      <c r="S40" s="99">
        <f t="shared" si="8"/>
        <v>0</v>
      </c>
      <c r="T40" s="99">
        <f t="shared" si="8"/>
        <v>0</v>
      </c>
      <c r="U40" s="99">
        <f t="shared" si="8"/>
        <v>0.89999999999999991</v>
      </c>
      <c r="V40" s="99">
        <f t="shared" si="8"/>
        <v>0</v>
      </c>
      <c r="W40" s="99">
        <f t="shared" si="8"/>
        <v>0</v>
      </c>
      <c r="X40" s="99">
        <f t="shared" si="8"/>
        <v>0</v>
      </c>
      <c r="Y40" s="99">
        <f t="shared" si="8"/>
        <v>0</v>
      </c>
      <c r="Z40" s="99">
        <f t="shared" si="8"/>
        <v>0</v>
      </c>
      <c r="AA40" s="99">
        <f t="shared" si="8"/>
        <v>0</v>
      </c>
      <c r="AB40" s="99">
        <f t="shared" si="8"/>
        <v>0</v>
      </c>
      <c r="AC40" s="99">
        <f t="shared" si="8"/>
        <v>0</v>
      </c>
      <c r="AD40" s="99">
        <f t="shared" si="8"/>
        <v>0</v>
      </c>
      <c r="AE40" s="99">
        <f t="shared" si="8"/>
        <v>0</v>
      </c>
      <c r="AF40" s="99">
        <f t="shared" si="8"/>
        <v>0</v>
      </c>
      <c r="AG40" s="99">
        <f t="shared" si="8"/>
        <v>0</v>
      </c>
      <c r="AH40" s="99">
        <f t="shared" si="8"/>
        <v>0</v>
      </c>
      <c r="AI40" s="99">
        <f t="shared" si="8"/>
        <v>0</v>
      </c>
      <c r="AJ40" s="99">
        <f t="shared" si="8"/>
        <v>2.5</v>
      </c>
      <c r="AK40" s="217"/>
    </row>
    <row r="41" spans="1:37" s="110" customFormat="1" ht="15" x14ac:dyDescent="0.2">
      <c r="A41" s="201"/>
      <c r="B41" s="201"/>
      <c r="C41" s="201"/>
      <c r="D41" s="201"/>
      <c r="E41" s="201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70">
        <f>SUM(G40,I40:AI40)-AJ40</f>
        <v>0</v>
      </c>
      <c r="AK41" s="200"/>
    </row>
    <row r="42" spans="1:37" s="205" customFormat="1" ht="15" x14ac:dyDescent="0.2"/>
    <row r="43" spans="1:37" s="205" customFormat="1" ht="15" x14ac:dyDescent="0.2">
      <c r="A43" s="205" t="s">
        <v>392</v>
      </c>
    </row>
  </sheetData>
  <protectedRanges>
    <protectedRange sqref="A44:AK62 B43:AK43 A15:AK20 AJ23:AJ25 A38 C38:AK38 A39:AK42 AJ29:AJ31 A34:AK37" name="Диапазон1"/>
    <protectedRange sqref="B26 B32" name="Диапазон1_4"/>
    <protectedRange sqref="B38" name="Диапазон1_5"/>
    <protectedRange sqref="A43" name="Диапазон1_6"/>
    <protectedRange sqref="A1:H11 I1:AK8 I10:L11 N10:AK11 AA9:AK9" name="Диапазон1_2"/>
    <protectedRange sqref="I9:J9 L9:Z9" name="Диапазон1_1"/>
  </protectedRanges>
  <mergeCells count="48">
    <mergeCell ref="Z12:Z13"/>
    <mergeCell ref="N36:Y36"/>
    <mergeCell ref="A12:A13"/>
    <mergeCell ref="B12:B13"/>
    <mergeCell ref="C12:C13"/>
    <mergeCell ref="D12:D13"/>
    <mergeCell ref="E12:E13"/>
    <mergeCell ref="L21:AA21"/>
    <mergeCell ref="F12:G12"/>
    <mergeCell ref="H12:I12"/>
    <mergeCell ref="AA12:AA13"/>
    <mergeCell ref="J12:J13"/>
    <mergeCell ref="N20:Y20"/>
    <mergeCell ref="Q12:R12"/>
    <mergeCell ref="S12:T12"/>
    <mergeCell ref="J30:AC30"/>
    <mergeCell ref="J22:AC22"/>
    <mergeCell ref="AF1:AK1"/>
    <mergeCell ref="B2:G2"/>
    <mergeCell ref="AF2:AK2"/>
    <mergeCell ref="B3:G3"/>
    <mergeCell ref="AC3:AK3"/>
    <mergeCell ref="B4:F4"/>
    <mergeCell ref="B5:G5"/>
    <mergeCell ref="I9:Z9"/>
    <mergeCell ref="K10:X10"/>
    <mergeCell ref="K11:X11"/>
    <mergeCell ref="AC5:AK5"/>
    <mergeCell ref="B6:G6"/>
    <mergeCell ref="AC6:AK6"/>
    <mergeCell ref="B7:G7"/>
    <mergeCell ref="AC7:AK7"/>
    <mergeCell ref="L28:AA28"/>
    <mergeCell ref="J29:AC29"/>
    <mergeCell ref="AK12:AK13"/>
    <mergeCell ref="AB12:AB13"/>
    <mergeCell ref="AC12:AD12"/>
    <mergeCell ref="AE12:AF12"/>
    <mergeCell ref="K12:K13"/>
    <mergeCell ref="L12:O12"/>
    <mergeCell ref="P12:P13"/>
    <mergeCell ref="AG12:AH12"/>
    <mergeCell ref="AI12:AI13"/>
    <mergeCell ref="AJ12:AJ13"/>
    <mergeCell ref="U12:U13"/>
    <mergeCell ref="V12:V13"/>
    <mergeCell ref="W12:X12"/>
    <mergeCell ref="Y12:Y13"/>
  </mergeCells>
  <conditionalFormatting sqref="A22:J22 AD22:XFD22 A38:IV38">
    <cfRule type="cellIs" dxfId="12" priority="12" stopIfTrue="1" operator="equal">
      <formula>0</formula>
    </cfRule>
  </conditionalFormatting>
  <conditionalFormatting sqref="A29:J30">
    <cfRule type="cellIs" dxfId="11" priority="9" stopIfTrue="1" operator="equal">
      <formula>0</formula>
    </cfRule>
  </conditionalFormatting>
  <conditionalFormatting sqref="A1:XFD21">
    <cfRule type="cellIs" dxfId="10" priority="1" stopIfTrue="1" operator="equal">
      <formula>0</formula>
    </cfRule>
  </conditionalFormatting>
  <conditionalFormatting sqref="A23:XFD28">
    <cfRule type="cellIs" dxfId="9" priority="3" stopIfTrue="1" operator="equal">
      <formula>0</formula>
    </cfRule>
  </conditionalFormatting>
  <conditionalFormatting sqref="A31:XFD37">
    <cfRule type="cellIs" dxfId="8" priority="4" stopIfTrue="1" operator="equal">
      <formula>0</formula>
    </cfRule>
  </conditionalFormatting>
  <conditionalFormatting sqref="A39:XFD65450">
    <cfRule type="cellIs" dxfId="7" priority="10" stopIfTrue="1" operator="equal">
      <formula>0</formula>
    </cfRule>
  </conditionalFormatting>
  <conditionalFormatting sqref="AD29:XFD30">
    <cfRule type="cellIs" dxfId="6" priority="8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4:AK18"/>
  <sheetViews>
    <sheetView zoomScale="60" zoomScaleNormal="60" workbookViewId="0">
      <selection activeCell="S33" sqref="S33"/>
    </sheetView>
  </sheetViews>
  <sheetFormatPr defaultRowHeight="12.75" x14ac:dyDescent="0.2"/>
  <cols>
    <col min="1" max="1" width="9.42578125" bestFit="1" customWidth="1"/>
    <col min="2" max="2" width="16.5703125" customWidth="1"/>
    <col min="3" max="5" width="0" hidden="1" customWidth="1"/>
    <col min="6" max="6" width="11.5703125" bestFit="1" customWidth="1"/>
    <col min="7" max="7" width="12.42578125" bestFit="1" customWidth="1"/>
    <col min="8" max="8" width="11" customWidth="1"/>
    <col min="9" max="9" width="14.42578125" bestFit="1" customWidth="1"/>
    <col min="10" max="10" width="13.42578125" customWidth="1"/>
    <col min="11" max="12" width="9.42578125" bestFit="1" customWidth="1"/>
    <col min="13" max="13" width="13.42578125" bestFit="1" customWidth="1"/>
    <col min="14" max="20" width="9.42578125" bestFit="1" customWidth="1"/>
    <col min="21" max="21" width="9.42578125" customWidth="1"/>
    <col min="22" max="32" width="9.42578125" bestFit="1" customWidth="1"/>
    <col min="35" max="35" width="10.85546875" bestFit="1" customWidth="1"/>
    <col min="36" max="36" width="13.42578125" bestFit="1" customWidth="1"/>
  </cols>
  <sheetData>
    <row r="4" spans="1:37" x14ac:dyDescent="0.2">
      <c r="A4" s="433" t="s">
        <v>12</v>
      </c>
      <c r="B4" s="434" t="s">
        <v>13</v>
      </c>
      <c r="C4" s="435" t="s">
        <v>14</v>
      </c>
      <c r="D4" s="436" t="s">
        <v>15</v>
      </c>
      <c r="E4" s="435" t="s">
        <v>16</v>
      </c>
      <c r="F4" s="430" t="s">
        <v>17</v>
      </c>
      <c r="G4" s="430"/>
      <c r="H4" s="430" t="s">
        <v>18</v>
      </c>
      <c r="I4" s="430"/>
      <c r="J4" s="431" t="s">
        <v>19</v>
      </c>
      <c r="K4" s="431" t="s">
        <v>20</v>
      </c>
      <c r="L4" s="430" t="s">
        <v>21</v>
      </c>
      <c r="M4" s="430"/>
      <c r="N4" s="430"/>
      <c r="O4" s="430"/>
      <c r="P4" s="431" t="s">
        <v>22</v>
      </c>
      <c r="Q4" s="430" t="s">
        <v>23</v>
      </c>
      <c r="R4" s="430"/>
      <c r="S4" s="430" t="s">
        <v>24</v>
      </c>
      <c r="T4" s="430"/>
      <c r="U4" s="431" t="s">
        <v>25</v>
      </c>
      <c r="V4" s="431" t="s">
        <v>26</v>
      </c>
      <c r="W4" s="430" t="s">
        <v>27</v>
      </c>
      <c r="X4" s="430"/>
      <c r="Y4" s="431" t="s">
        <v>28</v>
      </c>
      <c r="Z4" s="431" t="s">
        <v>29</v>
      </c>
      <c r="AA4" s="431" t="s">
        <v>30</v>
      </c>
      <c r="AB4" s="431" t="s">
        <v>31</v>
      </c>
      <c r="AC4" s="430" t="s">
        <v>32</v>
      </c>
      <c r="AD4" s="430"/>
      <c r="AE4" s="432" t="s">
        <v>33</v>
      </c>
      <c r="AF4" s="432"/>
      <c r="AG4" s="430" t="s">
        <v>34</v>
      </c>
      <c r="AH4" s="430"/>
      <c r="AI4" s="431" t="s">
        <v>35</v>
      </c>
      <c r="AJ4" s="431" t="s">
        <v>36</v>
      </c>
    </row>
    <row r="5" spans="1:37" ht="76.5" x14ac:dyDescent="0.2">
      <c r="A5" s="433"/>
      <c r="B5" s="434"/>
      <c r="C5" s="435"/>
      <c r="D5" s="436"/>
      <c r="E5" s="435"/>
      <c r="F5" s="9" t="s">
        <v>38</v>
      </c>
      <c r="G5" s="7" t="s">
        <v>39</v>
      </c>
      <c r="H5" s="7" t="s">
        <v>38</v>
      </c>
      <c r="I5" s="7" t="s">
        <v>39</v>
      </c>
      <c r="J5" s="431"/>
      <c r="K5" s="431"/>
      <c r="L5" s="8" t="s">
        <v>40</v>
      </c>
      <c r="M5" s="8" t="s">
        <v>41</v>
      </c>
      <c r="N5" s="8" t="s">
        <v>42</v>
      </c>
      <c r="O5" s="8" t="s">
        <v>43</v>
      </c>
      <c r="P5" s="431"/>
      <c r="Q5" s="8" t="s">
        <v>44</v>
      </c>
      <c r="R5" s="8" t="s">
        <v>45</v>
      </c>
      <c r="S5" s="8" t="s">
        <v>46</v>
      </c>
      <c r="T5" s="8" t="s">
        <v>47</v>
      </c>
      <c r="U5" s="431"/>
      <c r="V5" s="431"/>
      <c r="W5" s="8" t="s">
        <v>33</v>
      </c>
      <c r="X5" s="8" t="s">
        <v>48</v>
      </c>
      <c r="Y5" s="431"/>
      <c r="Z5" s="431"/>
      <c r="AA5" s="431"/>
      <c r="AB5" s="431"/>
      <c r="AC5" s="8" t="s">
        <v>49</v>
      </c>
      <c r="AD5" s="8" t="s">
        <v>50</v>
      </c>
      <c r="AE5" s="8" t="s">
        <v>51</v>
      </c>
      <c r="AF5" s="8" t="s">
        <v>52</v>
      </c>
      <c r="AG5" s="10" t="s">
        <v>53</v>
      </c>
      <c r="AH5" s="10" t="s">
        <v>54</v>
      </c>
      <c r="AI5" s="431"/>
      <c r="AJ5" s="431"/>
    </row>
    <row r="6" spans="1:37" x14ac:dyDescent="0.2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</row>
    <row r="7" spans="1:37" ht="15" x14ac:dyDescent="0.2">
      <c r="A7" s="12"/>
      <c r="B7" s="13" t="s">
        <v>162</v>
      </c>
      <c r="C7" s="12"/>
      <c r="D7" s="12"/>
      <c r="E7" s="12"/>
      <c r="F7" s="14"/>
      <c r="G7" s="14">
        <f>'Каф 07 ВБ'!G19</f>
        <v>0</v>
      </c>
      <c r="H7" s="14"/>
      <c r="I7" s="14">
        <f>'Каф 07 ВБ'!I15</f>
        <v>0</v>
      </c>
      <c r="J7" s="14">
        <f>'Каф 07 ВБ'!J15</f>
        <v>0</v>
      </c>
      <c r="K7" s="14">
        <f>'Каф 07 ВБ'!K15</f>
        <v>2.6999999999999997</v>
      </c>
      <c r="L7" s="14">
        <f>'Каф 07 ВБ'!L15</f>
        <v>0</v>
      </c>
      <c r="M7" s="14">
        <f>'Каф 07 ВБ'!M15</f>
        <v>1.2000000000000002</v>
      </c>
      <c r="N7" s="14">
        <f>'Каф 07 ВБ'!N15</f>
        <v>0</v>
      </c>
      <c r="O7" s="14">
        <f>'Каф 07 ВБ'!O15</f>
        <v>0</v>
      </c>
      <c r="P7" s="14">
        <f>'Каф 07 ВБ'!P15</f>
        <v>0</v>
      </c>
      <c r="Q7" s="14">
        <f>'Каф 07 ВБ'!Q15</f>
        <v>0</v>
      </c>
      <c r="R7" s="14">
        <f>'Каф 07 ВБ'!R15</f>
        <v>0</v>
      </c>
      <c r="S7" s="14">
        <f>'Каф 07 ВБ'!S15</f>
        <v>0</v>
      </c>
      <c r="T7" s="14">
        <f>'Каф 07 ВБ'!T15</f>
        <v>2</v>
      </c>
      <c r="U7" s="14">
        <f>'Каф 07 ВБ'!U15</f>
        <v>0</v>
      </c>
      <c r="V7" s="14">
        <f>'Каф 07 ВБ'!V15</f>
        <v>0</v>
      </c>
      <c r="W7" s="14">
        <f>'Каф 07 ВБ'!W15</f>
        <v>0</v>
      </c>
      <c r="X7" s="14">
        <f>'Каф 07 ВБ'!X15</f>
        <v>0</v>
      </c>
      <c r="Y7" s="14">
        <f>'Каф 07 ВБ'!Y15</f>
        <v>0</v>
      </c>
      <c r="Z7" s="14">
        <f>'Каф 07 ВБ'!Z15</f>
        <v>0</v>
      </c>
      <c r="AA7" s="14">
        <f>'Каф 07 ВБ'!AA15</f>
        <v>0</v>
      </c>
      <c r="AB7" s="14">
        <f>'Каф 07 ВБ'!AB15</f>
        <v>0</v>
      </c>
      <c r="AC7" s="14">
        <f>'Каф 07 ВБ'!AC15</f>
        <v>0</v>
      </c>
      <c r="AD7" s="14">
        <f>'Каф 07 ВБ'!AD15</f>
        <v>0</v>
      </c>
      <c r="AE7" s="14">
        <f>'Каф 07 ВБ'!AE15</f>
        <v>0</v>
      </c>
      <c r="AF7" s="14">
        <f>'Каф 07 ВБ'!AF15</f>
        <v>0</v>
      </c>
      <c r="AG7" s="14">
        <f>'Каф 07 ВБ'!AG15</f>
        <v>0</v>
      </c>
      <c r="AH7" s="14">
        <f>'Каф 07 ВБ'!AH15</f>
        <v>0</v>
      </c>
      <c r="AI7" s="14">
        <f>'Каф 07 ВБ'!AI15</f>
        <v>0</v>
      </c>
      <c r="AJ7" s="14">
        <f>'Каф 07 ВБ'!AJ15</f>
        <v>5.8999999999999986</v>
      </c>
      <c r="AK7" s="55">
        <f>AJ7-SUM(G7,I7:AI7)</f>
        <v>0</v>
      </c>
    </row>
    <row r="8" spans="1:37" ht="15" x14ac:dyDescent="0.2">
      <c r="A8" s="12"/>
      <c r="B8" s="13" t="s">
        <v>163</v>
      </c>
      <c r="C8" s="12"/>
      <c r="D8" s="12"/>
      <c r="E8" s="12"/>
      <c r="F8" s="14"/>
      <c r="G8" s="14">
        <f>'Каф 08 ВБ'!G20</f>
        <v>12</v>
      </c>
      <c r="H8" s="14"/>
      <c r="I8" s="14">
        <f>'Каф 08 ВБ'!I20</f>
        <v>44</v>
      </c>
      <c r="J8" s="14">
        <f>'Каф 08 ВБ'!J20</f>
        <v>0</v>
      </c>
      <c r="K8" s="14">
        <f>'Каф 08 ВБ'!K20</f>
        <v>4.2</v>
      </c>
      <c r="L8" s="14">
        <f>'Каф 08 ВБ'!L20</f>
        <v>0</v>
      </c>
      <c r="M8" s="14">
        <f>'Каф 08 ВБ'!M20</f>
        <v>24.799999999999997</v>
      </c>
      <c r="N8" s="14">
        <f>'Каф 08 ВБ'!N20</f>
        <v>0</v>
      </c>
      <c r="O8" s="14">
        <f>'Каф 08 ВБ'!O20</f>
        <v>0</v>
      </c>
      <c r="P8" s="14">
        <f>'Каф 08 ВБ'!P20</f>
        <v>0</v>
      </c>
      <c r="Q8" s="14">
        <f>'Каф 08 ВБ'!Q20</f>
        <v>3.8000000000000003</v>
      </c>
      <c r="R8" s="14">
        <f>'Каф 08 ВБ'!R20</f>
        <v>0</v>
      </c>
      <c r="S8" s="14">
        <f>'Каф 08 ВБ'!S20</f>
        <v>0</v>
      </c>
      <c r="T8" s="14">
        <f>'Каф 08 ВБ'!T20</f>
        <v>0</v>
      </c>
      <c r="U8" s="14">
        <f>'Каф 08 ВБ'!U20</f>
        <v>0</v>
      </c>
      <c r="V8" s="14">
        <f>'Каф 08 ВБ'!V20</f>
        <v>0</v>
      </c>
      <c r="W8" s="14">
        <f>'Каф 08 ВБ'!W20</f>
        <v>0</v>
      </c>
      <c r="X8" s="14">
        <f>'Каф 08 ВБ'!X20</f>
        <v>0</v>
      </c>
      <c r="Y8" s="14">
        <f>'Каф 08 ВБ'!Y20</f>
        <v>0</v>
      </c>
      <c r="Z8" s="14">
        <f>'Каф 08 ВБ'!Z20</f>
        <v>0</v>
      </c>
      <c r="AA8" s="14">
        <f>'Каф 08 ВБ'!AA20</f>
        <v>0</v>
      </c>
      <c r="AB8" s="14">
        <f>'Каф 08 ВБ'!AB20</f>
        <v>0</v>
      </c>
      <c r="AC8" s="14">
        <f>'Каф 08 ВБ'!AC20</f>
        <v>0</v>
      </c>
      <c r="AD8" s="14">
        <f>'Каф 08 ВБ'!AD20</f>
        <v>0</v>
      </c>
      <c r="AE8" s="14">
        <f>'Каф 08 ВБ'!AE20</f>
        <v>0</v>
      </c>
      <c r="AF8" s="14">
        <f>'Каф 08 ВБ'!AF20</f>
        <v>0</v>
      </c>
      <c r="AG8" s="14">
        <f>'Каф 08 ВБ'!AG20</f>
        <v>0</v>
      </c>
      <c r="AH8" s="14">
        <f>'Каф 08 ВБ'!AH20</f>
        <v>0</v>
      </c>
      <c r="AI8" s="14">
        <f>'Каф 08 ВБ'!AI20</f>
        <v>0</v>
      </c>
      <c r="AJ8" s="14">
        <f>'Каф 08 ВБ'!AJ20</f>
        <v>88.800000000000011</v>
      </c>
      <c r="AK8" s="55">
        <f>AJ8-SUM(G8,I8:AI8)</f>
        <v>0</v>
      </c>
    </row>
    <row r="9" spans="1:37" ht="15" x14ac:dyDescent="0.2">
      <c r="A9" s="12"/>
      <c r="B9" s="13" t="s">
        <v>164</v>
      </c>
      <c r="C9" s="12"/>
      <c r="D9" s="12"/>
      <c r="E9" s="12"/>
      <c r="F9" s="14"/>
      <c r="G9" s="14">
        <f>'Каф 10 ВБ'!G19</f>
        <v>0</v>
      </c>
      <c r="H9" s="14"/>
      <c r="I9" s="14">
        <f>'Каф 10 ВБ'!I19</f>
        <v>0</v>
      </c>
      <c r="J9" s="14">
        <f>'Каф 10 ВБ'!J19</f>
        <v>0</v>
      </c>
      <c r="K9" s="14">
        <f>'Каф 10 ВБ'!K19</f>
        <v>1.8</v>
      </c>
      <c r="L9" s="14">
        <f>'Каф 10 ВБ'!L19</f>
        <v>0</v>
      </c>
      <c r="M9" s="14">
        <f>'Каф 10 ВБ'!M19</f>
        <v>0</v>
      </c>
      <c r="N9" s="14">
        <f>'Каф 10 ВБ'!N19</f>
        <v>0</v>
      </c>
      <c r="O9" s="14">
        <f>'Каф 10 ВБ'!O19</f>
        <v>0</v>
      </c>
      <c r="P9" s="14">
        <f>'Каф 10 ВБ'!P19</f>
        <v>0</v>
      </c>
      <c r="Q9" s="14">
        <f>'Каф 10 ВБ'!Q19</f>
        <v>0</v>
      </c>
      <c r="R9" s="14">
        <f>'Каф 10 ВБ'!R19</f>
        <v>0</v>
      </c>
      <c r="S9" s="14">
        <f>'Каф 10 ВБ'!S19</f>
        <v>0</v>
      </c>
      <c r="T9" s="14">
        <f>'Каф 10 ВБ'!T19</f>
        <v>0</v>
      </c>
      <c r="U9" s="14">
        <f>'Каф 10 ВБ'!U19</f>
        <v>0.3</v>
      </c>
      <c r="V9" s="14">
        <f>'Каф 10 ВБ'!V19</f>
        <v>0</v>
      </c>
      <c r="W9" s="14">
        <f>'Каф 10 ВБ'!W19</f>
        <v>0</v>
      </c>
      <c r="X9" s="14">
        <f>'Каф 10 ВБ'!X19</f>
        <v>0</v>
      </c>
      <c r="Y9" s="14">
        <f>'Каф 10 ВБ'!Y19</f>
        <v>0</v>
      </c>
      <c r="Z9" s="14">
        <f>'Каф 10 ВБ'!Z19</f>
        <v>0</v>
      </c>
      <c r="AA9" s="14">
        <f>'Каф 10 ВБ'!AA19</f>
        <v>0</v>
      </c>
      <c r="AB9" s="14">
        <f>'Каф 10 ВБ'!AB19</f>
        <v>0</v>
      </c>
      <c r="AC9" s="14">
        <f>'Каф 10 ВБ'!AC19</f>
        <v>0</v>
      </c>
      <c r="AD9" s="14">
        <f>'Каф 10 ВБ'!AD19</f>
        <v>0</v>
      </c>
      <c r="AE9" s="14">
        <f>'Каф 10 ВБ'!AE19</f>
        <v>0</v>
      </c>
      <c r="AF9" s="14">
        <f>'Каф 10 ВБ'!AF19</f>
        <v>0</v>
      </c>
      <c r="AG9" s="14">
        <f>'Каф 10 ВБ'!AG19</f>
        <v>0</v>
      </c>
      <c r="AH9" s="14">
        <f>'Каф 10 ВБ'!AH19</f>
        <v>0</v>
      </c>
      <c r="AI9" s="14">
        <f>'Каф 10 ВБ'!AI19</f>
        <v>0</v>
      </c>
      <c r="AJ9" s="14">
        <f>'Каф 10 ВБ'!AJ19</f>
        <v>2.1</v>
      </c>
      <c r="AK9" s="55">
        <f>AJ9-SUM(G9,I9:AI9)</f>
        <v>0</v>
      </c>
    </row>
    <row r="10" spans="1:37" ht="15" x14ac:dyDescent="0.2">
      <c r="A10" s="12"/>
      <c r="B10" s="13" t="s">
        <v>165</v>
      </c>
      <c r="C10" s="12"/>
      <c r="D10" s="12"/>
      <c r="E10" s="12"/>
      <c r="F10" s="14"/>
      <c r="G10" s="14">
        <f>'Каф 12 ВБ'!G19</f>
        <v>0</v>
      </c>
      <c r="H10" s="14"/>
      <c r="I10" s="14">
        <f>'Каф 12 ВБ'!I19</f>
        <v>0</v>
      </c>
      <c r="J10" s="14">
        <f>'Каф 12 ВБ'!J19</f>
        <v>0</v>
      </c>
      <c r="K10" s="14">
        <f>'Каф 12 ВБ'!K19</f>
        <v>0</v>
      </c>
      <c r="L10" s="14">
        <f>'Каф 12 ВБ'!L19</f>
        <v>0</v>
      </c>
      <c r="M10" s="14">
        <f>'Каф 12 ВБ'!M19</f>
        <v>1.6</v>
      </c>
      <c r="N10" s="14">
        <f>'Каф 12 ВБ'!N19</f>
        <v>0</v>
      </c>
      <c r="O10" s="14">
        <f>'Каф 12 ВБ'!O19</f>
        <v>0</v>
      </c>
      <c r="P10" s="14">
        <f>'Каф 12 ВБ'!P19</f>
        <v>0</v>
      </c>
      <c r="Q10" s="14">
        <f>'Каф 12 ВБ'!Q19</f>
        <v>0</v>
      </c>
      <c r="R10" s="14">
        <f>'Каф 12 ВБ'!R19</f>
        <v>0</v>
      </c>
      <c r="S10" s="14">
        <f>'Каф 12 ВБ'!S19</f>
        <v>0</v>
      </c>
      <c r="T10" s="14">
        <f>'Каф 12 ВБ'!T19</f>
        <v>0</v>
      </c>
      <c r="U10" s="14">
        <f>'Каф 12 ВБ'!U19</f>
        <v>0.89999999999999991</v>
      </c>
      <c r="V10" s="14">
        <f>'Каф 12 ВБ'!V19</f>
        <v>0</v>
      </c>
      <c r="W10" s="14">
        <f>'Каф 12 ВБ'!W19</f>
        <v>0</v>
      </c>
      <c r="X10" s="14">
        <f>'Каф 12 ВБ'!X19</f>
        <v>0</v>
      </c>
      <c r="Y10" s="14">
        <f>'Каф 12 ВБ'!Y19</f>
        <v>0</v>
      </c>
      <c r="Z10" s="14">
        <f>'Каф 12 ВБ'!Z19</f>
        <v>0</v>
      </c>
      <c r="AA10" s="14">
        <f>'Каф 12 ВБ'!AA19</f>
        <v>0</v>
      </c>
      <c r="AB10" s="14">
        <f>'Каф 12 ВБ'!AB19</f>
        <v>0</v>
      </c>
      <c r="AC10" s="14">
        <f>'Каф 12 ВБ'!AC19</f>
        <v>0</v>
      </c>
      <c r="AD10" s="14">
        <f>'Каф 12 ВБ'!AD19</f>
        <v>0</v>
      </c>
      <c r="AE10" s="14">
        <f>'Каф 12 ВБ'!AE19</f>
        <v>0</v>
      </c>
      <c r="AF10" s="14">
        <f>'Каф 12 ВБ'!AF19</f>
        <v>0</v>
      </c>
      <c r="AG10" s="14">
        <f>'Каф 12 ВБ'!AG19</f>
        <v>0</v>
      </c>
      <c r="AH10" s="14">
        <f>'Каф 12 ВБ'!AH19</f>
        <v>0</v>
      </c>
      <c r="AI10" s="14">
        <f>'Каф 12 ВБ'!AI19</f>
        <v>0</v>
      </c>
      <c r="AJ10" s="14">
        <f>'Каф 12 ВБ'!AJ19</f>
        <v>2.5</v>
      </c>
      <c r="AK10" s="55">
        <f>AJ10-SUM(G10,I10:AI10)</f>
        <v>0</v>
      </c>
    </row>
    <row r="11" spans="1:37" ht="15.75" x14ac:dyDescent="0.25">
      <c r="A11" s="15"/>
      <c r="B11" s="15" t="s">
        <v>59</v>
      </c>
      <c r="C11" s="15"/>
      <c r="D11" s="15"/>
      <c r="E11" s="15"/>
      <c r="F11" s="16"/>
      <c r="G11" s="16">
        <f t="shared" ref="G11:AJ11" si="0">SUM(G7:G10)</f>
        <v>12</v>
      </c>
      <c r="H11" s="16"/>
      <c r="I11" s="16">
        <f t="shared" si="0"/>
        <v>44</v>
      </c>
      <c r="J11" s="16">
        <f t="shared" si="0"/>
        <v>0</v>
      </c>
      <c r="K11" s="16">
        <f t="shared" si="0"/>
        <v>8.7000000000000011</v>
      </c>
      <c r="L11" s="16">
        <f t="shared" si="0"/>
        <v>0</v>
      </c>
      <c r="M11" s="16">
        <f t="shared" si="0"/>
        <v>27.599999999999998</v>
      </c>
      <c r="N11" s="16">
        <f t="shared" si="0"/>
        <v>0</v>
      </c>
      <c r="O11" s="16">
        <f t="shared" si="0"/>
        <v>0</v>
      </c>
      <c r="P11" s="16">
        <f t="shared" si="0"/>
        <v>0</v>
      </c>
      <c r="Q11" s="16">
        <f t="shared" si="0"/>
        <v>3.8000000000000003</v>
      </c>
      <c r="R11" s="16">
        <f t="shared" si="0"/>
        <v>0</v>
      </c>
      <c r="S11" s="16">
        <f t="shared" si="0"/>
        <v>0</v>
      </c>
      <c r="T11" s="16">
        <f t="shared" si="0"/>
        <v>2</v>
      </c>
      <c r="U11" s="16">
        <f t="shared" si="0"/>
        <v>1.2</v>
      </c>
      <c r="V11" s="16">
        <f t="shared" si="0"/>
        <v>0</v>
      </c>
      <c r="W11" s="16">
        <f t="shared" si="0"/>
        <v>0</v>
      </c>
      <c r="X11" s="16">
        <f t="shared" si="0"/>
        <v>0</v>
      </c>
      <c r="Y11" s="16">
        <f t="shared" si="0"/>
        <v>0</v>
      </c>
      <c r="Z11" s="16">
        <f t="shared" si="0"/>
        <v>0</v>
      </c>
      <c r="AA11" s="16">
        <f t="shared" si="0"/>
        <v>0</v>
      </c>
      <c r="AB11" s="16">
        <f t="shared" si="0"/>
        <v>0</v>
      </c>
      <c r="AC11" s="16">
        <f t="shared" si="0"/>
        <v>0</v>
      </c>
      <c r="AD11" s="16">
        <f t="shared" si="0"/>
        <v>0</v>
      </c>
      <c r="AE11" s="16">
        <f t="shared" si="0"/>
        <v>0</v>
      </c>
      <c r="AF11" s="16">
        <f t="shared" si="0"/>
        <v>0</v>
      </c>
      <c r="AG11" s="16">
        <f t="shared" si="0"/>
        <v>0</v>
      </c>
      <c r="AH11" s="16">
        <f t="shared" si="0"/>
        <v>0</v>
      </c>
      <c r="AI11" s="16">
        <f t="shared" si="0"/>
        <v>0</v>
      </c>
      <c r="AJ11" s="16">
        <f t="shared" si="0"/>
        <v>99.300000000000011</v>
      </c>
      <c r="AK11" s="55">
        <f>AJ11-SUM(G11,I11:AI11)</f>
        <v>0</v>
      </c>
    </row>
    <row r="12" spans="1:37" ht="15.75" x14ac:dyDescent="0.25">
      <c r="A12" s="15"/>
      <c r="B12" s="15"/>
      <c r="C12" s="15"/>
      <c r="D12" s="15"/>
      <c r="E12" s="15"/>
      <c r="F12" s="16"/>
      <c r="G12" s="16">
        <f>G11-Внебюджет!G20</f>
        <v>0</v>
      </c>
      <c r="H12" s="16"/>
      <c r="I12" s="16">
        <f>I11-Внебюджет!I20</f>
        <v>0</v>
      </c>
      <c r="J12" s="16">
        <f>J11-Внебюджет!J20</f>
        <v>0</v>
      </c>
      <c r="K12" s="16">
        <f>K11-Внебюджет!K20</f>
        <v>0</v>
      </c>
      <c r="L12" s="16">
        <f>L11-Внебюджет!L20</f>
        <v>0</v>
      </c>
      <c r="M12" s="16">
        <f>M11-Внебюджет!M20</f>
        <v>0</v>
      </c>
      <c r="N12" s="16">
        <f>N11-Внебюджет!N20</f>
        <v>0</v>
      </c>
      <c r="O12" s="16">
        <f>O11-Внебюджет!O20</f>
        <v>0</v>
      </c>
      <c r="P12" s="16">
        <f>P11-Внебюджет!P20</f>
        <v>0</v>
      </c>
      <c r="Q12" s="16">
        <f>Q11-Внебюджет!Q20</f>
        <v>0</v>
      </c>
      <c r="R12" s="16">
        <f>R11-Внебюджет!R20</f>
        <v>0</v>
      </c>
      <c r="S12" s="16">
        <f>S11-Внебюджет!S20</f>
        <v>0</v>
      </c>
      <c r="T12" s="16">
        <f>T11-Внебюджет!T20</f>
        <v>0</v>
      </c>
      <c r="U12" s="16">
        <f>U11-Внебюджет!U20</f>
        <v>0</v>
      </c>
      <c r="V12" s="16">
        <f>V11-Внебюджет!V20</f>
        <v>0</v>
      </c>
      <c r="W12" s="16">
        <f>W11-Внебюджет!W20</f>
        <v>0</v>
      </c>
      <c r="X12" s="16">
        <f>X11-Внебюджет!X20</f>
        <v>0</v>
      </c>
      <c r="Y12" s="16">
        <f>Y11-Внебюджет!Y20</f>
        <v>0</v>
      </c>
      <c r="Z12" s="16">
        <f>Z11-Внебюджет!Z20</f>
        <v>0</v>
      </c>
      <c r="AA12" s="16">
        <f>AA11-Внебюджет!AA20</f>
        <v>0</v>
      </c>
      <c r="AB12" s="16">
        <f>AB11-Внебюджет!AB20</f>
        <v>0</v>
      </c>
      <c r="AC12" s="16">
        <f>AC11-Внебюджет!AC20</f>
        <v>0</v>
      </c>
      <c r="AD12" s="16">
        <f>AD11-Внебюджет!AD20</f>
        <v>0</v>
      </c>
      <c r="AE12" s="16">
        <f>AE11-Внебюджет!AE20</f>
        <v>0</v>
      </c>
      <c r="AF12" s="16">
        <f>AF11-Внебюджет!AF20</f>
        <v>0</v>
      </c>
      <c r="AG12" s="16">
        <f>AG11-Внебюджет!AG20</f>
        <v>0</v>
      </c>
      <c r="AH12" s="16">
        <f>AH11-Внебюджет!AH20</f>
        <v>0</v>
      </c>
      <c r="AI12" s="16">
        <f>AI11-Внебюджет!AI20</f>
        <v>0</v>
      </c>
      <c r="AJ12" s="16">
        <f>AJ11-Внебюджет!AJ20</f>
        <v>0</v>
      </c>
    </row>
    <row r="18" spans="2:2" x14ac:dyDescent="0.2">
      <c r="B18" s="55"/>
    </row>
  </sheetData>
  <mergeCells count="25">
    <mergeCell ref="V4:V5"/>
    <mergeCell ref="Q4:R4"/>
    <mergeCell ref="S4:T4"/>
    <mergeCell ref="U4:U5"/>
    <mergeCell ref="B4:B5"/>
    <mergeCell ref="C4:C5"/>
    <mergeCell ref="D4:D5"/>
    <mergeCell ref="E4:E5"/>
    <mergeCell ref="K4:K5"/>
    <mergeCell ref="AE4:AF4"/>
    <mergeCell ref="AG4:AH4"/>
    <mergeCell ref="AI4:AI5"/>
    <mergeCell ref="AJ4:AJ5"/>
    <mergeCell ref="A4:A5"/>
    <mergeCell ref="F4:G4"/>
    <mergeCell ref="H4:I4"/>
    <mergeCell ref="J4:J5"/>
    <mergeCell ref="L4:O4"/>
    <mergeCell ref="P4:P5"/>
    <mergeCell ref="Z4:Z5"/>
    <mergeCell ref="AA4:AA5"/>
    <mergeCell ref="AB4:AB5"/>
    <mergeCell ref="W4:X4"/>
    <mergeCell ref="Y4:Y5"/>
    <mergeCell ref="AC4:AD4"/>
  </mergeCells>
  <conditionalFormatting sqref="F7:AJ12">
    <cfRule type="cellIs" dxfId="5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4:AI44"/>
  <sheetViews>
    <sheetView zoomScale="70" zoomScaleNormal="70" workbookViewId="0">
      <selection activeCell="E52" sqref="E52"/>
    </sheetView>
  </sheetViews>
  <sheetFormatPr defaultRowHeight="12.75" x14ac:dyDescent="0.2"/>
  <cols>
    <col min="1" max="1" width="16.5703125" customWidth="1"/>
    <col min="2" max="4" width="0" hidden="1" customWidth="1"/>
    <col min="5" max="5" width="12.42578125" customWidth="1"/>
    <col min="6" max="6" width="10.85546875" bestFit="1" customWidth="1"/>
    <col min="7" max="7" width="11" customWidth="1"/>
    <col min="8" max="8" width="10.85546875" bestFit="1" customWidth="1"/>
    <col min="9" max="9" width="13.85546875" customWidth="1"/>
    <col min="10" max="10" width="10" customWidth="1"/>
    <col min="11" max="11" width="9.42578125" bestFit="1" customWidth="1"/>
    <col min="12" max="12" width="11.28515625" customWidth="1"/>
    <col min="13" max="18" width="9.42578125" bestFit="1" customWidth="1"/>
    <col min="19" max="19" width="10.28515625" bestFit="1" customWidth="1"/>
    <col min="20" max="21" width="9.42578125" bestFit="1" customWidth="1"/>
    <col min="22" max="22" width="12.85546875" customWidth="1"/>
    <col min="23" max="33" width="9.42578125" bestFit="1" customWidth="1"/>
    <col min="34" max="34" width="10.42578125" bestFit="1" customWidth="1"/>
    <col min="35" max="35" width="13.85546875" bestFit="1" customWidth="1"/>
    <col min="36" max="36" width="6" customWidth="1"/>
  </cols>
  <sheetData>
    <row r="4" spans="1:35" ht="12.75" customHeight="1" x14ac:dyDescent="0.2">
      <c r="A4" s="434" t="s">
        <v>13</v>
      </c>
      <c r="B4" s="435" t="s">
        <v>14</v>
      </c>
      <c r="C4" s="436" t="s">
        <v>15</v>
      </c>
      <c r="D4" s="435" t="s">
        <v>16</v>
      </c>
      <c r="E4" s="430" t="s">
        <v>17</v>
      </c>
      <c r="F4" s="430"/>
      <c r="G4" s="430" t="s">
        <v>18</v>
      </c>
      <c r="H4" s="430"/>
      <c r="I4" s="431" t="s">
        <v>19</v>
      </c>
      <c r="J4" s="431" t="s">
        <v>20</v>
      </c>
      <c r="K4" s="430" t="s">
        <v>21</v>
      </c>
      <c r="L4" s="430"/>
      <c r="M4" s="430"/>
      <c r="N4" s="430"/>
      <c r="O4" s="431" t="s">
        <v>22</v>
      </c>
      <c r="P4" s="430" t="s">
        <v>23</v>
      </c>
      <c r="Q4" s="430"/>
      <c r="R4" s="430" t="s">
        <v>24</v>
      </c>
      <c r="S4" s="430"/>
      <c r="T4" s="431" t="s">
        <v>25</v>
      </c>
      <c r="U4" s="431" t="s">
        <v>26</v>
      </c>
      <c r="V4" s="430" t="s">
        <v>27</v>
      </c>
      <c r="W4" s="430"/>
      <c r="X4" s="431" t="s">
        <v>28</v>
      </c>
      <c r="Y4" s="431" t="s">
        <v>29</v>
      </c>
      <c r="Z4" s="431" t="s">
        <v>30</v>
      </c>
      <c r="AA4" s="431" t="s">
        <v>31</v>
      </c>
      <c r="AB4" s="430" t="s">
        <v>32</v>
      </c>
      <c r="AC4" s="430"/>
      <c r="AD4" s="432" t="s">
        <v>33</v>
      </c>
      <c r="AE4" s="432"/>
      <c r="AF4" s="430" t="s">
        <v>34</v>
      </c>
      <c r="AG4" s="430"/>
      <c r="AH4" s="431" t="s">
        <v>35</v>
      </c>
      <c r="AI4" s="431" t="s">
        <v>36</v>
      </c>
    </row>
    <row r="5" spans="1:35" ht="76.5" x14ac:dyDescent="0.2">
      <c r="A5" s="465"/>
      <c r="B5" s="466"/>
      <c r="C5" s="467"/>
      <c r="D5" s="466"/>
      <c r="E5" s="49" t="s">
        <v>38</v>
      </c>
      <c r="F5" s="48" t="s">
        <v>39</v>
      </c>
      <c r="G5" s="48" t="s">
        <v>38</v>
      </c>
      <c r="H5" s="48" t="s">
        <v>39</v>
      </c>
      <c r="I5" s="464"/>
      <c r="J5" s="464"/>
      <c r="K5" s="50" t="s">
        <v>40</v>
      </c>
      <c r="L5" s="50" t="s">
        <v>41</v>
      </c>
      <c r="M5" s="50" t="s">
        <v>42</v>
      </c>
      <c r="N5" s="50" t="s">
        <v>43</v>
      </c>
      <c r="O5" s="464"/>
      <c r="P5" s="50" t="s">
        <v>44</v>
      </c>
      <c r="Q5" s="50" t="s">
        <v>45</v>
      </c>
      <c r="R5" s="50" t="s">
        <v>46</v>
      </c>
      <c r="S5" s="50" t="s">
        <v>47</v>
      </c>
      <c r="T5" s="464"/>
      <c r="U5" s="431"/>
      <c r="V5" s="8" t="s">
        <v>33</v>
      </c>
      <c r="W5" s="8" t="s">
        <v>48</v>
      </c>
      <c r="X5" s="431"/>
      <c r="Y5" s="431"/>
      <c r="Z5" s="431"/>
      <c r="AA5" s="431"/>
      <c r="AB5" s="8" t="s">
        <v>49</v>
      </c>
      <c r="AC5" s="8" t="s">
        <v>50</v>
      </c>
      <c r="AD5" s="8" t="s">
        <v>51</v>
      </c>
      <c r="AE5" s="8" t="s">
        <v>52</v>
      </c>
      <c r="AF5" s="10" t="s">
        <v>53</v>
      </c>
      <c r="AG5" s="10" t="s">
        <v>54</v>
      </c>
      <c r="AH5" s="431"/>
      <c r="AI5" s="431"/>
    </row>
    <row r="6" spans="1:35" x14ac:dyDescent="0.2">
      <c r="A6" s="41">
        <v>2</v>
      </c>
      <c r="B6" s="41">
        <v>3</v>
      </c>
      <c r="C6" s="41">
        <v>4</v>
      </c>
      <c r="D6" s="41">
        <v>5</v>
      </c>
      <c r="E6" s="41">
        <v>6</v>
      </c>
      <c r="F6" s="41">
        <v>7</v>
      </c>
      <c r="G6" s="41">
        <v>8</v>
      </c>
      <c r="H6" s="41">
        <v>9</v>
      </c>
      <c r="I6" s="41">
        <v>10</v>
      </c>
      <c r="J6" s="41">
        <v>11</v>
      </c>
      <c r="K6" s="41">
        <v>12</v>
      </c>
      <c r="L6" s="41">
        <v>13</v>
      </c>
      <c r="M6" s="41">
        <v>14</v>
      </c>
      <c r="N6" s="41">
        <v>15</v>
      </c>
      <c r="O6" s="41">
        <v>16</v>
      </c>
      <c r="P6" s="41">
        <v>17</v>
      </c>
      <c r="Q6" s="41">
        <v>18</v>
      </c>
      <c r="R6" s="41">
        <v>19</v>
      </c>
      <c r="S6" s="41">
        <v>20</v>
      </c>
      <c r="T6" s="41">
        <v>21</v>
      </c>
      <c r="U6" s="46">
        <v>22</v>
      </c>
      <c r="V6" s="43">
        <v>23</v>
      </c>
      <c r="W6" s="43">
        <v>24</v>
      </c>
      <c r="X6" s="43">
        <v>25</v>
      </c>
      <c r="Y6" s="43">
        <v>26</v>
      </c>
      <c r="Z6" s="43">
        <v>27</v>
      </c>
      <c r="AA6" s="43">
        <v>28</v>
      </c>
      <c r="AB6" s="43">
        <v>29</v>
      </c>
      <c r="AC6" s="43">
        <v>30</v>
      </c>
      <c r="AD6" s="43">
        <v>31</v>
      </c>
      <c r="AE6" s="43">
        <v>32</v>
      </c>
      <c r="AF6" s="43">
        <v>33</v>
      </c>
      <c r="AG6" s="43">
        <v>34</v>
      </c>
      <c r="AH6" s="43">
        <v>35</v>
      </c>
      <c r="AI6" s="43">
        <v>36</v>
      </c>
    </row>
    <row r="7" spans="1:35" ht="15.75" x14ac:dyDescent="0.25">
      <c r="A7" s="460" t="s">
        <v>162</v>
      </c>
      <c r="B7" s="461"/>
      <c r="C7" s="461"/>
      <c r="D7" s="461"/>
      <c r="E7" s="461"/>
      <c r="F7" s="461"/>
      <c r="G7" s="461"/>
      <c r="H7" s="461"/>
      <c r="I7" s="461"/>
      <c r="J7" s="462"/>
      <c r="K7" s="463"/>
      <c r="L7" s="39"/>
      <c r="M7" s="39"/>
      <c r="N7" s="39"/>
      <c r="O7" s="39"/>
      <c r="P7" s="39"/>
      <c r="Q7" s="39"/>
      <c r="R7" s="39"/>
      <c r="S7" s="39"/>
      <c r="T7" s="39"/>
      <c r="U7" s="45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</row>
    <row r="8" spans="1:35" ht="15" x14ac:dyDescent="0.2">
      <c r="A8" s="40" t="s">
        <v>10</v>
      </c>
      <c r="B8" s="38"/>
      <c r="C8" s="38"/>
      <c r="D8" s="38"/>
      <c r="E8" s="71">
        <f>'Свод Б'!F7</f>
        <v>2624</v>
      </c>
      <c r="F8" s="71">
        <f>'Свод Б'!G7</f>
        <v>1980</v>
      </c>
      <c r="G8" s="71">
        <f>'Свод Б'!H7</f>
        <v>2348</v>
      </c>
      <c r="H8" s="71">
        <f>'Свод Б'!I7</f>
        <v>2216</v>
      </c>
      <c r="I8" s="71">
        <f>'Свод Б'!J7</f>
        <v>2112</v>
      </c>
      <c r="J8" s="71">
        <f>'Свод Б'!K7</f>
        <v>225.30000000000007</v>
      </c>
      <c r="K8" s="71">
        <f>'Свод Б'!L7</f>
        <v>0</v>
      </c>
      <c r="L8" s="71">
        <f>'Свод Б'!M7</f>
        <v>242.80000000000004</v>
      </c>
      <c r="M8" s="71">
        <f>'Свод Б'!N7</f>
        <v>0</v>
      </c>
      <c r="N8" s="71">
        <f>'Свод Б'!O7</f>
        <v>0</v>
      </c>
      <c r="O8" s="71">
        <f>'Свод Б'!P7</f>
        <v>0</v>
      </c>
      <c r="P8" s="71">
        <f>'Свод Б'!Q7</f>
        <v>124</v>
      </c>
      <c r="Q8" s="71">
        <f>'Свод Б'!R7</f>
        <v>0</v>
      </c>
      <c r="R8" s="71">
        <f>'Свод Б'!S7</f>
        <v>102</v>
      </c>
      <c r="S8" s="71">
        <f>'Свод Б'!T7</f>
        <v>458</v>
      </c>
      <c r="T8" s="71">
        <f>'Свод Б'!U7</f>
        <v>6.8999999999999995</v>
      </c>
      <c r="U8" s="71">
        <f>'Свод Б'!V7</f>
        <v>24</v>
      </c>
      <c r="V8" s="71">
        <f>'Свод Б'!W7</f>
        <v>654</v>
      </c>
      <c r="W8" s="71">
        <f>'Свод Б'!X7</f>
        <v>45</v>
      </c>
      <c r="X8" s="71">
        <f>'Свод Б'!Y7</f>
        <v>0</v>
      </c>
      <c r="Y8" s="71">
        <f>'Свод Б'!Z7</f>
        <v>0</v>
      </c>
      <c r="Z8" s="71">
        <f>'Свод Б'!AA7</f>
        <v>0</v>
      </c>
      <c r="AA8" s="71">
        <f>'Свод Б'!AB7</f>
        <v>172.5</v>
      </c>
      <c r="AB8" s="71">
        <f>'Свод Б'!AC7</f>
        <v>0</v>
      </c>
      <c r="AC8" s="71">
        <f>'Свод Б'!AD7</f>
        <v>0</v>
      </c>
      <c r="AD8" s="71">
        <f>'Свод Б'!AE7</f>
        <v>90</v>
      </c>
      <c r="AE8" s="71">
        <f>'Свод Б'!AF7</f>
        <v>0</v>
      </c>
      <c r="AF8" s="71">
        <f>'Свод Б'!AG7</f>
        <v>0</v>
      </c>
      <c r="AG8" s="71">
        <f>'Свод Б'!AH7</f>
        <v>0</v>
      </c>
      <c r="AH8" s="71">
        <f>'Свод Б'!AI7</f>
        <v>158</v>
      </c>
      <c r="AI8" s="71">
        <f>'Свод Б'!AJ7</f>
        <v>8610.5</v>
      </c>
    </row>
    <row r="9" spans="1:35" ht="15" x14ac:dyDescent="0.2">
      <c r="A9" s="40" t="s">
        <v>131</v>
      </c>
      <c r="B9" s="38"/>
      <c r="C9" s="38"/>
      <c r="D9" s="38"/>
      <c r="E9" s="71">
        <f>'Свод ВБ'!F7</f>
        <v>0</v>
      </c>
      <c r="F9" s="71">
        <f>'Свод ВБ'!G7</f>
        <v>0</v>
      </c>
      <c r="G9" s="71">
        <f>'Свод ВБ'!H7</f>
        <v>0</v>
      </c>
      <c r="H9" s="71">
        <f>'Свод ВБ'!I7</f>
        <v>0</v>
      </c>
      <c r="I9" s="71">
        <f>'Свод ВБ'!J7</f>
        <v>0</v>
      </c>
      <c r="J9" s="71">
        <f>'Свод ВБ'!K7</f>
        <v>2.6999999999999997</v>
      </c>
      <c r="K9" s="71">
        <f>'Свод ВБ'!L7</f>
        <v>0</v>
      </c>
      <c r="L9" s="71">
        <f>'Свод ВБ'!M7</f>
        <v>1.2000000000000002</v>
      </c>
      <c r="M9" s="71">
        <f>'Свод ВБ'!N7</f>
        <v>0</v>
      </c>
      <c r="N9" s="71">
        <f>'Свод ВБ'!O7</f>
        <v>0</v>
      </c>
      <c r="O9" s="71">
        <f>'Свод ВБ'!P7</f>
        <v>0</v>
      </c>
      <c r="P9" s="71">
        <f>'Свод ВБ'!Q7</f>
        <v>0</v>
      </c>
      <c r="Q9" s="71">
        <f>'Свод ВБ'!R7</f>
        <v>0</v>
      </c>
      <c r="R9" s="71">
        <f>'Свод ВБ'!S7</f>
        <v>0</v>
      </c>
      <c r="S9" s="71">
        <f>'Свод ВБ'!T7</f>
        <v>2</v>
      </c>
      <c r="T9" s="71">
        <f>'Свод ВБ'!U7</f>
        <v>0</v>
      </c>
      <c r="U9" s="71">
        <f>'Свод ВБ'!V7</f>
        <v>0</v>
      </c>
      <c r="V9" s="71">
        <f>'Свод ВБ'!W7</f>
        <v>0</v>
      </c>
      <c r="W9" s="71">
        <f>'Свод ВБ'!X7</f>
        <v>0</v>
      </c>
      <c r="X9" s="71">
        <f>'Свод ВБ'!Y7</f>
        <v>0</v>
      </c>
      <c r="Y9" s="71">
        <f>'Свод ВБ'!Z7</f>
        <v>0</v>
      </c>
      <c r="Z9" s="71">
        <f>'Свод ВБ'!AA7</f>
        <v>0</v>
      </c>
      <c r="AA9" s="71">
        <f>'Свод ВБ'!AB7</f>
        <v>0</v>
      </c>
      <c r="AB9" s="71">
        <f>'Свод ВБ'!AC7</f>
        <v>0</v>
      </c>
      <c r="AC9" s="71">
        <f>'Свод ВБ'!AD7</f>
        <v>0</v>
      </c>
      <c r="AD9" s="71">
        <f>'Свод ВБ'!AE7</f>
        <v>0</v>
      </c>
      <c r="AE9" s="71">
        <f>'Свод ВБ'!AF7</f>
        <v>0</v>
      </c>
      <c r="AF9" s="71">
        <f>'Свод ВБ'!AG7</f>
        <v>0</v>
      </c>
      <c r="AG9" s="71">
        <f>'Свод ВБ'!AH7</f>
        <v>0</v>
      </c>
      <c r="AH9" s="71">
        <f>'Свод ВБ'!AI7</f>
        <v>0</v>
      </c>
      <c r="AI9" s="71">
        <f>'Свод ВБ'!AJ7</f>
        <v>5.8999999999999986</v>
      </c>
    </row>
    <row r="10" spans="1:35" ht="15.75" x14ac:dyDescent="0.2">
      <c r="A10" s="40" t="s">
        <v>39</v>
      </c>
      <c r="B10" s="38"/>
      <c r="C10" s="38"/>
      <c r="D10" s="38"/>
      <c r="E10" s="71">
        <f>SUM(E8:E9)</f>
        <v>2624</v>
      </c>
      <c r="F10" s="71">
        <f t="shared" ref="F10:AI10" si="0">SUM(F8:F9)</f>
        <v>1980</v>
      </c>
      <c r="G10" s="71">
        <f t="shared" si="0"/>
        <v>2348</v>
      </c>
      <c r="H10" s="71">
        <f t="shared" si="0"/>
        <v>2216</v>
      </c>
      <c r="I10" s="71">
        <f t="shared" si="0"/>
        <v>2112</v>
      </c>
      <c r="J10" s="71">
        <f t="shared" si="0"/>
        <v>228.00000000000006</v>
      </c>
      <c r="K10" s="71">
        <f t="shared" si="0"/>
        <v>0</v>
      </c>
      <c r="L10" s="71">
        <f t="shared" si="0"/>
        <v>244.00000000000003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124</v>
      </c>
      <c r="Q10" s="71">
        <f t="shared" si="0"/>
        <v>0</v>
      </c>
      <c r="R10" s="71">
        <f t="shared" si="0"/>
        <v>102</v>
      </c>
      <c r="S10" s="71">
        <f t="shared" si="0"/>
        <v>460</v>
      </c>
      <c r="T10" s="71">
        <f t="shared" si="0"/>
        <v>6.8999999999999995</v>
      </c>
      <c r="U10" s="71">
        <f t="shared" si="0"/>
        <v>24</v>
      </c>
      <c r="V10" s="71">
        <f t="shared" si="0"/>
        <v>654</v>
      </c>
      <c r="W10" s="71">
        <f t="shared" si="0"/>
        <v>45</v>
      </c>
      <c r="X10" s="71">
        <f t="shared" si="0"/>
        <v>0</v>
      </c>
      <c r="Y10" s="71">
        <f t="shared" si="0"/>
        <v>0</v>
      </c>
      <c r="Z10" s="71">
        <f t="shared" si="0"/>
        <v>0</v>
      </c>
      <c r="AA10" s="71">
        <f t="shared" si="0"/>
        <v>172.5</v>
      </c>
      <c r="AB10" s="71">
        <f t="shared" si="0"/>
        <v>0</v>
      </c>
      <c r="AC10" s="71">
        <f t="shared" si="0"/>
        <v>0</v>
      </c>
      <c r="AD10" s="71">
        <f t="shared" si="0"/>
        <v>90</v>
      </c>
      <c r="AE10" s="71">
        <f t="shared" si="0"/>
        <v>0</v>
      </c>
      <c r="AF10" s="71">
        <f t="shared" si="0"/>
        <v>0</v>
      </c>
      <c r="AG10" s="71">
        <f t="shared" si="0"/>
        <v>0</v>
      </c>
      <c r="AH10" s="71">
        <f t="shared" si="0"/>
        <v>158</v>
      </c>
      <c r="AI10" s="93">
        <f t="shared" si="0"/>
        <v>8616.4</v>
      </c>
    </row>
    <row r="11" spans="1:35" ht="15" x14ac:dyDescent="0.2">
      <c r="A11" s="40"/>
      <c r="B11" s="38"/>
      <c r="C11" s="38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5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35" ht="15.75" x14ac:dyDescent="0.25">
      <c r="A12" s="459" t="s">
        <v>163</v>
      </c>
      <c r="B12" s="459"/>
      <c r="C12" s="459"/>
      <c r="D12" s="459"/>
      <c r="E12" s="459"/>
      <c r="F12" s="459"/>
      <c r="G12" s="459"/>
      <c r="H12" s="459"/>
      <c r="I12" s="459"/>
      <c r="J12" s="459"/>
      <c r="K12" s="459"/>
      <c r="L12" s="42"/>
      <c r="M12" s="42"/>
      <c r="N12" s="42"/>
      <c r="O12" s="42"/>
      <c r="P12" s="42"/>
      <c r="Q12" s="42"/>
      <c r="R12" s="42"/>
      <c r="S12" s="42"/>
      <c r="T12" s="42"/>
      <c r="U12" s="47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1:35" ht="15.75" x14ac:dyDescent="0.25">
      <c r="A13" s="40" t="s">
        <v>10</v>
      </c>
      <c r="B13" s="44"/>
      <c r="C13" s="44"/>
      <c r="D13" s="44"/>
      <c r="E13" s="70">
        <f>'Свод Б'!F8</f>
        <v>1442</v>
      </c>
      <c r="F13" s="70">
        <f>'Свод Б'!G8</f>
        <v>1170</v>
      </c>
      <c r="G13" s="70">
        <f>'Свод Б'!H8</f>
        <v>712</v>
      </c>
      <c r="H13" s="70">
        <f>'Свод Б'!I8</f>
        <v>678</v>
      </c>
      <c r="I13" s="70">
        <f>'Свод Б'!J8</f>
        <v>3187</v>
      </c>
      <c r="J13" s="70">
        <f>'Свод Б'!K8</f>
        <v>280.8</v>
      </c>
      <c r="K13" s="70">
        <f>'Свод Б'!L8</f>
        <v>0</v>
      </c>
      <c r="L13" s="70">
        <f>'Свод Б'!M8</f>
        <v>84.800000000000011</v>
      </c>
      <c r="M13" s="70">
        <f>'Свод Б'!N8</f>
        <v>0</v>
      </c>
      <c r="N13" s="70">
        <f>'Свод Б'!O8</f>
        <v>0</v>
      </c>
      <c r="O13" s="70">
        <f>'Свод Б'!P8</f>
        <v>0</v>
      </c>
      <c r="P13" s="70">
        <f>'Свод Б'!Q8</f>
        <v>71.5</v>
      </c>
      <c r="Q13" s="70">
        <f>'Свод Б'!R8</f>
        <v>0</v>
      </c>
      <c r="R13" s="70">
        <f>'Свод Б'!S8</f>
        <v>56</v>
      </c>
      <c r="S13" s="70">
        <f>'Свод Б'!T8</f>
        <v>252.66666666666666</v>
      </c>
      <c r="T13" s="70">
        <f>'Свод Б'!U8</f>
        <v>0</v>
      </c>
      <c r="U13" s="70">
        <f>'Свод Б'!V8</f>
        <v>24</v>
      </c>
      <c r="V13" s="70">
        <f>'Свод Б'!W8</f>
        <v>358</v>
      </c>
      <c r="W13" s="70">
        <f>'Свод Б'!X8</f>
        <v>25</v>
      </c>
      <c r="X13" s="70">
        <f>'Свод Б'!Y8</f>
        <v>0</v>
      </c>
      <c r="Y13" s="70">
        <f>'Свод Б'!Z8</f>
        <v>0</v>
      </c>
      <c r="Z13" s="70">
        <f>'Свод Б'!AA8</f>
        <v>0</v>
      </c>
      <c r="AA13" s="70">
        <f>'Свод Б'!AB8</f>
        <v>13.5</v>
      </c>
      <c r="AB13" s="70">
        <f>'Свод Б'!AC8</f>
        <v>0</v>
      </c>
      <c r="AC13" s="70">
        <f>'Свод Б'!AD8</f>
        <v>0</v>
      </c>
      <c r="AD13" s="70">
        <f>'Свод Б'!AE8</f>
        <v>30</v>
      </c>
      <c r="AE13" s="70">
        <f>'Свод Б'!AF8</f>
        <v>0</v>
      </c>
      <c r="AF13" s="70">
        <f>'Свод Б'!AG8</f>
        <v>0</v>
      </c>
      <c r="AG13" s="70">
        <f>'Свод Б'!AH8</f>
        <v>0</v>
      </c>
      <c r="AH13" s="70">
        <f>'Свод Б'!AI8</f>
        <v>135</v>
      </c>
      <c r="AI13" s="70">
        <f>'Свод Б'!AJ8</f>
        <v>6366.2666666666664</v>
      </c>
    </row>
    <row r="14" spans="1:35" ht="15" x14ac:dyDescent="0.2">
      <c r="A14" s="40" t="s">
        <v>131</v>
      </c>
      <c r="B14" s="51"/>
      <c r="C14" s="51"/>
      <c r="D14" s="51"/>
      <c r="E14" s="71">
        <f>'Свод ВБ'!F8</f>
        <v>0</v>
      </c>
      <c r="F14" s="71">
        <f>'Свод ВБ'!G8</f>
        <v>12</v>
      </c>
      <c r="G14" s="71">
        <f>'Свод ВБ'!H8</f>
        <v>0</v>
      </c>
      <c r="H14" s="71">
        <f>'Свод ВБ'!I8</f>
        <v>44</v>
      </c>
      <c r="I14" s="71">
        <f>'Свод ВБ'!J8</f>
        <v>0</v>
      </c>
      <c r="J14" s="71">
        <f>'Свод ВБ'!K8</f>
        <v>4.2</v>
      </c>
      <c r="K14" s="71">
        <f>'Свод ВБ'!L8</f>
        <v>0</v>
      </c>
      <c r="L14" s="71">
        <f>'Свод ВБ'!M8</f>
        <v>24.799999999999997</v>
      </c>
      <c r="M14" s="71">
        <f>'Свод ВБ'!N8</f>
        <v>0</v>
      </c>
      <c r="N14" s="71">
        <f>'Свод ВБ'!O8</f>
        <v>0</v>
      </c>
      <c r="O14" s="71">
        <f>'Свод ВБ'!P8</f>
        <v>0</v>
      </c>
      <c r="P14" s="71">
        <f>'Свод ВБ'!Q8</f>
        <v>3.8000000000000003</v>
      </c>
      <c r="Q14" s="71">
        <f>'Свод ВБ'!R8</f>
        <v>0</v>
      </c>
      <c r="R14" s="71">
        <f>'Свод ВБ'!S8</f>
        <v>0</v>
      </c>
      <c r="S14" s="71">
        <f>'Свод ВБ'!T8</f>
        <v>0</v>
      </c>
      <c r="T14" s="71">
        <f>'Свод ВБ'!U8</f>
        <v>0</v>
      </c>
      <c r="U14" s="71">
        <f>'Свод ВБ'!V8</f>
        <v>0</v>
      </c>
      <c r="V14" s="71">
        <f>'Свод ВБ'!W8</f>
        <v>0</v>
      </c>
      <c r="W14" s="71">
        <f>'Свод ВБ'!X8</f>
        <v>0</v>
      </c>
      <c r="X14" s="71">
        <f>'Свод ВБ'!Y8</f>
        <v>0</v>
      </c>
      <c r="Y14" s="71">
        <f>'Свод ВБ'!Z8</f>
        <v>0</v>
      </c>
      <c r="Z14" s="71">
        <f>'Свод ВБ'!AA8</f>
        <v>0</v>
      </c>
      <c r="AA14" s="71">
        <f>'Свод ВБ'!AB8</f>
        <v>0</v>
      </c>
      <c r="AB14" s="71">
        <f>'Свод ВБ'!AC8</f>
        <v>0</v>
      </c>
      <c r="AC14" s="71">
        <f>'Свод ВБ'!AD8</f>
        <v>0</v>
      </c>
      <c r="AD14" s="71">
        <f>'Свод ВБ'!AE8</f>
        <v>0</v>
      </c>
      <c r="AE14" s="71">
        <f>'Свод ВБ'!AF8</f>
        <v>0</v>
      </c>
      <c r="AF14" s="71">
        <f>'Свод ВБ'!AG8</f>
        <v>0</v>
      </c>
      <c r="AG14" s="71">
        <f>'Свод ВБ'!AH8</f>
        <v>0</v>
      </c>
      <c r="AH14" s="71">
        <f>'Свод ВБ'!AI8</f>
        <v>0</v>
      </c>
      <c r="AI14" s="71">
        <f>'Свод ВБ'!AJ8</f>
        <v>88.800000000000011</v>
      </c>
    </row>
    <row r="15" spans="1:35" ht="15.75" x14ac:dyDescent="0.2">
      <c r="A15" s="40" t="s">
        <v>39</v>
      </c>
      <c r="B15" s="51"/>
      <c r="C15" s="51"/>
      <c r="D15" s="51"/>
      <c r="E15" s="71">
        <f t="shared" ref="E15:AI15" si="1">SUM(E13:E14)</f>
        <v>1442</v>
      </c>
      <c r="F15" s="71">
        <f t="shared" si="1"/>
        <v>1182</v>
      </c>
      <c r="G15" s="71">
        <f t="shared" si="1"/>
        <v>712</v>
      </c>
      <c r="H15" s="71">
        <f t="shared" si="1"/>
        <v>722</v>
      </c>
      <c r="I15" s="71">
        <f t="shared" si="1"/>
        <v>3187</v>
      </c>
      <c r="J15" s="71">
        <f t="shared" si="1"/>
        <v>285</v>
      </c>
      <c r="K15" s="71">
        <f t="shared" si="1"/>
        <v>0</v>
      </c>
      <c r="L15" s="71">
        <f t="shared" si="1"/>
        <v>109.60000000000001</v>
      </c>
      <c r="M15" s="71">
        <f t="shared" si="1"/>
        <v>0</v>
      </c>
      <c r="N15" s="71">
        <f t="shared" si="1"/>
        <v>0</v>
      </c>
      <c r="O15" s="71">
        <f t="shared" si="1"/>
        <v>0</v>
      </c>
      <c r="P15" s="71">
        <f t="shared" si="1"/>
        <v>75.3</v>
      </c>
      <c r="Q15" s="71">
        <f t="shared" si="1"/>
        <v>0</v>
      </c>
      <c r="R15" s="71">
        <f t="shared" si="1"/>
        <v>56</v>
      </c>
      <c r="S15" s="71">
        <f t="shared" si="1"/>
        <v>252.66666666666666</v>
      </c>
      <c r="T15" s="71">
        <f t="shared" si="1"/>
        <v>0</v>
      </c>
      <c r="U15" s="71">
        <f t="shared" si="1"/>
        <v>24</v>
      </c>
      <c r="V15" s="71">
        <f t="shared" si="1"/>
        <v>358</v>
      </c>
      <c r="W15" s="71">
        <f t="shared" si="1"/>
        <v>25</v>
      </c>
      <c r="X15" s="71">
        <f t="shared" si="1"/>
        <v>0</v>
      </c>
      <c r="Y15" s="71">
        <f t="shared" si="1"/>
        <v>0</v>
      </c>
      <c r="Z15" s="71">
        <f t="shared" si="1"/>
        <v>0</v>
      </c>
      <c r="AA15" s="71">
        <f t="shared" si="1"/>
        <v>13.5</v>
      </c>
      <c r="AB15" s="71">
        <f t="shared" si="1"/>
        <v>0</v>
      </c>
      <c r="AC15" s="71">
        <f t="shared" si="1"/>
        <v>0</v>
      </c>
      <c r="AD15" s="71">
        <f t="shared" si="1"/>
        <v>30</v>
      </c>
      <c r="AE15" s="71">
        <f t="shared" si="1"/>
        <v>0</v>
      </c>
      <c r="AF15" s="71">
        <f t="shared" si="1"/>
        <v>0</v>
      </c>
      <c r="AG15" s="71">
        <f t="shared" si="1"/>
        <v>0</v>
      </c>
      <c r="AH15" s="71">
        <f t="shared" si="1"/>
        <v>135</v>
      </c>
      <c r="AI15" s="93">
        <f t="shared" si="1"/>
        <v>6455.0666666666666</v>
      </c>
    </row>
    <row r="16" spans="1:35" ht="15" x14ac:dyDescent="0.2">
      <c r="A16" s="4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2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</row>
    <row r="17" spans="1:35" ht="15.75" x14ac:dyDescent="0.25">
      <c r="A17" s="459" t="s">
        <v>164</v>
      </c>
      <c r="B17" s="459"/>
      <c r="C17" s="459"/>
      <c r="D17" s="459"/>
      <c r="E17" s="459"/>
      <c r="F17" s="459"/>
      <c r="G17" s="459"/>
      <c r="H17" s="459"/>
      <c r="I17" s="459"/>
      <c r="J17" s="459"/>
      <c r="K17" s="459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</row>
    <row r="18" spans="1:35" ht="15" x14ac:dyDescent="0.2">
      <c r="A18" s="40" t="s">
        <v>10</v>
      </c>
      <c r="B18" s="51"/>
      <c r="C18" s="51"/>
      <c r="D18" s="51"/>
      <c r="E18" s="71">
        <f>'Свод Б'!F9</f>
        <v>2512</v>
      </c>
      <c r="F18" s="71">
        <f>'Свод Б'!G9</f>
        <v>2216</v>
      </c>
      <c r="G18" s="71">
        <f>'Свод Б'!H9</f>
        <v>1282</v>
      </c>
      <c r="H18" s="71">
        <f>'Свод Б'!I9</f>
        <v>1330</v>
      </c>
      <c r="I18" s="71">
        <f>'Свод Б'!J9</f>
        <v>4930</v>
      </c>
      <c r="J18" s="71">
        <f>'Свод Б'!K9</f>
        <v>478.8</v>
      </c>
      <c r="K18" s="71">
        <f>'Свод Б'!L9</f>
        <v>0</v>
      </c>
      <c r="L18" s="71">
        <f>'Свод Б'!M9</f>
        <v>140.80000000000001</v>
      </c>
      <c r="M18" s="71">
        <f>'Свод Б'!N9</f>
        <v>0</v>
      </c>
      <c r="N18" s="71">
        <f>'Свод Б'!O9</f>
        <v>0</v>
      </c>
      <c r="O18" s="71">
        <f>'Свод Б'!P9</f>
        <v>0</v>
      </c>
      <c r="P18" s="71">
        <f>'Свод Б'!Q9</f>
        <v>131.80000000000004</v>
      </c>
      <c r="Q18" s="71">
        <f>'Свод Б'!R9</f>
        <v>0</v>
      </c>
      <c r="R18" s="71">
        <f>'Свод Б'!S9</f>
        <v>86</v>
      </c>
      <c r="S18" s="71">
        <f>'Свод Б'!T9</f>
        <v>570</v>
      </c>
      <c r="T18" s="71">
        <f>'Свод Б'!U9</f>
        <v>30.9</v>
      </c>
      <c r="U18" s="71">
        <f>'Свод Б'!V9</f>
        <v>15</v>
      </c>
      <c r="V18" s="71">
        <f>'Свод Б'!W9</f>
        <v>776</v>
      </c>
      <c r="W18" s="71">
        <f>'Свод Б'!X9</f>
        <v>20</v>
      </c>
      <c r="X18" s="71">
        <f>'Свод Б'!Y9</f>
        <v>0</v>
      </c>
      <c r="Y18" s="71">
        <f>'Свод Б'!Z9</f>
        <v>0</v>
      </c>
      <c r="Z18" s="71">
        <f>'Свод Б'!AA9</f>
        <v>0</v>
      </c>
      <c r="AA18" s="71">
        <f>'Свод Б'!AB9</f>
        <v>161</v>
      </c>
      <c r="AB18" s="71">
        <f>'Свод Б'!AC9</f>
        <v>0</v>
      </c>
      <c r="AC18" s="71">
        <f>'Свод Б'!AD9</f>
        <v>0</v>
      </c>
      <c r="AD18" s="71">
        <f>'Свод Б'!AE9</f>
        <v>30</v>
      </c>
      <c r="AE18" s="71">
        <f>'Свод Б'!AF9</f>
        <v>0</v>
      </c>
      <c r="AF18" s="71">
        <f>'Свод Б'!AG9</f>
        <v>0</v>
      </c>
      <c r="AG18" s="71">
        <f>'Свод Б'!AH9</f>
        <v>0</v>
      </c>
      <c r="AH18" s="71">
        <f>'Свод Б'!AI9</f>
        <v>89</v>
      </c>
      <c r="AI18" s="71">
        <f>'Свод Б'!AJ9</f>
        <v>11005.3</v>
      </c>
    </row>
    <row r="19" spans="1:35" ht="15" x14ac:dyDescent="0.2">
      <c r="A19" s="40" t="s">
        <v>131</v>
      </c>
      <c r="B19" s="51"/>
      <c r="C19" s="51"/>
      <c r="D19" s="51"/>
      <c r="E19" s="71">
        <f>'Свод ВБ'!F9</f>
        <v>0</v>
      </c>
      <c r="F19" s="71">
        <f>'Свод ВБ'!G9</f>
        <v>0</v>
      </c>
      <c r="G19" s="71">
        <f>'Свод ВБ'!H9</f>
        <v>0</v>
      </c>
      <c r="H19" s="71">
        <f>'Свод ВБ'!I9</f>
        <v>0</v>
      </c>
      <c r="I19" s="71">
        <f>'Свод ВБ'!J9</f>
        <v>0</v>
      </c>
      <c r="J19" s="71">
        <f>'Свод ВБ'!K9</f>
        <v>1.8</v>
      </c>
      <c r="K19" s="71">
        <f>'Свод ВБ'!L9</f>
        <v>0</v>
      </c>
      <c r="L19" s="71">
        <f>'Свод ВБ'!M9</f>
        <v>0</v>
      </c>
      <c r="M19" s="71">
        <f>'Свод ВБ'!N9</f>
        <v>0</v>
      </c>
      <c r="N19" s="71">
        <f>'Свод ВБ'!O9</f>
        <v>0</v>
      </c>
      <c r="O19" s="71">
        <f>'Свод ВБ'!P9</f>
        <v>0</v>
      </c>
      <c r="P19" s="71">
        <f>'Свод ВБ'!Q9</f>
        <v>0</v>
      </c>
      <c r="Q19" s="71">
        <f>'Свод ВБ'!R9</f>
        <v>0</v>
      </c>
      <c r="R19" s="71">
        <f>'Свод ВБ'!S9</f>
        <v>0</v>
      </c>
      <c r="S19" s="71">
        <f>'Свод ВБ'!T9</f>
        <v>0</v>
      </c>
      <c r="T19" s="71">
        <f>'Свод ВБ'!U9</f>
        <v>0.3</v>
      </c>
      <c r="U19" s="71">
        <f>'Свод ВБ'!V9</f>
        <v>0</v>
      </c>
      <c r="V19" s="71">
        <f>'Свод ВБ'!W9</f>
        <v>0</v>
      </c>
      <c r="W19" s="71">
        <f>'Свод ВБ'!X9</f>
        <v>0</v>
      </c>
      <c r="X19" s="71">
        <f>'Свод ВБ'!Y9</f>
        <v>0</v>
      </c>
      <c r="Y19" s="71">
        <f>'Свод ВБ'!Z9</f>
        <v>0</v>
      </c>
      <c r="Z19" s="71">
        <f>'Свод ВБ'!AA9</f>
        <v>0</v>
      </c>
      <c r="AA19" s="71">
        <f>'Свод ВБ'!AB9</f>
        <v>0</v>
      </c>
      <c r="AB19" s="71">
        <f>'Свод ВБ'!AC9</f>
        <v>0</v>
      </c>
      <c r="AC19" s="71">
        <f>'Свод ВБ'!AD9</f>
        <v>0</v>
      </c>
      <c r="AD19" s="71">
        <f>'Свод ВБ'!AE9</f>
        <v>0</v>
      </c>
      <c r="AE19" s="71">
        <f>'Свод ВБ'!AF9</f>
        <v>0</v>
      </c>
      <c r="AF19" s="71">
        <f>'Свод ВБ'!AG9</f>
        <v>0</v>
      </c>
      <c r="AG19" s="71">
        <f>'Свод ВБ'!AH9</f>
        <v>0</v>
      </c>
      <c r="AH19" s="71">
        <f>'Свод ВБ'!AI9</f>
        <v>0</v>
      </c>
      <c r="AI19" s="71">
        <f>'Свод ВБ'!AJ9</f>
        <v>2.1</v>
      </c>
    </row>
    <row r="20" spans="1:35" ht="15.75" x14ac:dyDescent="0.2">
      <c r="A20" s="40" t="s">
        <v>39</v>
      </c>
      <c r="B20" s="51"/>
      <c r="C20" s="51"/>
      <c r="D20" s="51"/>
      <c r="E20" s="71">
        <f t="shared" ref="E20:AI20" si="2">SUM(E18:E19)</f>
        <v>2512</v>
      </c>
      <c r="F20" s="71">
        <f t="shared" si="2"/>
        <v>2216</v>
      </c>
      <c r="G20" s="71">
        <f t="shared" si="2"/>
        <v>1282</v>
      </c>
      <c r="H20" s="71">
        <f t="shared" si="2"/>
        <v>1330</v>
      </c>
      <c r="I20" s="71">
        <f t="shared" si="2"/>
        <v>4930</v>
      </c>
      <c r="J20" s="71">
        <f t="shared" si="2"/>
        <v>480.6</v>
      </c>
      <c r="K20" s="71">
        <f t="shared" si="2"/>
        <v>0</v>
      </c>
      <c r="L20" s="71">
        <f t="shared" si="2"/>
        <v>140.80000000000001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131.80000000000004</v>
      </c>
      <c r="Q20" s="71">
        <f t="shared" si="2"/>
        <v>0</v>
      </c>
      <c r="R20" s="71">
        <f t="shared" si="2"/>
        <v>86</v>
      </c>
      <c r="S20" s="71">
        <f t="shared" si="2"/>
        <v>570</v>
      </c>
      <c r="T20" s="71">
        <f t="shared" si="2"/>
        <v>31.2</v>
      </c>
      <c r="U20" s="71">
        <f t="shared" si="2"/>
        <v>15</v>
      </c>
      <c r="V20" s="71">
        <f t="shared" si="2"/>
        <v>776</v>
      </c>
      <c r="W20" s="71">
        <f t="shared" si="2"/>
        <v>20</v>
      </c>
      <c r="X20" s="71">
        <f t="shared" si="2"/>
        <v>0</v>
      </c>
      <c r="Y20" s="71">
        <f t="shared" si="2"/>
        <v>0</v>
      </c>
      <c r="Z20" s="71">
        <f t="shared" si="2"/>
        <v>0</v>
      </c>
      <c r="AA20" s="71">
        <f t="shared" si="2"/>
        <v>161</v>
      </c>
      <c r="AB20" s="71">
        <f t="shared" si="2"/>
        <v>0</v>
      </c>
      <c r="AC20" s="71">
        <f t="shared" si="2"/>
        <v>0</v>
      </c>
      <c r="AD20" s="71">
        <f t="shared" si="2"/>
        <v>30</v>
      </c>
      <c r="AE20" s="71">
        <f t="shared" si="2"/>
        <v>0</v>
      </c>
      <c r="AF20" s="71">
        <f t="shared" si="2"/>
        <v>0</v>
      </c>
      <c r="AG20" s="71">
        <f t="shared" si="2"/>
        <v>0</v>
      </c>
      <c r="AH20" s="71">
        <f t="shared" si="2"/>
        <v>89</v>
      </c>
      <c r="AI20" s="93">
        <f t="shared" si="2"/>
        <v>11007.4</v>
      </c>
    </row>
    <row r="21" spans="1:35" ht="15" x14ac:dyDescent="0.2">
      <c r="A21" s="4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2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</row>
    <row r="22" spans="1:35" ht="15.75" x14ac:dyDescent="0.25">
      <c r="A22" s="459" t="s">
        <v>165</v>
      </c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51"/>
      <c r="M22" s="51"/>
      <c r="N22" s="51"/>
      <c r="O22" s="51"/>
      <c r="P22" s="51"/>
      <c r="Q22" s="51"/>
      <c r="R22" s="51"/>
      <c r="S22" s="51"/>
      <c r="T22" s="51"/>
      <c r="U22" s="52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</row>
    <row r="23" spans="1:35" ht="15" x14ac:dyDescent="0.2">
      <c r="A23" s="40" t="s">
        <v>10</v>
      </c>
      <c r="B23" s="51"/>
      <c r="C23" s="51"/>
      <c r="D23" s="51"/>
      <c r="E23" s="71">
        <f>'Свод Б'!F10</f>
        <v>2284</v>
      </c>
      <c r="F23" s="71">
        <f>'Свод Б'!G10</f>
        <v>1412</v>
      </c>
      <c r="G23" s="71">
        <f>'Свод Б'!H10</f>
        <v>2442</v>
      </c>
      <c r="H23" s="71">
        <f>'Свод Б'!I10</f>
        <v>2318</v>
      </c>
      <c r="I23" s="71">
        <f>'Свод Б'!J10</f>
        <v>150</v>
      </c>
      <c r="J23" s="71">
        <f>'Свод Б'!K10</f>
        <v>63.6</v>
      </c>
      <c r="K23" s="71">
        <f>'Свод Б'!L10</f>
        <v>0</v>
      </c>
      <c r="L23" s="71">
        <f>'Свод Б'!M10</f>
        <v>343.2</v>
      </c>
      <c r="M23" s="71">
        <f>'Свод Б'!N10</f>
        <v>0</v>
      </c>
      <c r="N23" s="71">
        <f>'Свод Б'!O10</f>
        <v>0</v>
      </c>
      <c r="O23" s="71">
        <f>'Свод Б'!P10</f>
        <v>0</v>
      </c>
      <c r="P23" s="71">
        <f>'Свод Б'!Q10</f>
        <v>94.6</v>
      </c>
      <c r="Q23" s="71">
        <f>'Свод Б'!R10</f>
        <v>0</v>
      </c>
      <c r="R23" s="71">
        <f>'Свод Б'!S10</f>
        <v>0</v>
      </c>
      <c r="S23" s="71">
        <f>'Свод Б'!T10</f>
        <v>57.333333333333329</v>
      </c>
      <c r="T23" s="71">
        <f>'Свод Б'!U10</f>
        <v>254.7</v>
      </c>
      <c r="U23" s="71">
        <f>'Свод Б'!V10</f>
        <v>24</v>
      </c>
      <c r="V23" s="71">
        <f>'Свод Б'!W10</f>
        <v>112</v>
      </c>
      <c r="W23" s="71">
        <f>'Свод Б'!X10</f>
        <v>0</v>
      </c>
      <c r="X23" s="71">
        <f>'Свод Б'!Y10</f>
        <v>0</v>
      </c>
      <c r="Y23" s="71">
        <f>'Свод Б'!Z10</f>
        <v>0</v>
      </c>
      <c r="Z23" s="71">
        <f>'Свод Б'!AA10</f>
        <v>0</v>
      </c>
      <c r="AA23" s="71">
        <f>'Свод Б'!AB10</f>
        <v>13.5</v>
      </c>
      <c r="AB23" s="71">
        <f>'Свод Б'!AC10</f>
        <v>0</v>
      </c>
      <c r="AC23" s="71">
        <f>'Свод Б'!AD10</f>
        <v>0</v>
      </c>
      <c r="AD23" s="71">
        <f>'Свод Б'!AE10</f>
        <v>0</v>
      </c>
      <c r="AE23" s="71">
        <f>'Свод Б'!AF10</f>
        <v>0</v>
      </c>
      <c r="AF23" s="71">
        <f>'Свод Б'!AG10</f>
        <v>0</v>
      </c>
      <c r="AG23" s="71">
        <f>'Свод Б'!AH10</f>
        <v>0</v>
      </c>
      <c r="AH23" s="71">
        <f>'Свод Б'!AI10</f>
        <v>314</v>
      </c>
      <c r="AI23" s="71">
        <f>'Свод Б'!AJ10</f>
        <v>5156.9333333333343</v>
      </c>
    </row>
    <row r="24" spans="1:35" ht="15" x14ac:dyDescent="0.2">
      <c r="A24" s="40" t="s">
        <v>131</v>
      </c>
      <c r="B24" s="51"/>
      <c r="C24" s="51"/>
      <c r="D24" s="51"/>
      <c r="E24" s="71">
        <f>'Свод ВБ'!F10</f>
        <v>0</v>
      </c>
      <c r="F24" s="71">
        <f>'Свод ВБ'!G10</f>
        <v>0</v>
      </c>
      <c r="G24" s="71">
        <f>'Свод ВБ'!H10</f>
        <v>0</v>
      </c>
      <c r="H24" s="71">
        <f>'Свод ВБ'!I10</f>
        <v>0</v>
      </c>
      <c r="I24" s="71">
        <f>'Свод ВБ'!J10</f>
        <v>0</v>
      </c>
      <c r="J24" s="71">
        <f>'Свод ВБ'!K10</f>
        <v>0</v>
      </c>
      <c r="K24" s="71">
        <f>'Свод ВБ'!L10</f>
        <v>0</v>
      </c>
      <c r="L24" s="71">
        <f>'Свод ВБ'!M10</f>
        <v>1.6</v>
      </c>
      <c r="M24" s="71">
        <f>'Свод ВБ'!N10</f>
        <v>0</v>
      </c>
      <c r="N24" s="71">
        <f>'Свод ВБ'!O10</f>
        <v>0</v>
      </c>
      <c r="O24" s="71">
        <f>'Свод ВБ'!P10</f>
        <v>0</v>
      </c>
      <c r="P24" s="71">
        <f>'Свод ВБ'!Q10</f>
        <v>0</v>
      </c>
      <c r="Q24" s="71">
        <f>'Свод ВБ'!R10</f>
        <v>0</v>
      </c>
      <c r="R24" s="71">
        <f>'Свод ВБ'!S10</f>
        <v>0</v>
      </c>
      <c r="S24" s="71">
        <f>'Свод ВБ'!T10</f>
        <v>0</v>
      </c>
      <c r="T24" s="71">
        <f>'Свод ВБ'!U10</f>
        <v>0.89999999999999991</v>
      </c>
      <c r="U24" s="71">
        <f>'Свод ВБ'!V10</f>
        <v>0</v>
      </c>
      <c r="V24" s="71">
        <f>'Свод ВБ'!W10</f>
        <v>0</v>
      </c>
      <c r="W24" s="71">
        <f>'Свод ВБ'!X10</f>
        <v>0</v>
      </c>
      <c r="X24" s="71">
        <f>'Свод ВБ'!Y10</f>
        <v>0</v>
      </c>
      <c r="Y24" s="71">
        <f>'Свод ВБ'!Z10</f>
        <v>0</v>
      </c>
      <c r="Z24" s="71">
        <f>'Свод ВБ'!AA10</f>
        <v>0</v>
      </c>
      <c r="AA24" s="71">
        <f>'Свод ВБ'!AB10</f>
        <v>0</v>
      </c>
      <c r="AB24" s="71">
        <f>'Свод ВБ'!AC10</f>
        <v>0</v>
      </c>
      <c r="AC24" s="71">
        <f>'Свод ВБ'!AD10</f>
        <v>0</v>
      </c>
      <c r="AD24" s="71">
        <f>'Свод ВБ'!AE10</f>
        <v>0</v>
      </c>
      <c r="AE24" s="71">
        <f>'Свод ВБ'!AF10</f>
        <v>0</v>
      </c>
      <c r="AF24" s="71">
        <f>'Свод ВБ'!AG10</f>
        <v>0</v>
      </c>
      <c r="AG24" s="71">
        <f>'Свод ВБ'!AH10</f>
        <v>0</v>
      </c>
      <c r="AH24" s="71">
        <f>'Свод ВБ'!AI10</f>
        <v>0</v>
      </c>
      <c r="AI24" s="71">
        <f>'Свод ВБ'!AJ10</f>
        <v>2.5</v>
      </c>
    </row>
    <row r="25" spans="1:35" ht="15.75" x14ac:dyDescent="0.2">
      <c r="A25" s="40" t="s">
        <v>39</v>
      </c>
      <c r="B25" s="51"/>
      <c r="C25" s="51"/>
      <c r="D25" s="51"/>
      <c r="E25" s="71">
        <f t="shared" ref="E25:AI25" si="3">SUM(E23:E24)</f>
        <v>2284</v>
      </c>
      <c r="F25" s="71">
        <f t="shared" si="3"/>
        <v>1412</v>
      </c>
      <c r="G25" s="71">
        <f t="shared" si="3"/>
        <v>2442</v>
      </c>
      <c r="H25" s="71">
        <f t="shared" si="3"/>
        <v>2318</v>
      </c>
      <c r="I25" s="71">
        <f t="shared" si="3"/>
        <v>150</v>
      </c>
      <c r="J25" s="71">
        <f t="shared" si="3"/>
        <v>63.6</v>
      </c>
      <c r="K25" s="71">
        <f t="shared" si="3"/>
        <v>0</v>
      </c>
      <c r="L25" s="71">
        <f t="shared" si="3"/>
        <v>344.8</v>
      </c>
      <c r="M25" s="71">
        <f t="shared" si="3"/>
        <v>0</v>
      </c>
      <c r="N25" s="71">
        <f t="shared" si="3"/>
        <v>0</v>
      </c>
      <c r="O25" s="71">
        <f t="shared" si="3"/>
        <v>0</v>
      </c>
      <c r="P25" s="71">
        <f t="shared" si="3"/>
        <v>94.6</v>
      </c>
      <c r="Q25" s="71">
        <f t="shared" si="3"/>
        <v>0</v>
      </c>
      <c r="R25" s="71">
        <f t="shared" si="3"/>
        <v>0</v>
      </c>
      <c r="S25" s="71">
        <f t="shared" si="3"/>
        <v>57.333333333333329</v>
      </c>
      <c r="T25" s="71">
        <f t="shared" si="3"/>
        <v>255.6</v>
      </c>
      <c r="U25" s="71">
        <f t="shared" si="3"/>
        <v>24</v>
      </c>
      <c r="V25" s="71">
        <f t="shared" si="3"/>
        <v>112</v>
      </c>
      <c r="W25" s="71">
        <f t="shared" si="3"/>
        <v>0</v>
      </c>
      <c r="X25" s="71">
        <f t="shared" si="3"/>
        <v>0</v>
      </c>
      <c r="Y25" s="71">
        <f t="shared" si="3"/>
        <v>0</v>
      </c>
      <c r="Z25" s="71">
        <f t="shared" si="3"/>
        <v>0</v>
      </c>
      <c r="AA25" s="71">
        <f t="shared" si="3"/>
        <v>13.5</v>
      </c>
      <c r="AB25" s="71">
        <f t="shared" si="3"/>
        <v>0</v>
      </c>
      <c r="AC25" s="71">
        <f t="shared" si="3"/>
        <v>0</v>
      </c>
      <c r="AD25" s="71">
        <f t="shared" si="3"/>
        <v>0</v>
      </c>
      <c r="AE25" s="71">
        <f t="shared" si="3"/>
        <v>0</v>
      </c>
      <c r="AF25" s="71">
        <f t="shared" si="3"/>
        <v>0</v>
      </c>
      <c r="AG25" s="71">
        <f t="shared" si="3"/>
        <v>0</v>
      </c>
      <c r="AH25" s="71">
        <f t="shared" si="3"/>
        <v>314</v>
      </c>
      <c r="AI25" s="93">
        <f t="shared" si="3"/>
        <v>5159.4333333333343</v>
      </c>
    </row>
    <row r="26" spans="1:35" ht="1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1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5" ht="15.75" x14ac:dyDescent="0.25">
      <c r="A28" s="53" t="s">
        <v>167</v>
      </c>
      <c r="B28" s="51"/>
      <c r="C28" s="51"/>
      <c r="D28" s="51"/>
      <c r="E28" s="73">
        <f>E10+E15+E20+E25</f>
        <v>8862</v>
      </c>
      <c r="F28" s="73">
        <f t="shared" ref="F28:AH28" si="4">F10+F15+F20+F25</f>
        <v>6790</v>
      </c>
      <c r="G28" s="73">
        <f t="shared" si="4"/>
        <v>6784</v>
      </c>
      <c r="H28" s="73">
        <f t="shared" si="4"/>
        <v>6586</v>
      </c>
      <c r="I28" s="73">
        <f t="shared" si="4"/>
        <v>10379</v>
      </c>
      <c r="J28" s="73">
        <f t="shared" si="4"/>
        <v>1057.2</v>
      </c>
      <c r="K28" s="73">
        <f t="shared" si="4"/>
        <v>0</v>
      </c>
      <c r="L28" s="73">
        <f t="shared" si="4"/>
        <v>839.2</v>
      </c>
      <c r="M28" s="73">
        <f t="shared" si="4"/>
        <v>0</v>
      </c>
      <c r="N28" s="73">
        <f t="shared" si="4"/>
        <v>0</v>
      </c>
      <c r="O28" s="73">
        <f t="shared" si="4"/>
        <v>0</v>
      </c>
      <c r="P28" s="73">
        <f t="shared" si="4"/>
        <v>425.70000000000005</v>
      </c>
      <c r="Q28" s="73">
        <f t="shared" si="4"/>
        <v>0</v>
      </c>
      <c r="R28" s="73">
        <f t="shared" si="4"/>
        <v>244</v>
      </c>
      <c r="S28" s="73">
        <f t="shared" si="4"/>
        <v>1339.9999999999998</v>
      </c>
      <c r="T28" s="73">
        <f t="shared" si="4"/>
        <v>293.7</v>
      </c>
      <c r="U28" s="73">
        <f t="shared" si="4"/>
        <v>87</v>
      </c>
      <c r="V28" s="73">
        <f t="shared" si="4"/>
        <v>1900</v>
      </c>
      <c r="W28" s="73">
        <f t="shared" si="4"/>
        <v>90</v>
      </c>
      <c r="X28" s="73">
        <f t="shared" si="4"/>
        <v>0</v>
      </c>
      <c r="Y28" s="73">
        <f t="shared" si="4"/>
        <v>0</v>
      </c>
      <c r="Z28" s="73">
        <f t="shared" si="4"/>
        <v>0</v>
      </c>
      <c r="AA28" s="73">
        <f t="shared" si="4"/>
        <v>360.5</v>
      </c>
      <c r="AB28" s="73">
        <f t="shared" si="4"/>
        <v>0</v>
      </c>
      <c r="AC28" s="73">
        <f t="shared" si="4"/>
        <v>0</v>
      </c>
      <c r="AD28" s="73">
        <f t="shared" si="4"/>
        <v>150</v>
      </c>
      <c r="AE28" s="73">
        <f t="shared" si="4"/>
        <v>0</v>
      </c>
      <c r="AF28" s="73">
        <f t="shared" si="4"/>
        <v>0</v>
      </c>
      <c r="AG28" s="73">
        <f t="shared" si="4"/>
        <v>0</v>
      </c>
      <c r="AH28" s="73">
        <f t="shared" si="4"/>
        <v>696</v>
      </c>
      <c r="AI28" s="93">
        <f>AI10+AI15+AI20+AI25</f>
        <v>31238.300000000003</v>
      </c>
    </row>
    <row r="29" spans="1:35" ht="1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68"/>
    </row>
    <row r="41" spans="26:26" x14ac:dyDescent="0.2">
      <c r="Z41" s="55"/>
    </row>
    <row r="44" spans="26:26" x14ac:dyDescent="0.2">
      <c r="Z44" s="55"/>
    </row>
  </sheetData>
  <mergeCells count="29">
    <mergeCell ref="A4:A5"/>
    <mergeCell ref="B4:B5"/>
    <mergeCell ref="C4:C5"/>
    <mergeCell ref="D4:D5"/>
    <mergeCell ref="E4:F4"/>
    <mergeCell ref="V4:W4"/>
    <mergeCell ref="X4:X5"/>
    <mergeCell ref="Y4:Y5"/>
    <mergeCell ref="G4:H4"/>
    <mergeCell ref="I4:I5"/>
    <mergeCell ref="J4:J5"/>
    <mergeCell ref="K4:N4"/>
    <mergeCell ref="O4:O5"/>
    <mergeCell ref="AI4:AI5"/>
    <mergeCell ref="A12:K12"/>
    <mergeCell ref="A17:K17"/>
    <mergeCell ref="A22:K22"/>
    <mergeCell ref="A7:I7"/>
    <mergeCell ref="J7:K7"/>
    <mergeCell ref="Z4:Z5"/>
    <mergeCell ref="AA4:AA5"/>
    <mergeCell ref="AB4:AC4"/>
    <mergeCell ref="AD4:AE4"/>
    <mergeCell ref="P4:Q4"/>
    <mergeCell ref="AF4:AG4"/>
    <mergeCell ref="AH4:AH5"/>
    <mergeCell ref="R4:S4"/>
    <mergeCell ref="T4:T5"/>
    <mergeCell ref="U4:U5"/>
  </mergeCells>
  <conditionalFormatting sqref="A7 J7 L7:AI7 A8:AI25">
    <cfRule type="cellIs" dxfId="4" priority="1" stopIfTrue="1" operator="equal">
      <formula>0</formula>
    </cfRule>
  </conditionalFormatting>
  <conditionalFormatting sqref="E15:AI15">
    <cfRule type="cellIs" dxfId="3" priority="4" stopIfTrue="1" operator="equal">
      <formula>0</formula>
    </cfRule>
  </conditionalFormatting>
  <conditionalFormatting sqref="E20:AI20">
    <cfRule type="cellIs" dxfId="2" priority="3" stopIfTrue="1" operator="equal">
      <formula>0</formula>
    </cfRule>
  </conditionalFormatting>
  <conditionalFormatting sqref="E25:AI25">
    <cfRule type="cellIs" dxfId="1" priority="2" stopIfTrue="1" operator="equal">
      <formula>0</formula>
    </cfRule>
  </conditionalFormatting>
  <conditionalFormatting sqref="L7:AI7 E8:AI11 L12:AI12 E13:AI13">
    <cfRule type="cellIs" dxfId="0" priority="8" stopIfTrue="1" operator="equal">
      <formula>0</formula>
    </cfRule>
  </conditionalFormatting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193"/>
  <sheetViews>
    <sheetView view="pageBreakPreview" topLeftCell="A70" zoomScale="70" zoomScaleNormal="70" zoomScaleSheetLayoutView="70" workbookViewId="0">
      <selection activeCell="D102" sqref="D102"/>
    </sheetView>
  </sheetViews>
  <sheetFormatPr defaultColWidth="9.140625" defaultRowHeight="12.75" x14ac:dyDescent="0.2"/>
  <cols>
    <col min="1" max="1" width="19.85546875" style="20" customWidth="1"/>
    <col min="2" max="2" width="45.42578125" style="20" customWidth="1"/>
    <col min="3" max="5" width="5.5703125" style="20" customWidth="1"/>
    <col min="6" max="6" width="11.140625" style="20" customWidth="1"/>
    <col min="7" max="7" width="11.42578125" style="20" customWidth="1"/>
    <col min="8" max="8" width="11.42578125" style="20" bestFit="1" customWidth="1"/>
    <col min="9" max="9" width="10.85546875" style="20" customWidth="1"/>
    <col min="10" max="10" width="11.42578125" style="20" bestFit="1" customWidth="1"/>
    <col min="11" max="11" width="9.85546875" style="20" bestFit="1" customWidth="1"/>
    <col min="12" max="12" width="7.5703125" style="20" customWidth="1"/>
    <col min="13" max="13" width="9.85546875" style="20" bestFit="1" customWidth="1"/>
    <col min="14" max="14" width="9.5703125" style="20" bestFit="1" customWidth="1"/>
    <col min="15" max="15" width="6.5703125" style="20" customWidth="1"/>
    <col min="16" max="16" width="8.140625" style="20" customWidth="1"/>
    <col min="17" max="17" width="9.85546875" style="20" bestFit="1" customWidth="1"/>
    <col min="18" max="18" width="7.140625" style="20" customWidth="1"/>
    <col min="19" max="19" width="9.5703125" style="20" bestFit="1" customWidth="1"/>
    <col min="20" max="20" width="9.85546875" style="20" bestFit="1" customWidth="1"/>
    <col min="21" max="21" width="7.140625" style="20" customWidth="1"/>
    <col min="22" max="22" width="9.140625" style="20" customWidth="1"/>
    <col min="23" max="23" width="9.85546875" style="20" bestFit="1" customWidth="1"/>
    <col min="24" max="24" width="9.5703125" style="20" bestFit="1" customWidth="1"/>
    <col min="25" max="25" width="7.42578125" style="20" customWidth="1"/>
    <col min="26" max="26" width="6.85546875" style="20" customWidth="1"/>
    <col min="27" max="27" width="7.140625" style="20" customWidth="1"/>
    <col min="28" max="28" width="9.140625" style="20" customWidth="1"/>
    <col min="29" max="30" width="6.140625" style="20" customWidth="1"/>
    <col min="31" max="31" width="8.28515625" style="20" bestFit="1" customWidth="1"/>
    <col min="32" max="32" width="8.140625" style="20" bestFit="1" customWidth="1"/>
    <col min="33" max="33" width="7.5703125" style="20" customWidth="1"/>
    <col min="34" max="34" width="8.5703125" style="20" bestFit="1" customWidth="1"/>
    <col min="35" max="35" width="9.85546875" style="20" bestFit="1" customWidth="1"/>
    <col min="36" max="36" width="11.42578125" style="20" customWidth="1"/>
    <col min="37" max="37" width="15.85546875" style="20" bestFit="1" customWidth="1"/>
    <col min="38" max="38" width="9.140625" style="20"/>
    <col min="39" max="39" width="32.140625" style="20" customWidth="1"/>
    <col min="40" max="16384" width="9.140625" style="20"/>
  </cols>
  <sheetData>
    <row r="1" spans="1:37" s="205" customFormat="1" ht="15" x14ac:dyDescent="0.2">
      <c r="AF1" s="378" t="s">
        <v>153</v>
      </c>
      <c r="AG1" s="378"/>
      <c r="AH1" s="378"/>
      <c r="AI1" s="378"/>
      <c r="AJ1" s="378"/>
      <c r="AK1" s="378"/>
    </row>
    <row r="2" spans="1:37" s="205" customFormat="1" ht="15" x14ac:dyDescent="0.2">
      <c r="B2" s="378" t="s">
        <v>1</v>
      </c>
      <c r="C2" s="378"/>
      <c r="D2" s="378"/>
      <c r="E2" s="378"/>
      <c r="F2" s="378"/>
      <c r="G2" s="378"/>
      <c r="H2" s="277"/>
      <c r="I2" s="27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377"/>
      <c r="AG2" s="377"/>
      <c r="AH2" s="377"/>
      <c r="AI2" s="377"/>
      <c r="AJ2" s="377"/>
      <c r="AK2" s="377"/>
    </row>
    <row r="3" spans="1:37" s="205" customFormat="1" ht="15" x14ac:dyDescent="0.2">
      <c r="B3" s="378" t="s">
        <v>2</v>
      </c>
      <c r="C3" s="378"/>
      <c r="D3" s="378"/>
      <c r="E3" s="378"/>
      <c r="F3" s="378"/>
      <c r="G3" s="378"/>
      <c r="H3" s="277"/>
      <c r="I3" s="277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377" t="s">
        <v>3</v>
      </c>
      <c r="AD3" s="377"/>
      <c r="AE3" s="377"/>
      <c r="AF3" s="377"/>
      <c r="AG3" s="377"/>
      <c r="AH3" s="377"/>
      <c r="AI3" s="377"/>
      <c r="AJ3" s="377"/>
      <c r="AK3" s="377"/>
    </row>
    <row r="4" spans="1:37" s="205" customFormat="1" ht="15" x14ac:dyDescent="0.2">
      <c r="B4" s="378" t="s">
        <v>154</v>
      </c>
      <c r="C4" s="378"/>
      <c r="D4" s="378"/>
      <c r="E4" s="378"/>
      <c r="F4" s="378"/>
      <c r="G4" s="277"/>
      <c r="H4" s="277"/>
      <c r="I4" s="277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</row>
    <row r="5" spans="1:37" s="205" customFormat="1" ht="15" x14ac:dyDescent="0.2">
      <c r="B5" s="378" t="s">
        <v>6</v>
      </c>
      <c r="C5" s="378"/>
      <c r="D5" s="378"/>
      <c r="E5" s="378"/>
      <c r="F5" s="378"/>
      <c r="G5" s="378"/>
      <c r="H5" s="277"/>
      <c r="I5" s="27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77" t="s">
        <v>155</v>
      </c>
      <c r="AD5" s="377"/>
      <c r="AE5" s="377"/>
      <c r="AF5" s="377"/>
      <c r="AG5" s="377"/>
      <c r="AH5" s="377"/>
      <c r="AI5" s="377"/>
      <c r="AJ5" s="377"/>
      <c r="AK5" s="377"/>
    </row>
    <row r="6" spans="1:37" s="205" customFormat="1" ht="15" x14ac:dyDescent="0.2">
      <c r="B6" s="378" t="s">
        <v>7</v>
      </c>
      <c r="C6" s="378"/>
      <c r="D6" s="378"/>
      <c r="E6" s="378"/>
      <c r="F6" s="378"/>
      <c r="G6" s="378"/>
      <c r="H6" s="277"/>
      <c r="I6" s="277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377" t="s">
        <v>168</v>
      </c>
      <c r="AD6" s="377"/>
      <c r="AE6" s="377"/>
      <c r="AF6" s="377"/>
      <c r="AG6" s="377"/>
      <c r="AH6" s="377"/>
      <c r="AI6" s="377"/>
      <c r="AJ6" s="377"/>
      <c r="AK6" s="377"/>
    </row>
    <row r="7" spans="1:37" s="205" customFormat="1" ht="15" x14ac:dyDescent="0.2">
      <c r="B7" s="378" t="s">
        <v>9</v>
      </c>
      <c r="C7" s="378"/>
      <c r="D7" s="378"/>
      <c r="E7" s="378"/>
      <c r="F7" s="378"/>
      <c r="G7" s="378"/>
      <c r="H7" s="277"/>
      <c r="I7" s="277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377" t="s">
        <v>589</v>
      </c>
      <c r="AD7" s="377"/>
      <c r="AE7" s="377"/>
      <c r="AF7" s="377"/>
      <c r="AG7" s="377"/>
      <c r="AH7" s="377"/>
      <c r="AI7" s="377"/>
      <c r="AJ7" s="377"/>
      <c r="AK7" s="377"/>
    </row>
    <row r="8" spans="1:37" s="205" customFormat="1" ht="15" x14ac:dyDescent="0.2">
      <c r="B8" s="277"/>
      <c r="C8" s="277"/>
      <c r="D8" s="277"/>
      <c r="E8" s="277"/>
      <c r="F8" s="277"/>
      <c r="G8" s="277"/>
      <c r="H8" s="277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</row>
    <row r="9" spans="1:37" s="205" customFormat="1" ht="15.75" x14ac:dyDescent="0.2">
      <c r="B9" s="290" t="s">
        <v>10</v>
      </c>
      <c r="C9" s="277"/>
      <c r="D9" s="277"/>
      <c r="E9" s="277"/>
      <c r="F9" s="277"/>
      <c r="G9" s="277"/>
      <c r="H9" s="277"/>
      <c r="I9" s="403" t="s">
        <v>158</v>
      </c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3"/>
      <c r="AB9" s="278"/>
      <c r="AC9" s="278"/>
      <c r="AD9" s="278"/>
      <c r="AE9" s="278"/>
      <c r="AF9" s="278"/>
      <c r="AG9" s="278"/>
      <c r="AH9" s="278"/>
      <c r="AI9" s="278"/>
      <c r="AJ9" s="278"/>
      <c r="AK9" s="278"/>
    </row>
    <row r="10" spans="1:37" s="205" customFormat="1" ht="15.75" x14ac:dyDescent="0.2">
      <c r="B10" s="277"/>
      <c r="C10" s="277"/>
      <c r="D10" s="277"/>
      <c r="E10" s="277"/>
      <c r="F10" s="277"/>
      <c r="G10" s="277"/>
      <c r="H10" s="277"/>
      <c r="I10" s="277"/>
      <c r="J10" s="278"/>
      <c r="K10" s="403" t="str">
        <f>Бюджет!K10</f>
        <v>на 2025 - 2026 учебный год</v>
      </c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"/>
      <c r="Z10" s="4"/>
      <c r="AA10" s="4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</row>
    <row r="11" spans="1:37" s="205" customFormat="1" ht="15" x14ac:dyDescent="0.2">
      <c r="B11" s="277"/>
      <c r="C11" s="277"/>
      <c r="D11" s="277"/>
      <c r="E11" s="277"/>
      <c r="F11" s="277"/>
      <c r="G11" s="277"/>
      <c r="H11" s="277"/>
      <c r="I11" s="277"/>
      <c r="J11" s="278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291"/>
      <c r="Z11" s="291"/>
      <c r="AA11" s="291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</row>
    <row r="12" spans="1:37" x14ac:dyDescent="0.2">
      <c r="A12" s="394" t="s">
        <v>12</v>
      </c>
      <c r="B12" s="402" t="s">
        <v>13</v>
      </c>
      <c r="C12" s="387" t="s">
        <v>14</v>
      </c>
      <c r="D12" s="392" t="s">
        <v>15</v>
      </c>
      <c r="E12" s="387" t="s">
        <v>16</v>
      </c>
      <c r="F12" s="388" t="s">
        <v>17</v>
      </c>
      <c r="G12" s="388"/>
      <c r="H12" s="388" t="s">
        <v>18</v>
      </c>
      <c r="I12" s="388"/>
      <c r="J12" s="394" t="s">
        <v>19</v>
      </c>
      <c r="K12" s="394" t="s">
        <v>20</v>
      </c>
      <c r="L12" s="388" t="s">
        <v>21</v>
      </c>
      <c r="M12" s="388"/>
      <c r="N12" s="388"/>
      <c r="O12" s="388"/>
      <c r="P12" s="394" t="s">
        <v>22</v>
      </c>
      <c r="Q12" s="388" t="s">
        <v>23</v>
      </c>
      <c r="R12" s="388"/>
      <c r="S12" s="388" t="s">
        <v>24</v>
      </c>
      <c r="T12" s="388"/>
      <c r="U12" s="394" t="s">
        <v>25</v>
      </c>
      <c r="V12" s="394" t="s">
        <v>26</v>
      </c>
      <c r="W12" s="388" t="s">
        <v>27</v>
      </c>
      <c r="X12" s="388"/>
      <c r="Y12" s="394" t="s">
        <v>28</v>
      </c>
      <c r="Z12" s="394" t="s">
        <v>29</v>
      </c>
      <c r="AA12" s="394" t="s">
        <v>30</v>
      </c>
      <c r="AB12" s="394" t="s">
        <v>31</v>
      </c>
      <c r="AC12" s="388" t="s">
        <v>32</v>
      </c>
      <c r="AD12" s="388"/>
      <c r="AE12" s="388" t="s">
        <v>33</v>
      </c>
      <c r="AF12" s="388"/>
      <c r="AG12" s="388" t="s">
        <v>34</v>
      </c>
      <c r="AH12" s="388"/>
      <c r="AI12" s="394" t="s">
        <v>35</v>
      </c>
      <c r="AJ12" s="394" t="s">
        <v>36</v>
      </c>
      <c r="AK12" s="394" t="s">
        <v>156</v>
      </c>
    </row>
    <row r="13" spans="1:37" ht="122.25" x14ac:dyDescent="0.2">
      <c r="A13" s="394"/>
      <c r="B13" s="402"/>
      <c r="C13" s="387"/>
      <c r="D13" s="392"/>
      <c r="E13" s="387"/>
      <c r="F13" s="192" t="s">
        <v>38</v>
      </c>
      <c r="G13" s="193" t="s">
        <v>39</v>
      </c>
      <c r="H13" s="193" t="s">
        <v>38</v>
      </c>
      <c r="I13" s="193" t="s">
        <v>39</v>
      </c>
      <c r="J13" s="394"/>
      <c r="K13" s="394"/>
      <c r="L13" s="191" t="s">
        <v>40</v>
      </c>
      <c r="M13" s="191" t="s">
        <v>41</v>
      </c>
      <c r="N13" s="191" t="s">
        <v>42</v>
      </c>
      <c r="O13" s="191" t="s">
        <v>43</v>
      </c>
      <c r="P13" s="394"/>
      <c r="Q13" s="191" t="s">
        <v>44</v>
      </c>
      <c r="R13" s="191" t="s">
        <v>45</v>
      </c>
      <c r="S13" s="191" t="s">
        <v>46</v>
      </c>
      <c r="T13" s="191" t="s">
        <v>47</v>
      </c>
      <c r="U13" s="394"/>
      <c r="V13" s="394"/>
      <c r="W13" s="191" t="s">
        <v>33</v>
      </c>
      <c r="X13" s="191" t="s">
        <v>48</v>
      </c>
      <c r="Y13" s="394"/>
      <c r="Z13" s="394"/>
      <c r="AA13" s="394"/>
      <c r="AB13" s="394"/>
      <c r="AC13" s="191" t="s">
        <v>49</v>
      </c>
      <c r="AD13" s="191" t="s">
        <v>50</v>
      </c>
      <c r="AE13" s="191" t="s">
        <v>51</v>
      </c>
      <c r="AF13" s="191" t="s">
        <v>52</v>
      </c>
      <c r="AG13" s="191" t="s">
        <v>53</v>
      </c>
      <c r="AH13" s="191" t="s">
        <v>157</v>
      </c>
      <c r="AI13" s="394"/>
      <c r="AJ13" s="394"/>
      <c r="AK13" s="394"/>
    </row>
    <row r="14" spans="1:37" x14ac:dyDescent="0.2">
      <c r="A14" s="41">
        <v>1</v>
      </c>
      <c r="B14" s="41">
        <v>2</v>
      </c>
      <c r="C14" s="41">
        <v>3</v>
      </c>
      <c r="D14" s="41">
        <v>4</v>
      </c>
      <c r="E14" s="41">
        <v>5</v>
      </c>
      <c r="F14" s="41">
        <v>6</v>
      </c>
      <c r="G14" s="41">
        <v>7</v>
      </c>
      <c r="H14" s="41">
        <v>8</v>
      </c>
      <c r="I14" s="41">
        <v>9</v>
      </c>
      <c r="J14" s="41">
        <v>10</v>
      </c>
      <c r="K14" s="41">
        <v>11</v>
      </c>
      <c r="L14" s="41">
        <v>12</v>
      </c>
      <c r="M14" s="41">
        <v>13</v>
      </c>
      <c r="N14" s="41">
        <v>14</v>
      </c>
      <c r="O14" s="41">
        <v>15</v>
      </c>
      <c r="P14" s="41">
        <v>16</v>
      </c>
      <c r="Q14" s="41">
        <v>17</v>
      </c>
      <c r="R14" s="41">
        <v>18</v>
      </c>
      <c r="S14" s="41">
        <v>19</v>
      </c>
      <c r="T14" s="41">
        <v>20</v>
      </c>
      <c r="U14" s="41">
        <v>21</v>
      </c>
      <c r="V14" s="41">
        <v>22</v>
      </c>
      <c r="W14" s="41">
        <v>23</v>
      </c>
      <c r="X14" s="41">
        <v>24</v>
      </c>
      <c r="Y14" s="41">
        <v>25</v>
      </c>
      <c r="Z14" s="41">
        <v>26</v>
      </c>
      <c r="AA14" s="41">
        <v>27</v>
      </c>
      <c r="AB14" s="41">
        <v>28</v>
      </c>
      <c r="AC14" s="41">
        <v>29</v>
      </c>
      <c r="AD14" s="41">
        <v>30</v>
      </c>
      <c r="AE14" s="41">
        <v>31</v>
      </c>
      <c r="AF14" s="41">
        <v>32</v>
      </c>
      <c r="AG14" s="41">
        <v>33</v>
      </c>
      <c r="AH14" s="41">
        <v>34</v>
      </c>
      <c r="AI14" s="41">
        <v>35</v>
      </c>
      <c r="AJ14" s="41">
        <v>36</v>
      </c>
      <c r="AK14" s="41">
        <v>37</v>
      </c>
    </row>
    <row r="15" spans="1:37" s="207" customFormat="1" ht="15" x14ac:dyDescent="0.2">
      <c r="A15" s="194"/>
      <c r="B15" s="195" t="s">
        <v>55</v>
      </c>
      <c r="C15" s="195"/>
      <c r="D15" s="195"/>
      <c r="E15" s="195"/>
      <c r="F15" s="112">
        <f>F190</f>
        <v>2624</v>
      </c>
      <c r="G15" s="112">
        <f>G184</f>
        <v>1980</v>
      </c>
      <c r="H15" s="112">
        <f t="shared" ref="H15:AJ15" si="0">H184</f>
        <v>2348</v>
      </c>
      <c r="I15" s="112">
        <f t="shared" si="0"/>
        <v>2216</v>
      </c>
      <c r="J15" s="112">
        <f t="shared" si="0"/>
        <v>2112</v>
      </c>
      <c r="K15" s="112">
        <f t="shared" si="0"/>
        <v>225.30000000000007</v>
      </c>
      <c r="L15" s="112">
        <f t="shared" si="0"/>
        <v>0</v>
      </c>
      <c r="M15" s="112">
        <f t="shared" si="0"/>
        <v>242.80000000000004</v>
      </c>
      <c r="N15" s="112">
        <f t="shared" si="0"/>
        <v>0</v>
      </c>
      <c r="O15" s="112">
        <f t="shared" si="0"/>
        <v>0</v>
      </c>
      <c r="P15" s="112">
        <f t="shared" si="0"/>
        <v>0</v>
      </c>
      <c r="Q15" s="112">
        <f t="shared" si="0"/>
        <v>124</v>
      </c>
      <c r="R15" s="112">
        <f t="shared" si="0"/>
        <v>0</v>
      </c>
      <c r="S15" s="112">
        <f t="shared" si="0"/>
        <v>102</v>
      </c>
      <c r="T15" s="112">
        <f t="shared" si="0"/>
        <v>458</v>
      </c>
      <c r="U15" s="112">
        <f t="shared" si="0"/>
        <v>6.8999999999999995</v>
      </c>
      <c r="V15" s="112">
        <f t="shared" si="0"/>
        <v>24</v>
      </c>
      <c r="W15" s="112">
        <f t="shared" si="0"/>
        <v>654</v>
      </c>
      <c r="X15" s="112">
        <f t="shared" si="0"/>
        <v>45</v>
      </c>
      <c r="Y15" s="112">
        <f t="shared" si="0"/>
        <v>0</v>
      </c>
      <c r="Z15" s="112">
        <f t="shared" si="0"/>
        <v>0</v>
      </c>
      <c r="AA15" s="112">
        <f t="shared" si="0"/>
        <v>0</v>
      </c>
      <c r="AB15" s="112">
        <f t="shared" si="0"/>
        <v>172.5</v>
      </c>
      <c r="AC15" s="112">
        <f t="shared" si="0"/>
        <v>0</v>
      </c>
      <c r="AD15" s="112">
        <f t="shared" si="0"/>
        <v>0</v>
      </c>
      <c r="AE15" s="112">
        <f t="shared" si="0"/>
        <v>90</v>
      </c>
      <c r="AF15" s="112">
        <f t="shared" si="0"/>
        <v>0</v>
      </c>
      <c r="AG15" s="112">
        <f t="shared" si="0"/>
        <v>0</v>
      </c>
      <c r="AH15" s="112">
        <f t="shared" si="0"/>
        <v>0</v>
      </c>
      <c r="AI15" s="112">
        <f t="shared" si="0"/>
        <v>158</v>
      </c>
      <c r="AJ15" s="112">
        <f t="shared" si="0"/>
        <v>8610.5</v>
      </c>
      <c r="AK15" s="194"/>
    </row>
    <row r="16" spans="1:37" s="207" customFormat="1" ht="15" x14ac:dyDescent="0.2">
      <c r="A16" s="194"/>
      <c r="B16" s="195" t="s">
        <v>56</v>
      </c>
      <c r="C16" s="195"/>
      <c r="D16" s="195"/>
      <c r="E16" s="195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94"/>
    </row>
    <row r="17" spans="1:37" s="207" customFormat="1" ht="15" x14ac:dyDescent="0.2">
      <c r="A17" s="194"/>
      <c r="B17" s="195" t="s">
        <v>57</v>
      </c>
      <c r="C17" s="195"/>
      <c r="D17" s="195"/>
      <c r="E17" s="195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94"/>
    </row>
    <row r="18" spans="1:37" s="207" customFormat="1" ht="15" x14ac:dyDescent="0.2">
      <c r="A18" s="194"/>
      <c r="B18" s="195" t="s">
        <v>58</v>
      </c>
      <c r="C18" s="195"/>
      <c r="D18" s="195"/>
      <c r="E18" s="195"/>
      <c r="F18" s="112">
        <f>F188</f>
        <v>0</v>
      </c>
      <c r="G18" s="112">
        <f>G188</f>
        <v>0</v>
      </c>
      <c r="H18" s="112">
        <f t="shared" ref="H18:AJ18" si="1">H188</f>
        <v>0</v>
      </c>
      <c r="I18" s="112">
        <f t="shared" si="1"/>
        <v>0</v>
      </c>
      <c r="J18" s="112">
        <f t="shared" si="1"/>
        <v>0</v>
      </c>
      <c r="K18" s="112">
        <f t="shared" si="1"/>
        <v>0</v>
      </c>
      <c r="L18" s="112">
        <f t="shared" si="1"/>
        <v>0</v>
      </c>
      <c r="M18" s="112">
        <f t="shared" si="1"/>
        <v>0</v>
      </c>
      <c r="N18" s="112">
        <f t="shared" si="1"/>
        <v>0</v>
      </c>
      <c r="O18" s="112">
        <f t="shared" si="1"/>
        <v>0</v>
      </c>
      <c r="P18" s="112">
        <f t="shared" si="1"/>
        <v>0</v>
      </c>
      <c r="Q18" s="112">
        <f t="shared" si="1"/>
        <v>0</v>
      </c>
      <c r="R18" s="112">
        <f t="shared" si="1"/>
        <v>0</v>
      </c>
      <c r="S18" s="112">
        <f t="shared" si="1"/>
        <v>0</v>
      </c>
      <c r="T18" s="112">
        <f t="shared" si="1"/>
        <v>0</v>
      </c>
      <c r="U18" s="112">
        <f t="shared" si="1"/>
        <v>0</v>
      </c>
      <c r="V18" s="112">
        <f t="shared" si="1"/>
        <v>0</v>
      </c>
      <c r="W18" s="112">
        <f t="shared" si="1"/>
        <v>0</v>
      </c>
      <c r="X18" s="112">
        <f t="shared" si="1"/>
        <v>0</v>
      </c>
      <c r="Y18" s="112">
        <f t="shared" si="1"/>
        <v>0</v>
      </c>
      <c r="Z18" s="112">
        <f t="shared" si="1"/>
        <v>0</v>
      </c>
      <c r="AA18" s="112">
        <f t="shared" si="1"/>
        <v>0</v>
      </c>
      <c r="AB18" s="112">
        <f t="shared" si="1"/>
        <v>0</v>
      </c>
      <c r="AC18" s="112">
        <f t="shared" si="1"/>
        <v>0</v>
      </c>
      <c r="AD18" s="112">
        <f t="shared" si="1"/>
        <v>0</v>
      </c>
      <c r="AE18" s="112">
        <f t="shared" si="1"/>
        <v>0</v>
      </c>
      <c r="AF18" s="112">
        <f t="shared" si="1"/>
        <v>0</v>
      </c>
      <c r="AG18" s="112">
        <f t="shared" si="1"/>
        <v>0</v>
      </c>
      <c r="AH18" s="112">
        <f t="shared" si="1"/>
        <v>0</v>
      </c>
      <c r="AI18" s="112">
        <f t="shared" si="1"/>
        <v>0</v>
      </c>
      <c r="AJ18" s="112">
        <f t="shared" si="1"/>
        <v>0</v>
      </c>
      <c r="AK18" s="194"/>
    </row>
    <row r="19" spans="1:37" s="208" customFormat="1" ht="15.75" x14ac:dyDescent="0.2">
      <c r="A19" s="196"/>
      <c r="B19" s="196" t="s">
        <v>59</v>
      </c>
      <c r="C19" s="196"/>
      <c r="D19" s="196"/>
      <c r="E19" s="196"/>
      <c r="F19" s="113">
        <f t="shared" ref="F19:AI19" si="2">SUM(F15:F18)</f>
        <v>2624</v>
      </c>
      <c r="G19" s="113">
        <f t="shared" si="2"/>
        <v>1980</v>
      </c>
      <c r="H19" s="113">
        <f t="shared" si="2"/>
        <v>2348</v>
      </c>
      <c r="I19" s="113">
        <f t="shared" si="2"/>
        <v>2216</v>
      </c>
      <c r="J19" s="113">
        <f t="shared" si="2"/>
        <v>2112</v>
      </c>
      <c r="K19" s="113">
        <f t="shared" si="2"/>
        <v>225.30000000000007</v>
      </c>
      <c r="L19" s="113">
        <f t="shared" si="2"/>
        <v>0</v>
      </c>
      <c r="M19" s="113">
        <f t="shared" si="2"/>
        <v>242.80000000000004</v>
      </c>
      <c r="N19" s="113">
        <f t="shared" si="2"/>
        <v>0</v>
      </c>
      <c r="O19" s="113">
        <f t="shared" si="2"/>
        <v>0</v>
      </c>
      <c r="P19" s="113">
        <f t="shared" si="2"/>
        <v>0</v>
      </c>
      <c r="Q19" s="113">
        <f t="shared" si="2"/>
        <v>124</v>
      </c>
      <c r="R19" s="113">
        <f t="shared" si="2"/>
        <v>0</v>
      </c>
      <c r="S19" s="113">
        <f t="shared" si="2"/>
        <v>102</v>
      </c>
      <c r="T19" s="113">
        <f t="shared" si="2"/>
        <v>458</v>
      </c>
      <c r="U19" s="113">
        <f t="shared" si="2"/>
        <v>6.8999999999999995</v>
      </c>
      <c r="V19" s="113">
        <f t="shared" si="2"/>
        <v>24</v>
      </c>
      <c r="W19" s="113">
        <f t="shared" si="2"/>
        <v>654</v>
      </c>
      <c r="X19" s="113">
        <f t="shared" si="2"/>
        <v>45</v>
      </c>
      <c r="Y19" s="113">
        <f t="shared" si="2"/>
        <v>0</v>
      </c>
      <c r="Z19" s="113">
        <f t="shared" si="2"/>
        <v>0</v>
      </c>
      <c r="AA19" s="113">
        <f t="shared" si="2"/>
        <v>0</v>
      </c>
      <c r="AB19" s="113">
        <f t="shared" si="2"/>
        <v>172.5</v>
      </c>
      <c r="AC19" s="113">
        <f t="shared" si="2"/>
        <v>0</v>
      </c>
      <c r="AD19" s="113">
        <f t="shared" si="2"/>
        <v>0</v>
      </c>
      <c r="AE19" s="113">
        <f t="shared" si="2"/>
        <v>90</v>
      </c>
      <c r="AF19" s="113">
        <f t="shared" si="2"/>
        <v>0</v>
      </c>
      <c r="AG19" s="113">
        <f t="shared" si="2"/>
        <v>0</v>
      </c>
      <c r="AH19" s="113">
        <f t="shared" si="2"/>
        <v>0</v>
      </c>
      <c r="AI19" s="113">
        <f t="shared" si="2"/>
        <v>158</v>
      </c>
      <c r="AJ19" s="113">
        <f>SUM(AJ15:AJ18)</f>
        <v>8610.5</v>
      </c>
      <c r="AK19" s="196"/>
    </row>
    <row r="20" spans="1:37" s="208" customFormat="1" ht="15.75" x14ac:dyDescent="0.2">
      <c r="A20" s="196"/>
      <c r="B20" s="196"/>
      <c r="C20" s="196"/>
      <c r="D20" s="196"/>
      <c r="E20" s="196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96"/>
    </row>
    <row r="21" spans="1:37" s="109" customFormat="1" ht="15.75" x14ac:dyDescent="0.2">
      <c r="A21" s="74"/>
      <c r="B21" s="74"/>
      <c r="C21" s="74"/>
      <c r="D21" s="74"/>
      <c r="E21" s="74"/>
      <c r="F21" s="74"/>
      <c r="G21" s="74"/>
      <c r="H21" s="74"/>
      <c r="I21" s="74"/>
      <c r="J21" s="393" t="s">
        <v>55</v>
      </c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74"/>
      <c r="AE21" s="74"/>
      <c r="AF21" s="74"/>
      <c r="AG21" s="74"/>
      <c r="AH21" s="74"/>
      <c r="AI21" s="74"/>
      <c r="AJ21" s="74"/>
      <c r="AK21" s="74"/>
    </row>
    <row r="22" spans="1:37" s="109" customFormat="1" ht="15.75" x14ac:dyDescent="0.2">
      <c r="A22" s="74"/>
      <c r="B22" s="74"/>
      <c r="C22" s="74"/>
      <c r="D22" s="74"/>
      <c r="E22" s="74"/>
      <c r="F22" s="74"/>
      <c r="G22" s="74"/>
      <c r="H22" s="74"/>
      <c r="I22" s="74"/>
      <c r="J22" s="389" t="str">
        <f>Бюджет!L23</f>
        <v>03.03.03 Радиофизика</v>
      </c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89"/>
      <c r="W22" s="389"/>
      <c r="X22" s="389"/>
      <c r="Y22" s="389"/>
      <c r="Z22" s="389"/>
      <c r="AA22" s="389"/>
      <c r="AB22" s="389"/>
      <c r="AC22" s="389"/>
      <c r="AD22" s="74"/>
      <c r="AE22" s="74"/>
      <c r="AF22" s="74"/>
      <c r="AG22" s="74"/>
      <c r="AH22" s="74"/>
      <c r="AI22" s="74"/>
      <c r="AJ22" s="74"/>
      <c r="AK22" s="74"/>
    </row>
    <row r="23" spans="1:37" s="109" customFormat="1" ht="15.75" x14ac:dyDescent="0.2">
      <c r="A23" s="74"/>
      <c r="B23" s="74"/>
      <c r="C23" s="74"/>
      <c r="D23" s="74"/>
      <c r="E23" s="74"/>
      <c r="F23" s="74"/>
      <c r="G23" s="74"/>
      <c r="H23" s="74"/>
      <c r="I23" s="74"/>
      <c r="J23" s="390" t="str">
        <f>Бюджет!K24</f>
        <v xml:space="preserve">профиль "Радиоинжиниринг и телекоммуникации" </v>
      </c>
      <c r="K23" s="390"/>
      <c r="L23" s="390"/>
      <c r="M23" s="390"/>
      <c r="N23" s="390"/>
      <c r="O23" s="390"/>
      <c r="P23" s="390"/>
      <c r="Q23" s="390"/>
      <c r="R23" s="390"/>
      <c r="S23" s="390"/>
      <c r="T23" s="390"/>
      <c r="U23" s="390"/>
      <c r="V23" s="390"/>
      <c r="W23" s="390"/>
      <c r="X23" s="390"/>
      <c r="Y23" s="390"/>
      <c r="Z23" s="390"/>
      <c r="AA23" s="390"/>
      <c r="AB23" s="390"/>
      <c r="AC23" s="390"/>
      <c r="AD23" s="74"/>
      <c r="AE23" s="74"/>
      <c r="AF23" s="74"/>
      <c r="AG23" s="74"/>
      <c r="AH23" s="74"/>
      <c r="AI23" s="74"/>
      <c r="AJ23" s="66">
        <f t="shared" ref="AJ23:AJ31" si="3">SUM(G23,I23:AI23)</f>
        <v>0</v>
      </c>
      <c r="AK23" s="74"/>
    </row>
    <row r="24" spans="1:37" s="109" customFormat="1" ht="15" x14ac:dyDescent="0.2">
      <c r="A24" s="90" t="str">
        <f>Бюджет!A26</f>
        <v>Б1.О.12.01</v>
      </c>
      <c r="B24" s="60" t="str">
        <f>Бюджет!B26</f>
        <v>Механика (поток РФ, ФИЗ)</v>
      </c>
      <c r="C24" s="74" t="str">
        <f>Бюджет!C26</f>
        <v>1\1</v>
      </c>
      <c r="D24" s="74">
        <f>Бюджет!D26</f>
        <v>21</v>
      </c>
      <c r="E24" s="74">
        <f>Бюджет!E26</f>
        <v>1</v>
      </c>
      <c r="F24" s="70">
        <f>Бюджет!F26</f>
        <v>30</v>
      </c>
      <c r="G24" s="70">
        <f>Бюджет!G26</f>
        <v>30</v>
      </c>
      <c r="H24" s="70"/>
      <c r="I24" s="70"/>
      <c r="J24" s="70">
        <f>Бюджет!J26</f>
        <v>60</v>
      </c>
      <c r="K24" s="70">
        <f>Бюджет!K26</f>
        <v>6.3</v>
      </c>
      <c r="L24" s="70">
        <f>Бюджет!L26</f>
        <v>0</v>
      </c>
      <c r="M24" s="70">
        <f>Бюджет!M26</f>
        <v>0</v>
      </c>
      <c r="N24" s="70">
        <f>Бюджет!N26</f>
        <v>0</v>
      </c>
      <c r="O24" s="70">
        <f>Бюджет!O26</f>
        <v>0</v>
      </c>
      <c r="P24" s="70">
        <f>Бюджет!P26</f>
        <v>0</v>
      </c>
      <c r="Q24" s="70">
        <f>Бюджет!Q26</f>
        <v>1.5</v>
      </c>
      <c r="R24" s="70">
        <f>Бюджет!R26</f>
        <v>0</v>
      </c>
      <c r="S24" s="70">
        <f>Бюджет!S26</f>
        <v>0</v>
      </c>
      <c r="T24" s="70">
        <f>Бюджет!T26</f>
        <v>0</v>
      </c>
      <c r="U24" s="70">
        <f>Бюджет!U26</f>
        <v>0</v>
      </c>
      <c r="V24" s="70">
        <f>Бюджет!V26</f>
        <v>0</v>
      </c>
      <c r="W24" s="70">
        <f>Бюджет!W26</f>
        <v>0</v>
      </c>
      <c r="X24" s="70">
        <f>Бюджет!X26</f>
        <v>0</v>
      </c>
      <c r="Y24" s="70">
        <f>Бюджет!Y26</f>
        <v>0</v>
      </c>
      <c r="Z24" s="70">
        <f>Бюджет!Z26</f>
        <v>0</v>
      </c>
      <c r="AA24" s="70">
        <f>Бюджет!AA26</f>
        <v>0</v>
      </c>
      <c r="AB24" s="70">
        <f>Бюджет!AB26</f>
        <v>0</v>
      </c>
      <c r="AC24" s="70">
        <f>Бюджет!AC26</f>
        <v>0</v>
      </c>
      <c r="AD24" s="70">
        <f>Бюджет!AD26</f>
        <v>0</v>
      </c>
      <c r="AE24" s="70">
        <f>Бюджет!AE26</f>
        <v>0</v>
      </c>
      <c r="AF24" s="70">
        <f>Бюджет!AF26</f>
        <v>0</v>
      </c>
      <c r="AG24" s="70">
        <f>Бюджет!AG26</f>
        <v>0</v>
      </c>
      <c r="AH24" s="70">
        <f>Бюджет!AH26</f>
        <v>0</v>
      </c>
      <c r="AI24" s="70">
        <f>Бюджет!AI26</f>
        <v>22</v>
      </c>
      <c r="AJ24" s="66">
        <f t="shared" si="3"/>
        <v>119.8</v>
      </c>
      <c r="AK24" s="74"/>
    </row>
    <row r="25" spans="1:37" s="109" customFormat="1" ht="15" x14ac:dyDescent="0.2">
      <c r="A25" s="90" t="str">
        <f>Бюджет!A27</f>
        <v>Б1.О.12.02</v>
      </c>
      <c r="B25" s="60" t="str">
        <f>Бюджет!B27</f>
        <v>Молекулярная физика (поток РФ, ФИЗ)</v>
      </c>
      <c r="C25" s="74" t="str">
        <f>Бюджет!C27</f>
        <v>1\2</v>
      </c>
      <c r="D25" s="74">
        <f>Бюджет!D27</f>
        <v>21</v>
      </c>
      <c r="E25" s="74">
        <f>Бюджет!E27</f>
        <v>1</v>
      </c>
      <c r="F25" s="70">
        <f>Бюджет!F27</f>
        <v>40</v>
      </c>
      <c r="G25" s="70">
        <f>Бюджет!G27</f>
        <v>40</v>
      </c>
      <c r="H25" s="70">
        <f>Бюджет!H27</f>
        <v>40</v>
      </c>
      <c r="I25" s="70">
        <f>Бюджет!I27</f>
        <v>40</v>
      </c>
      <c r="J25" s="70">
        <f>Бюджет!J27</f>
        <v>80</v>
      </c>
      <c r="K25" s="70">
        <f>Бюджет!K27</f>
        <v>0</v>
      </c>
      <c r="L25" s="70">
        <f>Бюджет!L27</f>
        <v>0</v>
      </c>
      <c r="M25" s="70">
        <f>Бюджет!M27</f>
        <v>8.4</v>
      </c>
      <c r="N25" s="70">
        <f>Бюджет!N27</f>
        <v>0</v>
      </c>
      <c r="O25" s="70">
        <f>Бюджет!O27</f>
        <v>0</v>
      </c>
      <c r="P25" s="70">
        <f>Бюджет!P27</f>
        <v>0</v>
      </c>
      <c r="Q25" s="70">
        <f>Бюджет!Q27</f>
        <v>3</v>
      </c>
      <c r="R25" s="70">
        <f>Бюджет!R27</f>
        <v>0</v>
      </c>
      <c r="S25" s="70">
        <f>Бюджет!S27</f>
        <v>0</v>
      </c>
      <c r="T25" s="70">
        <f>Бюджет!T27</f>
        <v>0</v>
      </c>
      <c r="U25" s="70">
        <f>Бюджет!U27</f>
        <v>0</v>
      </c>
      <c r="V25" s="70">
        <f>Бюджет!V27</f>
        <v>0</v>
      </c>
      <c r="W25" s="70">
        <f>Бюджет!W27</f>
        <v>0</v>
      </c>
      <c r="X25" s="70">
        <f>Бюджет!X27</f>
        <v>0</v>
      </c>
      <c r="Y25" s="70">
        <f>Бюджет!Y27</f>
        <v>0</v>
      </c>
      <c r="Z25" s="70">
        <f>Бюджет!Z27</f>
        <v>0</v>
      </c>
      <c r="AA25" s="70">
        <f>Бюджет!AA27</f>
        <v>0</v>
      </c>
      <c r="AB25" s="70">
        <f>Бюджет!AB27</f>
        <v>0</v>
      </c>
      <c r="AC25" s="70">
        <f>Бюджет!AC27</f>
        <v>0</v>
      </c>
      <c r="AD25" s="70">
        <f>Бюджет!AD27</f>
        <v>0</v>
      </c>
      <c r="AE25" s="70">
        <f>Бюджет!AE27</f>
        <v>0</v>
      </c>
      <c r="AF25" s="70">
        <f>Бюджет!AF27</f>
        <v>0</v>
      </c>
      <c r="AG25" s="70">
        <f>Бюджет!AG27</f>
        <v>0</v>
      </c>
      <c r="AH25" s="70">
        <f>Бюджет!AH27</f>
        <v>0</v>
      </c>
      <c r="AI25" s="70">
        <f>Бюджет!AI27</f>
        <v>0</v>
      </c>
      <c r="AJ25" s="66">
        <f t="shared" si="3"/>
        <v>171.4</v>
      </c>
      <c r="AK25" s="74"/>
    </row>
    <row r="26" spans="1:37" s="109" customFormat="1" ht="15.75" x14ac:dyDescent="0.2">
      <c r="A26" s="74"/>
      <c r="B26" s="74"/>
      <c r="C26" s="74"/>
      <c r="D26" s="74"/>
      <c r="E26" s="74"/>
      <c r="F26" s="74"/>
      <c r="G26" s="74"/>
      <c r="H26" s="74"/>
      <c r="I26" s="74"/>
      <c r="J26" s="390" t="str">
        <f>Бюджет!K35</f>
        <v>профиль "Радиофизика в области связи, информационных и телекоммуникационных технологий"</v>
      </c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390"/>
      <c r="X26" s="390"/>
      <c r="Y26" s="390"/>
      <c r="Z26" s="390"/>
      <c r="AA26" s="390"/>
      <c r="AB26" s="390"/>
      <c r="AC26" s="390"/>
      <c r="AD26" s="74"/>
      <c r="AE26" s="74"/>
      <c r="AF26" s="74"/>
      <c r="AG26" s="74"/>
      <c r="AH26" s="74"/>
      <c r="AI26" s="74"/>
      <c r="AJ26" s="74"/>
      <c r="AK26" s="74"/>
    </row>
    <row r="27" spans="1:37" s="109" customFormat="1" ht="15.75" x14ac:dyDescent="0.2">
      <c r="A27" s="74"/>
      <c r="B27" s="74"/>
      <c r="C27" s="74"/>
      <c r="D27" s="74"/>
      <c r="E27" s="74"/>
      <c r="F27" s="74"/>
      <c r="G27" s="74"/>
      <c r="H27" s="74"/>
      <c r="I27" s="74"/>
      <c r="J27" s="390" t="str">
        <f>Бюджет!K36</f>
        <v xml:space="preserve">профиль "Радиофизика: радиоэлектронные устройства, обработка сигналов и автоматизация" </v>
      </c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390"/>
      <c r="AA27" s="390"/>
      <c r="AB27" s="390"/>
      <c r="AC27" s="390"/>
      <c r="AD27" s="74"/>
      <c r="AE27" s="74"/>
      <c r="AF27" s="74"/>
      <c r="AG27" s="74"/>
      <c r="AH27" s="74"/>
      <c r="AI27" s="74"/>
      <c r="AJ27" s="66">
        <f t="shared" ref="AJ27" si="4">SUM(G27,I27:AI27)</f>
        <v>0</v>
      </c>
      <c r="AK27" s="74"/>
    </row>
    <row r="28" spans="1:37" s="109" customFormat="1" ht="30" x14ac:dyDescent="0.2">
      <c r="A28" s="90" t="str">
        <f>Бюджет!A37</f>
        <v>Б1.О.12.03</v>
      </c>
      <c r="B28" s="60" t="str">
        <f>Бюджет!B37</f>
        <v>Электричество и магнетизм (поток РФ, ФИЗ лекц+пз)</v>
      </c>
      <c r="C28" s="74" t="str">
        <f>Бюджет!C37</f>
        <v>2\3</v>
      </c>
      <c r="D28" s="74">
        <f>Бюджет!D37</f>
        <v>12</v>
      </c>
      <c r="E28" s="74">
        <f>Бюджет!E37</f>
        <v>1</v>
      </c>
      <c r="F28" s="70">
        <f>Бюджет!F37</f>
        <v>32</v>
      </c>
      <c r="G28" s="70">
        <f>Бюджет!G37</f>
        <v>32</v>
      </c>
      <c r="H28" s="70">
        <f>Бюджет!H37</f>
        <v>32</v>
      </c>
      <c r="I28" s="70">
        <f>Бюджет!I37</f>
        <v>32</v>
      </c>
      <c r="J28" s="70">
        <f>Бюджет!J37</f>
        <v>32</v>
      </c>
      <c r="K28" s="70">
        <f>Бюджет!K37</f>
        <v>0</v>
      </c>
      <c r="L28" s="70">
        <f>Бюджет!L37</f>
        <v>0</v>
      </c>
      <c r="M28" s="70">
        <f>Бюджет!M37</f>
        <v>4.8000000000000007</v>
      </c>
      <c r="N28" s="70">
        <f>Бюджет!N37</f>
        <v>0</v>
      </c>
      <c r="O28" s="70">
        <f>Бюджет!O37</f>
        <v>0</v>
      </c>
      <c r="P28" s="70">
        <f>Бюджет!P37</f>
        <v>0</v>
      </c>
      <c r="Q28" s="70">
        <f>Бюджет!Q37</f>
        <v>2.6</v>
      </c>
      <c r="R28" s="70">
        <f>Бюджет!R37</f>
        <v>0</v>
      </c>
      <c r="S28" s="70">
        <f>Бюджет!S37</f>
        <v>0</v>
      </c>
      <c r="T28" s="70">
        <f>Бюджет!T37</f>
        <v>0</v>
      </c>
      <c r="U28" s="70">
        <f>Бюджет!U37</f>
        <v>0</v>
      </c>
      <c r="V28" s="70">
        <f>Бюджет!V37</f>
        <v>0</v>
      </c>
      <c r="W28" s="70">
        <f>Бюджет!W37</f>
        <v>0</v>
      </c>
      <c r="X28" s="70">
        <f>Бюджет!X37</f>
        <v>0</v>
      </c>
      <c r="Y28" s="70">
        <f>Бюджет!Y37</f>
        <v>0</v>
      </c>
      <c r="Z28" s="70">
        <f>Бюджет!Z37</f>
        <v>0</v>
      </c>
      <c r="AA28" s="70">
        <f>Бюджет!AA37</f>
        <v>0</v>
      </c>
      <c r="AB28" s="70">
        <f>Бюджет!AB37</f>
        <v>0</v>
      </c>
      <c r="AC28" s="70">
        <f>Бюджет!AC37</f>
        <v>0</v>
      </c>
      <c r="AD28" s="70">
        <f>Бюджет!AD37</f>
        <v>0</v>
      </c>
      <c r="AE28" s="70">
        <f>Бюджет!AE37</f>
        <v>0</v>
      </c>
      <c r="AF28" s="70">
        <f>Бюджет!AF37</f>
        <v>0</v>
      </c>
      <c r="AG28" s="70">
        <f>Бюджет!AG37</f>
        <v>0</v>
      </c>
      <c r="AH28" s="70">
        <f>Бюджет!AH37</f>
        <v>0</v>
      </c>
      <c r="AI28" s="70">
        <f>Бюджет!AI37</f>
        <v>0</v>
      </c>
      <c r="AJ28" s="66">
        <f t="shared" si="3"/>
        <v>103.39999999999999</v>
      </c>
      <c r="AK28" s="74"/>
    </row>
    <row r="29" spans="1:37" s="109" customFormat="1" ht="30" x14ac:dyDescent="0.2">
      <c r="A29" s="90" t="str">
        <f>Бюджет!A38</f>
        <v>Б1.О.12.04</v>
      </c>
      <c r="B29" s="60" t="str">
        <f>Бюджет!B38</f>
        <v>Колебания и волны. Оптика (поток РФ, ФИЗ лекц+пз)</v>
      </c>
      <c r="C29" s="74" t="str">
        <f>Бюджет!C38</f>
        <v>2\4</v>
      </c>
      <c r="D29" s="74">
        <f>Бюджет!D38</f>
        <v>12</v>
      </c>
      <c r="E29" s="74">
        <f>Бюджет!E38</f>
        <v>1</v>
      </c>
      <c r="F29" s="70">
        <f>Бюджет!F38</f>
        <v>40</v>
      </c>
      <c r="G29" s="70">
        <f>Бюджет!G38</f>
        <v>40</v>
      </c>
      <c r="H29" s="70">
        <f>Бюджет!H38</f>
        <v>60</v>
      </c>
      <c r="I29" s="70">
        <f>Бюджет!I38</f>
        <v>60</v>
      </c>
      <c r="J29" s="70">
        <f>Бюджет!J38</f>
        <v>40</v>
      </c>
      <c r="K29" s="70">
        <f>Бюджет!K38</f>
        <v>3.5999999999999996</v>
      </c>
      <c r="L29" s="70">
        <f>Бюджет!L38</f>
        <v>0</v>
      </c>
      <c r="M29" s="70">
        <f>Бюджет!M38</f>
        <v>0</v>
      </c>
      <c r="N29" s="70">
        <f>Бюджет!N38</f>
        <v>0</v>
      </c>
      <c r="O29" s="70">
        <f>Бюджет!O38</f>
        <v>0</v>
      </c>
      <c r="P29" s="70">
        <f>Бюджет!P38</f>
        <v>0</v>
      </c>
      <c r="Q29" s="70">
        <f>Бюджет!Q38</f>
        <v>2</v>
      </c>
      <c r="R29" s="70">
        <f>Бюджет!R38</f>
        <v>0</v>
      </c>
      <c r="S29" s="70">
        <f>Бюджет!S38</f>
        <v>0</v>
      </c>
      <c r="T29" s="70">
        <f>Бюджет!T38</f>
        <v>0</v>
      </c>
      <c r="U29" s="70">
        <f>Бюджет!U38</f>
        <v>0</v>
      </c>
      <c r="V29" s="70">
        <f>Бюджет!V38</f>
        <v>0</v>
      </c>
      <c r="W29" s="70">
        <f>Бюджет!W38</f>
        <v>0</v>
      </c>
      <c r="X29" s="70">
        <f>Бюджет!X38</f>
        <v>0</v>
      </c>
      <c r="Y29" s="70">
        <f>Бюджет!Y38</f>
        <v>0</v>
      </c>
      <c r="Z29" s="70">
        <f>Бюджет!Z38</f>
        <v>0</v>
      </c>
      <c r="AA29" s="70">
        <f>Бюджет!AA38</f>
        <v>0</v>
      </c>
      <c r="AB29" s="70">
        <f>Бюджет!AB38</f>
        <v>0</v>
      </c>
      <c r="AC29" s="70">
        <f>Бюджет!AC38</f>
        <v>0</v>
      </c>
      <c r="AD29" s="70">
        <f>Бюджет!AD38</f>
        <v>0</v>
      </c>
      <c r="AE29" s="70">
        <f>Бюджет!AE38</f>
        <v>0</v>
      </c>
      <c r="AF29" s="70">
        <f>Бюджет!AF38</f>
        <v>0</v>
      </c>
      <c r="AG29" s="70">
        <f>Бюджет!AG38</f>
        <v>0</v>
      </c>
      <c r="AH29" s="70">
        <f>Бюджет!AH38</f>
        <v>0</v>
      </c>
      <c r="AI29" s="70">
        <f>Бюджет!AI38</f>
        <v>2</v>
      </c>
      <c r="AJ29" s="66">
        <f t="shared" si="3"/>
        <v>147.6</v>
      </c>
      <c r="AK29" s="74"/>
    </row>
    <row r="30" spans="1:37" s="109" customFormat="1" ht="15" x14ac:dyDescent="0.2">
      <c r="A30" s="90" t="str">
        <f>Бюджет!A51</f>
        <v>Б1.О.12.02</v>
      </c>
      <c r="B30" s="60" t="str">
        <f>Бюджет!B51</f>
        <v>Молекулярная физика (поток РФ, ФИЗ)</v>
      </c>
      <c r="C30" s="74" t="str">
        <f>Бюджет!C51</f>
        <v>3\5</v>
      </c>
      <c r="D30" s="74">
        <f>Бюджет!D51</f>
        <v>15</v>
      </c>
      <c r="E30" s="74">
        <f>Бюджет!E51</f>
        <v>1</v>
      </c>
      <c r="F30" s="70">
        <f>Бюджет!F51</f>
        <v>34</v>
      </c>
      <c r="G30" s="70">
        <f>Бюджет!G51</f>
        <v>34</v>
      </c>
      <c r="H30" s="70">
        <f>Бюджет!H51</f>
        <v>34</v>
      </c>
      <c r="I30" s="70">
        <f>Бюджет!I51</f>
        <v>34</v>
      </c>
      <c r="J30" s="70">
        <f>Бюджет!J51</f>
        <v>34</v>
      </c>
      <c r="K30" s="70">
        <f>Бюджет!K51</f>
        <v>0</v>
      </c>
      <c r="L30" s="70">
        <f>Бюджет!L51</f>
        <v>0</v>
      </c>
      <c r="M30" s="70">
        <f>Бюджет!M51</f>
        <v>6</v>
      </c>
      <c r="N30" s="70">
        <f>Бюджет!N51</f>
        <v>0</v>
      </c>
      <c r="O30" s="70">
        <f>Бюджет!O51</f>
        <v>0</v>
      </c>
      <c r="P30" s="70">
        <f>Бюджет!P51</f>
        <v>0</v>
      </c>
      <c r="Q30" s="70">
        <f>Бюджет!Q51</f>
        <v>2.7</v>
      </c>
      <c r="R30" s="70">
        <f>Бюджет!R51</f>
        <v>0</v>
      </c>
      <c r="S30" s="70">
        <f>Бюджет!S51</f>
        <v>0</v>
      </c>
      <c r="T30" s="70">
        <f>Бюджет!T51</f>
        <v>0</v>
      </c>
      <c r="U30" s="70">
        <f>Бюджет!U51</f>
        <v>0</v>
      </c>
      <c r="V30" s="70">
        <f>Бюджет!V51</f>
        <v>0</v>
      </c>
      <c r="W30" s="70">
        <f>Бюджет!W51</f>
        <v>0</v>
      </c>
      <c r="X30" s="70">
        <f>Бюджет!X51</f>
        <v>0</v>
      </c>
      <c r="Y30" s="70">
        <f>Бюджет!Y51</f>
        <v>0</v>
      </c>
      <c r="Z30" s="70">
        <f>Бюджет!Z51</f>
        <v>0</v>
      </c>
      <c r="AA30" s="70">
        <f>Бюджет!AA51</f>
        <v>0</v>
      </c>
      <c r="AB30" s="70">
        <f>Бюджет!AB51</f>
        <v>0</v>
      </c>
      <c r="AC30" s="70">
        <f>Бюджет!AC51</f>
        <v>0</v>
      </c>
      <c r="AD30" s="70">
        <f>Бюджет!AD51</f>
        <v>0</v>
      </c>
      <c r="AE30" s="70">
        <f>Бюджет!AE51</f>
        <v>0</v>
      </c>
      <c r="AF30" s="70">
        <f>Бюджет!AF51</f>
        <v>0</v>
      </c>
      <c r="AG30" s="70">
        <f>Бюджет!AG51</f>
        <v>0</v>
      </c>
      <c r="AH30" s="70">
        <f>Бюджет!AH51</f>
        <v>0</v>
      </c>
      <c r="AI30" s="70">
        <f>Бюджет!AI51</f>
        <v>0</v>
      </c>
      <c r="AJ30" s="66">
        <f t="shared" si="3"/>
        <v>110.7</v>
      </c>
      <c r="AK30" s="74"/>
    </row>
    <row r="31" spans="1:37" s="109" customFormat="1" ht="30" x14ac:dyDescent="0.2">
      <c r="A31" s="90" t="str">
        <f>Бюджет!A52</f>
        <v>Б1.О.12.05</v>
      </c>
      <c r="B31" s="60" t="str">
        <f>Бюджет!B52</f>
        <v>Атомная и ядерная физика (поток РФ, ФИЗ)</v>
      </c>
      <c r="C31" s="74" t="str">
        <f>Бюджет!C52</f>
        <v>3\6</v>
      </c>
      <c r="D31" s="74">
        <f>Бюджет!D52</f>
        <v>15</v>
      </c>
      <c r="E31" s="74">
        <f>Бюджет!E52</f>
        <v>1</v>
      </c>
      <c r="F31" s="70">
        <f>Бюджет!F52</f>
        <v>36</v>
      </c>
      <c r="G31" s="70">
        <f>Бюджет!G52</f>
        <v>36</v>
      </c>
      <c r="H31" s="70">
        <f>Бюджет!H52</f>
        <v>36</v>
      </c>
      <c r="I31" s="70">
        <f>Бюджет!I52</f>
        <v>36</v>
      </c>
      <c r="J31" s="70">
        <f>Бюджет!J52</f>
        <v>36</v>
      </c>
      <c r="K31" s="70">
        <f>Бюджет!K52</f>
        <v>4.5</v>
      </c>
      <c r="L31" s="70">
        <f>Бюджет!L52</f>
        <v>0</v>
      </c>
      <c r="M31" s="70">
        <f>Бюджет!M52</f>
        <v>0</v>
      </c>
      <c r="N31" s="70">
        <f>Бюджет!N52</f>
        <v>0</v>
      </c>
      <c r="O31" s="70">
        <f>Бюджет!O52</f>
        <v>0</v>
      </c>
      <c r="P31" s="70">
        <f>Бюджет!P52</f>
        <v>0</v>
      </c>
      <c r="Q31" s="70">
        <f>Бюджет!Q52</f>
        <v>1.8</v>
      </c>
      <c r="R31" s="70">
        <f>Бюджет!R52</f>
        <v>0</v>
      </c>
      <c r="S31" s="70">
        <f>Бюджет!S52</f>
        <v>0</v>
      </c>
      <c r="T31" s="70">
        <f>Бюджет!T52</f>
        <v>0</v>
      </c>
      <c r="U31" s="70">
        <f>Бюджет!U52</f>
        <v>0</v>
      </c>
      <c r="V31" s="70">
        <f>Бюджет!V52</f>
        <v>0</v>
      </c>
      <c r="W31" s="70">
        <f>Бюджет!W52</f>
        <v>0</v>
      </c>
      <c r="X31" s="70">
        <f>Бюджет!X52</f>
        <v>0</v>
      </c>
      <c r="Y31" s="70">
        <f>Бюджет!Y52</f>
        <v>0</v>
      </c>
      <c r="Z31" s="70">
        <f>Бюджет!Z52</f>
        <v>0</v>
      </c>
      <c r="AA31" s="70">
        <f>Бюджет!AA52</f>
        <v>0</v>
      </c>
      <c r="AB31" s="70">
        <f>Бюджет!AB52</f>
        <v>0</v>
      </c>
      <c r="AC31" s="70">
        <f>Бюджет!AC52</f>
        <v>0</v>
      </c>
      <c r="AD31" s="70">
        <f>Бюджет!AD52</f>
        <v>0</v>
      </c>
      <c r="AE31" s="70">
        <f>Бюджет!AE52</f>
        <v>0</v>
      </c>
      <c r="AF31" s="70">
        <f>Бюджет!AF52</f>
        <v>0</v>
      </c>
      <c r="AG31" s="70">
        <f>Бюджет!AG52</f>
        <v>0</v>
      </c>
      <c r="AH31" s="70">
        <f>Бюджет!AH52</f>
        <v>0</v>
      </c>
      <c r="AI31" s="70">
        <f>Бюджет!AI52</f>
        <v>0</v>
      </c>
      <c r="AJ31" s="66">
        <f t="shared" si="3"/>
        <v>114.3</v>
      </c>
      <c r="AK31" s="74"/>
    </row>
    <row r="32" spans="1:37" s="109" customFormat="1" ht="15.75" x14ac:dyDescent="0.2">
      <c r="A32" s="74"/>
      <c r="B32" s="94" t="s">
        <v>228</v>
      </c>
      <c r="C32" s="91"/>
      <c r="D32" s="91"/>
      <c r="E32" s="91"/>
      <c r="F32" s="88">
        <f>SUM(F24:F31)</f>
        <v>212</v>
      </c>
      <c r="G32" s="88">
        <f t="shared" ref="G32:AJ32" si="5">SUM(G24:G31)</f>
        <v>212</v>
      </c>
      <c r="H32" s="88">
        <f t="shared" si="5"/>
        <v>202</v>
      </c>
      <c r="I32" s="88">
        <f t="shared" si="5"/>
        <v>202</v>
      </c>
      <c r="J32" s="88">
        <f t="shared" si="5"/>
        <v>282</v>
      </c>
      <c r="K32" s="88">
        <f t="shared" si="5"/>
        <v>14.399999999999999</v>
      </c>
      <c r="L32" s="88">
        <f t="shared" si="5"/>
        <v>0</v>
      </c>
      <c r="M32" s="88">
        <f t="shared" si="5"/>
        <v>19.200000000000003</v>
      </c>
      <c r="N32" s="88">
        <f t="shared" si="5"/>
        <v>0</v>
      </c>
      <c r="O32" s="88">
        <f t="shared" si="5"/>
        <v>0</v>
      </c>
      <c r="P32" s="88">
        <f t="shared" si="5"/>
        <v>0</v>
      </c>
      <c r="Q32" s="88">
        <f t="shared" si="5"/>
        <v>13.600000000000001</v>
      </c>
      <c r="R32" s="88">
        <f t="shared" si="5"/>
        <v>0</v>
      </c>
      <c r="S32" s="88">
        <f t="shared" si="5"/>
        <v>0</v>
      </c>
      <c r="T32" s="88">
        <f t="shared" si="5"/>
        <v>0</v>
      </c>
      <c r="U32" s="88">
        <f t="shared" si="5"/>
        <v>0</v>
      </c>
      <c r="V32" s="88">
        <f t="shared" si="5"/>
        <v>0</v>
      </c>
      <c r="W32" s="88">
        <f t="shared" si="5"/>
        <v>0</v>
      </c>
      <c r="X32" s="88">
        <f t="shared" si="5"/>
        <v>0</v>
      </c>
      <c r="Y32" s="88">
        <f t="shared" si="5"/>
        <v>0</v>
      </c>
      <c r="Z32" s="88">
        <f t="shared" si="5"/>
        <v>0</v>
      </c>
      <c r="AA32" s="88">
        <f t="shared" si="5"/>
        <v>0</v>
      </c>
      <c r="AB32" s="88">
        <f t="shared" si="5"/>
        <v>0</v>
      </c>
      <c r="AC32" s="88">
        <f t="shared" si="5"/>
        <v>0</v>
      </c>
      <c r="AD32" s="88">
        <f t="shared" si="5"/>
        <v>0</v>
      </c>
      <c r="AE32" s="88">
        <f t="shared" si="5"/>
        <v>0</v>
      </c>
      <c r="AF32" s="88">
        <f t="shared" si="5"/>
        <v>0</v>
      </c>
      <c r="AG32" s="88">
        <f t="shared" si="5"/>
        <v>0</v>
      </c>
      <c r="AH32" s="88">
        <f t="shared" si="5"/>
        <v>0</v>
      </c>
      <c r="AI32" s="88">
        <f t="shared" si="5"/>
        <v>24</v>
      </c>
      <c r="AJ32" s="88">
        <f t="shared" si="5"/>
        <v>767.19999999999993</v>
      </c>
      <c r="AK32" s="74"/>
    </row>
    <row r="33" spans="1:37" s="109" customFormat="1" ht="15.75" x14ac:dyDescent="0.2">
      <c r="A33" s="74"/>
      <c r="B33" s="120"/>
      <c r="C33" s="275"/>
      <c r="D33" s="275"/>
      <c r="E33" s="275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4"/>
    </row>
    <row r="34" spans="1:37" s="109" customFormat="1" ht="15.75" x14ac:dyDescent="0.2">
      <c r="A34" s="74"/>
      <c r="B34" s="90"/>
      <c r="C34" s="74"/>
      <c r="D34" s="74"/>
      <c r="E34" s="74"/>
      <c r="F34" s="70"/>
      <c r="G34" s="70"/>
      <c r="H34" s="70"/>
      <c r="I34" s="70"/>
      <c r="J34" s="389" t="str">
        <f>Бюджет!L90</f>
        <v>03.03.02 Физика</v>
      </c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389"/>
      <c r="W34" s="389"/>
      <c r="X34" s="389"/>
      <c r="Y34" s="389"/>
      <c r="Z34" s="389"/>
      <c r="AA34" s="389"/>
      <c r="AB34" s="389"/>
      <c r="AC34" s="389"/>
      <c r="AD34" s="70"/>
      <c r="AE34" s="70"/>
      <c r="AF34" s="70"/>
      <c r="AG34" s="70"/>
      <c r="AH34" s="70"/>
      <c r="AI34" s="70"/>
      <c r="AJ34" s="66">
        <f t="shared" ref="AJ34:AJ66" si="6">SUM(G34,I34:AI34)</f>
        <v>0</v>
      </c>
      <c r="AK34" s="74"/>
    </row>
    <row r="35" spans="1:37" s="109" customFormat="1" ht="15.75" x14ac:dyDescent="0.2">
      <c r="A35" s="74"/>
      <c r="B35" s="90"/>
      <c r="C35" s="74"/>
      <c r="D35" s="74"/>
      <c r="E35" s="74"/>
      <c r="F35" s="70"/>
      <c r="G35" s="70"/>
      <c r="H35" s="70"/>
      <c r="I35" s="70"/>
      <c r="J35" s="390" t="str">
        <f>Бюджет!K91</f>
        <v>профиль "Фундаментальная физика и физика Космоса"</v>
      </c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  <c r="X35" s="390"/>
      <c r="Y35" s="390"/>
      <c r="Z35" s="390"/>
      <c r="AA35" s="390"/>
      <c r="AB35" s="390"/>
      <c r="AC35" s="390"/>
      <c r="AD35" s="70"/>
      <c r="AE35" s="70"/>
      <c r="AF35" s="70"/>
      <c r="AG35" s="70"/>
      <c r="AH35" s="70"/>
      <c r="AI35" s="70"/>
      <c r="AJ35" s="66">
        <f t="shared" si="6"/>
        <v>0</v>
      </c>
      <c r="AK35" s="74"/>
    </row>
    <row r="36" spans="1:37" s="109" customFormat="1" ht="15.75" x14ac:dyDescent="0.2">
      <c r="A36" s="74"/>
      <c r="B36" s="90"/>
      <c r="C36" s="74"/>
      <c r="D36" s="74"/>
      <c r="E36" s="74"/>
      <c r="F36" s="70"/>
      <c r="G36" s="70"/>
      <c r="H36" s="70"/>
      <c r="I36" s="70"/>
      <c r="J36" s="390" t="str">
        <f>Бюджет!K92</f>
        <v>профиль "Экспериментальная физика"</v>
      </c>
      <c r="K36" s="390"/>
      <c r="L36" s="390"/>
      <c r="M36" s="390"/>
      <c r="N36" s="390"/>
      <c r="O36" s="390"/>
      <c r="P36" s="390"/>
      <c r="Q36" s="390"/>
      <c r="R36" s="390"/>
      <c r="S36" s="390"/>
      <c r="T36" s="390"/>
      <c r="U36" s="390"/>
      <c r="V36" s="390"/>
      <c r="W36" s="390"/>
      <c r="X36" s="390"/>
      <c r="Y36" s="390"/>
      <c r="Z36" s="390"/>
      <c r="AA36" s="390"/>
      <c r="AB36" s="390"/>
      <c r="AC36" s="390"/>
      <c r="AD36" s="70"/>
      <c r="AE36" s="70"/>
      <c r="AF36" s="70"/>
      <c r="AG36" s="70"/>
      <c r="AH36" s="70"/>
      <c r="AI36" s="70"/>
      <c r="AJ36" s="66">
        <f t="shared" si="6"/>
        <v>0</v>
      </c>
      <c r="AK36" s="74"/>
    </row>
    <row r="37" spans="1:37" s="109" customFormat="1" ht="15" x14ac:dyDescent="0.2">
      <c r="A37" s="60" t="str">
        <f>Бюджет!A95</f>
        <v>Б1.О.12.01</v>
      </c>
      <c r="B37" s="60" t="str">
        <f>Бюджет!B95</f>
        <v>Механика (поток РФ, ФИЗ)</v>
      </c>
      <c r="C37" s="67" t="str">
        <f>Бюджет!C95</f>
        <v>1\1</v>
      </c>
      <c r="D37" s="67">
        <f>Бюджет!D95</f>
        <v>23</v>
      </c>
      <c r="E37" s="67">
        <f>Бюджет!E95</f>
        <v>1</v>
      </c>
      <c r="F37" s="66">
        <f>Бюджет!F95</f>
        <v>30</v>
      </c>
      <c r="G37" s="66">
        <f>Бюджет!G95</f>
        <v>0</v>
      </c>
      <c r="H37" s="66">
        <f>Бюджет!H95</f>
        <v>44</v>
      </c>
      <c r="I37" s="66">
        <f>Бюджет!I95</f>
        <v>44</v>
      </c>
      <c r="J37" s="66">
        <f>Бюджет!J95</f>
        <v>60</v>
      </c>
      <c r="K37" s="66">
        <f>Бюджет!K95</f>
        <v>0</v>
      </c>
      <c r="L37" s="66">
        <f>Бюджет!L95</f>
        <v>0</v>
      </c>
      <c r="M37" s="66">
        <f>Бюджет!M95</f>
        <v>9.2000000000000011</v>
      </c>
      <c r="N37" s="66">
        <f>Бюджет!N95</f>
        <v>0</v>
      </c>
      <c r="O37" s="66">
        <f>Бюджет!O95</f>
        <v>0</v>
      </c>
      <c r="P37" s="66">
        <f>Бюджет!P95</f>
        <v>0</v>
      </c>
      <c r="Q37" s="66">
        <f>Бюджет!Q95</f>
        <v>0</v>
      </c>
      <c r="R37" s="66">
        <f>Бюджет!R95</f>
        <v>0</v>
      </c>
      <c r="S37" s="66">
        <f>Бюджет!S95</f>
        <v>0</v>
      </c>
      <c r="T37" s="66">
        <f>Бюджет!T95</f>
        <v>0</v>
      </c>
      <c r="U37" s="66">
        <f>Бюджет!U95</f>
        <v>0</v>
      </c>
      <c r="V37" s="66">
        <f>Бюджет!V95</f>
        <v>0</v>
      </c>
      <c r="W37" s="66">
        <f>Бюджет!W95</f>
        <v>0</v>
      </c>
      <c r="X37" s="66">
        <f>Бюджет!X95</f>
        <v>0</v>
      </c>
      <c r="Y37" s="66">
        <f>Бюджет!Y95</f>
        <v>0</v>
      </c>
      <c r="Z37" s="66">
        <f>Бюджет!Z95</f>
        <v>0</v>
      </c>
      <c r="AA37" s="66">
        <f>Бюджет!AA95</f>
        <v>0</v>
      </c>
      <c r="AB37" s="66">
        <f>Бюджет!AB95</f>
        <v>0</v>
      </c>
      <c r="AC37" s="66">
        <f>Бюджет!AC95</f>
        <v>0</v>
      </c>
      <c r="AD37" s="66">
        <f>Бюджет!AD95</f>
        <v>0</v>
      </c>
      <c r="AE37" s="66">
        <f>Бюджет!AE95</f>
        <v>0</v>
      </c>
      <c r="AF37" s="66">
        <f>Бюджет!AF95</f>
        <v>0</v>
      </c>
      <c r="AG37" s="66">
        <f>Бюджет!AG95</f>
        <v>0</v>
      </c>
      <c r="AH37" s="66">
        <f>Бюджет!AH95</f>
        <v>0</v>
      </c>
      <c r="AI37" s="66">
        <f>Бюджет!AI95</f>
        <v>4</v>
      </c>
      <c r="AJ37" s="66">
        <f t="shared" si="6"/>
        <v>117.2</v>
      </c>
      <c r="AK37" s="74"/>
    </row>
    <row r="38" spans="1:37" s="109" customFormat="1" ht="15" x14ac:dyDescent="0.2">
      <c r="A38" s="60" t="str">
        <f>Бюджет!A96</f>
        <v>Б1.О.12.04</v>
      </c>
      <c r="B38" s="60" t="str">
        <f>Бюджет!B96</f>
        <v>Молекулярная физика (поток РФ, ФИЗ)</v>
      </c>
      <c r="C38" s="67" t="str">
        <f>Бюджет!C96</f>
        <v>1\2</v>
      </c>
      <c r="D38" s="67">
        <f>Бюджет!D96</f>
        <v>23</v>
      </c>
      <c r="E38" s="67">
        <f>Бюджет!E96</f>
        <v>1</v>
      </c>
      <c r="F38" s="66">
        <f>Бюджет!F96</f>
        <v>40</v>
      </c>
      <c r="G38" s="66">
        <f>Бюджет!G96</f>
        <v>0</v>
      </c>
      <c r="H38" s="66">
        <f>Бюджет!H96</f>
        <v>40</v>
      </c>
      <c r="I38" s="66">
        <f>Бюджет!I96</f>
        <v>40</v>
      </c>
      <c r="J38" s="66">
        <f>Бюджет!J96</f>
        <v>80</v>
      </c>
      <c r="K38" s="66">
        <f>Бюджет!K96</f>
        <v>0</v>
      </c>
      <c r="L38" s="66">
        <f>Бюджет!L96</f>
        <v>0</v>
      </c>
      <c r="M38" s="66">
        <f>Бюджет!M96</f>
        <v>9.2000000000000011</v>
      </c>
      <c r="N38" s="66">
        <f>Бюджет!N96</f>
        <v>0</v>
      </c>
      <c r="O38" s="66">
        <f>Бюджет!O96</f>
        <v>0</v>
      </c>
      <c r="P38" s="66">
        <f>Бюджет!P96</f>
        <v>0</v>
      </c>
      <c r="Q38" s="66">
        <f>Бюджет!Q96</f>
        <v>0</v>
      </c>
      <c r="R38" s="66">
        <f>Бюджет!R96</f>
        <v>0</v>
      </c>
      <c r="S38" s="66">
        <f>Бюджет!S96</f>
        <v>0</v>
      </c>
      <c r="T38" s="66">
        <f>Бюджет!T96</f>
        <v>0</v>
      </c>
      <c r="U38" s="66">
        <f>Бюджет!U96</f>
        <v>0</v>
      </c>
      <c r="V38" s="66">
        <f>Бюджет!V96</f>
        <v>0</v>
      </c>
      <c r="W38" s="66">
        <f>Бюджет!W96</f>
        <v>0</v>
      </c>
      <c r="X38" s="66">
        <f>Бюджет!X96</f>
        <v>0</v>
      </c>
      <c r="Y38" s="66">
        <f>Бюджет!Y96</f>
        <v>0</v>
      </c>
      <c r="Z38" s="66">
        <f>Бюджет!Z96</f>
        <v>0</v>
      </c>
      <c r="AA38" s="66">
        <f>Бюджет!AA96</f>
        <v>0</v>
      </c>
      <c r="AB38" s="66">
        <f>Бюджет!AB96</f>
        <v>0</v>
      </c>
      <c r="AC38" s="66">
        <f>Бюджет!AC96</f>
        <v>0</v>
      </c>
      <c r="AD38" s="66">
        <f>Бюджет!AD96</f>
        <v>0</v>
      </c>
      <c r="AE38" s="66">
        <f>Бюджет!AE96</f>
        <v>0</v>
      </c>
      <c r="AF38" s="66">
        <f>Бюджет!AF96</f>
        <v>0</v>
      </c>
      <c r="AG38" s="66">
        <f>Бюджет!AG96</f>
        <v>0</v>
      </c>
      <c r="AH38" s="66">
        <f>Бюджет!AH96</f>
        <v>0</v>
      </c>
      <c r="AI38" s="66">
        <f>Бюджет!AI96</f>
        <v>0</v>
      </c>
      <c r="AJ38" s="66">
        <f t="shared" si="6"/>
        <v>129.19999999999999</v>
      </c>
      <c r="AK38" s="74"/>
    </row>
    <row r="39" spans="1:37" s="109" customFormat="1" ht="15.75" x14ac:dyDescent="0.2">
      <c r="A39" s="74"/>
      <c r="B39" s="90"/>
      <c r="C39" s="74"/>
      <c r="D39" s="74"/>
      <c r="E39" s="74"/>
      <c r="F39" s="70"/>
      <c r="G39" s="70"/>
      <c r="H39" s="70"/>
      <c r="I39" s="70"/>
      <c r="J39" s="390" t="str">
        <f>Бюджет!K103</f>
        <v>профиль "Солнечно-земная физика"</v>
      </c>
      <c r="K39" s="390"/>
      <c r="L39" s="390"/>
      <c r="M39" s="390"/>
      <c r="N39" s="390"/>
      <c r="O39" s="390"/>
      <c r="P39" s="390"/>
      <c r="Q39" s="390"/>
      <c r="R39" s="390"/>
      <c r="S39" s="390"/>
      <c r="T39" s="390"/>
      <c r="U39" s="390"/>
      <c r="V39" s="390"/>
      <c r="W39" s="390"/>
      <c r="X39" s="390"/>
      <c r="Y39" s="390"/>
      <c r="Z39" s="390"/>
      <c r="AA39" s="390"/>
      <c r="AB39" s="390"/>
      <c r="AC39" s="390"/>
      <c r="AD39" s="70"/>
      <c r="AE39" s="70"/>
      <c r="AF39" s="70"/>
      <c r="AG39" s="70"/>
      <c r="AH39" s="70"/>
      <c r="AI39" s="70"/>
      <c r="AJ39" s="66">
        <f t="shared" ref="AJ39:AJ40" si="7">SUM(G39,I39:AI39)</f>
        <v>0</v>
      </c>
      <c r="AK39" s="74"/>
    </row>
    <row r="40" spans="1:37" s="109" customFormat="1" ht="15.75" x14ac:dyDescent="0.2">
      <c r="A40" s="74"/>
      <c r="B40" s="90"/>
      <c r="C40" s="74"/>
      <c r="D40" s="74"/>
      <c r="E40" s="74"/>
      <c r="F40" s="70"/>
      <c r="G40" s="70"/>
      <c r="H40" s="70"/>
      <c r="I40" s="70"/>
      <c r="J40" s="390" t="str">
        <f>Бюджет!K104</f>
        <v>профиль "Физика материалов твердотельной электроники и фотоники"</v>
      </c>
      <c r="K40" s="390"/>
      <c r="L40" s="390"/>
      <c r="M40" s="390"/>
      <c r="N40" s="390"/>
      <c r="O40" s="390"/>
      <c r="P40" s="390"/>
      <c r="Q40" s="390"/>
      <c r="R40" s="390"/>
      <c r="S40" s="390"/>
      <c r="T40" s="390"/>
      <c r="U40" s="390"/>
      <c r="V40" s="390"/>
      <c r="W40" s="390"/>
      <c r="X40" s="390"/>
      <c r="Y40" s="390"/>
      <c r="Z40" s="390"/>
      <c r="AA40" s="390"/>
      <c r="AB40" s="390"/>
      <c r="AC40" s="390"/>
      <c r="AD40" s="70"/>
      <c r="AE40" s="70"/>
      <c r="AF40" s="70"/>
      <c r="AG40" s="70"/>
      <c r="AH40" s="70"/>
      <c r="AI40" s="70"/>
      <c r="AJ40" s="66">
        <f t="shared" si="7"/>
        <v>0</v>
      </c>
      <c r="AK40" s="74"/>
    </row>
    <row r="41" spans="1:37" s="109" customFormat="1" ht="15.75" x14ac:dyDescent="0.2">
      <c r="A41" s="74"/>
      <c r="B41" s="90"/>
      <c r="C41" s="74"/>
      <c r="D41" s="74"/>
      <c r="E41" s="74"/>
      <c r="F41" s="70"/>
      <c r="G41" s="70"/>
      <c r="H41" s="70"/>
      <c r="I41" s="70"/>
      <c r="J41" s="390" t="str">
        <f>Бюджет!K105</f>
        <v>профиль "Фундаментальная физика"</v>
      </c>
      <c r="K41" s="390"/>
      <c r="L41" s="390"/>
      <c r="M41" s="390"/>
      <c r="N41" s="390"/>
      <c r="O41" s="390"/>
      <c r="P41" s="390"/>
      <c r="Q41" s="390"/>
      <c r="R41" s="390"/>
      <c r="S41" s="390"/>
      <c r="T41" s="390"/>
      <c r="U41" s="390"/>
      <c r="V41" s="390"/>
      <c r="W41" s="390"/>
      <c r="X41" s="390"/>
      <c r="Y41" s="390"/>
      <c r="Z41" s="390"/>
      <c r="AA41" s="390"/>
      <c r="AB41" s="390"/>
      <c r="AC41" s="390"/>
      <c r="AD41" s="70"/>
      <c r="AE41" s="70"/>
      <c r="AF41" s="70"/>
      <c r="AG41" s="70"/>
      <c r="AH41" s="70"/>
      <c r="AI41" s="70"/>
      <c r="AJ41" s="66">
        <f t="shared" ref="AJ41" si="8">SUM(G41,I41:AI41)</f>
        <v>0</v>
      </c>
      <c r="AK41" s="74"/>
    </row>
    <row r="42" spans="1:37" s="109" customFormat="1" ht="30" x14ac:dyDescent="0.2">
      <c r="A42" s="60" t="str">
        <f>Бюджет!A106</f>
        <v>Б1.О.12.02</v>
      </c>
      <c r="B42" s="60" t="str">
        <f>Бюджет!B106</f>
        <v>Электричество и магнетизм (поток РФ, ФИЗ лекц+пз)</v>
      </c>
      <c r="C42" s="67" t="str">
        <f>Бюджет!C106</f>
        <v>2\3</v>
      </c>
      <c r="D42" s="67">
        <f>Бюджет!D106</f>
        <v>18</v>
      </c>
      <c r="E42" s="67">
        <f>Бюджет!E106</f>
        <v>1</v>
      </c>
      <c r="F42" s="66">
        <f>Бюджет!F106</f>
        <v>32</v>
      </c>
      <c r="G42" s="66">
        <f>Бюджет!G106</f>
        <v>0</v>
      </c>
      <c r="H42" s="66">
        <f>Бюджет!H106</f>
        <v>32</v>
      </c>
      <c r="I42" s="66">
        <f>Бюджет!I106</f>
        <v>0</v>
      </c>
      <c r="J42" s="66"/>
      <c r="K42" s="66">
        <f>Бюджет!K106</f>
        <v>0</v>
      </c>
      <c r="L42" s="66">
        <f>Бюджет!L106</f>
        <v>0</v>
      </c>
      <c r="M42" s="66">
        <f>Бюджет!M106</f>
        <v>7.2</v>
      </c>
      <c r="N42" s="66">
        <f>Бюджет!N106</f>
        <v>0</v>
      </c>
      <c r="O42" s="66">
        <f>Бюджет!O106</f>
        <v>0</v>
      </c>
      <c r="P42" s="66">
        <f>Бюджет!P106</f>
        <v>0</v>
      </c>
      <c r="Q42" s="66">
        <f>Бюджет!Q106</f>
        <v>0</v>
      </c>
      <c r="R42" s="66">
        <f>Бюджет!R106</f>
        <v>0</v>
      </c>
      <c r="S42" s="66">
        <f>Бюджет!S106</f>
        <v>0</v>
      </c>
      <c r="T42" s="66">
        <f>Бюджет!T106</f>
        <v>0</v>
      </c>
      <c r="U42" s="66">
        <f>Бюджет!U106</f>
        <v>0</v>
      </c>
      <c r="V42" s="66">
        <f>Бюджет!V106</f>
        <v>0</v>
      </c>
      <c r="W42" s="66">
        <f>Бюджет!W106</f>
        <v>0</v>
      </c>
      <c r="X42" s="66">
        <f>Бюджет!X106</f>
        <v>0</v>
      </c>
      <c r="Y42" s="66">
        <f>Бюджет!Y106</f>
        <v>0</v>
      </c>
      <c r="Z42" s="66">
        <f>Бюджет!Z106</f>
        <v>0</v>
      </c>
      <c r="AA42" s="66">
        <f>Бюджет!AA106</f>
        <v>0</v>
      </c>
      <c r="AB42" s="66">
        <f>Бюджет!AB106</f>
        <v>0</v>
      </c>
      <c r="AC42" s="66">
        <f>Бюджет!AC106</f>
        <v>0</v>
      </c>
      <c r="AD42" s="66">
        <f>Бюджет!AD106</f>
        <v>0</v>
      </c>
      <c r="AE42" s="66">
        <f>Бюджет!AE106</f>
        <v>0</v>
      </c>
      <c r="AF42" s="66">
        <f>Бюджет!AF106</f>
        <v>0</v>
      </c>
      <c r="AG42" s="66">
        <f>Бюджет!AG106</f>
        <v>0</v>
      </c>
      <c r="AH42" s="66">
        <f>Бюджет!AH106</f>
        <v>0</v>
      </c>
      <c r="AI42" s="66">
        <f>Бюджет!AI106</f>
        <v>6</v>
      </c>
      <c r="AJ42" s="66">
        <f t="shared" si="6"/>
        <v>13.2</v>
      </c>
      <c r="AK42" s="74"/>
    </row>
    <row r="43" spans="1:37" s="109" customFormat="1" ht="30" x14ac:dyDescent="0.2">
      <c r="A43" s="60" t="str">
        <f>Бюджет!A107</f>
        <v>Б1.О.12.03</v>
      </c>
      <c r="B43" s="60" t="str">
        <f>Бюджет!B107</f>
        <v>Колебания и волны. Оптика (поток РФ, ФИЗ лекц+пз)</v>
      </c>
      <c r="C43" s="67" t="str">
        <f>Бюджет!C107</f>
        <v>2\4</v>
      </c>
      <c r="D43" s="67">
        <f>Бюджет!D107</f>
        <v>18</v>
      </c>
      <c r="E43" s="67">
        <f>Бюджет!E107</f>
        <v>1</v>
      </c>
      <c r="F43" s="66">
        <f>Бюджет!F107</f>
        <v>40</v>
      </c>
      <c r="G43" s="66">
        <f>Бюджет!G107</f>
        <v>0</v>
      </c>
      <c r="H43" s="66">
        <f>Бюджет!H107</f>
        <v>60</v>
      </c>
      <c r="I43" s="66">
        <f>Бюджет!I107</f>
        <v>0</v>
      </c>
      <c r="J43" s="66">
        <f>Бюджет!J107</f>
        <v>80</v>
      </c>
      <c r="K43" s="66">
        <f>Бюджет!K107</f>
        <v>0</v>
      </c>
      <c r="L43" s="66">
        <f>Бюджет!L107</f>
        <v>0</v>
      </c>
      <c r="M43" s="66">
        <f>Бюджет!M107</f>
        <v>7.2</v>
      </c>
      <c r="N43" s="66">
        <f>Бюджет!N107</f>
        <v>0</v>
      </c>
      <c r="O43" s="66">
        <f>Бюджет!O107</f>
        <v>0</v>
      </c>
      <c r="P43" s="66">
        <f>Бюджет!P107</f>
        <v>0</v>
      </c>
      <c r="Q43" s="66">
        <f>Бюджет!Q107</f>
        <v>0</v>
      </c>
      <c r="R43" s="66">
        <f>Бюджет!R107</f>
        <v>0</v>
      </c>
      <c r="S43" s="66">
        <f>Бюджет!S107</f>
        <v>0</v>
      </c>
      <c r="T43" s="66">
        <f>Бюджет!T107</f>
        <v>0</v>
      </c>
      <c r="U43" s="66">
        <f>Бюджет!U107</f>
        <v>0</v>
      </c>
      <c r="V43" s="66">
        <f>Бюджет!V107</f>
        <v>0</v>
      </c>
      <c r="W43" s="66">
        <f>Бюджет!W107</f>
        <v>0</v>
      </c>
      <c r="X43" s="66">
        <f>Бюджет!X107</f>
        <v>0</v>
      </c>
      <c r="Y43" s="66">
        <f>Бюджет!Y107</f>
        <v>0</v>
      </c>
      <c r="Z43" s="66">
        <f>Бюджет!Z107</f>
        <v>0</v>
      </c>
      <c r="AA43" s="66">
        <f>Бюджет!AA107</f>
        <v>0</v>
      </c>
      <c r="AB43" s="66">
        <f>Бюджет!AB107</f>
        <v>0</v>
      </c>
      <c r="AC43" s="66">
        <f>Бюджет!AC107</f>
        <v>0</v>
      </c>
      <c r="AD43" s="66">
        <f>Бюджет!AD107</f>
        <v>0</v>
      </c>
      <c r="AE43" s="66">
        <f>Бюджет!AE107</f>
        <v>0</v>
      </c>
      <c r="AF43" s="66">
        <f>Бюджет!AF107</f>
        <v>0</v>
      </c>
      <c r="AG43" s="66">
        <f>Бюджет!AG107</f>
        <v>0</v>
      </c>
      <c r="AH43" s="66">
        <f>Бюджет!AH107</f>
        <v>0</v>
      </c>
      <c r="AI43" s="66">
        <f>Бюджет!AI107</f>
        <v>2</v>
      </c>
      <c r="AJ43" s="66">
        <f t="shared" si="6"/>
        <v>89.2</v>
      </c>
      <c r="AK43" s="74"/>
    </row>
    <row r="44" spans="1:37" s="109" customFormat="1" ht="15.75" x14ac:dyDescent="0.2">
      <c r="A44" s="74"/>
      <c r="B44" s="90"/>
      <c r="C44" s="74"/>
      <c r="D44" s="74"/>
      <c r="E44" s="74"/>
      <c r="F44" s="70"/>
      <c r="G44" s="70"/>
      <c r="H44" s="70"/>
      <c r="I44" s="70"/>
      <c r="J44" s="390" t="str">
        <f>Бюджет!K117</f>
        <v>профиль "Солнечно-земная физика"</v>
      </c>
      <c r="K44" s="390"/>
      <c r="L44" s="390"/>
      <c r="M44" s="390"/>
      <c r="N44" s="390"/>
      <c r="O44" s="390"/>
      <c r="P44" s="390"/>
      <c r="Q44" s="390"/>
      <c r="R44" s="390"/>
      <c r="S44" s="390"/>
      <c r="T44" s="390"/>
      <c r="U44" s="390"/>
      <c r="V44" s="390"/>
      <c r="W44" s="390"/>
      <c r="X44" s="390"/>
      <c r="Y44" s="390"/>
      <c r="Z44" s="390"/>
      <c r="AA44" s="390"/>
      <c r="AB44" s="390"/>
      <c r="AC44" s="390"/>
      <c r="AD44" s="70"/>
      <c r="AE44" s="70"/>
      <c r="AF44" s="70"/>
      <c r="AG44" s="70"/>
      <c r="AH44" s="70"/>
      <c r="AI44" s="70"/>
      <c r="AJ44" s="66">
        <f t="shared" si="6"/>
        <v>0</v>
      </c>
      <c r="AK44" s="74"/>
    </row>
    <row r="45" spans="1:37" s="109" customFormat="1" ht="15.75" x14ac:dyDescent="0.2">
      <c r="A45" s="74"/>
      <c r="B45" s="90"/>
      <c r="C45" s="74"/>
      <c r="D45" s="74"/>
      <c r="E45" s="74"/>
      <c r="F45" s="70"/>
      <c r="G45" s="70"/>
      <c r="H45" s="70"/>
      <c r="I45" s="70"/>
      <c r="J45" s="390" t="str">
        <f>Бюджет!K118</f>
        <v>профиль "Физика конденсированного состояния"</v>
      </c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70"/>
      <c r="AE45" s="70"/>
      <c r="AF45" s="70"/>
      <c r="AG45" s="70"/>
      <c r="AH45" s="70"/>
      <c r="AI45" s="70"/>
      <c r="AJ45" s="66">
        <f t="shared" si="6"/>
        <v>0</v>
      </c>
      <c r="AK45" s="74"/>
    </row>
    <row r="46" spans="1:37" s="109" customFormat="1" ht="15.75" x14ac:dyDescent="0.2">
      <c r="A46" s="74"/>
      <c r="B46" s="90"/>
      <c r="C46" s="74"/>
      <c r="D46" s="74"/>
      <c r="E46" s="74"/>
      <c r="F46" s="70"/>
      <c r="G46" s="70"/>
      <c r="H46" s="70"/>
      <c r="I46" s="70"/>
      <c r="J46" s="390" t="str">
        <f>Бюджет!K119</f>
        <v>профиль "Фундаментальная физика"</v>
      </c>
      <c r="K46" s="390"/>
      <c r="L46" s="390"/>
      <c r="M46" s="390"/>
      <c r="N46" s="390"/>
      <c r="O46" s="390"/>
      <c r="P46" s="390"/>
      <c r="Q46" s="390"/>
      <c r="R46" s="390"/>
      <c r="S46" s="390"/>
      <c r="T46" s="390"/>
      <c r="U46" s="390"/>
      <c r="V46" s="390"/>
      <c r="W46" s="390"/>
      <c r="X46" s="390"/>
      <c r="Y46" s="390"/>
      <c r="Z46" s="390"/>
      <c r="AA46" s="390"/>
      <c r="AB46" s="390"/>
      <c r="AC46" s="390"/>
      <c r="AD46" s="70"/>
      <c r="AE46" s="70"/>
      <c r="AF46" s="70"/>
      <c r="AG46" s="70"/>
      <c r="AH46" s="70"/>
      <c r="AI46" s="70"/>
      <c r="AJ46" s="66">
        <f t="shared" si="6"/>
        <v>0</v>
      </c>
      <c r="AK46" s="74"/>
    </row>
    <row r="47" spans="1:37" s="109" customFormat="1" ht="15" x14ac:dyDescent="0.2">
      <c r="A47" s="60" t="str">
        <f>Бюджет!A120</f>
        <v>Б1.О.12.04</v>
      </c>
      <c r="B47" s="60" t="str">
        <f>Бюджет!B120</f>
        <v>Молекулярная физика (поток РФ, ФИЗ)</v>
      </c>
      <c r="C47" s="67" t="str">
        <f>Бюджет!C120</f>
        <v>3\5</v>
      </c>
      <c r="D47" s="67">
        <f>Бюджет!D120</f>
        <v>17</v>
      </c>
      <c r="E47" s="67">
        <f>Бюджет!E120</f>
        <v>1</v>
      </c>
      <c r="F47" s="66">
        <f>Бюджет!F120</f>
        <v>34</v>
      </c>
      <c r="G47" s="66">
        <f>Бюджет!G120</f>
        <v>0</v>
      </c>
      <c r="H47" s="66">
        <f>Бюджет!H120</f>
        <v>50</v>
      </c>
      <c r="I47" s="66">
        <f>Бюджет!I120</f>
        <v>50</v>
      </c>
      <c r="J47" s="66">
        <f>Бюджет!J120</f>
        <v>100</v>
      </c>
      <c r="K47" s="66">
        <f>Бюджет!K120</f>
        <v>0</v>
      </c>
      <c r="L47" s="66">
        <f>Бюджет!L120</f>
        <v>0</v>
      </c>
      <c r="M47" s="66">
        <f>Бюджет!M120</f>
        <v>6.8000000000000007</v>
      </c>
      <c r="N47" s="66">
        <f>Бюджет!N120</f>
        <v>0</v>
      </c>
      <c r="O47" s="66">
        <f>Бюджет!O120</f>
        <v>0</v>
      </c>
      <c r="P47" s="66">
        <f>Бюджет!P120</f>
        <v>0</v>
      </c>
      <c r="Q47" s="66">
        <f>Бюджет!Q120</f>
        <v>0</v>
      </c>
      <c r="R47" s="66">
        <f>Бюджет!R120</f>
        <v>0</v>
      </c>
      <c r="S47" s="66">
        <f>Бюджет!S120</f>
        <v>0</v>
      </c>
      <c r="T47" s="66">
        <f>Бюджет!T120</f>
        <v>0</v>
      </c>
      <c r="U47" s="66">
        <f>Бюджет!U120</f>
        <v>0</v>
      </c>
      <c r="V47" s="66">
        <f>Бюджет!V120</f>
        <v>0</v>
      </c>
      <c r="W47" s="66">
        <f>Бюджет!W120</f>
        <v>0</v>
      </c>
      <c r="X47" s="66">
        <f>Бюджет!X120</f>
        <v>0</v>
      </c>
      <c r="Y47" s="66">
        <f>Бюджет!Y120</f>
        <v>0</v>
      </c>
      <c r="Z47" s="66">
        <f>Бюджет!Z120</f>
        <v>0</v>
      </c>
      <c r="AA47" s="66">
        <f>Бюджет!AA120</f>
        <v>0</v>
      </c>
      <c r="AB47" s="66">
        <f>Бюджет!AB120</f>
        <v>0</v>
      </c>
      <c r="AC47" s="66">
        <f>Бюджет!AC120</f>
        <v>0</v>
      </c>
      <c r="AD47" s="66">
        <f>Бюджет!AD120</f>
        <v>0</v>
      </c>
      <c r="AE47" s="66">
        <f>Бюджет!AE120</f>
        <v>0</v>
      </c>
      <c r="AF47" s="66">
        <f>Бюджет!AF120</f>
        <v>0</v>
      </c>
      <c r="AG47" s="66">
        <f>Бюджет!AG120</f>
        <v>0</v>
      </c>
      <c r="AH47" s="66">
        <f>Бюджет!AH120</f>
        <v>0</v>
      </c>
      <c r="AI47" s="66">
        <f>Бюджет!AI120</f>
        <v>0</v>
      </c>
      <c r="AJ47" s="66">
        <f t="shared" si="6"/>
        <v>156.80000000000001</v>
      </c>
      <c r="AK47" s="74"/>
    </row>
    <row r="48" spans="1:37" s="109" customFormat="1" ht="30" x14ac:dyDescent="0.2">
      <c r="A48" s="60" t="str">
        <f>Бюджет!A121</f>
        <v>Б1.О.12.05</v>
      </c>
      <c r="B48" s="60" t="str">
        <f>Бюджет!B121</f>
        <v>Атомная и ядерная физика (поток РФ, ФИЗ)</v>
      </c>
      <c r="C48" s="67" t="str">
        <f>Бюджет!C121</f>
        <v>3\6</v>
      </c>
      <c r="D48" s="67">
        <f>Бюджет!D121</f>
        <v>17</v>
      </c>
      <c r="E48" s="67">
        <f>Бюджет!E121</f>
        <v>1</v>
      </c>
      <c r="F48" s="66">
        <f>Бюджет!F121</f>
        <v>36</v>
      </c>
      <c r="G48" s="66">
        <f>Бюджет!G121</f>
        <v>0</v>
      </c>
      <c r="H48" s="66">
        <f>Бюджет!H121</f>
        <v>54</v>
      </c>
      <c r="I48" s="66">
        <f>Бюджет!I121</f>
        <v>54</v>
      </c>
      <c r="J48" s="66">
        <f>Бюджет!J121</f>
        <v>108</v>
      </c>
      <c r="K48" s="66">
        <f>Бюджет!K121</f>
        <v>0</v>
      </c>
      <c r="L48" s="66">
        <f>Бюджет!L121</f>
        <v>0</v>
      </c>
      <c r="M48" s="66">
        <f>Бюджет!M121</f>
        <v>6.8000000000000007</v>
      </c>
      <c r="N48" s="66">
        <f>Бюджет!N121</f>
        <v>0</v>
      </c>
      <c r="O48" s="66">
        <f>Бюджет!O121</f>
        <v>0</v>
      </c>
      <c r="P48" s="66">
        <f>Бюджет!P121</f>
        <v>0</v>
      </c>
      <c r="Q48" s="66">
        <f>Бюджет!Q121</f>
        <v>0</v>
      </c>
      <c r="R48" s="66">
        <f>Бюджет!R121</f>
        <v>0</v>
      </c>
      <c r="S48" s="66">
        <f>Бюджет!S121</f>
        <v>0</v>
      </c>
      <c r="T48" s="66">
        <f>Бюджет!T121</f>
        <v>0</v>
      </c>
      <c r="U48" s="66">
        <f>Бюджет!U121</f>
        <v>0</v>
      </c>
      <c r="V48" s="66">
        <f>Бюджет!V121</f>
        <v>0</v>
      </c>
      <c r="W48" s="66">
        <f>Бюджет!W121</f>
        <v>0</v>
      </c>
      <c r="X48" s="66">
        <f>Бюджет!X121</f>
        <v>0</v>
      </c>
      <c r="Y48" s="66">
        <f>Бюджет!Y121</f>
        <v>0</v>
      </c>
      <c r="Z48" s="66">
        <f>Бюджет!Z121</f>
        <v>0</v>
      </c>
      <c r="AA48" s="66">
        <f>Бюджет!AA121</f>
        <v>0</v>
      </c>
      <c r="AB48" s="66">
        <f>Бюджет!AB121</f>
        <v>0</v>
      </c>
      <c r="AC48" s="66">
        <f>Бюджет!AC121</f>
        <v>0</v>
      </c>
      <c r="AD48" s="66">
        <f>Бюджет!AD121</f>
        <v>0</v>
      </c>
      <c r="AE48" s="66">
        <f>Бюджет!AE121</f>
        <v>0</v>
      </c>
      <c r="AF48" s="66">
        <f>Бюджет!AF121</f>
        <v>0</v>
      </c>
      <c r="AG48" s="66">
        <f>Бюджет!AG121</f>
        <v>0</v>
      </c>
      <c r="AH48" s="66">
        <f>Бюджет!AH121</f>
        <v>0</v>
      </c>
      <c r="AI48" s="66">
        <f>Бюджет!AI121</f>
        <v>18</v>
      </c>
      <c r="AJ48" s="66">
        <f t="shared" si="6"/>
        <v>186.8</v>
      </c>
      <c r="AK48" s="74"/>
    </row>
    <row r="49" spans="1:37" s="109" customFormat="1" ht="15" x14ac:dyDescent="0.2">
      <c r="A49" s="60">
        <f>Бюджет!A136</f>
        <v>0</v>
      </c>
      <c r="B49" s="60" t="str">
        <f>Бюджет!B136</f>
        <v>ГЭК (Защита ВКР бакалавра) (7 чел)</v>
      </c>
      <c r="C49" s="67" t="str">
        <f>Бюджет!C136</f>
        <v>4\8</v>
      </c>
      <c r="D49" s="67">
        <f>Бюджет!D136</f>
        <v>14</v>
      </c>
      <c r="E49" s="67">
        <f>Бюджет!E136</f>
        <v>1</v>
      </c>
      <c r="F49" s="66">
        <f>Бюджет!F136</f>
        <v>0</v>
      </c>
      <c r="G49" s="66">
        <f>Бюджет!G136</f>
        <v>0</v>
      </c>
      <c r="H49" s="66">
        <f>Бюджет!H136</f>
        <v>0</v>
      </c>
      <c r="I49" s="66">
        <f>Бюджет!I136</f>
        <v>0</v>
      </c>
      <c r="J49" s="66">
        <f>Бюджет!J136</f>
        <v>0</v>
      </c>
      <c r="K49" s="66">
        <f>Бюджет!K136</f>
        <v>0</v>
      </c>
      <c r="L49" s="66">
        <f>Бюджет!L136</f>
        <v>0</v>
      </c>
      <c r="M49" s="66">
        <f>Бюджет!M136</f>
        <v>0</v>
      </c>
      <c r="N49" s="66">
        <f>Бюджет!N136</f>
        <v>0</v>
      </c>
      <c r="O49" s="66">
        <f>Бюджет!O136</f>
        <v>0</v>
      </c>
      <c r="P49" s="66">
        <f>Бюджет!P136</f>
        <v>0</v>
      </c>
      <c r="Q49" s="66">
        <f>Бюджет!Q136</f>
        <v>0</v>
      </c>
      <c r="R49" s="66">
        <f>Бюджет!R136</f>
        <v>0</v>
      </c>
      <c r="S49" s="66">
        <f>Бюджет!S136</f>
        <v>0</v>
      </c>
      <c r="T49" s="66">
        <f>Бюджет!T136</f>
        <v>0</v>
      </c>
      <c r="U49" s="66">
        <f>Бюджет!U136</f>
        <v>0</v>
      </c>
      <c r="V49" s="66">
        <f>Бюджет!V136</f>
        <v>0</v>
      </c>
      <c r="W49" s="66">
        <f>Бюджет!W136</f>
        <v>0</v>
      </c>
      <c r="X49" s="66">
        <f>Бюджет!X136</f>
        <v>0</v>
      </c>
      <c r="Y49" s="66">
        <f>Бюджет!Y136</f>
        <v>0</v>
      </c>
      <c r="Z49" s="66">
        <f>Бюджет!Z136</f>
        <v>0</v>
      </c>
      <c r="AA49" s="66">
        <f>Бюджет!AA136</f>
        <v>0</v>
      </c>
      <c r="AB49" s="66">
        <f>Бюджет!AB136/7*5</f>
        <v>35</v>
      </c>
      <c r="AC49" s="66">
        <f>Бюджет!AC136</f>
        <v>0</v>
      </c>
      <c r="AD49" s="66">
        <f>Бюджет!AD136</f>
        <v>0</v>
      </c>
      <c r="AE49" s="66">
        <f>Бюджет!AE136</f>
        <v>0</v>
      </c>
      <c r="AF49" s="66">
        <f>Бюджет!AF136</f>
        <v>0</v>
      </c>
      <c r="AG49" s="66">
        <f>Бюджет!AG136</f>
        <v>0</v>
      </c>
      <c r="AH49" s="66">
        <f>Бюджет!AH136</f>
        <v>0</v>
      </c>
      <c r="AI49" s="66">
        <f>Бюджет!AI136</f>
        <v>0</v>
      </c>
      <c r="AJ49" s="66">
        <f t="shared" si="6"/>
        <v>35</v>
      </c>
      <c r="AK49" s="74"/>
    </row>
    <row r="50" spans="1:37" s="109" customFormat="1" ht="15.75" x14ac:dyDescent="0.2">
      <c r="A50" s="60"/>
      <c r="B50" s="60"/>
      <c r="C50" s="74"/>
      <c r="D50" s="74"/>
      <c r="E50" s="74"/>
      <c r="F50" s="70"/>
      <c r="G50" s="70"/>
      <c r="H50" s="70"/>
      <c r="I50" s="70"/>
      <c r="J50" s="390" t="str">
        <f>Бюджет!K157</f>
        <v>профиль "Физика материалов твердотельной электроники и фотоники"</v>
      </c>
      <c r="K50" s="390"/>
      <c r="L50" s="390"/>
      <c r="M50" s="390"/>
      <c r="N50" s="390"/>
      <c r="O50" s="390"/>
      <c r="P50" s="390"/>
      <c r="Q50" s="390"/>
      <c r="R50" s="390"/>
      <c r="S50" s="390"/>
      <c r="T50" s="390"/>
      <c r="U50" s="390"/>
      <c r="V50" s="390"/>
      <c r="W50" s="390"/>
      <c r="X50" s="390"/>
      <c r="Y50" s="390"/>
      <c r="Z50" s="390"/>
      <c r="AA50" s="390"/>
      <c r="AB50" s="390"/>
      <c r="AC50" s="390"/>
      <c r="AD50" s="70"/>
      <c r="AE50" s="70"/>
      <c r="AF50" s="70"/>
      <c r="AG50" s="70"/>
      <c r="AH50" s="70"/>
      <c r="AI50" s="70"/>
      <c r="AJ50" s="66">
        <f t="shared" si="6"/>
        <v>0</v>
      </c>
      <c r="AK50" s="74"/>
    </row>
    <row r="51" spans="1:37" s="109" customFormat="1" ht="15" x14ac:dyDescent="0.2">
      <c r="A51" s="60" t="str">
        <f>Бюджет!A158</f>
        <v>Б1.В.03</v>
      </c>
      <c r="B51" s="60" t="str">
        <f>Бюджет!B158</f>
        <v>Курсовая работа (по профилю)</v>
      </c>
      <c r="C51" s="67" t="str">
        <f>Бюджет!C158</f>
        <v>2\4</v>
      </c>
      <c r="D51" s="67">
        <f>Бюджет!D158</f>
        <v>6</v>
      </c>
      <c r="E51" s="67">
        <f>Бюджет!E158</f>
        <v>1</v>
      </c>
      <c r="F51" s="66">
        <f>Бюджет!F158</f>
        <v>0</v>
      </c>
      <c r="G51" s="66">
        <f>Бюджет!G158</f>
        <v>0</v>
      </c>
      <c r="H51" s="66">
        <f>Бюджет!H158</f>
        <v>0</v>
      </c>
      <c r="I51" s="66">
        <f>Бюджет!I158</f>
        <v>0</v>
      </c>
      <c r="J51" s="66">
        <f>Бюджет!J158</f>
        <v>0</v>
      </c>
      <c r="K51" s="66">
        <f>Бюджет!K158</f>
        <v>0</v>
      </c>
      <c r="L51" s="66">
        <f>Бюджет!L158</f>
        <v>0</v>
      </c>
      <c r="M51" s="66">
        <f>Бюджет!M158</f>
        <v>0</v>
      </c>
      <c r="N51" s="66">
        <f>Бюджет!N158</f>
        <v>0</v>
      </c>
      <c r="O51" s="66">
        <f>Бюджет!O158</f>
        <v>0</v>
      </c>
      <c r="P51" s="66">
        <f>Бюджет!P158</f>
        <v>0</v>
      </c>
      <c r="Q51" s="66">
        <f>Бюджет!Q158</f>
        <v>0</v>
      </c>
      <c r="R51" s="66">
        <f>Бюджет!R158</f>
        <v>0</v>
      </c>
      <c r="S51" s="66">
        <f>Бюджет!S158</f>
        <v>0</v>
      </c>
      <c r="T51" s="66">
        <f>Бюджет!T158</f>
        <v>0</v>
      </c>
      <c r="U51" s="66">
        <f>Бюджет!U158</f>
        <v>0</v>
      </c>
      <c r="V51" s="66">
        <f>Бюджет!V158</f>
        <v>24</v>
      </c>
      <c r="W51" s="66">
        <f>Бюджет!W158</f>
        <v>0</v>
      </c>
      <c r="X51" s="66">
        <f>Бюджет!X158</f>
        <v>0</v>
      </c>
      <c r="Y51" s="66">
        <f>Бюджет!Y158</f>
        <v>0</v>
      </c>
      <c r="Z51" s="66">
        <f>Бюджет!Z158</f>
        <v>0</v>
      </c>
      <c r="AA51" s="66">
        <f>Бюджет!AA158</f>
        <v>0</v>
      </c>
      <c r="AB51" s="66">
        <f>Бюджет!AB158</f>
        <v>0</v>
      </c>
      <c r="AC51" s="66">
        <f>Бюджет!AC158</f>
        <v>0</v>
      </c>
      <c r="AD51" s="66">
        <f>Бюджет!AD158</f>
        <v>0</v>
      </c>
      <c r="AE51" s="66">
        <f>Бюджет!AE158</f>
        <v>0</v>
      </c>
      <c r="AF51" s="66">
        <f>Бюджет!AF158</f>
        <v>0</v>
      </c>
      <c r="AG51" s="66">
        <f>Бюджет!AG158</f>
        <v>0</v>
      </c>
      <c r="AH51" s="66">
        <f>Бюджет!AH158</f>
        <v>0</v>
      </c>
      <c r="AI51" s="66">
        <f>Бюджет!AI158</f>
        <v>0</v>
      </c>
      <c r="AJ51" s="66">
        <f t="shared" si="6"/>
        <v>24</v>
      </c>
      <c r="AK51" s="74"/>
    </row>
    <row r="52" spans="1:37" s="109" customFormat="1" ht="15" x14ac:dyDescent="0.2">
      <c r="A52" s="60" t="str">
        <f>Бюджет!A160</f>
        <v>Б1.В.01</v>
      </c>
      <c r="B52" s="60" t="str">
        <f>Бюджет!B160</f>
        <v>Квантовая теория твердого тела</v>
      </c>
      <c r="C52" s="67" t="str">
        <f>Бюджет!C160</f>
        <v>3\6</v>
      </c>
      <c r="D52" s="67">
        <f>Бюджет!D160</f>
        <v>5</v>
      </c>
      <c r="E52" s="67">
        <f>Бюджет!E160</f>
        <v>1</v>
      </c>
      <c r="F52" s="66">
        <f>Бюджет!F160</f>
        <v>54</v>
      </c>
      <c r="G52" s="66">
        <f>Бюджет!G160</f>
        <v>54</v>
      </c>
      <c r="H52" s="66">
        <f>Бюджет!H160</f>
        <v>36</v>
      </c>
      <c r="I52" s="66">
        <f>Бюджет!I160</f>
        <v>36</v>
      </c>
      <c r="J52" s="66">
        <f>Бюджет!J160</f>
        <v>0</v>
      </c>
      <c r="K52" s="66">
        <f>Бюджет!K160</f>
        <v>0</v>
      </c>
      <c r="L52" s="66">
        <f>Бюджет!L160</f>
        <v>0</v>
      </c>
      <c r="M52" s="66">
        <f>Бюджет!M160</f>
        <v>2</v>
      </c>
      <c r="N52" s="66">
        <f>Бюджет!N160</f>
        <v>0</v>
      </c>
      <c r="O52" s="66">
        <f>Бюджет!O160</f>
        <v>0</v>
      </c>
      <c r="P52" s="66">
        <f>Бюджет!P160</f>
        <v>0</v>
      </c>
      <c r="Q52" s="66">
        <f>Бюджет!Q160</f>
        <v>3.7</v>
      </c>
      <c r="R52" s="66">
        <f>Бюджет!R160</f>
        <v>0</v>
      </c>
      <c r="S52" s="66">
        <f>Бюджет!S160</f>
        <v>0</v>
      </c>
      <c r="T52" s="66">
        <f>Бюджет!T160</f>
        <v>0</v>
      </c>
      <c r="U52" s="66">
        <f>Бюджет!U160</f>
        <v>0</v>
      </c>
      <c r="V52" s="66">
        <f>Бюджет!V160</f>
        <v>0</v>
      </c>
      <c r="W52" s="66">
        <f>Бюджет!W160</f>
        <v>0</v>
      </c>
      <c r="X52" s="66">
        <f>Бюджет!X160</f>
        <v>0</v>
      </c>
      <c r="Y52" s="66">
        <f>Бюджет!Y160</f>
        <v>0</v>
      </c>
      <c r="Z52" s="66">
        <f>Бюджет!Z160</f>
        <v>0</v>
      </c>
      <c r="AA52" s="66">
        <f>Бюджет!AA160</f>
        <v>0</v>
      </c>
      <c r="AB52" s="66">
        <f>Бюджет!AB160</f>
        <v>0</v>
      </c>
      <c r="AC52" s="66">
        <f>Бюджет!AC160</f>
        <v>0</v>
      </c>
      <c r="AD52" s="66">
        <f>Бюджет!AD160</f>
        <v>0</v>
      </c>
      <c r="AE52" s="66">
        <f>Бюджет!AE160</f>
        <v>0</v>
      </c>
      <c r="AF52" s="66">
        <f>Бюджет!AF160</f>
        <v>0</v>
      </c>
      <c r="AG52" s="66">
        <f>Бюджет!AG160</f>
        <v>0</v>
      </c>
      <c r="AH52" s="66">
        <f>Бюджет!AH160</f>
        <v>0</v>
      </c>
      <c r="AI52" s="66">
        <f>Бюджет!AI160</f>
        <v>8</v>
      </c>
      <c r="AJ52" s="66">
        <f t="shared" si="6"/>
        <v>103.7</v>
      </c>
      <c r="AK52" s="74"/>
    </row>
    <row r="53" spans="1:37" s="109" customFormat="1" ht="30" x14ac:dyDescent="0.2">
      <c r="A53" s="60" t="str">
        <f>Бюджет!A161</f>
        <v>Б1.В.02.01</v>
      </c>
      <c r="B53" s="60" t="str">
        <f>Бюджет!B161</f>
        <v>Специальный практикум по спектроскопии</v>
      </c>
      <c r="C53" s="67" t="str">
        <f>Бюджет!C161</f>
        <v>3\5</v>
      </c>
      <c r="D53" s="67">
        <f>Бюджет!D161</f>
        <v>5</v>
      </c>
      <c r="E53" s="67">
        <f>Бюджет!E161</f>
        <v>1</v>
      </c>
      <c r="F53" s="66">
        <f>Бюджет!F161</f>
        <v>0</v>
      </c>
      <c r="G53" s="66">
        <f>Бюджет!G161</f>
        <v>0</v>
      </c>
      <c r="H53" s="66">
        <f>Бюджет!H161</f>
        <v>0</v>
      </c>
      <c r="I53" s="66">
        <f>Бюджет!I161</f>
        <v>0</v>
      </c>
      <c r="J53" s="66">
        <f>Бюджет!J161</f>
        <v>50</v>
      </c>
      <c r="K53" s="66">
        <f>Бюджет!K161</f>
        <v>1.5</v>
      </c>
      <c r="L53" s="66">
        <f>Бюджет!L161</f>
        <v>0</v>
      </c>
      <c r="M53" s="66">
        <f>Бюджет!M161</f>
        <v>0</v>
      </c>
      <c r="N53" s="66">
        <f>Бюджет!N161</f>
        <v>0</v>
      </c>
      <c r="O53" s="66">
        <f>Бюджет!O161</f>
        <v>0</v>
      </c>
      <c r="P53" s="66">
        <f>Бюджет!P161</f>
        <v>0</v>
      </c>
      <c r="Q53" s="66">
        <f>Бюджет!Q161</f>
        <v>0</v>
      </c>
      <c r="R53" s="66">
        <f>Бюджет!R161</f>
        <v>0</v>
      </c>
      <c r="S53" s="66">
        <f>Бюджет!S161</f>
        <v>0</v>
      </c>
      <c r="T53" s="66">
        <f>Бюджет!T161</f>
        <v>0</v>
      </c>
      <c r="U53" s="66">
        <f>Бюджет!U161</f>
        <v>0</v>
      </c>
      <c r="V53" s="66">
        <f>Бюджет!V161</f>
        <v>0</v>
      </c>
      <c r="W53" s="66">
        <f>Бюджет!W161</f>
        <v>0</v>
      </c>
      <c r="X53" s="66">
        <f>Бюджет!X161</f>
        <v>0</v>
      </c>
      <c r="Y53" s="66">
        <f>Бюджет!Y161</f>
        <v>0</v>
      </c>
      <c r="Z53" s="66">
        <f>Бюджет!Z161</f>
        <v>0</v>
      </c>
      <c r="AA53" s="66">
        <f>Бюджет!AA161</f>
        <v>0</v>
      </c>
      <c r="AB53" s="66">
        <f>Бюджет!AB161</f>
        <v>0</v>
      </c>
      <c r="AC53" s="66">
        <f>Бюджет!AC161</f>
        <v>0</v>
      </c>
      <c r="AD53" s="66">
        <f>Бюджет!AD161</f>
        <v>0</v>
      </c>
      <c r="AE53" s="66">
        <f>Бюджет!AE161</f>
        <v>0</v>
      </c>
      <c r="AF53" s="66">
        <f>Бюджет!AF161</f>
        <v>0</v>
      </c>
      <c r="AG53" s="66">
        <f>Бюджет!AG161</f>
        <v>0</v>
      </c>
      <c r="AH53" s="66">
        <f>Бюджет!AH161</f>
        <v>0</v>
      </c>
      <c r="AI53" s="66">
        <f>Бюджет!AI161</f>
        <v>0</v>
      </c>
      <c r="AJ53" s="66">
        <f t="shared" si="6"/>
        <v>51.5</v>
      </c>
      <c r="AK53" s="74"/>
    </row>
    <row r="54" spans="1:37" s="109" customFormat="1" ht="30" x14ac:dyDescent="0.2">
      <c r="A54" s="60" t="str">
        <f>Бюджет!A162</f>
        <v>Б1.В.04</v>
      </c>
      <c r="B54" s="60" t="str">
        <f>Бюджет!B162</f>
        <v>Введение в физику конденсированного состояния</v>
      </c>
      <c r="C54" s="67" t="str">
        <f>Бюджет!C162</f>
        <v>3\5</v>
      </c>
      <c r="D54" s="67">
        <f>Бюджет!D162</f>
        <v>5</v>
      </c>
      <c r="E54" s="67">
        <f>Бюджет!E162</f>
        <v>1</v>
      </c>
      <c r="F54" s="66">
        <f>Бюджет!F162</f>
        <v>34</v>
      </c>
      <c r="G54" s="66">
        <f>Бюджет!G162</f>
        <v>34</v>
      </c>
      <c r="H54" s="66">
        <f>Бюджет!H162</f>
        <v>16</v>
      </c>
      <c r="I54" s="66">
        <f>Бюджет!I162</f>
        <v>16</v>
      </c>
      <c r="J54" s="66">
        <f>Бюджет!J162</f>
        <v>0</v>
      </c>
      <c r="K54" s="66">
        <f>Бюджет!K162</f>
        <v>1.5</v>
      </c>
      <c r="L54" s="66">
        <f>Бюджет!L162</f>
        <v>0</v>
      </c>
      <c r="M54" s="66">
        <f>Бюджет!M162</f>
        <v>0</v>
      </c>
      <c r="N54" s="66">
        <f>Бюджет!N162</f>
        <v>0</v>
      </c>
      <c r="O54" s="66">
        <f>Бюджет!O162</f>
        <v>0</v>
      </c>
      <c r="P54" s="66">
        <f>Бюджет!P162</f>
        <v>0</v>
      </c>
      <c r="Q54" s="66">
        <f>Бюджет!Q162</f>
        <v>1.7000000000000002</v>
      </c>
      <c r="R54" s="66">
        <f>Бюджет!R162</f>
        <v>0</v>
      </c>
      <c r="S54" s="66">
        <f>Бюджет!S162</f>
        <v>0</v>
      </c>
      <c r="T54" s="66">
        <f>Бюджет!T162</f>
        <v>0</v>
      </c>
      <c r="U54" s="66">
        <f>Бюджет!U162</f>
        <v>0</v>
      </c>
      <c r="V54" s="66">
        <f>Бюджет!V162</f>
        <v>0</v>
      </c>
      <c r="W54" s="66">
        <f>Бюджет!W162</f>
        <v>0</v>
      </c>
      <c r="X54" s="66">
        <f>Бюджет!X162</f>
        <v>0</v>
      </c>
      <c r="Y54" s="66">
        <f>Бюджет!Y162</f>
        <v>0</v>
      </c>
      <c r="Z54" s="66">
        <f>Бюджет!Z162</f>
        <v>0</v>
      </c>
      <c r="AA54" s="66">
        <f>Бюджет!AA162</f>
        <v>0</v>
      </c>
      <c r="AB54" s="66">
        <f>Бюджет!AB162</f>
        <v>0</v>
      </c>
      <c r="AC54" s="66">
        <f>Бюджет!AC162</f>
        <v>0</v>
      </c>
      <c r="AD54" s="66">
        <f>Бюджет!AD162</f>
        <v>0</v>
      </c>
      <c r="AE54" s="66">
        <f>Бюджет!AE162</f>
        <v>0</v>
      </c>
      <c r="AF54" s="66">
        <f>Бюджет!AF162</f>
        <v>0</v>
      </c>
      <c r="AG54" s="66">
        <f>Бюджет!AG162</f>
        <v>0</v>
      </c>
      <c r="AH54" s="66">
        <f>Бюджет!AH162</f>
        <v>0</v>
      </c>
      <c r="AI54" s="66">
        <f>Бюджет!AI162</f>
        <v>0</v>
      </c>
      <c r="AJ54" s="66">
        <f t="shared" si="6"/>
        <v>53.2</v>
      </c>
      <c r="AK54" s="74"/>
    </row>
    <row r="55" spans="1:37" s="109" customFormat="1" ht="15" x14ac:dyDescent="0.2">
      <c r="A55" s="60" t="str">
        <f>Бюджет!A163</f>
        <v>Б1.В.05</v>
      </c>
      <c r="B55" s="60" t="str">
        <f>Бюджет!B163</f>
        <v>Кристаллофизика</v>
      </c>
      <c r="C55" s="67" t="str">
        <f>Бюджет!C163</f>
        <v>3\6</v>
      </c>
      <c r="D55" s="67">
        <f>Бюджет!D163</f>
        <v>5</v>
      </c>
      <c r="E55" s="67">
        <f>Бюджет!E163</f>
        <v>1</v>
      </c>
      <c r="F55" s="66">
        <f>Бюджет!F163</f>
        <v>18</v>
      </c>
      <c r="G55" s="66">
        <f>Бюджет!G163</f>
        <v>18</v>
      </c>
      <c r="H55" s="66">
        <f>Бюджет!H163</f>
        <v>18</v>
      </c>
      <c r="I55" s="66">
        <f>Бюджет!I163</f>
        <v>18</v>
      </c>
      <c r="J55" s="66">
        <f>Бюджет!J163</f>
        <v>0</v>
      </c>
      <c r="K55" s="66">
        <f>Бюджет!K163</f>
        <v>1.5</v>
      </c>
      <c r="L55" s="66">
        <f>Бюджет!L163</f>
        <v>0</v>
      </c>
      <c r="M55" s="66">
        <f>Бюджет!M163</f>
        <v>0</v>
      </c>
      <c r="N55" s="66">
        <f>Бюджет!N163</f>
        <v>0</v>
      </c>
      <c r="O55" s="66">
        <f>Бюджет!O163</f>
        <v>0</v>
      </c>
      <c r="P55" s="66">
        <f>Бюджет!P163</f>
        <v>0</v>
      </c>
      <c r="Q55" s="66">
        <f>Бюджет!Q163</f>
        <v>0.9</v>
      </c>
      <c r="R55" s="66">
        <f>Бюджет!R163</f>
        <v>0</v>
      </c>
      <c r="S55" s="66">
        <f>Бюджет!S163</f>
        <v>0</v>
      </c>
      <c r="T55" s="66">
        <f>Бюджет!T163</f>
        <v>0</v>
      </c>
      <c r="U55" s="66">
        <f>Бюджет!U163</f>
        <v>0</v>
      </c>
      <c r="V55" s="66">
        <f>Бюджет!V163</f>
        <v>0</v>
      </c>
      <c r="W55" s="66">
        <f>Бюджет!W163</f>
        <v>0</v>
      </c>
      <c r="X55" s="66">
        <f>Бюджет!X163</f>
        <v>0</v>
      </c>
      <c r="Y55" s="66">
        <f>Бюджет!Y163</f>
        <v>0</v>
      </c>
      <c r="Z55" s="66">
        <f>Бюджет!Z163</f>
        <v>0</v>
      </c>
      <c r="AA55" s="66">
        <f>Бюджет!AA163</f>
        <v>0</v>
      </c>
      <c r="AB55" s="66">
        <f>Бюджет!AB163</f>
        <v>0</v>
      </c>
      <c r="AC55" s="66">
        <f>Бюджет!AC163</f>
        <v>0</v>
      </c>
      <c r="AD55" s="66">
        <f>Бюджет!AD163</f>
        <v>0</v>
      </c>
      <c r="AE55" s="66">
        <f>Бюджет!AE163</f>
        <v>0</v>
      </c>
      <c r="AF55" s="66">
        <f>Бюджет!AF163</f>
        <v>0</v>
      </c>
      <c r="AG55" s="66">
        <f>Бюджет!AG163</f>
        <v>0</v>
      </c>
      <c r="AH55" s="66">
        <f>Бюджет!AH163</f>
        <v>0</v>
      </c>
      <c r="AI55" s="66">
        <f>Бюджет!AI163</f>
        <v>0</v>
      </c>
      <c r="AJ55" s="66">
        <f t="shared" si="6"/>
        <v>38.4</v>
      </c>
      <c r="AK55" s="74"/>
    </row>
    <row r="56" spans="1:37" s="109" customFormat="1" ht="45" x14ac:dyDescent="0.2">
      <c r="A56" s="60" t="str">
        <f>Бюджет!A164</f>
        <v>Б2.В.01(Н)</v>
      </c>
      <c r="B56" s="60" t="str">
        <f>Бюджет!B164</f>
        <v>Производственная практика. (Научно-исследовательская работа) (расср., 1 1/3 нед.)</v>
      </c>
      <c r="C56" s="67" t="str">
        <f>Бюджет!C164</f>
        <v>3\5</v>
      </c>
      <c r="D56" s="67">
        <f>Бюджет!D164</f>
        <v>5</v>
      </c>
      <c r="E56" s="67">
        <f>Бюджет!E164</f>
        <v>1</v>
      </c>
      <c r="F56" s="66">
        <f>Бюджет!F164</f>
        <v>0</v>
      </c>
      <c r="G56" s="66">
        <f>Бюджет!G164</f>
        <v>0</v>
      </c>
      <c r="H56" s="66">
        <f>Бюджет!H164</f>
        <v>0</v>
      </c>
      <c r="I56" s="66">
        <f>Бюджет!I164</f>
        <v>0</v>
      </c>
      <c r="J56" s="66">
        <f>Бюджет!J164</f>
        <v>0</v>
      </c>
      <c r="K56" s="66">
        <f>Бюджет!K164</f>
        <v>0</v>
      </c>
      <c r="L56" s="66">
        <f>Бюджет!L164</f>
        <v>0</v>
      </c>
      <c r="M56" s="66">
        <f>Бюджет!M164</f>
        <v>0</v>
      </c>
      <c r="N56" s="66">
        <f>Бюджет!N164</f>
        <v>0</v>
      </c>
      <c r="O56" s="66">
        <f>Бюджет!O164</f>
        <v>0</v>
      </c>
      <c r="P56" s="66">
        <f>Бюджет!P164</f>
        <v>0</v>
      </c>
      <c r="Q56" s="66">
        <f>Бюджет!Q164</f>
        <v>0</v>
      </c>
      <c r="R56" s="66">
        <f>Бюджет!R164</f>
        <v>0</v>
      </c>
      <c r="S56" s="66">
        <f>Бюджет!S164</f>
        <v>0</v>
      </c>
      <c r="T56" s="66">
        <f>Бюджет!T164</f>
        <v>6.6666666666666661</v>
      </c>
      <c r="U56" s="66">
        <f>Бюджет!U164</f>
        <v>0</v>
      </c>
      <c r="V56" s="66">
        <f>Бюджет!V164</f>
        <v>0</v>
      </c>
      <c r="W56" s="66">
        <f>Бюджет!W164</f>
        <v>0</v>
      </c>
      <c r="X56" s="66">
        <f>Бюджет!X164</f>
        <v>0</v>
      </c>
      <c r="Y56" s="66">
        <f>Бюджет!Y164</f>
        <v>0</v>
      </c>
      <c r="Z56" s="66">
        <f>Бюджет!Z164</f>
        <v>0</v>
      </c>
      <c r="AA56" s="66">
        <f>Бюджет!AA164</f>
        <v>0</v>
      </c>
      <c r="AB56" s="66">
        <f>Бюджет!AB164</f>
        <v>0</v>
      </c>
      <c r="AC56" s="66">
        <f>Бюджет!AC164</f>
        <v>0</v>
      </c>
      <c r="AD56" s="66">
        <f>Бюджет!AD164</f>
        <v>0</v>
      </c>
      <c r="AE56" s="66">
        <f>Бюджет!AE164</f>
        <v>0</v>
      </c>
      <c r="AF56" s="66">
        <f>Бюджет!AF164</f>
        <v>0</v>
      </c>
      <c r="AG56" s="66">
        <f>Бюджет!AG164</f>
        <v>0</v>
      </c>
      <c r="AH56" s="66">
        <f>Бюджет!AH164</f>
        <v>0</v>
      </c>
      <c r="AI56" s="66">
        <f>Бюджет!AI164</f>
        <v>0</v>
      </c>
      <c r="AJ56" s="66">
        <f t="shared" si="6"/>
        <v>6.6666666666666661</v>
      </c>
      <c r="AK56" s="74"/>
    </row>
    <row r="57" spans="1:37" s="109" customFormat="1" ht="45" x14ac:dyDescent="0.2">
      <c r="A57" s="60" t="str">
        <f>Бюджет!A165</f>
        <v>Б2.В.02(Н)</v>
      </c>
      <c r="B57" s="60" t="str">
        <f>Бюджет!B165</f>
        <v>Производственная практика. (Научно-исследовательская работа) (расср., 2 нед.)</v>
      </c>
      <c r="C57" s="67" t="str">
        <f>Бюджет!C165</f>
        <v>3\6</v>
      </c>
      <c r="D57" s="67">
        <f>Бюджет!D165</f>
        <v>5</v>
      </c>
      <c r="E57" s="67">
        <f>Бюджет!E165</f>
        <v>1</v>
      </c>
      <c r="F57" s="66">
        <f>Бюджет!F165</f>
        <v>0</v>
      </c>
      <c r="G57" s="66">
        <f>Бюджет!G165</f>
        <v>0</v>
      </c>
      <c r="H57" s="66">
        <f>Бюджет!H165</f>
        <v>0</v>
      </c>
      <c r="I57" s="66">
        <f>Бюджет!I165</f>
        <v>0</v>
      </c>
      <c r="J57" s="66">
        <f>Бюджет!J165</f>
        <v>0</v>
      </c>
      <c r="K57" s="66">
        <f>Бюджет!K165</f>
        <v>0</v>
      </c>
      <c r="L57" s="66">
        <f>Бюджет!L165</f>
        <v>0</v>
      </c>
      <c r="M57" s="66">
        <f>Бюджет!M165</f>
        <v>0</v>
      </c>
      <c r="N57" s="66">
        <f>Бюджет!N165</f>
        <v>0</v>
      </c>
      <c r="O57" s="66">
        <f>Бюджет!O165</f>
        <v>0</v>
      </c>
      <c r="P57" s="66">
        <f>Бюджет!P165</f>
        <v>0</v>
      </c>
      <c r="Q57" s="66">
        <f>Бюджет!Q165</f>
        <v>0</v>
      </c>
      <c r="R57" s="66">
        <f>Бюджет!R165</f>
        <v>0</v>
      </c>
      <c r="S57" s="66">
        <f>Бюджет!S165</f>
        <v>0</v>
      </c>
      <c r="T57" s="66">
        <f>Бюджет!T165</f>
        <v>10</v>
      </c>
      <c r="U57" s="66">
        <f>Бюджет!U165</f>
        <v>0</v>
      </c>
      <c r="V57" s="66">
        <f>Бюджет!V165</f>
        <v>0</v>
      </c>
      <c r="W57" s="66">
        <f>Бюджет!W165</f>
        <v>0</v>
      </c>
      <c r="X57" s="66">
        <f>Бюджет!X165</f>
        <v>0</v>
      </c>
      <c r="Y57" s="66">
        <f>Бюджет!Y165</f>
        <v>0</v>
      </c>
      <c r="Z57" s="66">
        <f>Бюджет!Z165</f>
        <v>0</v>
      </c>
      <c r="AA57" s="66">
        <f>Бюджет!AA165</f>
        <v>0</v>
      </c>
      <c r="AB57" s="66">
        <f>Бюджет!AB165</f>
        <v>0</v>
      </c>
      <c r="AC57" s="66">
        <f>Бюджет!AC165</f>
        <v>0</v>
      </c>
      <c r="AD57" s="66">
        <f>Бюджет!AD165</f>
        <v>0</v>
      </c>
      <c r="AE57" s="66">
        <f>Бюджет!AE165</f>
        <v>0</v>
      </c>
      <c r="AF57" s="66">
        <f>Бюджет!AF165</f>
        <v>0</v>
      </c>
      <c r="AG57" s="66">
        <f>Бюджет!AG165</f>
        <v>0</v>
      </c>
      <c r="AH57" s="66">
        <f>Бюджет!AH165</f>
        <v>0</v>
      </c>
      <c r="AI57" s="66">
        <f>Бюджет!AI165</f>
        <v>0</v>
      </c>
      <c r="AJ57" s="66">
        <f t="shared" si="6"/>
        <v>10</v>
      </c>
      <c r="AK57" s="74"/>
    </row>
    <row r="58" spans="1:37" s="109" customFormat="1" ht="15" x14ac:dyDescent="0.2">
      <c r="A58" s="60" t="str">
        <f>Бюджет!A167</f>
        <v>Б1.В.09</v>
      </c>
      <c r="B58" s="60" t="str">
        <f>Бюджет!B167</f>
        <v>Физика рентгеновского излучения</v>
      </c>
      <c r="C58" s="67" t="str">
        <f>Бюджет!C167</f>
        <v>4\7</v>
      </c>
      <c r="D58" s="67">
        <f>Бюджет!D167</f>
        <v>4</v>
      </c>
      <c r="E58" s="67">
        <f>Бюджет!E167</f>
        <v>1</v>
      </c>
      <c r="F58" s="66">
        <f>Бюджет!F167</f>
        <v>34</v>
      </c>
      <c r="G58" s="66">
        <f>Бюджет!G167</f>
        <v>34</v>
      </c>
      <c r="H58" s="66">
        <f>Бюджет!H167</f>
        <v>0</v>
      </c>
      <c r="I58" s="66">
        <f>Бюджет!I167</f>
        <v>0</v>
      </c>
      <c r="J58" s="66">
        <f>Бюджет!J167</f>
        <v>50</v>
      </c>
      <c r="K58" s="66">
        <f>Бюджет!K167</f>
        <v>1.2</v>
      </c>
      <c r="L58" s="66">
        <f>Бюджет!L167</f>
        <v>0</v>
      </c>
      <c r="M58" s="66">
        <f>Бюджет!M167</f>
        <v>0</v>
      </c>
      <c r="N58" s="66">
        <f>Бюджет!N167</f>
        <v>0</v>
      </c>
      <c r="O58" s="66">
        <f>Бюджет!O167</f>
        <v>0</v>
      </c>
      <c r="P58" s="66">
        <f>Бюджет!P167</f>
        <v>0</v>
      </c>
      <c r="Q58" s="66">
        <f>Бюджет!Q167</f>
        <v>1.7000000000000002</v>
      </c>
      <c r="R58" s="66">
        <f>Бюджет!R167</f>
        <v>0</v>
      </c>
      <c r="S58" s="66">
        <f>Бюджет!S167</f>
        <v>0</v>
      </c>
      <c r="T58" s="66">
        <f>Бюджет!T167</f>
        <v>0</v>
      </c>
      <c r="U58" s="66">
        <f>Бюджет!U167</f>
        <v>0</v>
      </c>
      <c r="V58" s="66">
        <f>Бюджет!V167</f>
        <v>0</v>
      </c>
      <c r="W58" s="66">
        <f>Бюджет!W167</f>
        <v>0</v>
      </c>
      <c r="X58" s="66">
        <f>Бюджет!X167</f>
        <v>0</v>
      </c>
      <c r="Y58" s="66">
        <f>Бюджет!Y167</f>
        <v>0</v>
      </c>
      <c r="Z58" s="66">
        <f>Бюджет!Z167</f>
        <v>0</v>
      </c>
      <c r="AA58" s="66">
        <f>Бюджет!AA167</f>
        <v>0</v>
      </c>
      <c r="AB58" s="66">
        <f>Бюджет!AB167</f>
        <v>0</v>
      </c>
      <c r="AC58" s="66">
        <f>Бюджет!AC167</f>
        <v>0</v>
      </c>
      <c r="AD58" s="66">
        <f>Бюджет!AD167</f>
        <v>0</v>
      </c>
      <c r="AE58" s="66">
        <f>Бюджет!AE167</f>
        <v>0</v>
      </c>
      <c r="AF58" s="66">
        <f>Бюджет!AF167</f>
        <v>0</v>
      </c>
      <c r="AG58" s="66">
        <f>Бюджет!AG167</f>
        <v>0</v>
      </c>
      <c r="AH58" s="66">
        <f>Бюджет!AH167</f>
        <v>0</v>
      </c>
      <c r="AI58" s="66">
        <f>Бюджет!AI167</f>
        <v>0</v>
      </c>
      <c r="AJ58" s="66">
        <f t="shared" si="6"/>
        <v>86.9</v>
      </c>
      <c r="AK58" s="74"/>
    </row>
    <row r="59" spans="1:37" s="109" customFormat="1" ht="15" x14ac:dyDescent="0.2">
      <c r="A59" s="60" t="str">
        <f>Бюджет!A168</f>
        <v>Б1.В.10</v>
      </c>
      <c r="B59" s="60" t="str">
        <f>Бюджет!B168</f>
        <v>Атомная и молекулярная спектроскопия</v>
      </c>
      <c r="C59" s="67" t="str">
        <f>Бюджет!C168</f>
        <v>4\7</v>
      </c>
      <c r="D59" s="67">
        <f>Бюджет!D168</f>
        <v>4</v>
      </c>
      <c r="E59" s="67">
        <f>Бюджет!E168</f>
        <v>1</v>
      </c>
      <c r="F59" s="66">
        <f>Бюджет!F168</f>
        <v>16</v>
      </c>
      <c r="G59" s="66">
        <f>Бюджет!G168</f>
        <v>16</v>
      </c>
      <c r="H59" s="66">
        <f>Бюджет!H168</f>
        <v>50</v>
      </c>
      <c r="I59" s="66">
        <f>Бюджет!I168</f>
        <v>50</v>
      </c>
      <c r="J59" s="66">
        <f>Бюджет!J168</f>
        <v>0</v>
      </c>
      <c r="K59" s="66">
        <f>Бюджет!K168</f>
        <v>0</v>
      </c>
      <c r="L59" s="66">
        <f>Бюджет!L168</f>
        <v>0</v>
      </c>
      <c r="M59" s="66">
        <f>Бюджет!M168</f>
        <v>1.6</v>
      </c>
      <c r="N59" s="66">
        <f>Бюджет!N168</f>
        <v>0</v>
      </c>
      <c r="O59" s="66">
        <f>Бюджет!O168</f>
        <v>0</v>
      </c>
      <c r="P59" s="66">
        <f>Бюджет!P168</f>
        <v>0</v>
      </c>
      <c r="Q59" s="66">
        <f>Бюджет!Q168</f>
        <v>1.8</v>
      </c>
      <c r="R59" s="66">
        <f>Бюджет!R168</f>
        <v>0</v>
      </c>
      <c r="S59" s="66">
        <f>Бюджет!S168</f>
        <v>0</v>
      </c>
      <c r="T59" s="66">
        <f>Бюджет!T168</f>
        <v>0</v>
      </c>
      <c r="U59" s="66">
        <f>Бюджет!U168</f>
        <v>0</v>
      </c>
      <c r="V59" s="66">
        <f>Бюджет!V168</f>
        <v>0</v>
      </c>
      <c r="W59" s="66">
        <f>Бюджет!W168</f>
        <v>0</v>
      </c>
      <c r="X59" s="66">
        <f>Бюджет!X168</f>
        <v>0</v>
      </c>
      <c r="Y59" s="66">
        <f>Бюджет!Y168</f>
        <v>0</v>
      </c>
      <c r="Z59" s="66">
        <f>Бюджет!Z168</f>
        <v>0</v>
      </c>
      <c r="AA59" s="66">
        <f>Бюджет!AA168</f>
        <v>0</v>
      </c>
      <c r="AB59" s="66">
        <f>Бюджет!AB168</f>
        <v>0</v>
      </c>
      <c r="AC59" s="66">
        <f>Бюджет!AC168</f>
        <v>0</v>
      </c>
      <c r="AD59" s="66">
        <f>Бюджет!AD168</f>
        <v>0</v>
      </c>
      <c r="AE59" s="66">
        <f>Бюджет!AE168</f>
        <v>0</v>
      </c>
      <c r="AF59" s="66">
        <f>Бюджет!AF168</f>
        <v>0</v>
      </c>
      <c r="AG59" s="66">
        <f>Бюджет!AG168</f>
        <v>0</v>
      </c>
      <c r="AH59" s="66">
        <f>Бюджет!AH168</f>
        <v>0</v>
      </c>
      <c r="AI59" s="66">
        <f>Бюджет!AI168</f>
        <v>0</v>
      </c>
      <c r="AJ59" s="66">
        <f t="shared" si="6"/>
        <v>69.399999999999991</v>
      </c>
      <c r="AK59" s="74"/>
    </row>
    <row r="60" spans="1:37" s="109" customFormat="1" ht="15" x14ac:dyDescent="0.2">
      <c r="A60" s="60" t="str">
        <f>Бюджет!A169</f>
        <v>Б1.В.11</v>
      </c>
      <c r="B60" s="60" t="str">
        <f>Бюджет!B169</f>
        <v>Лазерная физика</v>
      </c>
      <c r="C60" s="67" t="str">
        <f>Бюджет!C169</f>
        <v>4\7</v>
      </c>
      <c r="D60" s="67">
        <f>Бюджет!D169</f>
        <v>4</v>
      </c>
      <c r="E60" s="67">
        <f>Бюджет!E169</f>
        <v>1</v>
      </c>
      <c r="F60" s="66">
        <f>Бюджет!F169</f>
        <v>34</v>
      </c>
      <c r="G60" s="66">
        <f>Бюджет!G169</f>
        <v>34</v>
      </c>
      <c r="H60" s="66">
        <f>Бюджет!H169</f>
        <v>50</v>
      </c>
      <c r="I60" s="66">
        <f>Бюджет!I169</f>
        <v>50</v>
      </c>
      <c r="J60" s="66">
        <f>Бюджет!J169</f>
        <v>0</v>
      </c>
      <c r="K60" s="66">
        <f>Бюджет!K169</f>
        <v>0</v>
      </c>
      <c r="L60" s="66">
        <f>Бюджет!L169</f>
        <v>0</v>
      </c>
      <c r="M60" s="66">
        <f>Бюджет!M169</f>
        <v>1.6</v>
      </c>
      <c r="N60" s="66">
        <f>Бюджет!N169</f>
        <v>0</v>
      </c>
      <c r="O60" s="66">
        <f>Бюджет!O169</f>
        <v>0</v>
      </c>
      <c r="P60" s="66">
        <f>Бюджет!P169</f>
        <v>0</v>
      </c>
      <c r="Q60" s="66">
        <f>Бюджет!Q169</f>
        <v>2.7</v>
      </c>
      <c r="R60" s="66">
        <f>Бюджет!R169</f>
        <v>0</v>
      </c>
      <c r="S60" s="66">
        <f>Бюджет!S169</f>
        <v>0</v>
      </c>
      <c r="T60" s="66">
        <f>Бюджет!T169</f>
        <v>0</v>
      </c>
      <c r="U60" s="66">
        <f>Бюджет!U169</f>
        <v>0</v>
      </c>
      <c r="V60" s="66">
        <f>Бюджет!V169</f>
        <v>0</v>
      </c>
      <c r="W60" s="66">
        <f>Бюджет!W169</f>
        <v>0</v>
      </c>
      <c r="X60" s="66">
        <f>Бюджет!X169</f>
        <v>0</v>
      </c>
      <c r="Y60" s="66">
        <f>Бюджет!Y169</f>
        <v>0</v>
      </c>
      <c r="Z60" s="66">
        <f>Бюджет!Z169</f>
        <v>0</v>
      </c>
      <c r="AA60" s="66">
        <f>Бюджет!AA169</f>
        <v>0</v>
      </c>
      <c r="AB60" s="66">
        <f>Бюджет!AB169</f>
        <v>0</v>
      </c>
      <c r="AC60" s="66">
        <f>Бюджет!AC169</f>
        <v>0</v>
      </c>
      <c r="AD60" s="66">
        <f>Бюджет!AD169</f>
        <v>0</v>
      </c>
      <c r="AE60" s="66">
        <f>Бюджет!AE169</f>
        <v>0</v>
      </c>
      <c r="AF60" s="66">
        <f>Бюджет!AF169</f>
        <v>0</v>
      </c>
      <c r="AG60" s="66">
        <f>Бюджет!AG169</f>
        <v>0</v>
      </c>
      <c r="AH60" s="66">
        <f>Бюджет!AH169</f>
        <v>0</v>
      </c>
      <c r="AI60" s="66">
        <f>Бюджет!AI169</f>
        <v>0</v>
      </c>
      <c r="AJ60" s="66">
        <f t="shared" si="6"/>
        <v>88.3</v>
      </c>
      <c r="AK60" s="74"/>
    </row>
    <row r="61" spans="1:37" s="109" customFormat="1" ht="15" x14ac:dyDescent="0.2">
      <c r="A61" s="60" t="str">
        <f>Бюджет!A170</f>
        <v>Б1.В.13</v>
      </c>
      <c r="B61" s="60" t="str">
        <f>Бюджет!B170</f>
        <v>Физика магнитных явления</v>
      </c>
      <c r="C61" s="67" t="str">
        <f>Бюджет!C170</f>
        <v>4\8</v>
      </c>
      <c r="D61" s="67">
        <f>Бюджет!D170</f>
        <v>4</v>
      </c>
      <c r="E61" s="67">
        <f>Бюджет!E170</f>
        <v>1</v>
      </c>
      <c r="F61" s="66">
        <f>Бюджет!F170</f>
        <v>24</v>
      </c>
      <c r="G61" s="66">
        <f>Бюджет!G170</f>
        <v>24</v>
      </c>
      <c r="H61" s="66">
        <f>Бюджет!H170</f>
        <v>24</v>
      </c>
      <c r="I61" s="66">
        <f>Бюджет!I170</f>
        <v>24</v>
      </c>
      <c r="J61" s="66">
        <f>Бюджет!J170</f>
        <v>0</v>
      </c>
      <c r="K61" s="66">
        <f>Бюджет!K170</f>
        <v>0</v>
      </c>
      <c r="L61" s="66">
        <f>Бюджет!L170</f>
        <v>0</v>
      </c>
      <c r="M61" s="66">
        <f>Бюджет!M170</f>
        <v>1.6</v>
      </c>
      <c r="N61" s="66">
        <f>Бюджет!N170</f>
        <v>0</v>
      </c>
      <c r="O61" s="66">
        <f>Бюджет!O170</f>
        <v>0</v>
      </c>
      <c r="P61" s="66">
        <f>Бюджет!P170</f>
        <v>0</v>
      </c>
      <c r="Q61" s="66">
        <f>Бюджет!Q170</f>
        <v>2.2000000000000002</v>
      </c>
      <c r="R61" s="66">
        <f>Бюджет!R170</f>
        <v>0</v>
      </c>
      <c r="S61" s="66">
        <f>Бюджет!S170</f>
        <v>0</v>
      </c>
      <c r="T61" s="66">
        <f>Бюджет!T170</f>
        <v>0</v>
      </c>
      <c r="U61" s="66">
        <f>Бюджет!U170</f>
        <v>0</v>
      </c>
      <c r="V61" s="66">
        <f>Бюджет!V170</f>
        <v>0</v>
      </c>
      <c r="W61" s="66">
        <f>Бюджет!W170</f>
        <v>0</v>
      </c>
      <c r="X61" s="66">
        <f>Бюджет!X170</f>
        <v>0</v>
      </c>
      <c r="Y61" s="66">
        <f>Бюджет!Y170</f>
        <v>0</v>
      </c>
      <c r="Z61" s="66">
        <f>Бюджет!Z170</f>
        <v>0</v>
      </c>
      <c r="AA61" s="66">
        <f>Бюджет!AA170</f>
        <v>0</v>
      </c>
      <c r="AB61" s="66">
        <f>Бюджет!AB170</f>
        <v>0</v>
      </c>
      <c r="AC61" s="66">
        <f>Бюджет!AC170</f>
        <v>0</v>
      </c>
      <c r="AD61" s="66">
        <f>Бюджет!AD170</f>
        <v>0</v>
      </c>
      <c r="AE61" s="66">
        <f>Бюджет!AE170</f>
        <v>0</v>
      </c>
      <c r="AF61" s="66">
        <f>Бюджет!AF170</f>
        <v>0</v>
      </c>
      <c r="AG61" s="66">
        <f>Бюджет!AG170</f>
        <v>0</v>
      </c>
      <c r="AH61" s="66">
        <f>Бюджет!AH170</f>
        <v>0</v>
      </c>
      <c r="AI61" s="66">
        <f>Бюджет!AI170</f>
        <v>0</v>
      </c>
      <c r="AJ61" s="66">
        <f t="shared" si="6"/>
        <v>51.800000000000004</v>
      </c>
      <c r="AK61" s="74"/>
    </row>
    <row r="62" spans="1:37" s="109" customFormat="1" ht="15" x14ac:dyDescent="0.2">
      <c r="A62" s="60" t="str">
        <f>Бюджет!A171</f>
        <v>Б1.В.14</v>
      </c>
      <c r="B62" s="60" t="str">
        <f>Бюджет!B171</f>
        <v>Физика диэлектриков</v>
      </c>
      <c r="C62" s="67" t="str">
        <f>Бюджет!C171</f>
        <v>4\8</v>
      </c>
      <c r="D62" s="67">
        <f>Бюджет!D171</f>
        <v>4</v>
      </c>
      <c r="E62" s="67">
        <f>Бюджет!E171</f>
        <v>1</v>
      </c>
      <c r="F62" s="66">
        <f>Бюджет!F171</f>
        <v>24</v>
      </c>
      <c r="G62" s="66">
        <f>Бюджет!G171</f>
        <v>24</v>
      </c>
      <c r="H62" s="66">
        <f>Бюджет!H171</f>
        <v>36</v>
      </c>
      <c r="I62" s="66">
        <f>Бюджет!I171</f>
        <v>36</v>
      </c>
      <c r="J62" s="66">
        <f>Бюджет!J171</f>
        <v>0</v>
      </c>
      <c r="K62" s="66">
        <f>Бюджет!K171</f>
        <v>1.2</v>
      </c>
      <c r="L62" s="66">
        <f>Бюджет!L171</f>
        <v>0</v>
      </c>
      <c r="M62" s="66">
        <f>Бюджет!M171</f>
        <v>0</v>
      </c>
      <c r="N62" s="66">
        <f>Бюджет!N171</f>
        <v>0</v>
      </c>
      <c r="O62" s="66">
        <f>Бюджет!O171</f>
        <v>0</v>
      </c>
      <c r="P62" s="66">
        <f>Бюджет!P171</f>
        <v>0</v>
      </c>
      <c r="Q62" s="66">
        <f>Бюджет!Q171</f>
        <v>1.2000000000000002</v>
      </c>
      <c r="R62" s="66">
        <f>Бюджет!R171</f>
        <v>0</v>
      </c>
      <c r="S62" s="66">
        <f>Бюджет!S171</f>
        <v>0</v>
      </c>
      <c r="T62" s="66">
        <f>Бюджет!T171</f>
        <v>0</v>
      </c>
      <c r="U62" s="66">
        <f>Бюджет!U171</f>
        <v>0</v>
      </c>
      <c r="V62" s="66">
        <f>Бюджет!V171</f>
        <v>0</v>
      </c>
      <c r="W62" s="66">
        <f>Бюджет!W171</f>
        <v>0</v>
      </c>
      <c r="X62" s="66">
        <f>Бюджет!X171</f>
        <v>0</v>
      </c>
      <c r="Y62" s="66">
        <f>Бюджет!Y171</f>
        <v>0</v>
      </c>
      <c r="Z62" s="66">
        <f>Бюджет!Z171</f>
        <v>0</v>
      </c>
      <c r="AA62" s="66">
        <f>Бюджет!AA171</f>
        <v>0</v>
      </c>
      <c r="AB62" s="66">
        <f>Бюджет!AB171</f>
        <v>0</v>
      </c>
      <c r="AC62" s="66">
        <f>Бюджет!AC171</f>
        <v>0</v>
      </c>
      <c r="AD62" s="66">
        <f>Бюджет!AD171</f>
        <v>0</v>
      </c>
      <c r="AE62" s="66">
        <f>Бюджет!AE171</f>
        <v>0</v>
      </c>
      <c r="AF62" s="66">
        <f>Бюджет!AF171</f>
        <v>0</v>
      </c>
      <c r="AG62" s="66">
        <f>Бюджет!AG171</f>
        <v>0</v>
      </c>
      <c r="AH62" s="66">
        <f>Бюджет!AH171</f>
        <v>0</v>
      </c>
      <c r="AI62" s="66">
        <f>Бюджет!AI171</f>
        <v>0</v>
      </c>
      <c r="AJ62" s="66">
        <f t="shared" si="6"/>
        <v>62.400000000000006</v>
      </c>
      <c r="AK62" s="74"/>
    </row>
    <row r="63" spans="1:37" s="109" customFormat="1" ht="30" x14ac:dyDescent="0.2">
      <c r="A63" s="60" t="str">
        <f>Бюджет!A172</f>
        <v>Б1.В.ДВ.01.01</v>
      </c>
      <c r="B63" s="60" t="str">
        <f>Бюджет!B172</f>
        <v>Методы исследования физики конденсированного состояния</v>
      </c>
      <c r="C63" s="67" t="str">
        <f>Бюджет!C172</f>
        <v>4\7</v>
      </c>
      <c r="D63" s="67">
        <f>Бюджет!D172</f>
        <v>4</v>
      </c>
      <c r="E63" s="67">
        <f>Бюджет!E172</f>
        <v>1</v>
      </c>
      <c r="F63" s="66">
        <f>Бюджет!F172</f>
        <v>34</v>
      </c>
      <c r="G63" s="66">
        <f>Бюджет!G172</f>
        <v>34</v>
      </c>
      <c r="H63" s="66">
        <f>Бюджет!H172</f>
        <v>0</v>
      </c>
      <c r="I63" s="66">
        <f>Бюджет!I172</f>
        <v>0</v>
      </c>
      <c r="J63" s="66">
        <f>Бюджет!J172</f>
        <v>34</v>
      </c>
      <c r="K63" s="66">
        <f>Бюджет!K172</f>
        <v>1.2</v>
      </c>
      <c r="L63" s="66">
        <f>Бюджет!L172</f>
        <v>0</v>
      </c>
      <c r="M63" s="66">
        <f>Бюджет!M172</f>
        <v>0</v>
      </c>
      <c r="N63" s="66">
        <f>Бюджет!N172</f>
        <v>0</v>
      </c>
      <c r="O63" s="66">
        <f>Бюджет!O172</f>
        <v>0</v>
      </c>
      <c r="P63" s="66">
        <f>Бюджет!P172</f>
        <v>0</v>
      </c>
      <c r="Q63" s="66">
        <f>Бюджет!Q172</f>
        <v>1.7000000000000002</v>
      </c>
      <c r="R63" s="66">
        <f>Бюджет!R172</f>
        <v>0</v>
      </c>
      <c r="S63" s="66">
        <f>Бюджет!S172</f>
        <v>0</v>
      </c>
      <c r="T63" s="66">
        <f>Бюджет!T172</f>
        <v>0</v>
      </c>
      <c r="U63" s="66">
        <f>Бюджет!U172</f>
        <v>0</v>
      </c>
      <c r="V63" s="66">
        <f>Бюджет!V172</f>
        <v>0</v>
      </c>
      <c r="W63" s="66">
        <f>Бюджет!W172</f>
        <v>0</v>
      </c>
      <c r="X63" s="66">
        <f>Бюджет!X172</f>
        <v>0</v>
      </c>
      <c r="Y63" s="66">
        <f>Бюджет!Y172</f>
        <v>0</v>
      </c>
      <c r="Z63" s="66">
        <f>Бюджет!Z172</f>
        <v>0</v>
      </c>
      <c r="AA63" s="66">
        <f>Бюджет!AA172</f>
        <v>0</v>
      </c>
      <c r="AB63" s="66">
        <f>Бюджет!AB172</f>
        <v>0</v>
      </c>
      <c r="AC63" s="66">
        <f>Бюджет!AC172</f>
        <v>0</v>
      </c>
      <c r="AD63" s="66">
        <f>Бюджет!AD172</f>
        <v>0</v>
      </c>
      <c r="AE63" s="66">
        <f>Бюджет!AE172</f>
        <v>0</v>
      </c>
      <c r="AF63" s="66">
        <f>Бюджет!AF172</f>
        <v>0</v>
      </c>
      <c r="AG63" s="66">
        <f>Бюджет!AG172</f>
        <v>0</v>
      </c>
      <c r="AH63" s="66">
        <f>Бюджет!AH172</f>
        <v>0</v>
      </c>
      <c r="AI63" s="66">
        <f>Бюджет!AI172</f>
        <v>0</v>
      </c>
      <c r="AJ63" s="66">
        <f t="shared" si="6"/>
        <v>70.900000000000006</v>
      </c>
      <c r="AK63" s="74"/>
    </row>
    <row r="64" spans="1:37" s="109" customFormat="1" ht="15" x14ac:dyDescent="0.2">
      <c r="A64" s="60" t="str">
        <f>Бюджет!A173</f>
        <v>Б1.В.ДВ.02.01</v>
      </c>
      <c r="B64" s="60" t="str">
        <f>Бюджет!B173</f>
        <v>Лазерная спектроскопия</v>
      </c>
      <c r="C64" s="67" t="str">
        <f>Бюджет!C173</f>
        <v>4\7</v>
      </c>
      <c r="D64" s="67">
        <f>Бюджет!D173</f>
        <v>4</v>
      </c>
      <c r="E64" s="67">
        <f>Бюджет!E173</f>
        <v>1</v>
      </c>
      <c r="F64" s="66">
        <f>Бюджет!F173</f>
        <v>34</v>
      </c>
      <c r="G64" s="66">
        <f>Бюджет!G173</f>
        <v>34</v>
      </c>
      <c r="H64" s="66">
        <f>Бюджет!H173</f>
        <v>34</v>
      </c>
      <c r="I64" s="66">
        <f>Бюджет!I173</f>
        <v>34</v>
      </c>
      <c r="J64" s="66">
        <f>Бюджет!J173</f>
        <v>0</v>
      </c>
      <c r="K64" s="66">
        <f>Бюджет!K173</f>
        <v>0</v>
      </c>
      <c r="L64" s="66">
        <f>Бюджет!L173</f>
        <v>0</v>
      </c>
      <c r="M64" s="66">
        <f>Бюджет!M173</f>
        <v>1.6</v>
      </c>
      <c r="N64" s="66">
        <f>Бюджет!N173</f>
        <v>0</v>
      </c>
      <c r="O64" s="66">
        <f>Бюджет!O173</f>
        <v>0</v>
      </c>
      <c r="P64" s="66">
        <f>Бюджет!P173</f>
        <v>0</v>
      </c>
      <c r="Q64" s="66">
        <f>Бюджет!Q173</f>
        <v>2.7</v>
      </c>
      <c r="R64" s="66">
        <f>Бюджет!R173</f>
        <v>0</v>
      </c>
      <c r="S64" s="66">
        <f>Бюджет!S173</f>
        <v>0</v>
      </c>
      <c r="T64" s="66">
        <f>Бюджет!T173</f>
        <v>0</v>
      </c>
      <c r="U64" s="66">
        <f>Бюджет!U173</f>
        <v>0</v>
      </c>
      <c r="V64" s="66">
        <f>Бюджет!V173</f>
        <v>0</v>
      </c>
      <c r="W64" s="66">
        <f>Бюджет!W173</f>
        <v>0</v>
      </c>
      <c r="X64" s="66">
        <f>Бюджет!X173</f>
        <v>0</v>
      </c>
      <c r="Y64" s="66">
        <f>Бюджет!Y173</f>
        <v>0</v>
      </c>
      <c r="Z64" s="66">
        <f>Бюджет!Z173</f>
        <v>0</v>
      </c>
      <c r="AA64" s="66">
        <f>Бюджет!AA173</f>
        <v>0</v>
      </c>
      <c r="AB64" s="66">
        <f>Бюджет!AB173</f>
        <v>0</v>
      </c>
      <c r="AC64" s="66">
        <f>Бюджет!AC173</f>
        <v>0</v>
      </c>
      <c r="AD64" s="66">
        <f>Бюджет!AD173</f>
        <v>0</v>
      </c>
      <c r="AE64" s="66">
        <f>Бюджет!AE173</f>
        <v>0</v>
      </c>
      <c r="AF64" s="66">
        <f>Бюджет!AF173</f>
        <v>0</v>
      </c>
      <c r="AG64" s="66">
        <f>Бюджет!AG173</f>
        <v>0</v>
      </c>
      <c r="AH64" s="66">
        <f>Бюджет!AH173</f>
        <v>0</v>
      </c>
      <c r="AI64" s="66">
        <f>Бюджет!AI173</f>
        <v>0</v>
      </c>
      <c r="AJ64" s="66">
        <f t="shared" si="6"/>
        <v>72.3</v>
      </c>
      <c r="AK64" s="74"/>
    </row>
    <row r="65" spans="1:37" s="109" customFormat="1" ht="15" x14ac:dyDescent="0.2">
      <c r="A65" s="60" t="str">
        <f>Бюджет!A174</f>
        <v>Б1.В.03(Пд)</v>
      </c>
      <c r="B65" s="60" t="str">
        <f>Бюджет!B174</f>
        <v>Преддипломная практика (5 1/3 нед.)</v>
      </c>
      <c r="C65" s="67" t="str">
        <f>Бюджет!C174</f>
        <v>4\8</v>
      </c>
      <c r="D65" s="67">
        <f>Бюджет!D174</f>
        <v>4</v>
      </c>
      <c r="E65" s="67">
        <f>Бюджет!E174</f>
        <v>1</v>
      </c>
      <c r="F65" s="66">
        <f>Бюджет!F174</f>
        <v>0</v>
      </c>
      <c r="G65" s="66">
        <f>Бюджет!G174</f>
        <v>0</v>
      </c>
      <c r="H65" s="66">
        <f>Бюджет!H174</f>
        <v>0</v>
      </c>
      <c r="I65" s="66">
        <f>Бюджет!I174</f>
        <v>0</v>
      </c>
      <c r="J65" s="66">
        <f>Бюджет!J174</f>
        <v>0</v>
      </c>
      <c r="K65" s="66">
        <f>Бюджет!K174</f>
        <v>0</v>
      </c>
      <c r="L65" s="66">
        <f>Бюджет!L174</f>
        <v>0</v>
      </c>
      <c r="M65" s="66">
        <f>Бюджет!M174</f>
        <v>0</v>
      </c>
      <c r="N65" s="66">
        <f>Бюджет!N174</f>
        <v>0</v>
      </c>
      <c r="O65" s="66">
        <f>Бюджет!O174</f>
        <v>0</v>
      </c>
      <c r="P65" s="66">
        <f>Бюджет!P174</f>
        <v>0</v>
      </c>
      <c r="Q65" s="66">
        <f>Бюджет!Q174</f>
        <v>0</v>
      </c>
      <c r="R65" s="66">
        <f>Бюджет!R174</f>
        <v>0</v>
      </c>
      <c r="S65" s="66">
        <f>Бюджет!S174</f>
        <v>0</v>
      </c>
      <c r="T65" s="66">
        <f>Бюджет!T174</f>
        <v>21.333333333333332</v>
      </c>
      <c r="U65" s="66">
        <f>Бюджет!U174</f>
        <v>0</v>
      </c>
      <c r="V65" s="66">
        <f>Бюджет!V174</f>
        <v>0</v>
      </c>
      <c r="W65" s="66">
        <f>Бюджет!W174</f>
        <v>0</v>
      </c>
      <c r="X65" s="66">
        <f>Бюджет!X174</f>
        <v>0</v>
      </c>
      <c r="Y65" s="66">
        <f>Бюджет!Y174</f>
        <v>0</v>
      </c>
      <c r="Z65" s="66">
        <f>Бюджет!Z174</f>
        <v>0</v>
      </c>
      <c r="AA65" s="66">
        <f>Бюджет!AA174</f>
        <v>0</v>
      </c>
      <c r="AB65" s="66">
        <f>Бюджет!AB174</f>
        <v>0</v>
      </c>
      <c r="AC65" s="66">
        <f>Бюджет!AC174</f>
        <v>0</v>
      </c>
      <c r="AD65" s="66">
        <f>Бюджет!AD174</f>
        <v>0</v>
      </c>
      <c r="AE65" s="66">
        <f>Бюджет!AE174</f>
        <v>0</v>
      </c>
      <c r="AF65" s="66">
        <f>Бюджет!AF174</f>
        <v>0</v>
      </c>
      <c r="AG65" s="66">
        <f>Бюджет!AG174</f>
        <v>0</v>
      </c>
      <c r="AH65" s="66">
        <f>Бюджет!AH174</f>
        <v>0</v>
      </c>
      <c r="AI65" s="66">
        <f>Бюджет!AI174</f>
        <v>0</v>
      </c>
      <c r="AJ65" s="66">
        <f t="shared" si="6"/>
        <v>21.333333333333332</v>
      </c>
      <c r="AK65" s="74"/>
    </row>
    <row r="66" spans="1:37" s="109" customFormat="1" ht="15" x14ac:dyDescent="0.2">
      <c r="A66" s="60">
        <f>Бюджет!A175</f>
        <v>0</v>
      </c>
      <c r="B66" s="60" t="str">
        <f>Бюджет!B175</f>
        <v>Руководство ВКР</v>
      </c>
      <c r="C66" s="67" t="str">
        <f>Бюджет!C175</f>
        <v>4\8</v>
      </c>
      <c r="D66" s="67">
        <f>Бюджет!D175</f>
        <v>4</v>
      </c>
      <c r="E66" s="67">
        <f>Бюджет!E175</f>
        <v>1</v>
      </c>
      <c r="F66" s="66">
        <f>Бюджет!F175</f>
        <v>0</v>
      </c>
      <c r="G66" s="66" t="str">
        <f>Бюджет!G175</f>
        <v xml:space="preserve"> </v>
      </c>
      <c r="H66" s="66">
        <f>Бюджет!H175</f>
        <v>0</v>
      </c>
      <c r="I66" s="66">
        <f>Бюджет!I175</f>
        <v>0</v>
      </c>
      <c r="J66" s="66">
        <f>Бюджет!J175</f>
        <v>0</v>
      </c>
      <c r="K66" s="66">
        <f>Бюджет!K175</f>
        <v>0</v>
      </c>
      <c r="L66" s="66">
        <f>Бюджет!L175</f>
        <v>0</v>
      </c>
      <c r="M66" s="66">
        <f>Бюджет!M175</f>
        <v>0</v>
      </c>
      <c r="N66" s="66">
        <f>Бюджет!N175</f>
        <v>0</v>
      </c>
      <c r="O66" s="66">
        <f>Бюджет!O175</f>
        <v>0</v>
      </c>
      <c r="P66" s="66">
        <f>Бюджет!P175</f>
        <v>0</v>
      </c>
      <c r="Q66" s="66">
        <f>Бюджет!Q175</f>
        <v>0</v>
      </c>
      <c r="R66" s="66">
        <f>Бюджет!R175</f>
        <v>0</v>
      </c>
      <c r="S66" s="66">
        <f>Бюджет!S175</f>
        <v>0</v>
      </c>
      <c r="T66" s="66">
        <f>Бюджет!T175</f>
        <v>0</v>
      </c>
      <c r="U66" s="66">
        <f>Бюджет!U175</f>
        <v>0</v>
      </c>
      <c r="V66" s="66">
        <f>Бюджет!V175</f>
        <v>0</v>
      </c>
      <c r="W66" s="66">
        <f>Бюджет!W175</f>
        <v>64</v>
      </c>
      <c r="X66" s="66">
        <f>Бюджет!X175</f>
        <v>0</v>
      </c>
      <c r="Y66" s="66">
        <f>Бюджет!Y175</f>
        <v>0</v>
      </c>
      <c r="Z66" s="66">
        <f>Бюджет!Z175</f>
        <v>0</v>
      </c>
      <c r="AA66" s="66">
        <f>Бюджет!AA175</f>
        <v>0</v>
      </c>
      <c r="AB66" s="66">
        <f>Бюджет!AB175</f>
        <v>0</v>
      </c>
      <c r="AC66" s="66">
        <f>Бюджет!AC175</f>
        <v>0</v>
      </c>
      <c r="AD66" s="66">
        <f>Бюджет!AD175</f>
        <v>0</v>
      </c>
      <c r="AE66" s="66">
        <f>Бюджет!AE175</f>
        <v>0</v>
      </c>
      <c r="AF66" s="66">
        <f>Бюджет!AF175</f>
        <v>0</v>
      </c>
      <c r="AG66" s="66">
        <f>Бюджет!AG175</f>
        <v>0</v>
      </c>
      <c r="AH66" s="66">
        <f>Бюджет!AH175</f>
        <v>0</v>
      </c>
      <c r="AI66" s="66">
        <f>Бюджет!AI175</f>
        <v>0</v>
      </c>
      <c r="AJ66" s="66">
        <f t="shared" si="6"/>
        <v>64</v>
      </c>
      <c r="AK66" s="74"/>
    </row>
    <row r="67" spans="1:37" s="109" customFormat="1" ht="15.75" x14ac:dyDescent="0.2">
      <c r="A67" s="74"/>
      <c r="B67" s="94" t="s">
        <v>229</v>
      </c>
      <c r="C67" s="91"/>
      <c r="D67" s="91"/>
      <c r="E67" s="91"/>
      <c r="F67" s="88">
        <f t="shared" ref="F67:AJ67" si="9">SUM(F37:F66)</f>
        <v>518</v>
      </c>
      <c r="G67" s="88">
        <f t="shared" si="9"/>
        <v>306</v>
      </c>
      <c r="H67" s="88">
        <f t="shared" si="9"/>
        <v>544</v>
      </c>
      <c r="I67" s="88">
        <f t="shared" si="9"/>
        <v>452</v>
      </c>
      <c r="J67" s="88">
        <f t="shared" si="9"/>
        <v>562</v>
      </c>
      <c r="K67" s="88">
        <f t="shared" si="9"/>
        <v>8.1</v>
      </c>
      <c r="L67" s="88">
        <f t="shared" si="9"/>
        <v>0</v>
      </c>
      <c r="M67" s="88">
        <f t="shared" si="9"/>
        <v>54.800000000000011</v>
      </c>
      <c r="N67" s="88">
        <f t="shared" si="9"/>
        <v>0</v>
      </c>
      <c r="O67" s="88">
        <f t="shared" si="9"/>
        <v>0</v>
      </c>
      <c r="P67" s="88">
        <f t="shared" si="9"/>
        <v>0</v>
      </c>
      <c r="Q67" s="88">
        <f t="shared" si="9"/>
        <v>20.299999999999997</v>
      </c>
      <c r="R67" s="88">
        <f t="shared" si="9"/>
        <v>0</v>
      </c>
      <c r="S67" s="88">
        <f t="shared" si="9"/>
        <v>0</v>
      </c>
      <c r="T67" s="88">
        <f t="shared" si="9"/>
        <v>38</v>
      </c>
      <c r="U67" s="88">
        <f t="shared" si="9"/>
        <v>0</v>
      </c>
      <c r="V67" s="88">
        <f t="shared" si="9"/>
        <v>24</v>
      </c>
      <c r="W67" s="88">
        <f t="shared" si="9"/>
        <v>64</v>
      </c>
      <c r="X67" s="88">
        <f t="shared" si="9"/>
        <v>0</v>
      </c>
      <c r="Y67" s="88">
        <f t="shared" si="9"/>
        <v>0</v>
      </c>
      <c r="Z67" s="88">
        <f t="shared" si="9"/>
        <v>0</v>
      </c>
      <c r="AA67" s="88">
        <f t="shared" si="9"/>
        <v>0</v>
      </c>
      <c r="AB67" s="88">
        <f t="shared" si="9"/>
        <v>35</v>
      </c>
      <c r="AC67" s="88">
        <f t="shared" si="9"/>
        <v>0</v>
      </c>
      <c r="AD67" s="88">
        <f t="shared" si="9"/>
        <v>0</v>
      </c>
      <c r="AE67" s="88">
        <f t="shared" si="9"/>
        <v>0</v>
      </c>
      <c r="AF67" s="88">
        <f t="shared" si="9"/>
        <v>0</v>
      </c>
      <c r="AG67" s="88">
        <f t="shared" si="9"/>
        <v>0</v>
      </c>
      <c r="AH67" s="88">
        <f t="shared" si="9"/>
        <v>0</v>
      </c>
      <c r="AI67" s="88">
        <f t="shared" si="9"/>
        <v>38</v>
      </c>
      <c r="AJ67" s="88">
        <f t="shared" si="9"/>
        <v>1602.2</v>
      </c>
      <c r="AK67" s="74"/>
    </row>
    <row r="68" spans="1:37" s="109" customFormat="1" ht="15.75" x14ac:dyDescent="0.2">
      <c r="A68" s="74"/>
      <c r="B68" s="120"/>
      <c r="C68" s="275"/>
      <c r="D68" s="275"/>
      <c r="E68" s="275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66">
        <f t="shared" ref="AJ68:AJ102" si="10">SUM(G68,I68:AI68)</f>
        <v>0</v>
      </c>
      <c r="AK68" s="74"/>
    </row>
    <row r="69" spans="1:37" s="109" customFormat="1" ht="15.75" x14ac:dyDescent="0.2">
      <c r="A69" s="74"/>
      <c r="B69" s="60"/>
      <c r="C69" s="74"/>
      <c r="D69" s="74"/>
      <c r="E69" s="74"/>
      <c r="F69" s="70"/>
      <c r="G69" s="70"/>
      <c r="H69" s="70"/>
      <c r="I69" s="70"/>
      <c r="J69" s="389" t="str">
        <f>Бюджет!L203</f>
        <v>11.03.04  Электроника и наноэлектроника</v>
      </c>
      <c r="K69" s="389"/>
      <c r="L69" s="389"/>
      <c r="M69" s="389"/>
      <c r="N69" s="389"/>
      <c r="O69" s="389"/>
      <c r="P69" s="389"/>
      <c r="Q69" s="389"/>
      <c r="R69" s="389"/>
      <c r="S69" s="389"/>
      <c r="T69" s="389"/>
      <c r="U69" s="389"/>
      <c r="V69" s="389"/>
      <c r="W69" s="389"/>
      <c r="X69" s="389"/>
      <c r="Y69" s="389"/>
      <c r="Z69" s="389"/>
      <c r="AA69" s="389"/>
      <c r="AB69" s="389"/>
      <c r="AC69" s="389"/>
      <c r="AD69" s="70"/>
      <c r="AE69" s="70"/>
      <c r="AF69" s="70"/>
      <c r="AG69" s="70"/>
      <c r="AH69" s="70"/>
      <c r="AI69" s="70"/>
      <c r="AJ69" s="66">
        <f t="shared" si="10"/>
        <v>0</v>
      </c>
      <c r="AK69" s="74"/>
    </row>
    <row r="70" spans="1:37" s="109" customFormat="1" ht="15.75" x14ac:dyDescent="0.2">
      <c r="A70" s="74"/>
      <c r="B70" s="60"/>
      <c r="C70" s="74"/>
      <c r="D70" s="74"/>
      <c r="E70" s="74"/>
      <c r="F70" s="70" t="s">
        <v>184</v>
      </c>
      <c r="G70" s="70"/>
      <c r="H70" s="70"/>
      <c r="I70" s="70"/>
      <c r="J70" s="390" t="str">
        <f>Бюджет!K204</f>
        <v>профиль "Электроника и наноэлектроника"</v>
      </c>
      <c r="K70" s="390"/>
      <c r="L70" s="390"/>
      <c r="M70" s="390"/>
      <c r="N70" s="390"/>
      <c r="O70" s="390"/>
      <c r="P70" s="390"/>
      <c r="Q70" s="390"/>
      <c r="R70" s="390"/>
      <c r="S70" s="390"/>
      <c r="T70" s="390"/>
      <c r="U70" s="390"/>
      <c r="V70" s="390"/>
      <c r="W70" s="390"/>
      <c r="X70" s="390"/>
      <c r="Y70" s="390"/>
      <c r="Z70" s="390"/>
      <c r="AA70" s="390"/>
      <c r="AB70" s="390"/>
      <c r="AC70" s="390"/>
      <c r="AD70" s="70"/>
      <c r="AE70" s="70"/>
      <c r="AF70" s="70"/>
      <c r="AG70" s="70"/>
      <c r="AH70" s="70"/>
      <c r="AI70" s="70"/>
      <c r="AJ70" s="66">
        <f t="shared" si="10"/>
        <v>0</v>
      </c>
      <c r="AK70" s="74"/>
    </row>
    <row r="71" spans="1:37" s="109" customFormat="1" ht="15" x14ac:dyDescent="0.2">
      <c r="A71" s="60" t="str">
        <f>Бюджет!A206</f>
        <v>Б1.О.12</v>
      </c>
      <c r="B71" s="60" t="str">
        <f>Бюджет!B206</f>
        <v>Теория измерений (поток НЭ, ИБ, ИСТ)</v>
      </c>
      <c r="C71" s="67" t="str">
        <f>Бюджет!C206</f>
        <v>1\1</v>
      </c>
      <c r="D71" s="67">
        <f>Бюджет!D206</f>
        <v>32</v>
      </c>
      <c r="E71" s="67">
        <f>Бюджет!E206</f>
        <v>1</v>
      </c>
      <c r="F71" s="66">
        <f>Бюджет!F206</f>
        <v>16</v>
      </c>
      <c r="G71" s="66">
        <f>Бюджет!G206</f>
        <v>16</v>
      </c>
      <c r="H71" s="66">
        <f>Бюджет!H206</f>
        <v>0</v>
      </c>
      <c r="I71" s="66">
        <f>Бюджет!I206</f>
        <v>0</v>
      </c>
      <c r="J71" s="66">
        <f>Бюджет!J206</f>
        <v>32</v>
      </c>
      <c r="K71" s="66">
        <f>Бюджет!K206</f>
        <v>9.6</v>
      </c>
      <c r="L71" s="66">
        <f>Бюджет!L206</f>
        <v>0</v>
      </c>
      <c r="M71" s="66">
        <f>Бюджет!M206</f>
        <v>0</v>
      </c>
      <c r="N71" s="66">
        <f>Бюджет!N206</f>
        <v>0</v>
      </c>
      <c r="O71" s="66">
        <f>Бюджет!O206</f>
        <v>0</v>
      </c>
      <c r="P71" s="66">
        <f>Бюджет!P206</f>
        <v>0</v>
      </c>
      <c r="Q71" s="66">
        <f>Бюджет!Q206</f>
        <v>0.8</v>
      </c>
      <c r="R71" s="66">
        <f>Бюджет!R206</f>
        <v>0</v>
      </c>
      <c r="S71" s="66">
        <f>Бюджет!S206</f>
        <v>0</v>
      </c>
      <c r="T71" s="66">
        <f>Бюджет!T206</f>
        <v>0</v>
      </c>
      <c r="U71" s="66">
        <f>Бюджет!U206</f>
        <v>0</v>
      </c>
      <c r="V71" s="66">
        <f>Бюджет!V206</f>
        <v>0</v>
      </c>
      <c r="W71" s="66">
        <f>Бюджет!W206</f>
        <v>0</v>
      </c>
      <c r="X71" s="66">
        <f>Бюджет!X206</f>
        <v>0</v>
      </c>
      <c r="Y71" s="66">
        <f>Бюджет!Y206</f>
        <v>0</v>
      </c>
      <c r="Z71" s="66">
        <f>Бюджет!Z206</f>
        <v>0</v>
      </c>
      <c r="AA71" s="66">
        <f>Бюджет!AA206</f>
        <v>0</v>
      </c>
      <c r="AB71" s="66">
        <f>Бюджет!AB206</f>
        <v>0</v>
      </c>
      <c r="AC71" s="66">
        <f>Бюджет!AC206</f>
        <v>0</v>
      </c>
      <c r="AD71" s="66">
        <f>Бюджет!AD206</f>
        <v>0</v>
      </c>
      <c r="AE71" s="66">
        <f>Бюджет!AE206</f>
        <v>0</v>
      </c>
      <c r="AF71" s="66">
        <f>Бюджет!AF206</f>
        <v>0</v>
      </c>
      <c r="AG71" s="66">
        <f>Бюджет!AG206</f>
        <v>0</v>
      </c>
      <c r="AH71" s="66">
        <f>Бюджет!AH206</f>
        <v>0</v>
      </c>
      <c r="AI71" s="66">
        <f>Бюджет!AI206</f>
        <v>0</v>
      </c>
      <c r="AJ71" s="66">
        <f t="shared" si="10"/>
        <v>58.4</v>
      </c>
      <c r="AK71" s="74"/>
    </row>
    <row r="72" spans="1:37" s="109" customFormat="1" ht="30" x14ac:dyDescent="0.2">
      <c r="A72" s="60" t="str">
        <f>Бюджет!A210</f>
        <v>Б1.О.14.01</v>
      </c>
      <c r="B72" s="60" t="str">
        <f>Бюджет!B210</f>
        <v>Механика и молекулярная физика (поток НЭ, ИБ, ИСТ)</v>
      </c>
      <c r="C72" s="67" t="str">
        <f>Бюджет!C210</f>
        <v>1\2</v>
      </c>
      <c r="D72" s="67">
        <f>Бюджет!D210</f>
        <v>32</v>
      </c>
      <c r="E72" s="67">
        <f>Бюджет!E210</f>
        <v>1</v>
      </c>
      <c r="F72" s="66">
        <f>Бюджет!F210</f>
        <v>60</v>
      </c>
      <c r="G72" s="66">
        <f>Бюджет!G210</f>
        <v>60</v>
      </c>
      <c r="H72" s="66"/>
      <c r="I72" s="66"/>
      <c r="J72" s="66">
        <f>Бюджет!J210</f>
        <v>40</v>
      </c>
      <c r="K72" s="66">
        <f>Бюджет!K210</f>
        <v>0</v>
      </c>
      <c r="L72" s="66">
        <f>Бюджет!L210</f>
        <v>0</v>
      </c>
      <c r="M72" s="66">
        <f>Бюджет!M210</f>
        <v>12.8</v>
      </c>
      <c r="N72" s="66">
        <f>Бюджет!N210</f>
        <v>0</v>
      </c>
      <c r="O72" s="66">
        <f>Бюджет!O210</f>
        <v>0</v>
      </c>
      <c r="P72" s="66">
        <f>Бюджет!P210</f>
        <v>0</v>
      </c>
      <c r="Q72" s="66">
        <f>Бюджет!Q210</f>
        <v>4</v>
      </c>
      <c r="R72" s="66">
        <f>Бюджет!R210</f>
        <v>0</v>
      </c>
      <c r="S72" s="66">
        <f>Бюджет!S210</f>
        <v>0</v>
      </c>
      <c r="T72" s="66">
        <f>Бюджет!T210</f>
        <v>0</v>
      </c>
      <c r="U72" s="66">
        <f>Бюджет!U210</f>
        <v>0</v>
      </c>
      <c r="V72" s="66">
        <f>Бюджет!V210</f>
        <v>0</v>
      </c>
      <c r="W72" s="66">
        <f>Бюджет!W210</f>
        <v>0</v>
      </c>
      <c r="X72" s="66">
        <f>Бюджет!X210</f>
        <v>0</v>
      </c>
      <c r="Y72" s="66">
        <f>Бюджет!Y210</f>
        <v>0</v>
      </c>
      <c r="Z72" s="66">
        <f>Бюджет!Z210</f>
        <v>0</v>
      </c>
      <c r="AA72" s="66">
        <f>Бюджет!AA210</f>
        <v>0</v>
      </c>
      <c r="AB72" s="66">
        <f>Бюджет!AB210</f>
        <v>0</v>
      </c>
      <c r="AC72" s="66">
        <f>Бюджет!AC210</f>
        <v>0</v>
      </c>
      <c r="AD72" s="66">
        <f>Бюджет!AD210</f>
        <v>0</v>
      </c>
      <c r="AE72" s="66">
        <f>Бюджет!AE210</f>
        <v>0</v>
      </c>
      <c r="AF72" s="66">
        <f>Бюджет!AF210</f>
        <v>0</v>
      </c>
      <c r="AG72" s="66">
        <f>Бюджет!AG210</f>
        <v>0</v>
      </c>
      <c r="AH72" s="66">
        <f>Бюджет!AH210</f>
        <v>0</v>
      </c>
      <c r="AI72" s="66">
        <f>Бюджет!AI210</f>
        <v>0</v>
      </c>
      <c r="AJ72" s="66">
        <f t="shared" si="10"/>
        <v>116.8</v>
      </c>
      <c r="AK72" s="74"/>
    </row>
    <row r="73" spans="1:37" s="109" customFormat="1" ht="15" x14ac:dyDescent="0.2">
      <c r="A73" s="60" t="str">
        <f>Бюджет!A211</f>
        <v>Б1.О.14.02</v>
      </c>
      <c r="B73" s="60" t="str">
        <f>Бюджет!B211</f>
        <v>Дополнительные главы физики</v>
      </c>
      <c r="C73" s="67" t="str">
        <f>Бюджет!C211</f>
        <v>1\2</v>
      </c>
      <c r="D73" s="67">
        <f>Бюджет!D211</f>
        <v>32</v>
      </c>
      <c r="E73" s="67">
        <f>Бюджет!E211</f>
        <v>1</v>
      </c>
      <c r="F73" s="66">
        <f>Бюджет!F211</f>
        <v>20</v>
      </c>
      <c r="G73" s="66">
        <f>Бюджет!G211</f>
        <v>20</v>
      </c>
      <c r="H73" s="66">
        <f>Бюджет!H211</f>
        <v>20</v>
      </c>
      <c r="I73" s="66">
        <f>Бюджет!I211</f>
        <v>20</v>
      </c>
      <c r="J73" s="66">
        <f>Бюджет!J211</f>
        <v>40</v>
      </c>
      <c r="K73" s="66">
        <f>Бюджет!K211</f>
        <v>9.6</v>
      </c>
      <c r="L73" s="66">
        <f>Бюджет!L211</f>
        <v>0</v>
      </c>
      <c r="M73" s="66">
        <f>Бюджет!M211</f>
        <v>0</v>
      </c>
      <c r="N73" s="66">
        <f>Бюджет!N211</f>
        <v>0</v>
      </c>
      <c r="O73" s="66">
        <f>Бюджет!O211</f>
        <v>0</v>
      </c>
      <c r="P73" s="66">
        <f>Бюджет!P211</f>
        <v>0</v>
      </c>
      <c r="Q73" s="66">
        <f>Бюджет!Q211</f>
        <v>1</v>
      </c>
      <c r="R73" s="66">
        <f>Бюджет!R211</f>
        <v>0</v>
      </c>
      <c r="S73" s="66">
        <f>Бюджет!S211</f>
        <v>0</v>
      </c>
      <c r="T73" s="66">
        <f>Бюджет!T211</f>
        <v>0</v>
      </c>
      <c r="U73" s="66">
        <f>Бюджет!U211</f>
        <v>0</v>
      </c>
      <c r="V73" s="66">
        <f>Бюджет!V211</f>
        <v>0</v>
      </c>
      <c r="W73" s="66">
        <f>Бюджет!W211</f>
        <v>0</v>
      </c>
      <c r="X73" s="66">
        <f>Бюджет!X211</f>
        <v>0</v>
      </c>
      <c r="Y73" s="66">
        <f>Бюджет!Y211</f>
        <v>0</v>
      </c>
      <c r="Z73" s="66">
        <f>Бюджет!Z211</f>
        <v>0</v>
      </c>
      <c r="AA73" s="66">
        <f>Бюджет!AA211</f>
        <v>0</v>
      </c>
      <c r="AB73" s="66">
        <f>Бюджет!AB211</f>
        <v>0</v>
      </c>
      <c r="AC73" s="66">
        <f>Бюджет!AC211</f>
        <v>0</v>
      </c>
      <c r="AD73" s="66">
        <f>Бюджет!AD211</f>
        <v>0</v>
      </c>
      <c r="AE73" s="66">
        <f>Бюджет!AE211</f>
        <v>0</v>
      </c>
      <c r="AF73" s="66">
        <f>Бюджет!AF211</f>
        <v>0</v>
      </c>
      <c r="AG73" s="66">
        <f>Бюджет!AG211</f>
        <v>0</v>
      </c>
      <c r="AH73" s="66">
        <f>Бюджет!AH211</f>
        <v>0</v>
      </c>
      <c r="AI73" s="66">
        <f>Бюджет!AI211</f>
        <v>0</v>
      </c>
      <c r="AJ73" s="66">
        <f t="shared" si="10"/>
        <v>90.6</v>
      </c>
      <c r="AK73" s="74"/>
    </row>
    <row r="74" spans="1:37" s="109" customFormat="1" ht="15" x14ac:dyDescent="0.2">
      <c r="A74" s="60" t="str">
        <f>Бюджет!A214</f>
        <v>Б1.О.16</v>
      </c>
      <c r="B74" s="60" t="str">
        <f>Бюджет!B214</f>
        <v>Введение в специальность</v>
      </c>
      <c r="C74" s="67" t="str">
        <f>Бюджет!C214</f>
        <v>1\1</v>
      </c>
      <c r="D74" s="67">
        <f>Бюджет!D214</f>
        <v>32</v>
      </c>
      <c r="E74" s="67">
        <f>Бюджет!E214</f>
        <v>1</v>
      </c>
      <c r="F74" s="66">
        <f>Бюджет!F214</f>
        <v>16</v>
      </c>
      <c r="G74" s="66">
        <f>Бюджет!G214</f>
        <v>16</v>
      </c>
      <c r="H74" s="66">
        <f>Бюджет!H214</f>
        <v>16</v>
      </c>
      <c r="I74" s="66">
        <f>Бюджет!I214</f>
        <v>16</v>
      </c>
      <c r="J74" s="66">
        <f>Бюджет!J214</f>
        <v>32</v>
      </c>
      <c r="K74" s="66">
        <f>Бюджет!K214</f>
        <v>9.6</v>
      </c>
      <c r="L74" s="66">
        <f>Бюджет!L214</f>
        <v>0</v>
      </c>
      <c r="M74" s="66">
        <f>Бюджет!M214</f>
        <v>0</v>
      </c>
      <c r="N74" s="66">
        <f>Бюджет!N214</f>
        <v>0</v>
      </c>
      <c r="O74" s="66">
        <f>Бюджет!O214</f>
        <v>0</v>
      </c>
      <c r="P74" s="66">
        <f>Бюджет!P214</f>
        <v>0</v>
      </c>
      <c r="Q74" s="66">
        <f>Бюджет!Q214</f>
        <v>0.8</v>
      </c>
      <c r="R74" s="66">
        <f>Бюджет!R214</f>
        <v>0</v>
      </c>
      <c r="S74" s="66">
        <f>Бюджет!S214</f>
        <v>0</v>
      </c>
      <c r="T74" s="66">
        <f>Бюджет!T214</f>
        <v>0</v>
      </c>
      <c r="U74" s="66">
        <f>Бюджет!U214</f>
        <v>0</v>
      </c>
      <c r="V74" s="66">
        <f>Бюджет!V214</f>
        <v>0</v>
      </c>
      <c r="W74" s="66">
        <f>Бюджет!W214</f>
        <v>0</v>
      </c>
      <c r="X74" s="66">
        <f>Бюджет!X214</f>
        <v>0</v>
      </c>
      <c r="Y74" s="66">
        <f>Бюджет!Y214</f>
        <v>0</v>
      </c>
      <c r="Z74" s="66">
        <f>Бюджет!Z214</f>
        <v>0</v>
      </c>
      <c r="AA74" s="66">
        <f>Бюджет!AA214</f>
        <v>0</v>
      </c>
      <c r="AB74" s="66">
        <f>Бюджет!AB214</f>
        <v>0</v>
      </c>
      <c r="AC74" s="66">
        <f>Бюджет!AC214</f>
        <v>0</v>
      </c>
      <c r="AD74" s="66">
        <f>Бюджет!AD214</f>
        <v>0</v>
      </c>
      <c r="AE74" s="66">
        <f>Бюджет!AE214</f>
        <v>0</v>
      </c>
      <c r="AF74" s="66">
        <f>Бюджет!AF214</f>
        <v>0</v>
      </c>
      <c r="AG74" s="66">
        <f>Бюджет!AG214</f>
        <v>0</v>
      </c>
      <c r="AH74" s="66">
        <f>Бюджет!AH214</f>
        <v>0</v>
      </c>
      <c r="AI74" s="66">
        <f>Бюджет!AI214</f>
        <v>0</v>
      </c>
      <c r="AJ74" s="66">
        <f t="shared" si="10"/>
        <v>74.399999999999991</v>
      </c>
      <c r="AK74" s="74"/>
    </row>
    <row r="75" spans="1:37" s="109" customFormat="1" ht="15" x14ac:dyDescent="0.2">
      <c r="A75" s="60" t="str">
        <f>Бюджет!A215</f>
        <v>Б1.В.01</v>
      </c>
      <c r="B75" s="60" t="str">
        <f>Бюджет!B215</f>
        <v>Магнитные материалы электроники</v>
      </c>
      <c r="C75" s="67" t="str">
        <f>Бюджет!C215</f>
        <v>1\2</v>
      </c>
      <c r="D75" s="67">
        <f>Бюджет!D215</f>
        <v>32</v>
      </c>
      <c r="E75" s="67">
        <f>Бюджет!E215</f>
        <v>1</v>
      </c>
      <c r="F75" s="66">
        <f>Бюджет!F215</f>
        <v>20</v>
      </c>
      <c r="G75" s="66">
        <f>Бюджет!G215</f>
        <v>20</v>
      </c>
      <c r="H75" s="66">
        <f>Бюджет!H215</f>
        <v>40</v>
      </c>
      <c r="I75" s="66">
        <f>Бюджет!I215</f>
        <v>40</v>
      </c>
      <c r="J75" s="66">
        <f>Бюджет!J215</f>
        <v>0</v>
      </c>
      <c r="K75" s="66">
        <f>Бюджет!K215</f>
        <v>9.6</v>
      </c>
      <c r="L75" s="66">
        <f>Бюджет!L215</f>
        <v>0</v>
      </c>
      <c r="M75" s="66">
        <f>Бюджет!M215</f>
        <v>0</v>
      </c>
      <c r="N75" s="66">
        <f>Бюджет!N215</f>
        <v>0</v>
      </c>
      <c r="O75" s="66">
        <f>Бюджет!O215</f>
        <v>0</v>
      </c>
      <c r="P75" s="66">
        <f>Бюджет!P215</f>
        <v>0</v>
      </c>
      <c r="Q75" s="66">
        <f>Бюджет!Q215</f>
        <v>1</v>
      </c>
      <c r="R75" s="66">
        <f>Бюджет!R215</f>
        <v>0</v>
      </c>
      <c r="S75" s="66">
        <f>Бюджет!S215</f>
        <v>0</v>
      </c>
      <c r="T75" s="66">
        <f>Бюджет!T215</f>
        <v>0</v>
      </c>
      <c r="U75" s="66">
        <f>Бюджет!U215</f>
        <v>0</v>
      </c>
      <c r="V75" s="66">
        <f>Бюджет!V215</f>
        <v>0</v>
      </c>
      <c r="W75" s="66">
        <f>Бюджет!W215</f>
        <v>0</v>
      </c>
      <c r="X75" s="66">
        <f>Бюджет!X215</f>
        <v>0</v>
      </c>
      <c r="Y75" s="66">
        <f>Бюджет!Y215</f>
        <v>0</v>
      </c>
      <c r="Z75" s="66">
        <f>Бюджет!Z215</f>
        <v>0</v>
      </c>
      <c r="AA75" s="66">
        <f>Бюджет!AA215</f>
        <v>0</v>
      </c>
      <c r="AB75" s="66">
        <f>Бюджет!AB215</f>
        <v>0</v>
      </c>
      <c r="AC75" s="66">
        <f>Бюджет!AC215</f>
        <v>0</v>
      </c>
      <c r="AD75" s="66">
        <f>Бюджет!AD215</f>
        <v>0</v>
      </c>
      <c r="AE75" s="66">
        <f>Бюджет!AE215</f>
        <v>0</v>
      </c>
      <c r="AF75" s="66">
        <f>Бюджет!AF215</f>
        <v>0</v>
      </c>
      <c r="AG75" s="66">
        <f>Бюджет!AG215</f>
        <v>0</v>
      </c>
      <c r="AH75" s="66">
        <f>Бюджет!AH215</f>
        <v>0</v>
      </c>
      <c r="AI75" s="66">
        <f>Бюджет!AI215</f>
        <v>0</v>
      </c>
      <c r="AJ75" s="66">
        <f t="shared" si="10"/>
        <v>70.599999999999994</v>
      </c>
      <c r="AK75" s="70"/>
    </row>
    <row r="76" spans="1:37" s="109" customFormat="1" ht="30" x14ac:dyDescent="0.2">
      <c r="A76" s="60" t="str">
        <f>Бюджет!A216</f>
        <v>Б1.О.01</v>
      </c>
      <c r="B76" s="60" t="str">
        <f>Бюджет!B216</f>
        <v>Основы научно-исследовательской деятельности (поток НЭ, ИБ)</v>
      </c>
      <c r="C76" s="67" t="str">
        <f>Бюджет!C216</f>
        <v>2\4</v>
      </c>
      <c r="D76" s="67">
        <f>Бюджет!D216</f>
        <v>23</v>
      </c>
      <c r="E76" s="67">
        <f>Бюджет!E216</f>
        <v>1</v>
      </c>
      <c r="F76" s="66">
        <f>Бюджет!F216</f>
        <v>20</v>
      </c>
      <c r="G76" s="66">
        <f>Бюджет!G216</f>
        <v>20</v>
      </c>
      <c r="H76" s="66">
        <f>Бюджет!H216</f>
        <v>20</v>
      </c>
      <c r="I76" s="66">
        <f>Бюджет!I216</f>
        <v>20</v>
      </c>
      <c r="J76" s="66">
        <f>Бюджет!J216</f>
        <v>0</v>
      </c>
      <c r="K76" s="66">
        <f>Бюджет!K216</f>
        <v>6.8999999999999995</v>
      </c>
      <c r="L76" s="66">
        <f>Бюджет!L216</f>
        <v>0</v>
      </c>
      <c r="M76" s="66">
        <f>Бюджет!M216</f>
        <v>0</v>
      </c>
      <c r="N76" s="66">
        <f>Бюджет!N216</f>
        <v>0</v>
      </c>
      <c r="O76" s="66">
        <f>Бюджет!O216</f>
        <v>0</v>
      </c>
      <c r="P76" s="66">
        <f>Бюджет!P216</f>
        <v>0</v>
      </c>
      <c r="Q76" s="66">
        <f>Бюджет!Q216</f>
        <v>1</v>
      </c>
      <c r="R76" s="66">
        <f>Бюджет!R216</f>
        <v>0</v>
      </c>
      <c r="S76" s="66">
        <f>Бюджет!S216</f>
        <v>0</v>
      </c>
      <c r="T76" s="66">
        <f>Бюджет!T216</f>
        <v>0</v>
      </c>
      <c r="U76" s="66">
        <f>Бюджет!U216</f>
        <v>0</v>
      </c>
      <c r="V76" s="66">
        <f>Бюджет!V216</f>
        <v>0</v>
      </c>
      <c r="W76" s="66">
        <f>Бюджет!W216</f>
        <v>0</v>
      </c>
      <c r="X76" s="66">
        <f>Бюджет!X216</f>
        <v>0</v>
      </c>
      <c r="Y76" s="66">
        <f>Бюджет!Y216</f>
        <v>0</v>
      </c>
      <c r="Z76" s="66">
        <f>Бюджет!Z216</f>
        <v>0</v>
      </c>
      <c r="AA76" s="66">
        <f>Бюджет!AA216</f>
        <v>0</v>
      </c>
      <c r="AB76" s="66">
        <f>Бюджет!AB216</f>
        <v>0</v>
      </c>
      <c r="AC76" s="66">
        <f>Бюджет!AC216</f>
        <v>0</v>
      </c>
      <c r="AD76" s="66">
        <f>Бюджет!AD216</f>
        <v>0</v>
      </c>
      <c r="AE76" s="66">
        <f>Бюджет!AE216</f>
        <v>0</v>
      </c>
      <c r="AF76" s="66">
        <f>Бюджет!AF216</f>
        <v>0</v>
      </c>
      <c r="AG76" s="66">
        <f>Бюджет!AG216</f>
        <v>0</v>
      </c>
      <c r="AH76" s="66">
        <f>Бюджет!AH216</f>
        <v>0</v>
      </c>
      <c r="AI76" s="66">
        <f>Бюджет!AI216</f>
        <v>0</v>
      </c>
      <c r="AJ76" s="66">
        <f t="shared" si="10"/>
        <v>47.9</v>
      </c>
      <c r="AK76" s="74"/>
    </row>
    <row r="77" spans="1:37" s="109" customFormat="1" ht="30" x14ac:dyDescent="0.2">
      <c r="A77" s="60" t="str">
        <f>Бюджет!A220</f>
        <v>Б1.О.14.03</v>
      </c>
      <c r="B77" s="60" t="str">
        <f>Бюджет!B220</f>
        <v>Электричество, магнетизм и волновая оптика (поток НЭ, ИБ, ИСТ)</v>
      </c>
      <c r="C77" s="67" t="str">
        <f>Бюджет!C220</f>
        <v>2\3</v>
      </c>
      <c r="D77" s="67">
        <f>Бюджет!D220</f>
        <v>23</v>
      </c>
      <c r="E77" s="67">
        <f>Бюджет!E220</f>
        <v>1</v>
      </c>
      <c r="F77" s="66">
        <f>Бюджет!F220</f>
        <v>50</v>
      </c>
      <c r="G77" s="66">
        <f>Бюджет!G220</f>
        <v>50</v>
      </c>
      <c r="H77" s="66">
        <f>Бюджет!H220</f>
        <v>50</v>
      </c>
      <c r="I77" s="66">
        <f>Бюджет!I220</f>
        <v>50</v>
      </c>
      <c r="J77" s="66">
        <f>Бюджет!J220</f>
        <v>32</v>
      </c>
      <c r="K77" s="66">
        <f>Бюджет!K220</f>
        <v>0</v>
      </c>
      <c r="L77" s="66">
        <f>Бюджет!L220</f>
        <v>0</v>
      </c>
      <c r="M77" s="66">
        <f>Бюджет!M220</f>
        <v>9.2000000000000011</v>
      </c>
      <c r="N77" s="66">
        <f>Бюджет!N220</f>
        <v>0</v>
      </c>
      <c r="O77" s="66">
        <f>Бюджет!O220</f>
        <v>0</v>
      </c>
      <c r="P77" s="66">
        <f>Бюджет!P220</f>
        <v>0</v>
      </c>
      <c r="Q77" s="66">
        <f>Бюджет!Q220</f>
        <v>3.5</v>
      </c>
      <c r="R77" s="66">
        <f>Бюджет!R220</f>
        <v>0</v>
      </c>
      <c r="S77" s="66">
        <f>Бюджет!S220</f>
        <v>0</v>
      </c>
      <c r="T77" s="66">
        <f>Бюджет!T220</f>
        <v>0</v>
      </c>
      <c r="U77" s="66">
        <f>Бюджет!U220</f>
        <v>0</v>
      </c>
      <c r="V77" s="66">
        <f>Бюджет!V220</f>
        <v>0</v>
      </c>
      <c r="W77" s="66">
        <f>Бюджет!W220</f>
        <v>0</v>
      </c>
      <c r="X77" s="66">
        <f>Бюджет!X220</f>
        <v>0</v>
      </c>
      <c r="Y77" s="66">
        <f>Бюджет!Y220</f>
        <v>0</v>
      </c>
      <c r="Z77" s="66">
        <f>Бюджет!Z220</f>
        <v>0</v>
      </c>
      <c r="AA77" s="66">
        <f>Бюджет!AA220</f>
        <v>0</v>
      </c>
      <c r="AB77" s="66">
        <f>Бюджет!AB220</f>
        <v>0</v>
      </c>
      <c r="AC77" s="66">
        <f>Бюджет!AC220</f>
        <v>0</v>
      </c>
      <c r="AD77" s="66">
        <f>Бюджет!AD220</f>
        <v>0</v>
      </c>
      <c r="AE77" s="66">
        <f>Бюджет!AE220</f>
        <v>0</v>
      </c>
      <c r="AF77" s="66">
        <f>Бюджет!AF220</f>
        <v>0</v>
      </c>
      <c r="AG77" s="66">
        <f>Бюджет!AG220</f>
        <v>0</v>
      </c>
      <c r="AH77" s="66">
        <f>Бюджет!AH220</f>
        <v>0</v>
      </c>
      <c r="AI77" s="66">
        <f>Бюджет!AI220</f>
        <v>0</v>
      </c>
      <c r="AJ77" s="66">
        <f t="shared" si="10"/>
        <v>144.69999999999999</v>
      </c>
      <c r="AK77" s="74"/>
    </row>
    <row r="78" spans="1:37" s="109" customFormat="1" ht="30" x14ac:dyDescent="0.2">
      <c r="A78" s="60" t="str">
        <f>Бюджет!A221</f>
        <v>Б1.О.14.04</v>
      </c>
      <c r="B78" s="60" t="str">
        <f>Бюджет!B221</f>
        <v>Квантовая отптика и атомная физика (поток НЭ, ИБ)</v>
      </c>
      <c r="C78" s="67" t="str">
        <f>Бюджет!C221</f>
        <v>2\4</v>
      </c>
      <c r="D78" s="67">
        <f>Бюджет!D221</f>
        <v>23</v>
      </c>
      <c r="E78" s="67">
        <f>Бюджет!E221</f>
        <v>1</v>
      </c>
      <c r="F78" s="66">
        <f>Бюджет!F221</f>
        <v>60</v>
      </c>
      <c r="G78" s="66">
        <f>Бюджет!G221</f>
        <v>60</v>
      </c>
      <c r="H78" s="66">
        <f>Бюджет!H221</f>
        <v>60</v>
      </c>
      <c r="I78" s="66">
        <f>Бюджет!I221</f>
        <v>60</v>
      </c>
      <c r="J78" s="66">
        <f>Бюджет!J221</f>
        <v>40</v>
      </c>
      <c r="K78" s="66">
        <f>Бюджет!K221</f>
        <v>0</v>
      </c>
      <c r="L78" s="66">
        <f>Бюджет!L221</f>
        <v>0</v>
      </c>
      <c r="M78" s="66">
        <f>Бюджет!M221</f>
        <v>9.2000000000000011</v>
      </c>
      <c r="N78" s="66">
        <f>Бюджет!N221</f>
        <v>0</v>
      </c>
      <c r="O78" s="66">
        <f>Бюджет!O221</f>
        <v>0</v>
      </c>
      <c r="P78" s="66">
        <f>Бюджет!P221</f>
        <v>0</v>
      </c>
      <c r="Q78" s="66">
        <f>Бюджет!Q221</f>
        <v>4</v>
      </c>
      <c r="R78" s="66">
        <f>Бюджет!R221</f>
        <v>0</v>
      </c>
      <c r="S78" s="66">
        <f>Бюджет!S221</f>
        <v>0</v>
      </c>
      <c r="T78" s="66">
        <f>Бюджет!T221</f>
        <v>0</v>
      </c>
      <c r="U78" s="66">
        <f>Бюджет!U221</f>
        <v>0</v>
      </c>
      <c r="V78" s="66">
        <f>Бюджет!V221</f>
        <v>0</v>
      </c>
      <c r="W78" s="66">
        <f>Бюджет!W221</f>
        <v>0</v>
      </c>
      <c r="X78" s="66">
        <f>Бюджет!X221</f>
        <v>0</v>
      </c>
      <c r="Y78" s="66">
        <f>Бюджет!Y221</f>
        <v>0</v>
      </c>
      <c r="Z78" s="66">
        <f>Бюджет!Z221</f>
        <v>0</v>
      </c>
      <c r="AA78" s="66">
        <f>Бюджет!AA221</f>
        <v>0</v>
      </c>
      <c r="AB78" s="66">
        <f>Бюджет!AB221</f>
        <v>0</v>
      </c>
      <c r="AC78" s="66">
        <f>Бюджет!AC221</f>
        <v>0</v>
      </c>
      <c r="AD78" s="66">
        <f>Бюджет!AD221</f>
        <v>0</v>
      </c>
      <c r="AE78" s="66">
        <f>Бюджет!AE221</f>
        <v>0</v>
      </c>
      <c r="AF78" s="66">
        <f>Бюджет!AF221</f>
        <v>0</v>
      </c>
      <c r="AG78" s="66">
        <f>Бюджет!AG221</f>
        <v>0</v>
      </c>
      <c r="AH78" s="66">
        <f>Бюджет!AH221</f>
        <v>0</v>
      </c>
      <c r="AI78" s="66">
        <f>Бюджет!AI221</f>
        <v>0</v>
      </c>
      <c r="AJ78" s="66">
        <f t="shared" si="10"/>
        <v>173.2</v>
      </c>
      <c r="AK78" s="74"/>
    </row>
    <row r="79" spans="1:37" s="109" customFormat="1" ht="15" x14ac:dyDescent="0.2">
      <c r="A79" s="60" t="str">
        <f>Бюджет!A224</f>
        <v>Б1.О.15.04</v>
      </c>
      <c r="B79" s="60" t="str">
        <f>Бюджет!B224</f>
        <v>Инженерная и компьютерная графика</v>
      </c>
      <c r="C79" s="67" t="str">
        <f>Бюджет!C224</f>
        <v>2\3</v>
      </c>
      <c r="D79" s="67">
        <f>Бюджет!D224</f>
        <v>23</v>
      </c>
      <c r="E79" s="67">
        <f>Бюджет!E224</f>
        <v>1</v>
      </c>
      <c r="F79" s="66">
        <f>Бюджет!F224</f>
        <v>16</v>
      </c>
      <c r="G79" s="66">
        <f>Бюджет!G224</f>
        <v>16</v>
      </c>
      <c r="H79" s="66">
        <f>Бюджет!H224</f>
        <v>0</v>
      </c>
      <c r="I79" s="66">
        <f>Бюджет!I224</f>
        <v>0</v>
      </c>
      <c r="J79" s="66">
        <f>Бюджет!J224</f>
        <v>100</v>
      </c>
      <c r="K79" s="66">
        <f>Бюджет!K224</f>
        <v>0</v>
      </c>
      <c r="L79" s="66">
        <f>Бюджет!L224</f>
        <v>0</v>
      </c>
      <c r="M79" s="66">
        <f>Бюджет!M224</f>
        <v>9.2000000000000011</v>
      </c>
      <c r="N79" s="66">
        <f>Бюджет!N224</f>
        <v>0</v>
      </c>
      <c r="O79" s="66">
        <f>Бюджет!O224</f>
        <v>0</v>
      </c>
      <c r="P79" s="66">
        <f>Бюджет!P224</f>
        <v>0</v>
      </c>
      <c r="Q79" s="66">
        <f>Бюджет!Q224</f>
        <v>1.8</v>
      </c>
      <c r="R79" s="66">
        <f>Бюджет!R224</f>
        <v>0</v>
      </c>
      <c r="S79" s="66">
        <f>Бюджет!S224</f>
        <v>0</v>
      </c>
      <c r="T79" s="66">
        <f>Бюджет!T224</f>
        <v>0</v>
      </c>
      <c r="U79" s="66">
        <f>Бюджет!U224</f>
        <v>0</v>
      </c>
      <c r="V79" s="66">
        <f>Бюджет!V224</f>
        <v>0</v>
      </c>
      <c r="W79" s="66">
        <f>Бюджет!W224</f>
        <v>0</v>
      </c>
      <c r="X79" s="66">
        <f>Бюджет!X224</f>
        <v>0</v>
      </c>
      <c r="Y79" s="66">
        <f>Бюджет!Y224</f>
        <v>0</v>
      </c>
      <c r="Z79" s="66">
        <f>Бюджет!Z224</f>
        <v>0</v>
      </c>
      <c r="AA79" s="66">
        <f>Бюджет!AA224</f>
        <v>0</v>
      </c>
      <c r="AB79" s="66">
        <f>Бюджет!AB224</f>
        <v>0</v>
      </c>
      <c r="AC79" s="66">
        <f>Бюджет!AC224</f>
        <v>0</v>
      </c>
      <c r="AD79" s="66">
        <f>Бюджет!AD224</f>
        <v>0</v>
      </c>
      <c r="AE79" s="66">
        <f>Бюджет!AE224</f>
        <v>0</v>
      </c>
      <c r="AF79" s="66">
        <f>Бюджет!AF224</f>
        <v>0</v>
      </c>
      <c r="AG79" s="66">
        <f>Бюджет!AG224</f>
        <v>0</v>
      </c>
      <c r="AH79" s="66">
        <f>Бюджет!AH224</f>
        <v>0</v>
      </c>
      <c r="AI79" s="66">
        <f>Бюджет!AI224</f>
        <v>0</v>
      </c>
      <c r="AJ79" s="66">
        <f t="shared" si="10"/>
        <v>127</v>
      </c>
      <c r="AK79" s="74"/>
    </row>
    <row r="80" spans="1:37" s="109" customFormat="1" ht="30" x14ac:dyDescent="0.2">
      <c r="A80" s="60" t="str">
        <f>Бюджет!A226</f>
        <v>Б2.О.01(У)</v>
      </c>
      <c r="B80" s="60" t="str">
        <f>Бюджет!B226</f>
        <v>Учебная практика. Ознакомительная практика</v>
      </c>
      <c r="C80" s="67" t="str">
        <f>Бюджет!C226</f>
        <v>2\4</v>
      </c>
      <c r="D80" s="67">
        <f>Бюджет!D226</f>
        <v>23</v>
      </c>
      <c r="E80" s="67">
        <f>Бюджет!E226</f>
        <v>1</v>
      </c>
      <c r="F80" s="66">
        <f>Бюджет!F226</f>
        <v>0</v>
      </c>
      <c r="G80" s="66">
        <f>Бюджет!G226</f>
        <v>0</v>
      </c>
      <c r="H80" s="66">
        <f>Бюджет!H226</f>
        <v>20</v>
      </c>
      <c r="I80" s="66">
        <f>Бюджет!I226</f>
        <v>20</v>
      </c>
      <c r="J80" s="66">
        <f>Бюджет!J226</f>
        <v>0</v>
      </c>
      <c r="K80" s="66">
        <f>Бюджет!K226</f>
        <v>6.8999999999999995</v>
      </c>
      <c r="L80" s="66">
        <f>Бюджет!L226</f>
        <v>0</v>
      </c>
      <c r="M80" s="66">
        <f>Бюджет!M226</f>
        <v>0</v>
      </c>
      <c r="N80" s="66">
        <f>Бюджет!N226</f>
        <v>0</v>
      </c>
      <c r="O80" s="66">
        <f>Бюджет!O226</f>
        <v>0</v>
      </c>
      <c r="P80" s="66">
        <f>Бюджет!P226</f>
        <v>0</v>
      </c>
      <c r="Q80" s="66">
        <f>Бюджет!Q226</f>
        <v>0</v>
      </c>
      <c r="R80" s="66">
        <f>Бюджет!R226</f>
        <v>0</v>
      </c>
      <c r="S80" s="66">
        <f>Бюджет!S226</f>
        <v>0</v>
      </c>
      <c r="T80" s="66">
        <f>Бюджет!T226</f>
        <v>0</v>
      </c>
      <c r="U80" s="66">
        <f>Бюджет!U226</f>
        <v>0</v>
      </c>
      <c r="V80" s="66">
        <f>Бюджет!V226</f>
        <v>0</v>
      </c>
      <c r="W80" s="66">
        <f>Бюджет!W226</f>
        <v>0</v>
      </c>
      <c r="X80" s="66">
        <f>Бюджет!X226</f>
        <v>0</v>
      </c>
      <c r="Y80" s="66">
        <f>Бюджет!Y226</f>
        <v>0</v>
      </c>
      <c r="Z80" s="66">
        <f>Бюджет!Z226</f>
        <v>0</v>
      </c>
      <c r="AA80" s="66">
        <f>Бюджет!AA226</f>
        <v>0</v>
      </c>
      <c r="AB80" s="66">
        <f>Бюджет!AB226</f>
        <v>0</v>
      </c>
      <c r="AC80" s="66">
        <f>Бюджет!AC226</f>
        <v>0</v>
      </c>
      <c r="AD80" s="66">
        <f>Бюджет!AD226</f>
        <v>0</v>
      </c>
      <c r="AE80" s="66">
        <f>Бюджет!AE226</f>
        <v>0</v>
      </c>
      <c r="AF80" s="66">
        <f>Бюджет!AF226</f>
        <v>0</v>
      </c>
      <c r="AG80" s="66">
        <f>Бюджет!AG226</f>
        <v>0</v>
      </c>
      <c r="AH80" s="66">
        <f>Бюджет!AH226</f>
        <v>0</v>
      </c>
      <c r="AI80" s="66">
        <f>Бюджет!AI226</f>
        <v>0</v>
      </c>
      <c r="AJ80" s="66">
        <f t="shared" si="10"/>
        <v>26.9</v>
      </c>
      <c r="AK80" s="70"/>
    </row>
    <row r="81" spans="1:39" s="109" customFormat="1" ht="15" x14ac:dyDescent="0.2">
      <c r="A81" s="60" t="str">
        <f>Бюджет!A228</f>
        <v>Б1.О.17</v>
      </c>
      <c r="B81" s="60" t="str">
        <f>Бюджет!B228</f>
        <v>Физика полупроводников</v>
      </c>
      <c r="C81" s="67" t="str">
        <f>Бюджет!C228</f>
        <v>3\5</v>
      </c>
      <c r="D81" s="67">
        <f>Бюджет!D228</f>
        <v>23</v>
      </c>
      <c r="E81" s="67">
        <f>Бюджет!E228</f>
        <v>1</v>
      </c>
      <c r="F81" s="66">
        <f>Бюджет!F228</f>
        <v>34</v>
      </c>
      <c r="G81" s="66">
        <f>Бюджет!G228</f>
        <v>34</v>
      </c>
      <c r="H81" s="66">
        <f>Бюджет!H228</f>
        <v>34</v>
      </c>
      <c r="I81" s="66">
        <f>Бюджет!I228</f>
        <v>34</v>
      </c>
      <c r="J81" s="66">
        <f>Бюджет!J228</f>
        <v>0</v>
      </c>
      <c r="K81" s="66">
        <f>Бюджет!K228</f>
        <v>6.8999999999999995</v>
      </c>
      <c r="L81" s="66">
        <f>Бюджет!L228</f>
        <v>0</v>
      </c>
      <c r="M81" s="66">
        <f>Бюджет!M228</f>
        <v>0</v>
      </c>
      <c r="N81" s="66">
        <f>Бюджет!N228</f>
        <v>0</v>
      </c>
      <c r="O81" s="66">
        <f>Бюджет!O228</f>
        <v>0</v>
      </c>
      <c r="P81" s="66">
        <f>Бюджет!P228</f>
        <v>0</v>
      </c>
      <c r="Q81" s="66">
        <f>Бюджет!Q228</f>
        <v>1.7000000000000002</v>
      </c>
      <c r="R81" s="66">
        <f>Бюджет!R228</f>
        <v>0</v>
      </c>
      <c r="S81" s="66">
        <f>Бюджет!S228</f>
        <v>0</v>
      </c>
      <c r="T81" s="66">
        <f>Бюджет!T228</f>
        <v>0</v>
      </c>
      <c r="U81" s="66">
        <f>Бюджет!U228</f>
        <v>0</v>
      </c>
      <c r="V81" s="66">
        <f>Бюджет!V228</f>
        <v>0</v>
      </c>
      <c r="W81" s="66">
        <f>Бюджет!W228</f>
        <v>0</v>
      </c>
      <c r="X81" s="66">
        <f>Бюджет!X228</f>
        <v>0</v>
      </c>
      <c r="Y81" s="66">
        <f>Бюджет!Y228</f>
        <v>0</v>
      </c>
      <c r="Z81" s="66">
        <f>Бюджет!Z228</f>
        <v>0</v>
      </c>
      <c r="AA81" s="66">
        <f>Бюджет!AA228</f>
        <v>0</v>
      </c>
      <c r="AB81" s="66">
        <f>Бюджет!AB228</f>
        <v>0</v>
      </c>
      <c r="AC81" s="66">
        <f>Бюджет!AC228</f>
        <v>0</v>
      </c>
      <c r="AD81" s="66">
        <f>Бюджет!AD228</f>
        <v>0</v>
      </c>
      <c r="AE81" s="66">
        <f>Бюджет!AE228</f>
        <v>0</v>
      </c>
      <c r="AF81" s="66">
        <f>Бюджет!AF228</f>
        <v>0</v>
      </c>
      <c r="AG81" s="66">
        <f>Бюджет!AG228</f>
        <v>0</v>
      </c>
      <c r="AH81" s="66">
        <f>Бюджет!AH228</f>
        <v>0</v>
      </c>
      <c r="AI81" s="66">
        <f>Бюджет!AI228</f>
        <v>0</v>
      </c>
      <c r="AJ81" s="66">
        <f t="shared" si="10"/>
        <v>76.600000000000009</v>
      </c>
      <c r="AK81" s="74"/>
    </row>
    <row r="82" spans="1:39" s="109" customFormat="1" ht="15" x14ac:dyDescent="0.2">
      <c r="A82" s="60" t="str">
        <f>Бюджет!A231</f>
        <v>Б1.О.20</v>
      </c>
      <c r="B82" s="60" t="str">
        <f>Бюджет!B231</f>
        <v>Микро- и наноэлектроника</v>
      </c>
      <c r="C82" s="67" t="str">
        <f>Бюджет!C231</f>
        <v>3\5</v>
      </c>
      <c r="D82" s="67">
        <f>Бюджет!D231</f>
        <v>23</v>
      </c>
      <c r="E82" s="67">
        <f>Бюджет!E231</f>
        <v>1</v>
      </c>
      <c r="F82" s="66">
        <f>Бюджет!F231</f>
        <v>34</v>
      </c>
      <c r="G82" s="66">
        <f>Бюджет!G231</f>
        <v>34</v>
      </c>
      <c r="H82" s="66">
        <f>Бюджет!H231</f>
        <v>34</v>
      </c>
      <c r="I82" s="66">
        <f>Бюджет!I231</f>
        <v>34</v>
      </c>
      <c r="J82" s="66">
        <f>Бюджет!J231</f>
        <v>0</v>
      </c>
      <c r="K82" s="66">
        <f>Бюджет!K231</f>
        <v>6.8999999999999995</v>
      </c>
      <c r="L82" s="66">
        <f>Бюджет!L231</f>
        <v>0</v>
      </c>
      <c r="M82" s="66">
        <f>Бюджет!M231</f>
        <v>0</v>
      </c>
      <c r="N82" s="66">
        <f>Бюджет!N231</f>
        <v>0</v>
      </c>
      <c r="O82" s="66">
        <f>Бюджет!O231</f>
        <v>0</v>
      </c>
      <c r="P82" s="66">
        <f>Бюджет!P231</f>
        <v>0</v>
      </c>
      <c r="Q82" s="66">
        <f>Бюджет!Q231</f>
        <v>1.7000000000000002</v>
      </c>
      <c r="R82" s="66">
        <f>Бюджет!R231</f>
        <v>0</v>
      </c>
      <c r="S82" s="66">
        <f>Бюджет!S231</f>
        <v>0</v>
      </c>
      <c r="T82" s="66">
        <f>Бюджет!T231</f>
        <v>0</v>
      </c>
      <c r="U82" s="66">
        <f>Бюджет!U231</f>
        <v>0</v>
      </c>
      <c r="V82" s="66">
        <f>Бюджет!V231</f>
        <v>0</v>
      </c>
      <c r="W82" s="66">
        <f>Бюджет!W231</f>
        <v>0</v>
      </c>
      <c r="X82" s="66">
        <f>Бюджет!X231</f>
        <v>0</v>
      </c>
      <c r="Y82" s="66">
        <f>Бюджет!Y231</f>
        <v>0</v>
      </c>
      <c r="Z82" s="66">
        <f>Бюджет!Z231</f>
        <v>0</v>
      </c>
      <c r="AA82" s="66">
        <f>Бюджет!AA231</f>
        <v>0</v>
      </c>
      <c r="AB82" s="66">
        <f>Бюджет!AB231</f>
        <v>0</v>
      </c>
      <c r="AC82" s="66">
        <f>Бюджет!AC231</f>
        <v>0</v>
      </c>
      <c r="AD82" s="66">
        <f>Бюджет!AD231</f>
        <v>0</v>
      </c>
      <c r="AE82" s="66">
        <f>Бюджет!AE231</f>
        <v>0</v>
      </c>
      <c r="AF82" s="66">
        <f>Бюджет!AF231</f>
        <v>0</v>
      </c>
      <c r="AG82" s="66">
        <f>Бюджет!AG231</f>
        <v>0</v>
      </c>
      <c r="AH82" s="66">
        <f>Бюджет!AH231</f>
        <v>0</v>
      </c>
      <c r="AI82" s="66">
        <f>Бюджет!AI231</f>
        <v>0</v>
      </c>
      <c r="AJ82" s="66">
        <f t="shared" si="10"/>
        <v>76.600000000000009</v>
      </c>
      <c r="AK82" s="74"/>
    </row>
    <row r="83" spans="1:39" s="109" customFormat="1" ht="15" x14ac:dyDescent="0.2">
      <c r="A83" s="60" t="str">
        <f>Бюджет!A232</f>
        <v>Б1.О.21</v>
      </c>
      <c r="B83" s="60" t="str">
        <f>Бюджет!B232</f>
        <v>Процессы микро- и нанотехнологий</v>
      </c>
      <c r="C83" s="67" t="str">
        <f>Бюджет!C232</f>
        <v>3\6</v>
      </c>
      <c r="D83" s="67">
        <f>Бюджет!D232</f>
        <v>23</v>
      </c>
      <c r="E83" s="67">
        <f>Бюджет!E232</f>
        <v>1</v>
      </c>
      <c r="F83" s="66">
        <f>Бюджет!F232</f>
        <v>18</v>
      </c>
      <c r="G83" s="66">
        <f>Бюджет!G232</f>
        <v>18</v>
      </c>
      <c r="H83" s="66">
        <f>Бюджет!H232</f>
        <v>56</v>
      </c>
      <c r="I83" s="66">
        <f>Бюджет!I232</f>
        <v>56</v>
      </c>
      <c r="J83" s="66">
        <f>Бюджет!J232</f>
        <v>0</v>
      </c>
      <c r="K83" s="66">
        <f>Бюджет!K232</f>
        <v>6.8999999999999995</v>
      </c>
      <c r="L83" s="66">
        <f>Бюджет!L232</f>
        <v>0</v>
      </c>
      <c r="M83" s="66">
        <f>Бюджет!M232</f>
        <v>0</v>
      </c>
      <c r="N83" s="66">
        <f>Бюджет!N232</f>
        <v>0</v>
      </c>
      <c r="O83" s="66">
        <f>Бюджет!O232</f>
        <v>0</v>
      </c>
      <c r="P83" s="66">
        <f>Бюджет!P232</f>
        <v>0</v>
      </c>
      <c r="Q83" s="66">
        <f>Бюджет!Q232</f>
        <v>0.9</v>
      </c>
      <c r="R83" s="66">
        <f>Бюджет!R232</f>
        <v>0</v>
      </c>
      <c r="S83" s="66">
        <f>Бюджет!S232</f>
        <v>0</v>
      </c>
      <c r="T83" s="66">
        <f>Бюджет!T232</f>
        <v>0</v>
      </c>
      <c r="U83" s="66">
        <f>Бюджет!U232</f>
        <v>0</v>
      </c>
      <c r="V83" s="66">
        <f>Бюджет!V232</f>
        <v>0</v>
      </c>
      <c r="W83" s="66">
        <f>Бюджет!W232</f>
        <v>0</v>
      </c>
      <c r="X83" s="66">
        <f>Бюджет!X232</f>
        <v>0</v>
      </c>
      <c r="Y83" s="66">
        <f>Бюджет!Y232</f>
        <v>0</v>
      </c>
      <c r="Z83" s="66">
        <f>Бюджет!Z232</f>
        <v>0</v>
      </c>
      <c r="AA83" s="66">
        <f>Бюджет!AA232</f>
        <v>0</v>
      </c>
      <c r="AB83" s="66">
        <f>Бюджет!AB232</f>
        <v>0</v>
      </c>
      <c r="AC83" s="66">
        <f>Бюджет!AC232</f>
        <v>0</v>
      </c>
      <c r="AD83" s="66">
        <f>Бюджет!AD232</f>
        <v>0</v>
      </c>
      <c r="AE83" s="66">
        <f>Бюджет!AE232</f>
        <v>0</v>
      </c>
      <c r="AF83" s="66">
        <f>Бюджет!AF232</f>
        <v>0</v>
      </c>
      <c r="AG83" s="66">
        <f>Бюджет!AG232</f>
        <v>0</v>
      </c>
      <c r="AH83" s="66">
        <f>Бюджет!AH232</f>
        <v>0</v>
      </c>
      <c r="AI83" s="66">
        <f>Бюджет!AI232</f>
        <v>0</v>
      </c>
      <c r="AJ83" s="66">
        <f t="shared" si="10"/>
        <v>81.800000000000011</v>
      </c>
      <c r="AK83" s="74"/>
    </row>
    <row r="84" spans="1:39" s="109" customFormat="1" ht="15" x14ac:dyDescent="0.2">
      <c r="A84" s="60" t="str">
        <f>Бюджет!A233</f>
        <v>Б1.О.22</v>
      </c>
      <c r="B84" s="60" t="str">
        <f>Бюджет!B233</f>
        <v>Физические основы электроники</v>
      </c>
      <c r="C84" s="67" t="str">
        <f>Бюджет!C233</f>
        <v>3\6</v>
      </c>
      <c r="D84" s="67">
        <f>Бюджет!D233</f>
        <v>23</v>
      </c>
      <c r="E84" s="67">
        <f>Бюджет!E233</f>
        <v>1</v>
      </c>
      <c r="F84" s="66">
        <f>Бюджет!F233</f>
        <v>38</v>
      </c>
      <c r="G84" s="66">
        <f>Бюджет!G233</f>
        <v>38</v>
      </c>
      <c r="H84" s="66">
        <f>Бюджет!H233</f>
        <v>38</v>
      </c>
      <c r="I84" s="66">
        <f>Бюджет!I233</f>
        <v>38</v>
      </c>
      <c r="J84" s="66">
        <f>Бюджет!J233</f>
        <v>0</v>
      </c>
      <c r="K84" s="66">
        <f>Бюджет!K233</f>
        <v>0</v>
      </c>
      <c r="L84" s="66">
        <f>Бюджет!L233</f>
        <v>0</v>
      </c>
      <c r="M84" s="66">
        <f>Бюджет!M233</f>
        <v>9.2000000000000011</v>
      </c>
      <c r="N84" s="66">
        <f>Бюджет!N233</f>
        <v>0</v>
      </c>
      <c r="O84" s="66">
        <f>Бюджет!O233</f>
        <v>0</v>
      </c>
      <c r="P84" s="66">
        <f>Бюджет!P233</f>
        <v>0</v>
      </c>
      <c r="Q84" s="66">
        <f>Бюджет!Q233</f>
        <v>2.9000000000000004</v>
      </c>
      <c r="R84" s="66">
        <f>Бюджет!R233</f>
        <v>0</v>
      </c>
      <c r="S84" s="66">
        <f>Бюджет!S233</f>
        <v>0</v>
      </c>
      <c r="T84" s="66">
        <f>Бюджет!T233</f>
        <v>0</v>
      </c>
      <c r="U84" s="66">
        <f>Бюджет!U233</f>
        <v>0</v>
      </c>
      <c r="V84" s="66">
        <f>Бюджет!V233</f>
        <v>0</v>
      </c>
      <c r="W84" s="66">
        <f>Бюджет!W233</f>
        <v>0</v>
      </c>
      <c r="X84" s="66">
        <f>Бюджет!X233</f>
        <v>0</v>
      </c>
      <c r="Y84" s="66">
        <f>Бюджет!Y233</f>
        <v>0</v>
      </c>
      <c r="Z84" s="66">
        <f>Бюджет!Z233</f>
        <v>0</v>
      </c>
      <c r="AA84" s="66">
        <f>Бюджет!AA233</f>
        <v>0</v>
      </c>
      <c r="AB84" s="66">
        <f>Бюджет!AB233</f>
        <v>0</v>
      </c>
      <c r="AC84" s="66">
        <f>Бюджет!AC233</f>
        <v>0</v>
      </c>
      <c r="AD84" s="66">
        <f>Бюджет!AD233</f>
        <v>0</v>
      </c>
      <c r="AE84" s="66">
        <f>Бюджет!AE233</f>
        <v>0</v>
      </c>
      <c r="AF84" s="66">
        <f>Бюджет!AF233</f>
        <v>0</v>
      </c>
      <c r="AG84" s="66">
        <f>Бюджет!AG233</f>
        <v>0</v>
      </c>
      <c r="AH84" s="66">
        <f>Бюджет!AH233</f>
        <v>0</v>
      </c>
      <c r="AI84" s="66">
        <f>Бюджет!AI233</f>
        <v>0</v>
      </c>
      <c r="AJ84" s="66">
        <f t="shared" si="10"/>
        <v>88.100000000000009</v>
      </c>
      <c r="AK84" s="74"/>
    </row>
    <row r="85" spans="1:39" s="109" customFormat="1" ht="15" x14ac:dyDescent="0.2">
      <c r="A85" s="60" t="str">
        <f>Бюджет!A234</f>
        <v>Б1.О.24</v>
      </c>
      <c r="B85" s="60" t="str">
        <f>Бюджет!B234</f>
        <v>Теоретические основы электротехники</v>
      </c>
      <c r="C85" s="67" t="str">
        <f>Бюджет!C234</f>
        <v>3\6</v>
      </c>
      <c r="D85" s="67">
        <f>Бюджет!D234</f>
        <v>23</v>
      </c>
      <c r="E85" s="67">
        <f>Бюджет!E234</f>
        <v>1</v>
      </c>
      <c r="F85" s="66">
        <f>Бюджет!F234</f>
        <v>38</v>
      </c>
      <c r="G85" s="66">
        <f>Бюджет!G234</f>
        <v>38</v>
      </c>
      <c r="H85" s="66">
        <f>Бюджет!H234</f>
        <v>18</v>
      </c>
      <c r="I85" s="66">
        <f>Бюджет!I234</f>
        <v>18</v>
      </c>
      <c r="J85" s="66">
        <f>Бюджет!J234</f>
        <v>0</v>
      </c>
      <c r="K85" s="66">
        <f>Бюджет!K234</f>
        <v>6.8999999999999995</v>
      </c>
      <c r="L85" s="66">
        <f>Бюджет!L234</f>
        <v>0</v>
      </c>
      <c r="M85" s="66">
        <f>Бюджет!M234</f>
        <v>0</v>
      </c>
      <c r="N85" s="66">
        <f>Бюджет!N234</f>
        <v>0</v>
      </c>
      <c r="O85" s="66">
        <f>Бюджет!O234</f>
        <v>0</v>
      </c>
      <c r="P85" s="66">
        <f>Бюджет!P234</f>
        <v>0</v>
      </c>
      <c r="Q85" s="66">
        <f>Бюджет!Q234</f>
        <v>1.9000000000000001</v>
      </c>
      <c r="R85" s="66">
        <f>Бюджет!R234</f>
        <v>0</v>
      </c>
      <c r="S85" s="66">
        <f>Бюджет!S234</f>
        <v>0</v>
      </c>
      <c r="T85" s="66">
        <f>Бюджет!T234</f>
        <v>0</v>
      </c>
      <c r="U85" s="66">
        <f>Бюджет!U234</f>
        <v>0</v>
      </c>
      <c r="V85" s="66">
        <f>Бюджет!V234</f>
        <v>0</v>
      </c>
      <c r="W85" s="66">
        <f>Бюджет!W234</f>
        <v>0</v>
      </c>
      <c r="X85" s="66">
        <f>Бюджет!X234</f>
        <v>0</v>
      </c>
      <c r="Y85" s="66">
        <f>Бюджет!Y234</f>
        <v>0</v>
      </c>
      <c r="Z85" s="66">
        <f>Бюджет!Z234</f>
        <v>0</v>
      </c>
      <c r="AA85" s="66">
        <f>Бюджет!AA234</f>
        <v>0</v>
      </c>
      <c r="AB85" s="66">
        <f>Бюджет!AB234</f>
        <v>0</v>
      </c>
      <c r="AC85" s="66">
        <f>Бюджет!AC234</f>
        <v>0</v>
      </c>
      <c r="AD85" s="66">
        <f>Бюджет!AD234</f>
        <v>0</v>
      </c>
      <c r="AE85" s="66">
        <f>Бюджет!AE234</f>
        <v>0</v>
      </c>
      <c r="AF85" s="66">
        <f>Бюджет!AF234</f>
        <v>0</v>
      </c>
      <c r="AG85" s="66">
        <f>Бюджет!AG234</f>
        <v>0</v>
      </c>
      <c r="AH85" s="66">
        <f>Бюджет!AH234</f>
        <v>0</v>
      </c>
      <c r="AI85" s="66">
        <f>Бюджет!AI234</f>
        <v>0</v>
      </c>
      <c r="AJ85" s="66">
        <f t="shared" si="10"/>
        <v>64.8</v>
      </c>
      <c r="AK85" s="74"/>
    </row>
    <row r="86" spans="1:39" s="109" customFormat="1" ht="15" x14ac:dyDescent="0.2">
      <c r="A86" s="60" t="str">
        <f>Бюджет!A235</f>
        <v>Б1.О.26.01</v>
      </c>
      <c r="B86" s="60" t="str">
        <f>Бюджет!B235</f>
        <v>Эмиссионный спектральный анализ</v>
      </c>
      <c r="C86" s="67" t="str">
        <f>Бюджет!C235</f>
        <v>3\5</v>
      </c>
      <c r="D86" s="67">
        <f>Бюджет!D235</f>
        <v>23</v>
      </c>
      <c r="E86" s="67">
        <f>Бюджет!E235</f>
        <v>1</v>
      </c>
      <c r="F86" s="66">
        <f>Бюджет!F235</f>
        <v>0</v>
      </c>
      <c r="G86" s="66">
        <f>Бюджет!G235</f>
        <v>0</v>
      </c>
      <c r="H86" s="66">
        <f>Бюджет!H235</f>
        <v>0</v>
      </c>
      <c r="I86" s="66">
        <f>Бюджет!I235</f>
        <v>0</v>
      </c>
      <c r="J86" s="66">
        <f>Бюджет!J235</f>
        <v>136</v>
      </c>
      <c r="K86" s="66">
        <f>Бюджет!K235</f>
        <v>6.8999999999999995</v>
      </c>
      <c r="L86" s="66">
        <f>Бюджет!L235</f>
        <v>0</v>
      </c>
      <c r="M86" s="66">
        <f>Бюджет!M235</f>
        <v>0</v>
      </c>
      <c r="N86" s="66">
        <f>Бюджет!N235</f>
        <v>0</v>
      </c>
      <c r="O86" s="66">
        <f>Бюджет!O235</f>
        <v>0</v>
      </c>
      <c r="P86" s="66">
        <f>Бюджет!P235</f>
        <v>0</v>
      </c>
      <c r="Q86" s="66">
        <f>Бюджет!Q235</f>
        <v>0</v>
      </c>
      <c r="R86" s="66">
        <f>Бюджет!R235</f>
        <v>0</v>
      </c>
      <c r="S86" s="66">
        <f>Бюджет!S235</f>
        <v>0</v>
      </c>
      <c r="T86" s="66">
        <f>Бюджет!T235</f>
        <v>0</v>
      </c>
      <c r="U86" s="66">
        <f>Бюджет!U235</f>
        <v>0</v>
      </c>
      <c r="V86" s="66">
        <f>Бюджет!V235</f>
        <v>0</v>
      </c>
      <c r="W86" s="66">
        <f>Бюджет!W235</f>
        <v>0</v>
      </c>
      <c r="X86" s="66">
        <f>Бюджет!X235</f>
        <v>0</v>
      </c>
      <c r="Y86" s="66">
        <f>Бюджет!Y235</f>
        <v>0</v>
      </c>
      <c r="Z86" s="66">
        <f>Бюджет!Z235</f>
        <v>0</v>
      </c>
      <c r="AA86" s="66">
        <f>Бюджет!AA235</f>
        <v>0</v>
      </c>
      <c r="AB86" s="66">
        <f>Бюджет!AB235</f>
        <v>0</v>
      </c>
      <c r="AC86" s="66">
        <f>Бюджет!AC235</f>
        <v>0</v>
      </c>
      <c r="AD86" s="66">
        <f>Бюджет!AD235</f>
        <v>0</v>
      </c>
      <c r="AE86" s="66">
        <f>Бюджет!AE235</f>
        <v>0</v>
      </c>
      <c r="AF86" s="66">
        <f>Бюджет!AF235</f>
        <v>0</v>
      </c>
      <c r="AG86" s="66">
        <f>Бюджет!AG235</f>
        <v>0</v>
      </c>
      <c r="AH86" s="66">
        <f>Бюджет!AH235</f>
        <v>0</v>
      </c>
      <c r="AI86" s="66">
        <f>Бюджет!AI235</f>
        <v>0</v>
      </c>
      <c r="AJ86" s="66">
        <f t="shared" si="10"/>
        <v>142.9</v>
      </c>
      <c r="AK86" s="74"/>
      <c r="AM86" s="279"/>
    </row>
    <row r="87" spans="1:39" s="109" customFormat="1" ht="30" x14ac:dyDescent="0.2">
      <c r="A87" s="60" t="str">
        <f>Бюджет!A236</f>
        <v>Б1.О.26.02</v>
      </c>
      <c r="B87" s="60" t="str">
        <f>Бюджет!B236</f>
        <v>Методы исследований материалов электроники</v>
      </c>
      <c r="C87" s="67" t="str">
        <f>Бюджет!C236</f>
        <v>3\5</v>
      </c>
      <c r="D87" s="67">
        <f>Бюджет!D236</f>
        <v>23</v>
      </c>
      <c r="E87" s="67">
        <f>Бюджет!E236</f>
        <v>1</v>
      </c>
      <c r="F87" s="66">
        <f>Бюджет!F236</f>
        <v>34</v>
      </c>
      <c r="G87" s="66">
        <f>Бюджет!G236</f>
        <v>34</v>
      </c>
      <c r="H87" s="66">
        <f>Бюджет!H236</f>
        <v>0</v>
      </c>
      <c r="I87" s="66">
        <f>Бюджет!I236</f>
        <v>0</v>
      </c>
      <c r="J87" s="66">
        <f>Бюджет!J236</f>
        <v>68</v>
      </c>
      <c r="K87" s="66">
        <f>Бюджет!K236</f>
        <v>6.8999999999999995</v>
      </c>
      <c r="L87" s="66">
        <f>Бюджет!L236</f>
        <v>0</v>
      </c>
      <c r="M87" s="66">
        <f>Бюджет!M236</f>
        <v>0</v>
      </c>
      <c r="N87" s="66">
        <f>Бюджет!N236</f>
        <v>0</v>
      </c>
      <c r="O87" s="66">
        <f>Бюджет!O236</f>
        <v>0</v>
      </c>
      <c r="P87" s="66">
        <f>Бюджет!P236</f>
        <v>0</v>
      </c>
      <c r="Q87" s="66">
        <f>Бюджет!Q236</f>
        <v>1.7000000000000002</v>
      </c>
      <c r="R87" s="66">
        <f>Бюджет!R236</f>
        <v>0</v>
      </c>
      <c r="S87" s="66">
        <f>Бюджет!S236</f>
        <v>0</v>
      </c>
      <c r="T87" s="66">
        <f>Бюджет!T236</f>
        <v>0</v>
      </c>
      <c r="U87" s="66">
        <f>Бюджет!U236</f>
        <v>0</v>
      </c>
      <c r="V87" s="66">
        <f>Бюджет!V236</f>
        <v>0</v>
      </c>
      <c r="W87" s="66">
        <f>Бюджет!W236</f>
        <v>0</v>
      </c>
      <c r="X87" s="66">
        <f>Бюджет!X236</f>
        <v>0</v>
      </c>
      <c r="Y87" s="66">
        <f>Бюджет!Y236</f>
        <v>0</v>
      </c>
      <c r="Z87" s="66">
        <f>Бюджет!Z236</f>
        <v>0</v>
      </c>
      <c r="AA87" s="66">
        <f>Бюджет!AA236</f>
        <v>0</v>
      </c>
      <c r="AB87" s="66">
        <f>Бюджет!AB236</f>
        <v>0</v>
      </c>
      <c r="AC87" s="66">
        <f>Бюджет!AC236</f>
        <v>0</v>
      </c>
      <c r="AD87" s="66">
        <f>Бюджет!AD236</f>
        <v>0</v>
      </c>
      <c r="AE87" s="66">
        <f>Бюджет!AE236</f>
        <v>0</v>
      </c>
      <c r="AF87" s="66">
        <f>Бюджет!AF236</f>
        <v>0</v>
      </c>
      <c r="AG87" s="66">
        <f>Бюджет!AG236</f>
        <v>0</v>
      </c>
      <c r="AH87" s="66">
        <f>Бюджет!AH236</f>
        <v>0</v>
      </c>
      <c r="AI87" s="66">
        <f>Бюджет!AI236</f>
        <v>0</v>
      </c>
      <c r="AJ87" s="66">
        <f t="shared" si="10"/>
        <v>110.60000000000001</v>
      </c>
      <c r="AK87" s="74"/>
      <c r="AM87" s="279"/>
    </row>
    <row r="88" spans="1:39" s="109" customFormat="1" ht="30" x14ac:dyDescent="0.2">
      <c r="A88" s="60" t="str">
        <f>Бюджет!A238</f>
        <v>Б1.В.02</v>
      </c>
      <c r="B88" s="60" t="str">
        <f>Бюджет!B238</f>
        <v>Основы проектирования электронной компонентной базы</v>
      </c>
      <c r="C88" s="67" t="str">
        <f>Бюджет!C238</f>
        <v>3\6</v>
      </c>
      <c r="D88" s="67">
        <f>Бюджет!D238</f>
        <v>23</v>
      </c>
      <c r="E88" s="67">
        <f>Бюджет!E238</f>
        <v>1</v>
      </c>
      <c r="F88" s="66">
        <f>Бюджет!F238</f>
        <v>38</v>
      </c>
      <c r="G88" s="66">
        <f>Бюджет!G238</f>
        <v>38</v>
      </c>
      <c r="H88" s="66">
        <f>Бюджет!H238</f>
        <v>0</v>
      </c>
      <c r="I88" s="66">
        <f>Бюджет!I238</f>
        <v>0</v>
      </c>
      <c r="J88" s="66">
        <f>Бюджет!J238</f>
        <v>36</v>
      </c>
      <c r="K88" s="66">
        <f>Бюджет!K238</f>
        <v>6.8999999999999995</v>
      </c>
      <c r="L88" s="66">
        <f>Бюджет!L238</f>
        <v>0</v>
      </c>
      <c r="M88" s="66">
        <f>Бюджет!M238</f>
        <v>0</v>
      </c>
      <c r="N88" s="66">
        <f>Бюджет!N238</f>
        <v>0</v>
      </c>
      <c r="O88" s="66">
        <f>Бюджет!O238</f>
        <v>0</v>
      </c>
      <c r="P88" s="66">
        <f>Бюджет!P238</f>
        <v>0</v>
      </c>
      <c r="Q88" s="66">
        <f>Бюджет!Q238</f>
        <v>1.9000000000000001</v>
      </c>
      <c r="R88" s="66">
        <f>Бюджет!R238</f>
        <v>0</v>
      </c>
      <c r="S88" s="66">
        <f>Бюджет!S238</f>
        <v>0</v>
      </c>
      <c r="T88" s="66">
        <f>Бюджет!T238</f>
        <v>0</v>
      </c>
      <c r="U88" s="66">
        <f>Бюджет!U238</f>
        <v>0</v>
      </c>
      <c r="V88" s="66">
        <f>Бюджет!V238</f>
        <v>0</v>
      </c>
      <c r="W88" s="66">
        <f>Бюджет!W238</f>
        <v>0</v>
      </c>
      <c r="X88" s="66">
        <f>Бюджет!X238</f>
        <v>0</v>
      </c>
      <c r="Y88" s="66">
        <f>Бюджет!Y238</f>
        <v>0</v>
      </c>
      <c r="Z88" s="66">
        <f>Бюджет!Z238</f>
        <v>0</v>
      </c>
      <c r="AA88" s="66">
        <f>Бюджет!AA238</f>
        <v>0</v>
      </c>
      <c r="AB88" s="66">
        <f>Бюджет!AB238</f>
        <v>0</v>
      </c>
      <c r="AC88" s="66">
        <f>Бюджет!AC238</f>
        <v>0</v>
      </c>
      <c r="AD88" s="66">
        <f>Бюджет!AD238</f>
        <v>0</v>
      </c>
      <c r="AE88" s="66">
        <f>Бюджет!AE238</f>
        <v>0</v>
      </c>
      <c r="AF88" s="66">
        <f>Бюджет!AF238</f>
        <v>0</v>
      </c>
      <c r="AG88" s="66">
        <f>Бюджет!AG238</f>
        <v>0</v>
      </c>
      <c r="AH88" s="66">
        <f>Бюджет!AH238</f>
        <v>0</v>
      </c>
      <c r="AI88" s="66">
        <f>Бюджет!AI238</f>
        <v>0</v>
      </c>
      <c r="AJ88" s="66">
        <f t="shared" si="10"/>
        <v>82.800000000000011</v>
      </c>
      <c r="AK88" s="74"/>
    </row>
    <row r="89" spans="1:39" s="109" customFormat="1" ht="15" x14ac:dyDescent="0.2">
      <c r="A89" s="60" t="str">
        <f>Бюджет!A239</f>
        <v>Б1.В.03</v>
      </c>
      <c r="B89" s="60" t="str">
        <f>Бюджет!B239</f>
        <v>Физическая химия материалов</v>
      </c>
      <c r="C89" s="67" t="str">
        <f>Бюджет!C239</f>
        <v>3\6</v>
      </c>
      <c r="D89" s="67">
        <f>Бюджет!D239</f>
        <v>23</v>
      </c>
      <c r="E89" s="67">
        <f>Бюджет!E239</f>
        <v>1</v>
      </c>
      <c r="F89" s="66">
        <f>Бюджет!F239</f>
        <v>38</v>
      </c>
      <c r="G89" s="66">
        <f>Бюджет!G239</f>
        <v>38</v>
      </c>
      <c r="H89" s="66">
        <f>Бюджет!H239</f>
        <v>38</v>
      </c>
      <c r="I89" s="66">
        <f>Бюджет!I239</f>
        <v>38</v>
      </c>
      <c r="J89" s="66">
        <f>Бюджет!J239</f>
        <v>0</v>
      </c>
      <c r="K89" s="66">
        <f>Бюджет!K239</f>
        <v>6.8999999999999995</v>
      </c>
      <c r="L89" s="66">
        <f>Бюджет!L239</f>
        <v>0</v>
      </c>
      <c r="M89" s="66">
        <f>Бюджет!M239</f>
        <v>0</v>
      </c>
      <c r="N89" s="66">
        <f>Бюджет!N239</f>
        <v>0</v>
      </c>
      <c r="O89" s="66">
        <f>Бюджет!O239</f>
        <v>0</v>
      </c>
      <c r="P89" s="66">
        <f>Бюджет!P239</f>
        <v>0</v>
      </c>
      <c r="Q89" s="66">
        <f>Бюджет!Q239</f>
        <v>1.9000000000000001</v>
      </c>
      <c r="R89" s="66">
        <f>Бюджет!R239</f>
        <v>0</v>
      </c>
      <c r="S89" s="66">
        <f>Бюджет!S239</f>
        <v>0</v>
      </c>
      <c r="T89" s="66">
        <f>Бюджет!T239</f>
        <v>0</v>
      </c>
      <c r="U89" s="66">
        <f>Бюджет!U239</f>
        <v>0</v>
      </c>
      <c r="V89" s="66">
        <f>Бюджет!V239</f>
        <v>0</v>
      </c>
      <c r="W89" s="66">
        <f>Бюджет!W239</f>
        <v>0</v>
      </c>
      <c r="X89" s="66">
        <f>Бюджет!X239</f>
        <v>0</v>
      </c>
      <c r="Y89" s="66">
        <f>Бюджет!Y239</f>
        <v>0</v>
      </c>
      <c r="Z89" s="66">
        <f>Бюджет!Z239</f>
        <v>0</v>
      </c>
      <c r="AA89" s="66">
        <f>Бюджет!AA239</f>
        <v>0</v>
      </c>
      <c r="AB89" s="66">
        <f>Бюджет!AB239</f>
        <v>0</v>
      </c>
      <c r="AC89" s="66">
        <f>Бюджет!AC239</f>
        <v>0</v>
      </c>
      <c r="AD89" s="66">
        <f>Бюджет!AD239</f>
        <v>0</v>
      </c>
      <c r="AE89" s="66">
        <f>Бюджет!AE239</f>
        <v>0</v>
      </c>
      <c r="AF89" s="66">
        <f>Бюджет!AF239</f>
        <v>0</v>
      </c>
      <c r="AG89" s="66">
        <f>Бюджет!AG239</f>
        <v>0</v>
      </c>
      <c r="AH89" s="66">
        <f>Бюджет!AH239</f>
        <v>0</v>
      </c>
      <c r="AI89" s="66">
        <f>Бюджет!AI239</f>
        <v>0</v>
      </c>
      <c r="AJ89" s="66">
        <f t="shared" si="10"/>
        <v>84.800000000000011</v>
      </c>
      <c r="AK89" s="74"/>
    </row>
    <row r="90" spans="1:39" s="109" customFormat="1" ht="45" x14ac:dyDescent="0.2">
      <c r="A90" s="60" t="str">
        <f>Бюджет!A240</f>
        <v>Б2.О.02(П)</v>
      </c>
      <c r="B90" s="60" t="str">
        <f>Бюджет!B240</f>
        <v>Технологическая (проектно-технологическая) практика 1 (рассред., 2 нед.)</v>
      </c>
      <c r="C90" s="67" t="str">
        <f>Бюджет!C240</f>
        <v>3\6</v>
      </c>
      <c r="D90" s="67">
        <f>Бюджет!D240</f>
        <v>23</v>
      </c>
      <c r="E90" s="67">
        <f>Бюджет!E240</f>
        <v>1</v>
      </c>
      <c r="F90" s="66">
        <f>Бюджет!F240</f>
        <v>0</v>
      </c>
      <c r="G90" s="66">
        <f>Бюджет!G240</f>
        <v>0</v>
      </c>
      <c r="H90" s="66">
        <f>Бюджет!H240</f>
        <v>0</v>
      </c>
      <c r="I90" s="66">
        <f>Бюджет!I240</f>
        <v>0</v>
      </c>
      <c r="J90" s="66">
        <f>Бюджет!J240</f>
        <v>0</v>
      </c>
      <c r="K90" s="66">
        <f>Бюджет!K240</f>
        <v>0</v>
      </c>
      <c r="L90" s="66">
        <f>Бюджет!L240</f>
        <v>0</v>
      </c>
      <c r="M90" s="66">
        <f>Бюджет!M240</f>
        <v>0</v>
      </c>
      <c r="N90" s="66">
        <f>Бюджет!N240</f>
        <v>0</v>
      </c>
      <c r="O90" s="66">
        <f>Бюджет!O240</f>
        <v>0</v>
      </c>
      <c r="P90" s="66">
        <f>Бюджет!P240</f>
        <v>0</v>
      </c>
      <c r="Q90" s="66">
        <f>Бюджет!Q240</f>
        <v>0</v>
      </c>
      <c r="R90" s="66">
        <f>Бюджет!R240</f>
        <v>0</v>
      </c>
      <c r="S90" s="66">
        <f>Бюджет!S240</f>
        <v>0</v>
      </c>
      <c r="T90" s="66">
        <f>Бюджет!T240</f>
        <v>46</v>
      </c>
      <c r="U90" s="66">
        <f>Бюджет!U240</f>
        <v>0</v>
      </c>
      <c r="V90" s="66">
        <f>Бюджет!V240</f>
        <v>0</v>
      </c>
      <c r="W90" s="66">
        <f>Бюджет!W240</f>
        <v>0</v>
      </c>
      <c r="X90" s="66">
        <f>Бюджет!X240</f>
        <v>0</v>
      </c>
      <c r="Y90" s="66">
        <f>Бюджет!Y240</f>
        <v>0</v>
      </c>
      <c r="Z90" s="66">
        <f>Бюджет!Z240</f>
        <v>0</v>
      </c>
      <c r="AA90" s="66">
        <f>Бюджет!AA240</f>
        <v>0</v>
      </c>
      <c r="AB90" s="66">
        <f>Бюджет!AB240</f>
        <v>0</v>
      </c>
      <c r="AC90" s="66">
        <f>Бюджет!AC240</f>
        <v>0</v>
      </c>
      <c r="AD90" s="66">
        <f>Бюджет!AD240</f>
        <v>0</v>
      </c>
      <c r="AE90" s="66">
        <f>Бюджет!AE240</f>
        <v>0</v>
      </c>
      <c r="AF90" s="66">
        <f>Бюджет!AF240</f>
        <v>0</v>
      </c>
      <c r="AG90" s="66">
        <f>Бюджет!AG240</f>
        <v>0</v>
      </c>
      <c r="AH90" s="66">
        <f>Бюджет!AH240</f>
        <v>0</v>
      </c>
      <c r="AI90" s="66">
        <f>Бюджет!AI240</f>
        <v>0</v>
      </c>
      <c r="AJ90" s="66">
        <f t="shared" si="10"/>
        <v>46</v>
      </c>
      <c r="AK90" s="74"/>
    </row>
    <row r="91" spans="1:39" s="109" customFormat="1" ht="15" x14ac:dyDescent="0.2">
      <c r="A91" s="60" t="str">
        <f>Бюджет!A242</f>
        <v>Б1.О.23</v>
      </c>
      <c r="B91" s="60" t="str">
        <f>Бюджет!B242</f>
        <v>Метрология и стандартизация</v>
      </c>
      <c r="C91" s="67" t="str">
        <f>Бюджет!C242</f>
        <v>4\8</v>
      </c>
      <c r="D91" s="67">
        <f>Бюджет!D242</f>
        <v>23</v>
      </c>
      <c r="E91" s="67">
        <f>Бюджет!E242</f>
        <v>1</v>
      </c>
      <c r="F91" s="66">
        <f>Бюджет!F242</f>
        <v>10</v>
      </c>
      <c r="G91" s="66">
        <f>Бюджет!G242</f>
        <v>10</v>
      </c>
      <c r="H91" s="66">
        <f>Бюджет!H242</f>
        <v>32</v>
      </c>
      <c r="I91" s="66">
        <f>Бюджет!I242</f>
        <v>32</v>
      </c>
      <c r="J91" s="66">
        <f>Бюджет!J242</f>
        <v>0</v>
      </c>
      <c r="K91" s="66">
        <f>Бюджет!K242</f>
        <v>0</v>
      </c>
      <c r="L91" s="66">
        <f>Бюджет!L242</f>
        <v>0</v>
      </c>
      <c r="M91" s="66">
        <f>Бюджет!M242</f>
        <v>9.2000000000000011</v>
      </c>
      <c r="N91" s="66">
        <f>Бюджет!N242</f>
        <v>0</v>
      </c>
      <c r="O91" s="66">
        <f>Бюджет!O242</f>
        <v>0</v>
      </c>
      <c r="P91" s="66">
        <f>Бюджет!P242</f>
        <v>0</v>
      </c>
      <c r="Q91" s="66">
        <f>Бюджет!Q242</f>
        <v>1.5</v>
      </c>
      <c r="R91" s="66">
        <f>Бюджет!R242</f>
        <v>0</v>
      </c>
      <c r="S91" s="66">
        <f>Бюджет!S242</f>
        <v>0</v>
      </c>
      <c r="T91" s="66">
        <f>Бюджет!T242</f>
        <v>0</v>
      </c>
      <c r="U91" s="66">
        <f>Бюджет!U242</f>
        <v>0</v>
      </c>
      <c r="V91" s="66">
        <f>Бюджет!V242</f>
        <v>0</v>
      </c>
      <c r="W91" s="66">
        <f>Бюджет!W242</f>
        <v>0</v>
      </c>
      <c r="X91" s="66">
        <f>Бюджет!X242</f>
        <v>0</v>
      </c>
      <c r="Y91" s="66">
        <f>Бюджет!Y242</f>
        <v>0</v>
      </c>
      <c r="Z91" s="66">
        <f>Бюджет!Z242</f>
        <v>0</v>
      </c>
      <c r="AA91" s="66">
        <f>Бюджет!AA242</f>
        <v>0</v>
      </c>
      <c r="AB91" s="66">
        <f>Бюджет!AB242</f>
        <v>0</v>
      </c>
      <c r="AC91" s="66">
        <f>Бюджет!AC242</f>
        <v>0</v>
      </c>
      <c r="AD91" s="66">
        <f>Бюджет!AD242</f>
        <v>0</v>
      </c>
      <c r="AE91" s="66">
        <f>Бюджет!AE242</f>
        <v>0</v>
      </c>
      <c r="AF91" s="66">
        <f>Бюджет!AF242</f>
        <v>0</v>
      </c>
      <c r="AG91" s="66">
        <f>Бюджет!AG242</f>
        <v>0</v>
      </c>
      <c r="AH91" s="66">
        <f>Бюджет!AH242</f>
        <v>0</v>
      </c>
      <c r="AI91" s="66">
        <f>Бюджет!AI242</f>
        <v>0</v>
      </c>
      <c r="AJ91" s="66">
        <f t="shared" si="10"/>
        <v>52.7</v>
      </c>
      <c r="AK91" s="70"/>
    </row>
    <row r="92" spans="1:39" s="109" customFormat="1" ht="30" x14ac:dyDescent="0.2">
      <c r="A92" s="60" t="str">
        <f>Бюджет!A243</f>
        <v>Б1.О.25</v>
      </c>
      <c r="B92" s="60" t="str">
        <f>Бюджет!B243</f>
        <v>Организация и планирование производства</v>
      </c>
      <c r="C92" s="67" t="str">
        <f>Бюджет!C243</f>
        <v>4\7</v>
      </c>
      <c r="D92" s="67">
        <f>Бюджет!D243</f>
        <v>23</v>
      </c>
      <c r="E92" s="67">
        <f>Бюджет!E243</f>
        <v>1</v>
      </c>
      <c r="F92" s="66">
        <f>Бюджет!F243</f>
        <v>16</v>
      </c>
      <c r="G92" s="66">
        <f>Бюджет!G243</f>
        <v>16</v>
      </c>
      <c r="H92" s="66">
        <f>Бюджет!H243</f>
        <v>34</v>
      </c>
      <c r="I92" s="66">
        <f>Бюджет!I243</f>
        <v>34</v>
      </c>
      <c r="J92" s="66">
        <f>Бюджет!J243</f>
        <v>0</v>
      </c>
      <c r="K92" s="66">
        <f>Бюджет!K243</f>
        <v>6.8999999999999995</v>
      </c>
      <c r="L92" s="66">
        <f>Бюджет!L243</f>
        <v>0</v>
      </c>
      <c r="M92" s="66">
        <f>Бюджет!M243</f>
        <v>0</v>
      </c>
      <c r="N92" s="66">
        <f>Бюджет!N243</f>
        <v>0</v>
      </c>
      <c r="O92" s="66">
        <f>Бюджет!O243</f>
        <v>0</v>
      </c>
      <c r="P92" s="66">
        <f>Бюджет!P243</f>
        <v>0</v>
      </c>
      <c r="Q92" s="66">
        <f>Бюджет!Q243</f>
        <v>0.8</v>
      </c>
      <c r="R92" s="66">
        <f>Бюджет!R243</f>
        <v>0</v>
      </c>
      <c r="S92" s="66">
        <f>Бюджет!S243</f>
        <v>0</v>
      </c>
      <c r="T92" s="66">
        <f>Бюджет!T243</f>
        <v>0</v>
      </c>
      <c r="U92" s="66">
        <f>Бюджет!U243</f>
        <v>0</v>
      </c>
      <c r="V92" s="66">
        <f>Бюджет!V243</f>
        <v>0</v>
      </c>
      <c r="W92" s="66">
        <f>Бюджет!W243</f>
        <v>0</v>
      </c>
      <c r="X92" s="66">
        <f>Бюджет!X243</f>
        <v>0</v>
      </c>
      <c r="Y92" s="66">
        <f>Бюджет!Y243</f>
        <v>0</v>
      </c>
      <c r="Z92" s="66">
        <f>Бюджет!Z243</f>
        <v>0</v>
      </c>
      <c r="AA92" s="66">
        <f>Бюджет!AA243</f>
        <v>0</v>
      </c>
      <c r="AB92" s="66">
        <f>Бюджет!AB243</f>
        <v>0</v>
      </c>
      <c r="AC92" s="66">
        <f>Бюджет!AC243</f>
        <v>0</v>
      </c>
      <c r="AD92" s="66">
        <f>Бюджет!AD243</f>
        <v>0</v>
      </c>
      <c r="AE92" s="66">
        <f>Бюджет!AE243</f>
        <v>0</v>
      </c>
      <c r="AF92" s="66">
        <f>Бюджет!AF243</f>
        <v>0</v>
      </c>
      <c r="AG92" s="66">
        <f>Бюджет!AG243</f>
        <v>0</v>
      </c>
      <c r="AH92" s="66">
        <f>Бюджет!AH243</f>
        <v>0</v>
      </c>
      <c r="AI92" s="66">
        <f>Бюджет!AI243</f>
        <v>0</v>
      </c>
      <c r="AJ92" s="66">
        <f t="shared" si="10"/>
        <v>57.699999999999996</v>
      </c>
      <c r="AK92" s="70"/>
    </row>
    <row r="93" spans="1:39" s="109" customFormat="1" ht="15" x14ac:dyDescent="0.2">
      <c r="A93" s="60" t="str">
        <f>Бюджет!A247</f>
        <v>Б1.В.05</v>
      </c>
      <c r="B93" s="60" t="str">
        <f>Бюджет!B247</f>
        <v>Физика конденсированного состояния</v>
      </c>
      <c r="C93" s="67" t="str">
        <f>Бюджет!C247</f>
        <v>4\7</v>
      </c>
      <c r="D93" s="67">
        <f>Бюджет!D247</f>
        <v>23</v>
      </c>
      <c r="E93" s="67">
        <f>Бюджет!E247</f>
        <v>1</v>
      </c>
      <c r="F93" s="66">
        <f>Бюджет!F247</f>
        <v>50</v>
      </c>
      <c r="G93" s="66">
        <f>Бюджет!G247</f>
        <v>50</v>
      </c>
      <c r="H93" s="66">
        <f>Бюджет!H247</f>
        <v>34</v>
      </c>
      <c r="I93" s="66">
        <f>Бюджет!I247</f>
        <v>34</v>
      </c>
      <c r="J93" s="66">
        <f>Бюджет!J247</f>
        <v>0</v>
      </c>
      <c r="K93" s="66">
        <f>Бюджет!K247</f>
        <v>0</v>
      </c>
      <c r="L93" s="66">
        <f>Бюджет!L247</f>
        <v>0</v>
      </c>
      <c r="M93" s="66">
        <f>Бюджет!M247</f>
        <v>9.2000000000000011</v>
      </c>
      <c r="N93" s="66">
        <f>Бюджет!N247</f>
        <v>0</v>
      </c>
      <c r="O93" s="66">
        <f>Бюджет!O247</f>
        <v>0</v>
      </c>
      <c r="P93" s="66">
        <f>Бюджет!P247</f>
        <v>0</v>
      </c>
      <c r="Q93" s="66">
        <f>Бюджет!Q247</f>
        <v>3.5</v>
      </c>
      <c r="R93" s="66">
        <f>Бюджет!R247</f>
        <v>0</v>
      </c>
      <c r="S93" s="66">
        <f>Бюджет!S247</f>
        <v>0</v>
      </c>
      <c r="T93" s="66">
        <f>Бюджет!T247</f>
        <v>0</v>
      </c>
      <c r="U93" s="66">
        <f>Бюджет!U247</f>
        <v>6.8999999999999995</v>
      </c>
      <c r="V93" s="66">
        <f>Бюджет!V247</f>
        <v>0</v>
      </c>
      <c r="W93" s="66">
        <f>Бюджет!W247</f>
        <v>0</v>
      </c>
      <c r="X93" s="66">
        <f>Бюджет!X247</f>
        <v>0</v>
      </c>
      <c r="Y93" s="66">
        <f>Бюджет!Y247</f>
        <v>0</v>
      </c>
      <c r="Z93" s="66">
        <f>Бюджет!Z247</f>
        <v>0</v>
      </c>
      <c r="AA93" s="66">
        <f>Бюджет!AA247</f>
        <v>0</v>
      </c>
      <c r="AB93" s="66">
        <f>Бюджет!AB247</f>
        <v>0</v>
      </c>
      <c r="AC93" s="66">
        <f>Бюджет!AC247</f>
        <v>0</v>
      </c>
      <c r="AD93" s="66">
        <f>Бюджет!AD247</f>
        <v>0</v>
      </c>
      <c r="AE93" s="66">
        <f>Бюджет!AE247</f>
        <v>0</v>
      </c>
      <c r="AF93" s="66">
        <f>Бюджет!AF247</f>
        <v>0</v>
      </c>
      <c r="AG93" s="66">
        <f>Бюджет!AG247</f>
        <v>0</v>
      </c>
      <c r="AH93" s="66">
        <f>Бюджет!AH247</f>
        <v>0</v>
      </c>
      <c r="AI93" s="66">
        <f>Бюджет!AI247</f>
        <v>8</v>
      </c>
      <c r="AJ93" s="66">
        <f t="shared" si="10"/>
        <v>111.60000000000001</v>
      </c>
      <c r="AK93" s="74"/>
      <c r="AL93" s="209"/>
    </row>
    <row r="94" spans="1:39" s="109" customFormat="1" ht="30" x14ac:dyDescent="0.2">
      <c r="A94" s="60" t="str">
        <f>Бюджет!A248</f>
        <v>Б1.В.06</v>
      </c>
      <c r="B94" s="60" t="str">
        <f>Бюджет!B248</f>
        <v>Технологии материалов электронной техники</v>
      </c>
      <c r="C94" s="67" t="str">
        <f>Бюджет!C248</f>
        <v>4\8</v>
      </c>
      <c r="D94" s="67">
        <f>Бюджет!D248</f>
        <v>23</v>
      </c>
      <c r="E94" s="67">
        <f>Бюджет!E248</f>
        <v>1</v>
      </c>
      <c r="F94" s="66">
        <f>Бюджет!F248</f>
        <v>22</v>
      </c>
      <c r="G94" s="66">
        <f>Бюджет!G248</f>
        <v>22</v>
      </c>
      <c r="H94" s="66">
        <f>Бюджет!H248</f>
        <v>22</v>
      </c>
      <c r="I94" s="66">
        <f>Бюджет!I248</f>
        <v>22</v>
      </c>
      <c r="J94" s="66">
        <f>Бюджет!J248</f>
        <v>0</v>
      </c>
      <c r="K94" s="66">
        <f>Бюджет!K248</f>
        <v>6.8999999999999995</v>
      </c>
      <c r="L94" s="66">
        <f>Бюджет!L248</f>
        <v>0</v>
      </c>
      <c r="M94" s="66">
        <f>Бюджет!M248</f>
        <v>0</v>
      </c>
      <c r="N94" s="66">
        <f>Бюджет!N248</f>
        <v>0</v>
      </c>
      <c r="O94" s="66">
        <f>Бюджет!O248</f>
        <v>0</v>
      </c>
      <c r="P94" s="66">
        <f>Бюджет!P248</f>
        <v>0</v>
      </c>
      <c r="Q94" s="66">
        <f>Бюджет!Q248</f>
        <v>1.1000000000000001</v>
      </c>
      <c r="R94" s="66">
        <f>Бюджет!R248</f>
        <v>0</v>
      </c>
      <c r="S94" s="66">
        <f>Бюджет!S248</f>
        <v>0</v>
      </c>
      <c r="T94" s="66">
        <f>Бюджет!T248</f>
        <v>0</v>
      </c>
      <c r="U94" s="66">
        <f>Бюджет!U248</f>
        <v>0</v>
      </c>
      <c r="V94" s="66">
        <f>Бюджет!V248</f>
        <v>0</v>
      </c>
      <c r="W94" s="66">
        <f>Бюджет!W248</f>
        <v>0</v>
      </c>
      <c r="X94" s="66">
        <f>Бюджет!X248</f>
        <v>0</v>
      </c>
      <c r="Y94" s="66">
        <f>Бюджет!Y248</f>
        <v>0</v>
      </c>
      <c r="Z94" s="66">
        <f>Бюджет!Z248</f>
        <v>0</v>
      </c>
      <c r="AA94" s="66">
        <f>Бюджет!AA248</f>
        <v>0</v>
      </c>
      <c r="AB94" s="66">
        <f>Бюджет!AB248</f>
        <v>0</v>
      </c>
      <c r="AC94" s="66">
        <f>Бюджет!AC248</f>
        <v>0</v>
      </c>
      <c r="AD94" s="66">
        <f>Бюджет!AD248</f>
        <v>0</v>
      </c>
      <c r="AE94" s="66">
        <f>Бюджет!AE248</f>
        <v>0</v>
      </c>
      <c r="AF94" s="66">
        <f>Бюджет!AF248</f>
        <v>0</v>
      </c>
      <c r="AG94" s="66">
        <f>Бюджет!AG248</f>
        <v>0</v>
      </c>
      <c r="AH94" s="66">
        <f>Бюджет!AH248</f>
        <v>0</v>
      </c>
      <c r="AI94" s="66">
        <f>Бюджет!AI248</f>
        <v>0</v>
      </c>
      <c r="AJ94" s="66">
        <f t="shared" si="10"/>
        <v>52</v>
      </c>
      <c r="AK94" s="74"/>
      <c r="AL94" s="209"/>
    </row>
    <row r="95" spans="1:39" s="109" customFormat="1" ht="30" x14ac:dyDescent="0.2">
      <c r="A95" s="60" t="str">
        <f>Бюджет!A249</f>
        <v>Б1.В.07</v>
      </c>
      <c r="B95" s="60" t="str">
        <f>Бюджет!B249</f>
        <v>Современное физическое материаловедение</v>
      </c>
      <c r="C95" s="67" t="str">
        <f>Бюджет!C249</f>
        <v>4\8</v>
      </c>
      <c r="D95" s="67">
        <f>Бюджет!D249</f>
        <v>23</v>
      </c>
      <c r="E95" s="67">
        <f>Бюджет!E249</f>
        <v>1</v>
      </c>
      <c r="F95" s="66">
        <f>Бюджет!F249</f>
        <v>22</v>
      </c>
      <c r="G95" s="66">
        <f>Бюджет!G249</f>
        <v>22</v>
      </c>
      <c r="H95" s="66">
        <f>Бюджет!H249</f>
        <v>32</v>
      </c>
      <c r="I95" s="66">
        <f>Бюджет!I249</f>
        <v>32</v>
      </c>
      <c r="J95" s="66">
        <f>Бюджет!J249</f>
        <v>0</v>
      </c>
      <c r="K95" s="66">
        <f>Бюджет!K249</f>
        <v>6.8999999999999995</v>
      </c>
      <c r="L95" s="66">
        <f>Бюджет!L249</f>
        <v>0</v>
      </c>
      <c r="M95" s="66">
        <f>Бюджет!M249</f>
        <v>0</v>
      </c>
      <c r="N95" s="66">
        <f>Бюджет!N249</f>
        <v>0</v>
      </c>
      <c r="O95" s="66">
        <f>Бюджет!O249</f>
        <v>0</v>
      </c>
      <c r="P95" s="66">
        <f>Бюджет!P249</f>
        <v>0</v>
      </c>
      <c r="Q95" s="66">
        <f>Бюджет!Q249</f>
        <v>1.1000000000000001</v>
      </c>
      <c r="R95" s="66">
        <f>Бюджет!R249</f>
        <v>0</v>
      </c>
      <c r="S95" s="66">
        <f>Бюджет!S249</f>
        <v>0</v>
      </c>
      <c r="T95" s="66">
        <f>Бюджет!T249</f>
        <v>0</v>
      </c>
      <c r="U95" s="66">
        <f>Бюджет!U249</f>
        <v>0</v>
      </c>
      <c r="V95" s="66">
        <f>Бюджет!V249</f>
        <v>0</v>
      </c>
      <c r="W95" s="66">
        <f>Бюджет!W249</f>
        <v>0</v>
      </c>
      <c r="X95" s="66">
        <f>Бюджет!X249</f>
        <v>0</v>
      </c>
      <c r="Y95" s="66">
        <f>Бюджет!Y249</f>
        <v>0</v>
      </c>
      <c r="Z95" s="66">
        <f>Бюджет!Z249</f>
        <v>0</v>
      </c>
      <c r="AA95" s="66">
        <f>Бюджет!AA249</f>
        <v>0</v>
      </c>
      <c r="AB95" s="66">
        <f>Бюджет!AB249</f>
        <v>0</v>
      </c>
      <c r="AC95" s="66">
        <f>Бюджет!AC249</f>
        <v>0</v>
      </c>
      <c r="AD95" s="66">
        <f>Бюджет!AD249</f>
        <v>0</v>
      </c>
      <c r="AE95" s="66">
        <f>Бюджет!AE249</f>
        <v>0</v>
      </c>
      <c r="AF95" s="66">
        <f>Бюджет!AF249</f>
        <v>0</v>
      </c>
      <c r="AG95" s="66">
        <f>Бюджет!AG249</f>
        <v>0</v>
      </c>
      <c r="AH95" s="66">
        <f>Бюджет!AH249</f>
        <v>0</v>
      </c>
      <c r="AI95" s="66">
        <f>Бюджет!AI249</f>
        <v>0</v>
      </c>
      <c r="AJ95" s="66">
        <f t="shared" si="10"/>
        <v>62</v>
      </c>
      <c r="AK95" s="74"/>
    </row>
    <row r="96" spans="1:39" s="109" customFormat="1" ht="15" x14ac:dyDescent="0.2">
      <c r="A96" s="60" t="str">
        <f>Бюджет!A250</f>
        <v>Б1.В.08</v>
      </c>
      <c r="B96" s="60" t="str">
        <f>Бюджет!B250</f>
        <v>Физика магнитных явлений</v>
      </c>
      <c r="C96" s="67" t="str">
        <f>Бюджет!C250</f>
        <v>4\8</v>
      </c>
      <c r="D96" s="67">
        <f>Бюджет!D250</f>
        <v>23</v>
      </c>
      <c r="E96" s="67">
        <f>Бюджет!E250</f>
        <v>1</v>
      </c>
      <c r="F96" s="66">
        <f>Бюджет!F250</f>
        <v>22</v>
      </c>
      <c r="G96" s="66">
        <f>Бюджет!G250</f>
        <v>22</v>
      </c>
      <c r="H96" s="66">
        <f>Бюджет!H250</f>
        <v>32</v>
      </c>
      <c r="I96" s="66">
        <f>Бюджет!I250</f>
        <v>32</v>
      </c>
      <c r="J96" s="66">
        <f>Бюджет!J250</f>
        <v>0</v>
      </c>
      <c r="K96" s="66">
        <f>Бюджет!K250</f>
        <v>6.8999999999999995</v>
      </c>
      <c r="L96" s="66">
        <f>Бюджет!L250</f>
        <v>0</v>
      </c>
      <c r="M96" s="66">
        <f>Бюджет!M250</f>
        <v>0</v>
      </c>
      <c r="N96" s="66">
        <f>Бюджет!N250</f>
        <v>0</v>
      </c>
      <c r="O96" s="66">
        <f>Бюджет!O250</f>
        <v>0</v>
      </c>
      <c r="P96" s="66">
        <f>Бюджет!P250</f>
        <v>0</v>
      </c>
      <c r="Q96" s="66">
        <f>Бюджет!Q250</f>
        <v>1.1000000000000001</v>
      </c>
      <c r="R96" s="66">
        <f>Бюджет!R250</f>
        <v>0</v>
      </c>
      <c r="S96" s="66">
        <f>Бюджет!S250</f>
        <v>0</v>
      </c>
      <c r="T96" s="66">
        <f>Бюджет!T250</f>
        <v>0</v>
      </c>
      <c r="U96" s="66">
        <f>Бюджет!U250</f>
        <v>0</v>
      </c>
      <c r="V96" s="66">
        <f>Бюджет!V250</f>
        <v>0</v>
      </c>
      <c r="W96" s="66">
        <f>Бюджет!W250</f>
        <v>0</v>
      </c>
      <c r="X96" s="66">
        <f>Бюджет!X250</f>
        <v>0</v>
      </c>
      <c r="Y96" s="66">
        <f>Бюджет!Y250</f>
        <v>0</v>
      </c>
      <c r="Z96" s="66">
        <f>Бюджет!Z250</f>
        <v>0</v>
      </c>
      <c r="AA96" s="66">
        <f>Бюджет!AA250</f>
        <v>0</v>
      </c>
      <c r="AB96" s="66">
        <f>Бюджет!AB250</f>
        <v>0</v>
      </c>
      <c r="AC96" s="66">
        <f>Бюджет!AC250</f>
        <v>0</v>
      </c>
      <c r="AD96" s="66">
        <f>Бюджет!AD250</f>
        <v>0</v>
      </c>
      <c r="AE96" s="66">
        <f>Бюджет!AE250</f>
        <v>0</v>
      </c>
      <c r="AF96" s="66">
        <f>Бюджет!AF250</f>
        <v>0</v>
      </c>
      <c r="AG96" s="66">
        <f>Бюджет!AG250</f>
        <v>0</v>
      </c>
      <c r="AH96" s="66">
        <f>Бюджет!AH250</f>
        <v>0</v>
      </c>
      <c r="AI96" s="66">
        <f>Бюджет!AI250</f>
        <v>0</v>
      </c>
      <c r="AJ96" s="66">
        <f t="shared" si="10"/>
        <v>62</v>
      </c>
      <c r="AK96" s="74"/>
    </row>
    <row r="97" spans="1:39" s="109" customFormat="1" ht="15" x14ac:dyDescent="0.2">
      <c r="A97" s="60" t="str">
        <f>Бюджет!A251</f>
        <v>Б1.В.ДВ.01.01</v>
      </c>
      <c r="B97" s="60" t="str">
        <f>Бюджет!B251</f>
        <v>Квантовая и оптическая электроника</v>
      </c>
      <c r="C97" s="67" t="str">
        <f>Бюджет!C251</f>
        <v>4\7</v>
      </c>
      <c r="D97" s="67">
        <f>Бюджет!D251</f>
        <v>23</v>
      </c>
      <c r="E97" s="67">
        <f>Бюджет!E251</f>
        <v>1</v>
      </c>
      <c r="F97" s="66">
        <f>Бюджет!F251</f>
        <v>34</v>
      </c>
      <c r="G97" s="66">
        <f>Бюджет!G251</f>
        <v>34</v>
      </c>
      <c r="H97" s="66">
        <f>Бюджет!H251</f>
        <v>0</v>
      </c>
      <c r="I97" s="66">
        <f>Бюджет!I251</f>
        <v>0</v>
      </c>
      <c r="J97" s="66"/>
      <c r="K97" s="66">
        <f>Бюджет!K251</f>
        <v>6.8999999999999995</v>
      </c>
      <c r="L97" s="66">
        <f>Бюджет!L251</f>
        <v>0</v>
      </c>
      <c r="M97" s="66">
        <f>Бюджет!M251</f>
        <v>0</v>
      </c>
      <c r="N97" s="66">
        <f>Бюджет!N251</f>
        <v>0</v>
      </c>
      <c r="O97" s="66">
        <f>Бюджет!O251</f>
        <v>0</v>
      </c>
      <c r="P97" s="66">
        <f>Бюджет!P251</f>
        <v>0</v>
      </c>
      <c r="Q97" s="66">
        <f>Бюджет!Q251</f>
        <v>1.7000000000000002</v>
      </c>
      <c r="R97" s="66">
        <f>Бюджет!R251</f>
        <v>0</v>
      </c>
      <c r="S97" s="66">
        <f>Бюджет!S251</f>
        <v>0</v>
      </c>
      <c r="T97" s="66">
        <f>Бюджет!T251</f>
        <v>0</v>
      </c>
      <c r="U97" s="66">
        <f>Бюджет!U251</f>
        <v>0</v>
      </c>
      <c r="V97" s="66">
        <f>Бюджет!V251</f>
        <v>0</v>
      </c>
      <c r="W97" s="66">
        <f>Бюджет!W251</f>
        <v>0</v>
      </c>
      <c r="X97" s="66">
        <f>Бюджет!X251</f>
        <v>0</v>
      </c>
      <c r="Y97" s="66">
        <f>Бюджет!Y251</f>
        <v>0</v>
      </c>
      <c r="Z97" s="66">
        <f>Бюджет!Z251</f>
        <v>0</v>
      </c>
      <c r="AA97" s="66">
        <f>Бюджет!AA251</f>
        <v>0</v>
      </c>
      <c r="AB97" s="66">
        <f>Бюджет!AB251</f>
        <v>0</v>
      </c>
      <c r="AC97" s="66">
        <f>Бюджет!AC251</f>
        <v>0</v>
      </c>
      <c r="AD97" s="66">
        <f>Бюджет!AD251</f>
        <v>0</v>
      </c>
      <c r="AE97" s="66">
        <f>Бюджет!AE251</f>
        <v>0</v>
      </c>
      <c r="AF97" s="66">
        <f>Бюджет!AF251</f>
        <v>0</v>
      </c>
      <c r="AG97" s="66">
        <f>Бюджет!AG251</f>
        <v>0</v>
      </c>
      <c r="AH97" s="66">
        <f>Бюджет!AH251</f>
        <v>0</v>
      </c>
      <c r="AI97" s="66">
        <f>Бюджет!AI251</f>
        <v>0</v>
      </c>
      <c r="AJ97" s="66">
        <f t="shared" si="10"/>
        <v>42.6</v>
      </c>
      <c r="AK97" s="74"/>
      <c r="AM97" s="279"/>
    </row>
    <row r="98" spans="1:39" s="109" customFormat="1" ht="30" x14ac:dyDescent="0.2">
      <c r="A98" s="60" t="str">
        <f>Бюджет!A252</f>
        <v>Б1.В.ДВ.02.01</v>
      </c>
      <c r="B98" s="60" t="str">
        <f>Бюджет!B252</f>
        <v>Методы исследования материалов и структур электроники</v>
      </c>
      <c r="C98" s="67" t="str">
        <f>Бюджет!C252</f>
        <v>4\8</v>
      </c>
      <c r="D98" s="67">
        <f>Бюджет!D252</f>
        <v>23</v>
      </c>
      <c r="E98" s="67">
        <f>Бюджет!E252</f>
        <v>1</v>
      </c>
      <c r="F98" s="66">
        <f>Бюджет!F252</f>
        <v>22</v>
      </c>
      <c r="G98" s="66">
        <f>Бюджет!G252</f>
        <v>22</v>
      </c>
      <c r="H98" s="66">
        <f>Бюджет!H252</f>
        <v>22</v>
      </c>
      <c r="I98" s="66">
        <f>Бюджет!I252</f>
        <v>22</v>
      </c>
      <c r="J98" s="66">
        <f>Бюджет!J252</f>
        <v>0</v>
      </c>
      <c r="K98" s="66">
        <f>Бюджет!K252</f>
        <v>0</v>
      </c>
      <c r="L98" s="66">
        <f>Бюджет!L252</f>
        <v>0</v>
      </c>
      <c r="M98" s="66">
        <f>Бюджет!M252</f>
        <v>9.2000000000000011</v>
      </c>
      <c r="N98" s="66">
        <f>Бюджет!N252</f>
        <v>0</v>
      </c>
      <c r="O98" s="66">
        <f>Бюджет!O252</f>
        <v>0</v>
      </c>
      <c r="P98" s="66">
        <f>Бюджет!P252</f>
        <v>0</v>
      </c>
      <c r="Q98" s="66">
        <f>Бюджет!Q252</f>
        <v>2.1</v>
      </c>
      <c r="R98" s="66">
        <f>Бюджет!R252</f>
        <v>0</v>
      </c>
      <c r="S98" s="66">
        <f>Бюджет!S252</f>
        <v>0</v>
      </c>
      <c r="T98" s="66">
        <f>Бюджет!T252</f>
        <v>0</v>
      </c>
      <c r="U98" s="66">
        <f>Бюджет!U252</f>
        <v>0</v>
      </c>
      <c r="V98" s="66">
        <f>Бюджет!V252</f>
        <v>0</v>
      </c>
      <c r="W98" s="66">
        <f>Бюджет!W252</f>
        <v>0</v>
      </c>
      <c r="X98" s="66">
        <f>Бюджет!X252</f>
        <v>0</v>
      </c>
      <c r="Y98" s="66">
        <f>Бюджет!Y252</f>
        <v>0</v>
      </c>
      <c r="Z98" s="66">
        <f>Бюджет!Z252</f>
        <v>0</v>
      </c>
      <c r="AA98" s="66">
        <f>Бюджет!AA252</f>
        <v>0</v>
      </c>
      <c r="AB98" s="66">
        <f>Бюджет!AB252</f>
        <v>0</v>
      </c>
      <c r="AC98" s="66">
        <f>Бюджет!AC252</f>
        <v>0</v>
      </c>
      <c r="AD98" s="66">
        <f>Бюджет!AD252</f>
        <v>0</v>
      </c>
      <c r="AE98" s="66">
        <f>Бюджет!AE252</f>
        <v>0</v>
      </c>
      <c r="AF98" s="66">
        <f>Бюджет!AF252</f>
        <v>0</v>
      </c>
      <c r="AG98" s="66">
        <f>Бюджет!AG252</f>
        <v>0</v>
      </c>
      <c r="AH98" s="66">
        <f>Бюджет!AH252</f>
        <v>0</v>
      </c>
      <c r="AI98" s="66">
        <f>Бюджет!AI252</f>
        <v>0</v>
      </c>
      <c r="AJ98" s="66">
        <f t="shared" si="10"/>
        <v>55.300000000000004</v>
      </c>
      <c r="AK98" s="74"/>
    </row>
    <row r="99" spans="1:39" s="109" customFormat="1" ht="30" x14ac:dyDescent="0.2">
      <c r="A99" s="60" t="str">
        <f>Бюджет!A253</f>
        <v>Б2.В.01(П)</v>
      </c>
      <c r="B99" s="60" t="str">
        <f>Бюджет!B253</f>
        <v>Технологическая (проектно-технологическая) практика 2 (4 нед.)</v>
      </c>
      <c r="C99" s="67" t="str">
        <f>Бюджет!C253</f>
        <v>4\7</v>
      </c>
      <c r="D99" s="67">
        <v>13</v>
      </c>
      <c r="E99" s="67">
        <f>Бюджет!E253</f>
        <v>1</v>
      </c>
      <c r="F99" s="66">
        <f>Бюджет!F253</f>
        <v>0</v>
      </c>
      <c r="G99" s="66">
        <f>Бюджет!G253</f>
        <v>0</v>
      </c>
      <c r="H99" s="66">
        <f>Бюджет!H253</f>
        <v>0</v>
      </c>
      <c r="I99" s="66">
        <f>Бюджет!I253</f>
        <v>0</v>
      </c>
      <c r="J99" s="66">
        <f>Бюджет!J253</f>
        <v>0</v>
      </c>
      <c r="K99" s="66">
        <f>Бюджет!K253</f>
        <v>0</v>
      </c>
      <c r="L99" s="66">
        <f>Бюджет!L253</f>
        <v>0</v>
      </c>
      <c r="M99" s="66">
        <f>Бюджет!M253</f>
        <v>0</v>
      </c>
      <c r="N99" s="66">
        <f>Бюджет!N253</f>
        <v>0</v>
      </c>
      <c r="O99" s="66">
        <f>Бюджет!O253</f>
        <v>0</v>
      </c>
      <c r="P99" s="66">
        <f>Бюджет!P253</f>
        <v>0</v>
      </c>
      <c r="Q99" s="66">
        <f>Бюджет!Q253</f>
        <v>0</v>
      </c>
      <c r="R99" s="66">
        <f>Бюджет!R253</f>
        <v>0</v>
      </c>
      <c r="S99" s="66">
        <f>Бюджет!S253</f>
        <v>0</v>
      </c>
      <c r="T99" s="66">
        <f>1*(4)*D99</f>
        <v>52</v>
      </c>
      <c r="U99" s="66">
        <f>Бюджет!U253</f>
        <v>0</v>
      </c>
      <c r="V99" s="66">
        <f>Бюджет!V253</f>
        <v>0</v>
      </c>
      <c r="W99" s="66">
        <f>Бюджет!W253</f>
        <v>0</v>
      </c>
      <c r="X99" s="66">
        <f>Бюджет!X253</f>
        <v>0</v>
      </c>
      <c r="Y99" s="66">
        <f>Бюджет!Y253</f>
        <v>0</v>
      </c>
      <c r="Z99" s="66">
        <f>Бюджет!Z253</f>
        <v>0</v>
      </c>
      <c r="AA99" s="66">
        <f>Бюджет!AA253</f>
        <v>0</v>
      </c>
      <c r="AB99" s="66">
        <f>Бюджет!AB253</f>
        <v>0</v>
      </c>
      <c r="AC99" s="66">
        <f>Бюджет!AC253</f>
        <v>0</v>
      </c>
      <c r="AD99" s="66">
        <f>Бюджет!AD253</f>
        <v>0</v>
      </c>
      <c r="AE99" s="66">
        <f>Бюджет!AE253</f>
        <v>0</v>
      </c>
      <c r="AF99" s="66">
        <f>Бюджет!AF253</f>
        <v>0</v>
      </c>
      <c r="AG99" s="66">
        <f>Бюджет!AG253</f>
        <v>0</v>
      </c>
      <c r="AH99" s="66">
        <f>Бюджет!AH253</f>
        <v>0</v>
      </c>
      <c r="AI99" s="66">
        <f>Бюджет!AI253</f>
        <v>0</v>
      </c>
      <c r="AJ99" s="66">
        <f t="shared" si="10"/>
        <v>52</v>
      </c>
      <c r="AK99" s="74"/>
    </row>
    <row r="100" spans="1:39" s="109" customFormat="1" ht="15" x14ac:dyDescent="0.2">
      <c r="A100" s="60" t="str">
        <f>Бюджет!A254</f>
        <v>Б2.В.02(Пд)</v>
      </c>
      <c r="B100" s="60" t="str">
        <f>Бюджет!B254</f>
        <v>Преддипломная практика (4 нед)</v>
      </c>
      <c r="C100" s="67" t="str">
        <f>Бюджет!C254</f>
        <v>4\8</v>
      </c>
      <c r="D100" s="67">
        <v>13</v>
      </c>
      <c r="E100" s="67">
        <f>Бюджет!E254</f>
        <v>1</v>
      </c>
      <c r="F100" s="66">
        <f>Бюджет!F254</f>
        <v>0</v>
      </c>
      <c r="G100" s="66">
        <f>Бюджет!G254</f>
        <v>0</v>
      </c>
      <c r="H100" s="66">
        <f>Бюджет!H254</f>
        <v>0</v>
      </c>
      <c r="I100" s="66">
        <f>Бюджет!I254</f>
        <v>0</v>
      </c>
      <c r="J100" s="66">
        <f>Бюджет!J254</f>
        <v>0</v>
      </c>
      <c r="K100" s="66">
        <f>Бюджет!K254</f>
        <v>0</v>
      </c>
      <c r="L100" s="66">
        <f>Бюджет!L254</f>
        <v>0</v>
      </c>
      <c r="M100" s="66">
        <f>Бюджет!M254</f>
        <v>0</v>
      </c>
      <c r="N100" s="66">
        <f>Бюджет!N254</f>
        <v>0</v>
      </c>
      <c r="O100" s="66">
        <f>Бюджет!O254</f>
        <v>0</v>
      </c>
      <c r="P100" s="66">
        <f>Бюджет!P254</f>
        <v>0</v>
      </c>
      <c r="Q100" s="66">
        <f>Бюджет!Q254</f>
        <v>0</v>
      </c>
      <c r="R100" s="66">
        <f>Бюджет!R254</f>
        <v>0</v>
      </c>
      <c r="S100" s="66">
        <f>Бюджет!S254</f>
        <v>0</v>
      </c>
      <c r="T100" s="66">
        <f>1*(4)*D100</f>
        <v>52</v>
      </c>
      <c r="U100" s="66">
        <f>Бюджет!U254</f>
        <v>0</v>
      </c>
      <c r="V100" s="66">
        <f>Бюджет!V254</f>
        <v>0</v>
      </c>
      <c r="W100" s="66">
        <f>Бюджет!W254</f>
        <v>0</v>
      </c>
      <c r="X100" s="66">
        <f>Бюджет!X254</f>
        <v>0</v>
      </c>
      <c r="Y100" s="66">
        <f>Бюджет!Y254</f>
        <v>0</v>
      </c>
      <c r="Z100" s="66">
        <f>Бюджет!Z254</f>
        <v>0</v>
      </c>
      <c r="AA100" s="66">
        <f>Бюджет!AA254</f>
        <v>0</v>
      </c>
      <c r="AB100" s="66">
        <f>Бюджет!AB254</f>
        <v>0</v>
      </c>
      <c r="AC100" s="66">
        <f>Бюджет!AC254</f>
        <v>0</v>
      </c>
      <c r="AD100" s="66">
        <f>Бюджет!AD254</f>
        <v>0</v>
      </c>
      <c r="AE100" s="66">
        <f>Бюджет!AE254</f>
        <v>0</v>
      </c>
      <c r="AF100" s="66">
        <f>Бюджет!AF254</f>
        <v>0</v>
      </c>
      <c r="AG100" s="66">
        <f>Бюджет!AG254</f>
        <v>0</v>
      </c>
      <c r="AH100" s="66">
        <f>Бюджет!AH254</f>
        <v>0</v>
      </c>
      <c r="AI100" s="66">
        <f>Бюджет!AI254</f>
        <v>0</v>
      </c>
      <c r="AJ100" s="66">
        <f t="shared" si="10"/>
        <v>52</v>
      </c>
      <c r="AK100" s="74"/>
    </row>
    <row r="101" spans="1:39" s="109" customFormat="1" ht="15" x14ac:dyDescent="0.2">
      <c r="A101" s="60">
        <f>Бюджет!A255</f>
        <v>0</v>
      </c>
      <c r="B101" s="60" t="str">
        <f>Бюджет!B255</f>
        <v>Руководство и рецензирование ВКР</v>
      </c>
      <c r="C101" s="67" t="str">
        <f>Бюджет!C255</f>
        <v>4\8</v>
      </c>
      <c r="D101" s="67">
        <v>13</v>
      </c>
      <c r="E101" s="67">
        <f>Бюджет!E255</f>
        <v>1</v>
      </c>
      <c r="F101" s="66">
        <f>Бюджет!F255</f>
        <v>0</v>
      </c>
      <c r="G101" s="66">
        <f>Бюджет!G255</f>
        <v>0</v>
      </c>
      <c r="H101" s="66">
        <f>Бюджет!H255</f>
        <v>0</v>
      </c>
      <c r="I101" s="66">
        <f>Бюджет!I255</f>
        <v>0</v>
      </c>
      <c r="J101" s="66">
        <f>Бюджет!J255</f>
        <v>0</v>
      </c>
      <c r="K101" s="66">
        <f>Бюджет!K255</f>
        <v>0</v>
      </c>
      <c r="L101" s="66">
        <f>Бюджет!L255</f>
        <v>0</v>
      </c>
      <c r="M101" s="66">
        <f>Бюджет!M255</f>
        <v>0</v>
      </c>
      <c r="N101" s="66">
        <f>Бюджет!N255</f>
        <v>0</v>
      </c>
      <c r="O101" s="66">
        <f>Бюджет!O255</f>
        <v>0</v>
      </c>
      <c r="P101" s="66">
        <f>Бюджет!P255</f>
        <v>0</v>
      </c>
      <c r="Q101" s="66">
        <f>Бюджет!Q255</f>
        <v>0</v>
      </c>
      <c r="R101" s="66">
        <f>Бюджет!R255</f>
        <v>0</v>
      </c>
      <c r="S101" s="66">
        <f>Бюджет!S255</f>
        <v>0</v>
      </c>
      <c r="T101" s="66">
        <f>Бюджет!T255</f>
        <v>0</v>
      </c>
      <c r="U101" s="66">
        <f>Бюджет!U255</f>
        <v>0</v>
      </c>
      <c r="V101" s="66">
        <f>Бюджет!V255</f>
        <v>0</v>
      </c>
      <c r="W101" s="66">
        <f>16*D101</f>
        <v>208</v>
      </c>
      <c r="X101" s="66">
        <f>Бюджет!X255</f>
        <v>0</v>
      </c>
      <c r="Y101" s="66">
        <f>Бюджет!Y255</f>
        <v>0</v>
      </c>
      <c r="Z101" s="66">
        <f>Бюджет!Z255</f>
        <v>0</v>
      </c>
      <c r="AA101" s="66">
        <f>Бюджет!AA255</f>
        <v>0</v>
      </c>
      <c r="AB101" s="66">
        <f>Бюджет!AB255</f>
        <v>0</v>
      </c>
      <c r="AC101" s="66">
        <f>Бюджет!AC255</f>
        <v>0</v>
      </c>
      <c r="AD101" s="66">
        <f>Бюджет!AD255</f>
        <v>0</v>
      </c>
      <c r="AE101" s="66">
        <f>Бюджет!AE255</f>
        <v>0</v>
      </c>
      <c r="AF101" s="66">
        <f>Бюджет!AF255</f>
        <v>0</v>
      </c>
      <c r="AG101" s="66">
        <f>Бюджет!AG255</f>
        <v>0</v>
      </c>
      <c r="AH101" s="66">
        <f>Бюджет!AH255</f>
        <v>0</v>
      </c>
      <c r="AI101" s="66">
        <f>Бюджет!AI255</f>
        <v>0</v>
      </c>
      <c r="AJ101" s="66">
        <f t="shared" si="10"/>
        <v>208</v>
      </c>
      <c r="AK101" s="74"/>
    </row>
    <row r="102" spans="1:39" s="109" customFormat="1" ht="15" x14ac:dyDescent="0.2">
      <c r="A102" s="60">
        <f>Бюджет!A256</f>
        <v>0</v>
      </c>
      <c r="B102" s="60" t="str">
        <f>Бюджет!B256</f>
        <v>ГЭК (Защита ВКР бакалавра) (7 чел)</v>
      </c>
      <c r="C102" s="67" t="str">
        <f>Бюджет!C256</f>
        <v>4\8</v>
      </c>
      <c r="D102" s="67">
        <f>Бюджет!D256</f>
        <v>23</v>
      </c>
      <c r="E102" s="67">
        <f>Бюджет!E256</f>
        <v>1</v>
      </c>
      <c r="F102" s="66">
        <f>Бюджет!F256</f>
        <v>0</v>
      </c>
      <c r="G102" s="66">
        <f>Бюджет!G256</f>
        <v>0</v>
      </c>
      <c r="H102" s="66">
        <f>Бюджет!H256</f>
        <v>0</v>
      </c>
      <c r="I102" s="66">
        <f>Бюджет!I256</f>
        <v>0</v>
      </c>
      <c r="J102" s="66">
        <f>Бюджет!J256</f>
        <v>0</v>
      </c>
      <c r="K102" s="66">
        <f>Бюджет!K256</f>
        <v>0</v>
      </c>
      <c r="L102" s="66">
        <f>Бюджет!L256</f>
        <v>0</v>
      </c>
      <c r="M102" s="66">
        <f>Бюджет!M256</f>
        <v>0</v>
      </c>
      <c r="N102" s="66">
        <f>Бюджет!N256</f>
        <v>0</v>
      </c>
      <c r="O102" s="66">
        <f>Бюджет!O256</f>
        <v>0</v>
      </c>
      <c r="P102" s="66">
        <f>Бюджет!P256</f>
        <v>0</v>
      </c>
      <c r="Q102" s="66">
        <f>Бюджет!Q256</f>
        <v>0</v>
      </c>
      <c r="R102" s="66">
        <f>Бюджет!R256</f>
        <v>0</v>
      </c>
      <c r="S102" s="66">
        <f>Бюджет!S256</f>
        <v>0</v>
      </c>
      <c r="T102" s="66">
        <f>Бюджет!T256</f>
        <v>0</v>
      </c>
      <c r="U102" s="66">
        <f>Бюджет!U256</f>
        <v>0</v>
      </c>
      <c r="V102" s="66">
        <f>Бюджет!V256</f>
        <v>0</v>
      </c>
      <c r="W102" s="66">
        <f>Бюджет!W256</f>
        <v>0</v>
      </c>
      <c r="X102" s="66">
        <f>Бюджет!X256</f>
        <v>0</v>
      </c>
      <c r="Y102" s="66">
        <f>Бюджет!Y256</f>
        <v>0</v>
      </c>
      <c r="Z102" s="66">
        <f>Бюджет!Z256</f>
        <v>0</v>
      </c>
      <c r="AA102" s="66">
        <f>Бюджет!AA256</f>
        <v>0</v>
      </c>
      <c r="AB102" s="66">
        <f>Бюджет!AB256</f>
        <v>80.5</v>
      </c>
      <c r="AC102" s="66">
        <f>Бюджет!AC256</f>
        <v>0</v>
      </c>
      <c r="AD102" s="66">
        <f>Бюджет!AD256</f>
        <v>0</v>
      </c>
      <c r="AE102" s="66">
        <f>Бюджет!AE256</f>
        <v>0</v>
      </c>
      <c r="AF102" s="66">
        <f>Бюджет!AF256</f>
        <v>0</v>
      </c>
      <c r="AG102" s="66">
        <f>Бюджет!AG256</f>
        <v>0</v>
      </c>
      <c r="AH102" s="66">
        <f>Бюджет!AH256</f>
        <v>0</v>
      </c>
      <c r="AI102" s="66">
        <f>Бюджет!AI256</f>
        <v>0</v>
      </c>
      <c r="AJ102" s="66">
        <f t="shared" si="10"/>
        <v>80.5</v>
      </c>
      <c r="AK102" s="74"/>
    </row>
    <row r="103" spans="1:39" s="109" customFormat="1" ht="15.75" x14ac:dyDescent="0.2">
      <c r="A103" s="74"/>
      <c r="B103" s="94" t="s">
        <v>236</v>
      </c>
      <c r="C103" s="91"/>
      <c r="D103" s="91"/>
      <c r="E103" s="91"/>
      <c r="F103" s="88">
        <f t="shared" ref="F103:AJ103" si="11">SUM(F71:F102)</f>
        <v>748</v>
      </c>
      <c r="G103" s="88">
        <f t="shared" si="11"/>
        <v>748</v>
      </c>
      <c r="H103" s="88">
        <f t="shared" si="11"/>
        <v>652</v>
      </c>
      <c r="I103" s="88">
        <f t="shared" si="11"/>
        <v>652</v>
      </c>
      <c r="J103" s="88">
        <f t="shared" si="11"/>
        <v>556</v>
      </c>
      <c r="K103" s="88">
        <f t="shared" si="11"/>
        <v>141.90000000000006</v>
      </c>
      <c r="L103" s="88">
        <f t="shared" si="11"/>
        <v>0</v>
      </c>
      <c r="M103" s="88">
        <f t="shared" si="11"/>
        <v>77.200000000000017</v>
      </c>
      <c r="N103" s="88">
        <f t="shared" si="11"/>
        <v>0</v>
      </c>
      <c r="O103" s="88">
        <f t="shared" si="11"/>
        <v>0</v>
      </c>
      <c r="P103" s="88">
        <f t="shared" si="11"/>
        <v>0</v>
      </c>
      <c r="Q103" s="88">
        <f t="shared" si="11"/>
        <v>45.400000000000006</v>
      </c>
      <c r="R103" s="88">
        <f t="shared" si="11"/>
        <v>0</v>
      </c>
      <c r="S103" s="88">
        <f t="shared" si="11"/>
        <v>0</v>
      </c>
      <c r="T103" s="88">
        <f t="shared" si="11"/>
        <v>150</v>
      </c>
      <c r="U103" s="88">
        <f t="shared" si="11"/>
        <v>6.8999999999999995</v>
      </c>
      <c r="V103" s="88">
        <f t="shared" si="11"/>
        <v>0</v>
      </c>
      <c r="W103" s="88">
        <f t="shared" si="11"/>
        <v>208</v>
      </c>
      <c r="X103" s="88">
        <f t="shared" si="11"/>
        <v>0</v>
      </c>
      <c r="Y103" s="88">
        <f t="shared" si="11"/>
        <v>0</v>
      </c>
      <c r="Z103" s="88">
        <f t="shared" si="11"/>
        <v>0</v>
      </c>
      <c r="AA103" s="88">
        <f t="shared" si="11"/>
        <v>0</v>
      </c>
      <c r="AB103" s="88">
        <f t="shared" si="11"/>
        <v>80.5</v>
      </c>
      <c r="AC103" s="88">
        <f t="shared" si="11"/>
        <v>0</v>
      </c>
      <c r="AD103" s="88">
        <f t="shared" si="11"/>
        <v>0</v>
      </c>
      <c r="AE103" s="88">
        <f t="shared" si="11"/>
        <v>0</v>
      </c>
      <c r="AF103" s="88">
        <f t="shared" si="11"/>
        <v>0</v>
      </c>
      <c r="AG103" s="88">
        <f t="shared" si="11"/>
        <v>0</v>
      </c>
      <c r="AH103" s="88">
        <f t="shared" si="11"/>
        <v>0</v>
      </c>
      <c r="AI103" s="88">
        <f t="shared" si="11"/>
        <v>8</v>
      </c>
      <c r="AJ103" s="88">
        <f t="shared" si="11"/>
        <v>2673.8999999999996</v>
      </c>
      <c r="AK103" s="74"/>
      <c r="AM103" s="209"/>
    </row>
    <row r="104" spans="1:39" s="109" customFormat="1" ht="15.75" x14ac:dyDescent="0.2">
      <c r="A104" s="74"/>
      <c r="B104" s="120"/>
      <c r="C104" s="275"/>
      <c r="D104" s="275"/>
      <c r="E104" s="275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66">
        <f t="shared" ref="AJ104:AJ112" si="12">SUM(G104,I104:AI104)</f>
        <v>0</v>
      </c>
      <c r="AK104" s="74"/>
      <c r="AM104" s="209"/>
    </row>
    <row r="105" spans="1:39" s="109" customFormat="1" ht="15.75" x14ac:dyDescent="0.2">
      <c r="A105" s="74"/>
      <c r="B105" s="60"/>
      <c r="C105" s="74"/>
      <c r="D105" s="74"/>
      <c r="E105" s="74"/>
      <c r="F105" s="70"/>
      <c r="G105" s="70"/>
      <c r="H105" s="70"/>
      <c r="I105" s="70"/>
      <c r="J105" s="70"/>
      <c r="K105" s="73"/>
      <c r="L105" s="395" t="str">
        <f>Бюджет!L259</f>
        <v>10.03.01 Информационная безопасность</v>
      </c>
      <c r="M105" s="396"/>
      <c r="N105" s="396"/>
      <c r="O105" s="396"/>
      <c r="P105" s="396"/>
      <c r="Q105" s="396"/>
      <c r="R105" s="396"/>
      <c r="S105" s="396"/>
      <c r="T105" s="396"/>
      <c r="U105" s="396"/>
      <c r="V105" s="396"/>
      <c r="W105" s="396"/>
      <c r="X105" s="396"/>
      <c r="Y105" s="396"/>
      <c r="Z105" s="396"/>
      <c r="AA105" s="397"/>
      <c r="AB105" s="73"/>
      <c r="AC105" s="70"/>
      <c r="AD105" s="70"/>
      <c r="AE105" s="70"/>
      <c r="AF105" s="70"/>
      <c r="AG105" s="70"/>
      <c r="AH105" s="70"/>
      <c r="AI105" s="70"/>
      <c r="AJ105" s="66">
        <f t="shared" si="12"/>
        <v>0</v>
      </c>
      <c r="AK105" s="74"/>
    </row>
    <row r="106" spans="1:39" s="109" customFormat="1" ht="15.75" x14ac:dyDescent="0.2">
      <c r="A106" s="74"/>
      <c r="B106" s="60"/>
      <c r="C106" s="74"/>
      <c r="D106" s="74"/>
      <c r="E106" s="74"/>
      <c r="F106" s="70"/>
      <c r="G106" s="70"/>
      <c r="H106" s="70"/>
      <c r="I106" s="70"/>
      <c r="J106" s="70"/>
      <c r="K106" s="398" t="str">
        <f>Бюджет!K260</f>
        <v>профиль "Техническая защита информации"</v>
      </c>
      <c r="L106" s="399"/>
      <c r="M106" s="399"/>
      <c r="N106" s="399"/>
      <c r="O106" s="399"/>
      <c r="P106" s="399"/>
      <c r="Q106" s="399"/>
      <c r="R106" s="399"/>
      <c r="S106" s="399"/>
      <c r="T106" s="399"/>
      <c r="U106" s="399"/>
      <c r="V106" s="399"/>
      <c r="W106" s="399"/>
      <c r="X106" s="399"/>
      <c r="Y106" s="399"/>
      <c r="Z106" s="399"/>
      <c r="AA106" s="399"/>
      <c r="AB106" s="400"/>
      <c r="AC106" s="70"/>
      <c r="AD106" s="70"/>
      <c r="AE106" s="70"/>
      <c r="AF106" s="70"/>
      <c r="AG106" s="70"/>
      <c r="AH106" s="70"/>
      <c r="AI106" s="70"/>
      <c r="AJ106" s="66">
        <f t="shared" si="12"/>
        <v>0</v>
      </c>
      <c r="AK106" s="74"/>
    </row>
    <row r="107" spans="1:39" s="109" customFormat="1" ht="15.75" x14ac:dyDescent="0.2">
      <c r="A107" s="74"/>
      <c r="B107" s="60"/>
      <c r="C107" s="74"/>
      <c r="D107" s="74"/>
      <c r="E107" s="74"/>
      <c r="F107" s="70"/>
      <c r="G107" s="70"/>
      <c r="H107" s="70"/>
      <c r="I107" s="70"/>
      <c r="J107" s="70"/>
      <c r="K107" s="386" t="str">
        <f>Бюджет!K261</f>
        <v>профиль "Безопасность автоматизированных систем (по отрасли или в сфере профессиональной деятельности)"</v>
      </c>
      <c r="L107" s="386"/>
      <c r="M107" s="386"/>
      <c r="N107" s="386"/>
      <c r="O107" s="386"/>
      <c r="P107" s="386"/>
      <c r="Q107" s="386"/>
      <c r="R107" s="386"/>
      <c r="S107" s="386"/>
      <c r="T107" s="386"/>
      <c r="U107" s="386"/>
      <c r="V107" s="386"/>
      <c r="W107" s="386"/>
      <c r="X107" s="386"/>
      <c r="Y107" s="386"/>
      <c r="Z107" s="386"/>
      <c r="AA107" s="386"/>
      <c r="AB107" s="386"/>
      <c r="AC107" s="70"/>
      <c r="AD107" s="70"/>
      <c r="AE107" s="70"/>
      <c r="AF107" s="70"/>
      <c r="AG107" s="70"/>
      <c r="AH107" s="70"/>
      <c r="AI107" s="70"/>
      <c r="AJ107" s="66">
        <f t="shared" si="12"/>
        <v>0</v>
      </c>
      <c r="AK107" s="74"/>
    </row>
    <row r="108" spans="1:39" s="110" customFormat="1" ht="15" x14ac:dyDescent="0.2">
      <c r="A108" s="60" t="str">
        <f>Бюджет!A263</f>
        <v>Б1.О.14</v>
      </c>
      <c r="B108" s="60" t="str">
        <f>Бюджет!B263</f>
        <v>Теория измерений (поток НЭ, ИБ, ИСТ)</v>
      </c>
      <c r="C108" s="67" t="str">
        <f>Бюджет!C263</f>
        <v>1\1</v>
      </c>
      <c r="D108" s="67">
        <f>Бюджет!D263</f>
        <v>27</v>
      </c>
      <c r="E108" s="67">
        <f>Бюджет!E263</f>
        <v>1</v>
      </c>
      <c r="F108" s="66">
        <f>Бюджет!F263</f>
        <v>16</v>
      </c>
      <c r="G108" s="66">
        <f>Бюджет!G263</f>
        <v>0</v>
      </c>
      <c r="H108" s="66">
        <f>Бюджет!H263</f>
        <v>0</v>
      </c>
      <c r="I108" s="66">
        <f>Бюджет!I263</f>
        <v>0</v>
      </c>
      <c r="J108" s="66">
        <f>Бюджет!J263</f>
        <v>32</v>
      </c>
      <c r="K108" s="66">
        <f>Бюджет!K263</f>
        <v>8.1</v>
      </c>
      <c r="L108" s="66">
        <f>Бюджет!L263</f>
        <v>0</v>
      </c>
      <c r="M108" s="66">
        <f>Бюджет!M263</f>
        <v>0</v>
      </c>
      <c r="N108" s="66">
        <f>Бюджет!N263</f>
        <v>0</v>
      </c>
      <c r="O108" s="66">
        <f>Бюджет!O263</f>
        <v>0</v>
      </c>
      <c r="P108" s="66">
        <f>Бюджет!P263</f>
        <v>0</v>
      </c>
      <c r="Q108" s="66">
        <f>Бюджет!Q263</f>
        <v>0</v>
      </c>
      <c r="R108" s="66">
        <f>Бюджет!R263</f>
        <v>0</v>
      </c>
      <c r="S108" s="66">
        <f>Бюджет!S263</f>
        <v>0</v>
      </c>
      <c r="T108" s="66">
        <f>Бюджет!T263</f>
        <v>0</v>
      </c>
      <c r="U108" s="66">
        <f>Бюджет!U263</f>
        <v>0</v>
      </c>
      <c r="V108" s="66">
        <f>Бюджет!V263</f>
        <v>0</v>
      </c>
      <c r="W108" s="66">
        <f>Бюджет!W263</f>
        <v>0</v>
      </c>
      <c r="X108" s="66">
        <f>Бюджет!X263</f>
        <v>0</v>
      </c>
      <c r="Y108" s="66">
        <f>Бюджет!Y263</f>
        <v>0</v>
      </c>
      <c r="Z108" s="66">
        <f>Бюджет!Z263</f>
        <v>0</v>
      </c>
      <c r="AA108" s="66">
        <f>Бюджет!AA263</f>
        <v>0</v>
      </c>
      <c r="AB108" s="66">
        <f>Бюджет!AB263</f>
        <v>0</v>
      </c>
      <c r="AC108" s="66">
        <f>Бюджет!AC263</f>
        <v>0</v>
      </c>
      <c r="AD108" s="66">
        <f>Бюджет!AD263</f>
        <v>0</v>
      </c>
      <c r="AE108" s="66">
        <f>Бюджет!AE263</f>
        <v>0</v>
      </c>
      <c r="AF108" s="66">
        <f>Бюджет!AF263</f>
        <v>0</v>
      </c>
      <c r="AG108" s="66">
        <f>Бюджет!AG263</f>
        <v>0</v>
      </c>
      <c r="AH108" s="66">
        <f>Бюджет!AH263</f>
        <v>0</v>
      </c>
      <c r="AI108" s="66">
        <f>Бюджет!AI263</f>
        <v>0</v>
      </c>
      <c r="AJ108" s="66">
        <f t="shared" si="12"/>
        <v>40.1</v>
      </c>
      <c r="AK108" s="74"/>
    </row>
    <row r="109" spans="1:39" s="110" customFormat="1" ht="30" x14ac:dyDescent="0.2">
      <c r="A109" s="60" t="str">
        <f>Бюджет!A266</f>
        <v>Б1.Б.16.01</v>
      </c>
      <c r="B109" s="60" t="str">
        <f>Бюджет!B266</f>
        <v>Механика и молекулярная физика (поток НЭ, ИБ, ИСТ)</v>
      </c>
      <c r="C109" s="67" t="str">
        <f>Бюджет!C266</f>
        <v>1\2</v>
      </c>
      <c r="D109" s="67">
        <f>Бюджет!D266</f>
        <v>27</v>
      </c>
      <c r="E109" s="67">
        <f>Бюджет!E266</f>
        <v>1</v>
      </c>
      <c r="F109" s="66">
        <f>Бюджет!F266</f>
        <v>60</v>
      </c>
      <c r="G109" s="66">
        <f>Бюджет!G266</f>
        <v>0</v>
      </c>
      <c r="H109" s="66">
        <f>Бюджет!H266</f>
        <v>60</v>
      </c>
      <c r="I109" s="66">
        <f>Бюджет!I266</f>
        <v>60</v>
      </c>
      <c r="J109" s="66">
        <f>Бюджет!J266</f>
        <v>40</v>
      </c>
      <c r="K109" s="66">
        <f>Бюджет!K266</f>
        <v>0</v>
      </c>
      <c r="L109" s="66">
        <f>Бюджет!L266</f>
        <v>0</v>
      </c>
      <c r="M109" s="66">
        <f>Бюджет!M266</f>
        <v>10.8</v>
      </c>
      <c r="N109" s="66">
        <f>Бюджет!N266</f>
        <v>0</v>
      </c>
      <c r="O109" s="66">
        <f>Бюджет!O266</f>
        <v>0</v>
      </c>
      <c r="P109" s="66">
        <f>Бюджет!P266</f>
        <v>0</v>
      </c>
      <c r="Q109" s="66">
        <f>Бюджет!Q266</f>
        <v>0</v>
      </c>
      <c r="R109" s="66">
        <f>Бюджет!R266</f>
        <v>0</v>
      </c>
      <c r="S109" s="66">
        <f>Бюджет!S266</f>
        <v>0</v>
      </c>
      <c r="T109" s="66">
        <f>Бюджет!T266</f>
        <v>0</v>
      </c>
      <c r="U109" s="66">
        <f>Бюджет!U266</f>
        <v>0</v>
      </c>
      <c r="V109" s="66">
        <f>Бюджет!V266</f>
        <v>0</v>
      </c>
      <c r="W109" s="66">
        <f>Бюджет!W266</f>
        <v>0</v>
      </c>
      <c r="X109" s="66">
        <f>Бюджет!X266</f>
        <v>0</v>
      </c>
      <c r="Y109" s="66">
        <f>Бюджет!Y266</f>
        <v>0</v>
      </c>
      <c r="Z109" s="66">
        <f>Бюджет!Z266</f>
        <v>0</v>
      </c>
      <c r="AA109" s="66">
        <f>Бюджет!AA266</f>
        <v>0</v>
      </c>
      <c r="AB109" s="66">
        <f>Бюджет!AB266</f>
        <v>0</v>
      </c>
      <c r="AC109" s="66">
        <f>Бюджет!AC266</f>
        <v>0</v>
      </c>
      <c r="AD109" s="66">
        <f>Бюджет!AD266</f>
        <v>0</v>
      </c>
      <c r="AE109" s="66">
        <f>Бюджет!AE266</f>
        <v>0</v>
      </c>
      <c r="AF109" s="66">
        <f>Бюджет!AF266</f>
        <v>0</v>
      </c>
      <c r="AG109" s="66">
        <f>Бюджет!AG266</f>
        <v>0</v>
      </c>
      <c r="AH109" s="66">
        <f>Бюджет!AH266</f>
        <v>0</v>
      </c>
      <c r="AI109" s="66">
        <f>Бюджет!AI266</f>
        <v>0</v>
      </c>
      <c r="AJ109" s="66">
        <f t="shared" si="12"/>
        <v>110.8</v>
      </c>
      <c r="AK109" s="74"/>
    </row>
    <row r="110" spans="1:39" s="110" customFormat="1" ht="30" x14ac:dyDescent="0.2">
      <c r="A110" s="60" t="str">
        <f>Бюджет!A272</f>
        <v>Б1.О.01</v>
      </c>
      <c r="B110" s="60" t="str">
        <f>Бюджет!B272</f>
        <v>Основы научно-исследовательской деятельности (поток НЭ, ИБ)</v>
      </c>
      <c r="C110" s="67" t="str">
        <f>Бюджет!C272</f>
        <v>2\4</v>
      </c>
      <c r="D110" s="67">
        <f>Бюджет!D272</f>
        <v>34</v>
      </c>
      <c r="E110" s="67">
        <f>Бюджет!E272</f>
        <v>1</v>
      </c>
      <c r="F110" s="66">
        <f>Бюджет!F272</f>
        <v>20</v>
      </c>
      <c r="G110" s="66">
        <f>Бюджет!G272</f>
        <v>0</v>
      </c>
      <c r="H110" s="66">
        <f>Бюджет!H272</f>
        <v>20</v>
      </c>
      <c r="I110" s="66">
        <f>Бюджет!I272</f>
        <v>20</v>
      </c>
      <c r="J110" s="66">
        <f>Бюджет!J272</f>
        <v>0</v>
      </c>
      <c r="K110" s="66">
        <f>Бюджет!K272</f>
        <v>10.199999999999999</v>
      </c>
      <c r="L110" s="66">
        <f>Бюджет!L272</f>
        <v>0</v>
      </c>
      <c r="M110" s="66">
        <f>Бюджет!M272</f>
        <v>0</v>
      </c>
      <c r="N110" s="66">
        <f>Бюджет!N272</f>
        <v>0</v>
      </c>
      <c r="O110" s="66">
        <f>Бюджет!O272</f>
        <v>0</v>
      </c>
      <c r="P110" s="66">
        <f>Бюджет!P272</f>
        <v>0</v>
      </c>
      <c r="Q110" s="66">
        <f>Бюджет!Q272</f>
        <v>0</v>
      </c>
      <c r="R110" s="66">
        <f>Бюджет!R272</f>
        <v>0</v>
      </c>
      <c r="S110" s="66">
        <f>Бюджет!S272</f>
        <v>0</v>
      </c>
      <c r="T110" s="66">
        <f>Бюджет!T272</f>
        <v>0</v>
      </c>
      <c r="U110" s="66">
        <f>Бюджет!U272</f>
        <v>0</v>
      </c>
      <c r="V110" s="66">
        <f>Бюджет!V272</f>
        <v>0</v>
      </c>
      <c r="W110" s="66">
        <f>Бюджет!W272</f>
        <v>0</v>
      </c>
      <c r="X110" s="66">
        <f>Бюджет!X272</f>
        <v>0</v>
      </c>
      <c r="Y110" s="66">
        <f>Бюджет!Y272</f>
        <v>0</v>
      </c>
      <c r="Z110" s="66">
        <f>Бюджет!Z272</f>
        <v>0</v>
      </c>
      <c r="AA110" s="66">
        <f>Бюджет!AA272</f>
        <v>0</v>
      </c>
      <c r="AB110" s="66">
        <f>Бюджет!AB272</f>
        <v>0</v>
      </c>
      <c r="AC110" s="66">
        <f>Бюджет!AC272</f>
        <v>0</v>
      </c>
      <c r="AD110" s="66">
        <f>Бюджет!AD272</f>
        <v>0</v>
      </c>
      <c r="AE110" s="66">
        <f>Бюджет!AE272</f>
        <v>0</v>
      </c>
      <c r="AF110" s="66">
        <f>Бюджет!AF272</f>
        <v>0</v>
      </c>
      <c r="AG110" s="66">
        <f>Бюджет!AG272</f>
        <v>0</v>
      </c>
      <c r="AH110" s="66">
        <f>Бюджет!AH272</f>
        <v>0</v>
      </c>
      <c r="AI110" s="66">
        <f>Бюджет!AI272</f>
        <v>0</v>
      </c>
      <c r="AJ110" s="66">
        <f t="shared" si="12"/>
        <v>30.2</v>
      </c>
      <c r="AK110" s="74"/>
    </row>
    <row r="111" spans="1:39" s="110" customFormat="1" ht="30" x14ac:dyDescent="0.2">
      <c r="A111" s="60" t="str">
        <f>Бюджет!A274</f>
        <v>Б1.О.16.02</v>
      </c>
      <c r="B111" s="60" t="str">
        <f>Бюджет!B274</f>
        <v>Электричество, магнетизм и волновая оптика (поток НЭ, ИБ, ИСТ)</v>
      </c>
      <c r="C111" s="67" t="str">
        <f>Бюджет!C274</f>
        <v>2\3</v>
      </c>
      <c r="D111" s="67">
        <f>Бюджет!D274</f>
        <v>34</v>
      </c>
      <c r="E111" s="67">
        <f>Бюджет!E274</f>
        <v>1</v>
      </c>
      <c r="F111" s="66">
        <f>Бюджет!F274</f>
        <v>50</v>
      </c>
      <c r="G111" s="66">
        <f>Бюджет!G274</f>
        <v>0</v>
      </c>
      <c r="H111" s="66">
        <f>Бюджет!H274</f>
        <v>50</v>
      </c>
      <c r="I111" s="66">
        <f>Бюджет!I274</f>
        <v>50</v>
      </c>
      <c r="J111" s="66">
        <f>Бюджет!J274</f>
        <v>48</v>
      </c>
      <c r="K111" s="66">
        <f>Бюджет!K274</f>
        <v>0</v>
      </c>
      <c r="L111" s="66">
        <f>Бюджет!L274</f>
        <v>0</v>
      </c>
      <c r="M111" s="66">
        <f>Бюджет!M274</f>
        <v>13.600000000000001</v>
      </c>
      <c r="N111" s="66">
        <f>Бюджет!N274</f>
        <v>0</v>
      </c>
      <c r="O111" s="66">
        <f>Бюджет!O274</f>
        <v>0</v>
      </c>
      <c r="P111" s="66">
        <f>Бюджет!P274</f>
        <v>0</v>
      </c>
      <c r="Q111" s="66">
        <f>Бюджет!Q274</f>
        <v>0</v>
      </c>
      <c r="R111" s="66">
        <f>Бюджет!R274</f>
        <v>0</v>
      </c>
      <c r="S111" s="66">
        <f>Бюджет!S274</f>
        <v>0</v>
      </c>
      <c r="T111" s="66">
        <f>Бюджет!T274</f>
        <v>0</v>
      </c>
      <c r="U111" s="66">
        <f>Бюджет!U274</f>
        <v>0</v>
      </c>
      <c r="V111" s="66">
        <f>Бюджет!V274</f>
        <v>0</v>
      </c>
      <c r="W111" s="66">
        <f>Бюджет!W274</f>
        <v>0</v>
      </c>
      <c r="X111" s="66">
        <f>Бюджет!X274</f>
        <v>0</v>
      </c>
      <c r="Y111" s="66">
        <f>Бюджет!Y274</f>
        <v>0</v>
      </c>
      <c r="Z111" s="66">
        <f>Бюджет!Z274</f>
        <v>0</v>
      </c>
      <c r="AA111" s="66">
        <f>Бюджет!AA274</f>
        <v>0</v>
      </c>
      <c r="AB111" s="66">
        <f>Бюджет!AB274</f>
        <v>0</v>
      </c>
      <c r="AC111" s="66">
        <f>Бюджет!AC274</f>
        <v>0</v>
      </c>
      <c r="AD111" s="66">
        <f>Бюджет!AD274</f>
        <v>0</v>
      </c>
      <c r="AE111" s="66">
        <f>Бюджет!AE274</f>
        <v>0</v>
      </c>
      <c r="AF111" s="66">
        <f>Бюджет!AF274</f>
        <v>0</v>
      </c>
      <c r="AG111" s="66">
        <f>Бюджет!AG274</f>
        <v>0</v>
      </c>
      <c r="AH111" s="66">
        <f>Бюджет!AH274</f>
        <v>0</v>
      </c>
      <c r="AI111" s="66">
        <f>Бюджет!AI274</f>
        <v>2</v>
      </c>
      <c r="AJ111" s="66">
        <f t="shared" si="12"/>
        <v>113.6</v>
      </c>
      <c r="AK111" s="74"/>
    </row>
    <row r="112" spans="1:39" s="110" customFormat="1" ht="30" x14ac:dyDescent="0.2">
      <c r="A112" s="60" t="str">
        <f>Бюджет!A275</f>
        <v>Б1.О.16.03</v>
      </c>
      <c r="B112" s="60" t="str">
        <f>Бюджет!B275</f>
        <v>Квантовая отптика и атомная физика (поток НЭ, ИБ, ИСТ)</v>
      </c>
      <c r="C112" s="67" t="str">
        <f>Бюджет!C275</f>
        <v>2\4</v>
      </c>
      <c r="D112" s="67">
        <f>Бюджет!D275</f>
        <v>34</v>
      </c>
      <c r="E112" s="67">
        <f>Бюджет!E275</f>
        <v>1</v>
      </c>
      <c r="F112" s="66">
        <f>Бюджет!F275</f>
        <v>60</v>
      </c>
      <c r="G112" s="66">
        <f>Бюджет!G275</f>
        <v>0</v>
      </c>
      <c r="H112" s="66">
        <f>Бюджет!H275</f>
        <v>60</v>
      </c>
      <c r="I112" s="66">
        <f>Бюджет!I275</f>
        <v>60</v>
      </c>
      <c r="J112" s="66">
        <f>Бюджет!J275</f>
        <v>60</v>
      </c>
      <c r="K112" s="66">
        <f>Бюджет!K275</f>
        <v>0</v>
      </c>
      <c r="L112" s="66">
        <f>Бюджет!L275</f>
        <v>0</v>
      </c>
      <c r="M112" s="66">
        <f>Бюджет!M275</f>
        <v>13.600000000000001</v>
      </c>
      <c r="N112" s="66">
        <f>Бюджет!N275</f>
        <v>0</v>
      </c>
      <c r="O112" s="66">
        <f>Бюджет!O275</f>
        <v>0</v>
      </c>
      <c r="P112" s="66">
        <f>Бюджет!P275</f>
        <v>0</v>
      </c>
      <c r="Q112" s="66">
        <f>Бюджет!Q275</f>
        <v>0</v>
      </c>
      <c r="R112" s="66">
        <f>Бюджет!R275</f>
        <v>0</v>
      </c>
      <c r="S112" s="66">
        <f>Бюджет!S275</f>
        <v>0</v>
      </c>
      <c r="T112" s="66">
        <f>Бюджет!T275</f>
        <v>0</v>
      </c>
      <c r="U112" s="66">
        <f>Бюджет!U275</f>
        <v>0</v>
      </c>
      <c r="V112" s="66">
        <f>Бюджет!V275</f>
        <v>0</v>
      </c>
      <c r="W112" s="66">
        <f>Бюджет!W275</f>
        <v>0</v>
      </c>
      <c r="X112" s="66">
        <f>Бюджет!X275</f>
        <v>0</v>
      </c>
      <c r="Y112" s="66">
        <f>Бюджет!Y275</f>
        <v>0</v>
      </c>
      <c r="Z112" s="66">
        <f>Бюджет!Z275</f>
        <v>0</v>
      </c>
      <c r="AA112" s="66">
        <f>Бюджет!AA275</f>
        <v>0</v>
      </c>
      <c r="AB112" s="66">
        <f>Бюджет!AB275</f>
        <v>0</v>
      </c>
      <c r="AC112" s="66">
        <f>Бюджет!AC275</f>
        <v>0</v>
      </c>
      <c r="AD112" s="66">
        <f>Бюджет!AD275</f>
        <v>0</v>
      </c>
      <c r="AE112" s="66">
        <f>Бюджет!AE275</f>
        <v>0</v>
      </c>
      <c r="AF112" s="66">
        <f>Бюджет!AF275</f>
        <v>0</v>
      </c>
      <c r="AG112" s="66">
        <f>Бюджет!AG275</f>
        <v>0</v>
      </c>
      <c r="AH112" s="66">
        <f>Бюджет!AH275</f>
        <v>0</v>
      </c>
      <c r="AI112" s="66">
        <f>Бюджет!AI275</f>
        <v>8</v>
      </c>
      <c r="AJ112" s="66">
        <f t="shared" si="12"/>
        <v>141.6</v>
      </c>
      <c r="AK112" s="74"/>
    </row>
    <row r="113" spans="1:37" s="110" customFormat="1" ht="15.75" x14ac:dyDescent="0.2">
      <c r="A113" s="74"/>
      <c r="B113" s="94" t="s">
        <v>237</v>
      </c>
      <c r="C113" s="91"/>
      <c r="D113" s="91"/>
      <c r="E113" s="91"/>
      <c r="F113" s="88">
        <f>SUM(F108:F112)</f>
        <v>206</v>
      </c>
      <c r="G113" s="88">
        <f t="shared" ref="G113:AJ113" si="13">SUM(G108:G112)</f>
        <v>0</v>
      </c>
      <c r="H113" s="88">
        <f t="shared" si="13"/>
        <v>190</v>
      </c>
      <c r="I113" s="88">
        <f t="shared" si="13"/>
        <v>190</v>
      </c>
      <c r="J113" s="88">
        <f t="shared" si="13"/>
        <v>180</v>
      </c>
      <c r="K113" s="88">
        <f t="shared" si="13"/>
        <v>18.299999999999997</v>
      </c>
      <c r="L113" s="88">
        <f t="shared" si="13"/>
        <v>0</v>
      </c>
      <c r="M113" s="88">
        <f t="shared" si="13"/>
        <v>38</v>
      </c>
      <c r="N113" s="88">
        <f t="shared" si="13"/>
        <v>0</v>
      </c>
      <c r="O113" s="88">
        <f t="shared" si="13"/>
        <v>0</v>
      </c>
      <c r="P113" s="88">
        <f t="shared" si="13"/>
        <v>0</v>
      </c>
      <c r="Q113" s="88">
        <f t="shared" si="13"/>
        <v>0</v>
      </c>
      <c r="R113" s="88">
        <f t="shared" si="13"/>
        <v>0</v>
      </c>
      <c r="S113" s="88">
        <f t="shared" si="13"/>
        <v>0</v>
      </c>
      <c r="T113" s="88">
        <f t="shared" si="13"/>
        <v>0</v>
      </c>
      <c r="U113" s="88">
        <f t="shared" si="13"/>
        <v>0</v>
      </c>
      <c r="V113" s="88">
        <f t="shared" si="13"/>
        <v>0</v>
      </c>
      <c r="W113" s="88">
        <f t="shared" si="13"/>
        <v>0</v>
      </c>
      <c r="X113" s="88">
        <f t="shared" si="13"/>
        <v>0</v>
      </c>
      <c r="Y113" s="88">
        <f t="shared" si="13"/>
        <v>0</v>
      </c>
      <c r="Z113" s="88">
        <f t="shared" si="13"/>
        <v>0</v>
      </c>
      <c r="AA113" s="88">
        <f t="shared" si="13"/>
        <v>0</v>
      </c>
      <c r="AB113" s="88">
        <f t="shared" si="13"/>
        <v>0</v>
      </c>
      <c r="AC113" s="88">
        <f t="shared" si="13"/>
        <v>0</v>
      </c>
      <c r="AD113" s="88">
        <f t="shared" si="13"/>
        <v>0</v>
      </c>
      <c r="AE113" s="88">
        <f t="shared" si="13"/>
        <v>0</v>
      </c>
      <c r="AF113" s="88">
        <f t="shared" si="13"/>
        <v>0</v>
      </c>
      <c r="AG113" s="88">
        <f t="shared" si="13"/>
        <v>0</v>
      </c>
      <c r="AH113" s="88">
        <f t="shared" si="13"/>
        <v>0</v>
      </c>
      <c r="AI113" s="88">
        <f t="shared" si="13"/>
        <v>10</v>
      </c>
      <c r="AJ113" s="88">
        <f t="shared" si="13"/>
        <v>436.29999999999995</v>
      </c>
      <c r="AK113" s="74"/>
    </row>
    <row r="114" spans="1:37" s="110" customFormat="1" ht="15.75" x14ac:dyDescent="0.2">
      <c r="A114" s="74"/>
      <c r="B114" s="120"/>
      <c r="C114" s="275"/>
      <c r="D114" s="275"/>
      <c r="E114" s="275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66">
        <f t="shared" ref="AJ114:AJ122" si="14">SUM(G114,I114:AI114)</f>
        <v>0</v>
      </c>
      <c r="AK114" s="74"/>
    </row>
    <row r="115" spans="1:37" s="109" customFormat="1" ht="15.75" x14ac:dyDescent="0.2">
      <c r="A115" s="74"/>
      <c r="B115" s="90"/>
      <c r="C115" s="74"/>
      <c r="D115" s="74"/>
      <c r="E115" s="74"/>
      <c r="F115" s="70"/>
      <c r="G115" s="70"/>
      <c r="H115" s="70"/>
      <c r="I115" s="70"/>
      <c r="J115" s="389" t="str">
        <f>Бюджет!L323</f>
        <v>44.03.05 Педагогическое образование (с двумя профилями подготовки)</v>
      </c>
      <c r="K115" s="389"/>
      <c r="L115" s="389"/>
      <c r="M115" s="389"/>
      <c r="N115" s="389"/>
      <c r="O115" s="389"/>
      <c r="P115" s="389"/>
      <c r="Q115" s="389"/>
      <c r="R115" s="389"/>
      <c r="S115" s="389"/>
      <c r="T115" s="389"/>
      <c r="U115" s="389"/>
      <c r="V115" s="389"/>
      <c r="W115" s="389"/>
      <c r="X115" s="389"/>
      <c r="Y115" s="389"/>
      <c r="Z115" s="389"/>
      <c r="AA115" s="389"/>
      <c r="AB115" s="389"/>
      <c r="AC115" s="389"/>
      <c r="AD115" s="70"/>
      <c r="AE115" s="70"/>
      <c r="AF115" s="70"/>
      <c r="AG115" s="70"/>
      <c r="AH115" s="70"/>
      <c r="AI115" s="70"/>
      <c r="AJ115" s="66">
        <f t="shared" si="14"/>
        <v>0</v>
      </c>
      <c r="AK115" s="74"/>
    </row>
    <row r="116" spans="1:37" s="109" customFormat="1" ht="15.75" x14ac:dyDescent="0.2">
      <c r="B116" s="90"/>
      <c r="C116" s="74"/>
      <c r="D116" s="74"/>
      <c r="E116" s="74"/>
      <c r="F116" s="70"/>
      <c r="G116" s="70"/>
      <c r="H116" s="70"/>
      <c r="I116" s="70"/>
      <c r="J116" s="390" t="str">
        <f>Бюджет!K324</f>
        <v>профиль "Физика-Информатика: углубленная подготовка"</v>
      </c>
      <c r="K116" s="390"/>
      <c r="L116" s="390"/>
      <c r="M116" s="390"/>
      <c r="N116" s="390"/>
      <c r="O116" s="390"/>
      <c r="P116" s="390"/>
      <c r="Q116" s="390"/>
      <c r="R116" s="390"/>
      <c r="S116" s="390"/>
      <c r="T116" s="390"/>
      <c r="U116" s="390"/>
      <c r="V116" s="390"/>
      <c r="W116" s="390"/>
      <c r="X116" s="390"/>
      <c r="Y116" s="390"/>
      <c r="Z116" s="390"/>
      <c r="AA116" s="390"/>
      <c r="AB116" s="390"/>
      <c r="AC116" s="390"/>
      <c r="AD116" s="70"/>
      <c r="AE116" s="70"/>
      <c r="AF116" s="70"/>
      <c r="AG116" s="70"/>
      <c r="AH116" s="70"/>
      <c r="AI116" s="70"/>
      <c r="AJ116" s="66">
        <f t="shared" si="14"/>
        <v>0</v>
      </c>
      <c r="AK116" s="74"/>
    </row>
    <row r="117" spans="1:37" s="109" customFormat="1" ht="30" x14ac:dyDescent="0.2">
      <c r="A117" s="60" t="str">
        <f>Бюджет!A325</f>
        <v>Б1.О.19</v>
      </c>
      <c r="B117" s="60" t="str">
        <f>Бюджет!B325</f>
        <v>Развивающиеся технологии в обучении физики</v>
      </c>
      <c r="C117" s="67" t="str">
        <f>Бюджет!C325</f>
        <v>5\А</v>
      </c>
      <c r="D117" s="67">
        <f>Бюджет!D325</f>
        <v>7</v>
      </c>
      <c r="E117" s="67">
        <f>Бюджет!E325</f>
        <v>1</v>
      </c>
      <c r="F117" s="66">
        <f>Бюджет!F325</f>
        <v>18</v>
      </c>
      <c r="G117" s="66">
        <f>Бюджет!G325</f>
        <v>18</v>
      </c>
      <c r="H117" s="66">
        <f>Бюджет!H325</f>
        <v>36</v>
      </c>
      <c r="I117" s="66">
        <f>Бюджет!I325</f>
        <v>36</v>
      </c>
      <c r="J117" s="66">
        <f>Бюджет!J325</f>
        <v>0</v>
      </c>
      <c r="K117" s="66">
        <f>Бюджет!K325</f>
        <v>2.1</v>
      </c>
      <c r="L117" s="66">
        <f>Бюджет!L325</f>
        <v>0</v>
      </c>
      <c r="M117" s="66">
        <f>Бюджет!M325</f>
        <v>0</v>
      </c>
      <c r="N117" s="66">
        <f>Бюджет!N325</f>
        <v>0</v>
      </c>
      <c r="O117" s="66">
        <f>Бюджет!O325</f>
        <v>0</v>
      </c>
      <c r="P117" s="66">
        <f>Бюджет!P325</f>
        <v>0</v>
      </c>
      <c r="Q117" s="66">
        <f>Бюджет!Q325</f>
        <v>0.9</v>
      </c>
      <c r="R117" s="66">
        <f>Бюджет!R325</f>
        <v>0</v>
      </c>
      <c r="S117" s="66">
        <f>Бюджет!S325</f>
        <v>0</v>
      </c>
      <c r="T117" s="66">
        <f>Бюджет!T325</f>
        <v>0</v>
      </c>
      <c r="U117" s="66">
        <f>Бюджет!U325</f>
        <v>0</v>
      </c>
      <c r="V117" s="66">
        <f>Бюджет!V325</f>
        <v>0</v>
      </c>
      <c r="W117" s="66">
        <f>Бюджет!W325</f>
        <v>0</v>
      </c>
      <c r="X117" s="66">
        <f>Бюджет!X325</f>
        <v>0</v>
      </c>
      <c r="Y117" s="66">
        <f>Бюджет!Y325</f>
        <v>0</v>
      </c>
      <c r="Z117" s="66">
        <f>Бюджет!Z325</f>
        <v>0</v>
      </c>
      <c r="AA117" s="66">
        <f>Бюджет!AA325</f>
        <v>0</v>
      </c>
      <c r="AB117" s="66">
        <f>Бюджет!AB325</f>
        <v>0</v>
      </c>
      <c r="AC117" s="66">
        <f>Бюджет!AC325</f>
        <v>0</v>
      </c>
      <c r="AD117" s="66">
        <f>Бюджет!AD325</f>
        <v>0</v>
      </c>
      <c r="AE117" s="66">
        <f>Бюджет!AE325</f>
        <v>0</v>
      </c>
      <c r="AF117" s="66">
        <f>Бюджет!AF325</f>
        <v>0</v>
      </c>
      <c r="AG117" s="66">
        <f>Бюджет!AG325</f>
        <v>0</v>
      </c>
      <c r="AH117" s="66">
        <f>Бюджет!AH325</f>
        <v>0</v>
      </c>
      <c r="AI117" s="66">
        <f>Бюджет!AI325</f>
        <v>0</v>
      </c>
      <c r="AJ117" s="66">
        <f t="shared" si="14"/>
        <v>57</v>
      </c>
      <c r="AK117" s="74"/>
    </row>
    <row r="118" spans="1:37" s="109" customFormat="1" ht="30" x14ac:dyDescent="0.2">
      <c r="A118" s="60" t="str">
        <f>Бюджет!A332</f>
        <v>Б1.В.ДВ,04.01</v>
      </c>
      <c r="B118" s="60" t="str">
        <f>Бюджет!B332</f>
        <v>Преподавание в классах с углубленным изучением физики</v>
      </c>
      <c r="C118" s="67" t="str">
        <f>Бюджет!C332</f>
        <v>5\9</v>
      </c>
      <c r="D118" s="67">
        <f>Бюджет!D332</f>
        <v>7</v>
      </c>
      <c r="E118" s="67">
        <f>Бюджет!E332</f>
        <v>1</v>
      </c>
      <c r="F118" s="66">
        <f>Бюджет!F332</f>
        <v>0</v>
      </c>
      <c r="G118" s="66">
        <f>Бюджет!G332</f>
        <v>0</v>
      </c>
      <c r="H118" s="66">
        <f>Бюджет!H332</f>
        <v>34</v>
      </c>
      <c r="I118" s="66">
        <f>Бюджет!I332</f>
        <v>34</v>
      </c>
      <c r="J118" s="66">
        <f>Бюджет!J332</f>
        <v>0</v>
      </c>
      <c r="K118" s="66">
        <f>Бюджет!K332</f>
        <v>2.1</v>
      </c>
      <c r="L118" s="66">
        <f>Бюджет!L332</f>
        <v>0</v>
      </c>
      <c r="M118" s="66">
        <f>Бюджет!M332</f>
        <v>0</v>
      </c>
      <c r="N118" s="66">
        <f>Бюджет!N332</f>
        <v>0</v>
      </c>
      <c r="O118" s="66">
        <f>Бюджет!O332</f>
        <v>0</v>
      </c>
      <c r="P118" s="66">
        <f>Бюджет!P332</f>
        <v>0</v>
      </c>
      <c r="Q118" s="66">
        <f>Бюджет!Q332</f>
        <v>0</v>
      </c>
      <c r="R118" s="66">
        <f>Бюджет!R332</f>
        <v>0</v>
      </c>
      <c r="S118" s="66">
        <f>Бюджет!S332</f>
        <v>0</v>
      </c>
      <c r="T118" s="66">
        <f>Бюджет!T332</f>
        <v>0</v>
      </c>
      <c r="U118" s="66">
        <f>Бюджет!U332</f>
        <v>0</v>
      </c>
      <c r="V118" s="66">
        <f>Бюджет!V332</f>
        <v>0</v>
      </c>
      <c r="W118" s="66">
        <f>Бюджет!W332</f>
        <v>0</v>
      </c>
      <c r="X118" s="66">
        <f>Бюджет!X332</f>
        <v>0</v>
      </c>
      <c r="Y118" s="66">
        <f>Бюджет!Y332</f>
        <v>0</v>
      </c>
      <c r="Z118" s="66">
        <f>Бюджет!Z332</f>
        <v>0</v>
      </c>
      <c r="AA118" s="66">
        <f>Бюджет!AA332</f>
        <v>0</v>
      </c>
      <c r="AB118" s="66">
        <f>Бюджет!AB332</f>
        <v>0</v>
      </c>
      <c r="AC118" s="66">
        <f>Бюджет!AC332</f>
        <v>0</v>
      </c>
      <c r="AD118" s="66">
        <f>Бюджет!AD332</f>
        <v>0</v>
      </c>
      <c r="AE118" s="66">
        <f>Бюджет!AE332</f>
        <v>0</v>
      </c>
      <c r="AF118" s="66">
        <f>Бюджет!AF332</f>
        <v>0</v>
      </c>
      <c r="AG118" s="66">
        <f>Бюджет!AG332</f>
        <v>0</v>
      </c>
      <c r="AH118" s="66">
        <f>Бюджет!AH332</f>
        <v>0</v>
      </c>
      <c r="AI118" s="66">
        <f>Бюджет!AI332</f>
        <v>0</v>
      </c>
      <c r="AJ118" s="66">
        <f t="shared" si="14"/>
        <v>36.1</v>
      </c>
      <c r="AK118" s="74"/>
    </row>
    <row r="119" spans="1:37" s="109" customFormat="1" ht="30" x14ac:dyDescent="0.2">
      <c r="A119" s="60" t="str">
        <f>Бюджет!A333</f>
        <v>Б2.О.04(П)</v>
      </c>
      <c r="B119" s="60" t="str">
        <f>Бюджет!B333</f>
        <v>Производсвенная педагогическая практика</v>
      </c>
      <c r="C119" s="67" t="str">
        <f>Бюджет!C333</f>
        <v>5\9</v>
      </c>
      <c r="D119" s="67">
        <f>Бюджет!D333</f>
        <v>7</v>
      </c>
      <c r="E119" s="67">
        <f>Бюджет!E333</f>
        <v>1</v>
      </c>
      <c r="F119" s="66">
        <f>Бюджет!F333</f>
        <v>68</v>
      </c>
      <c r="G119" s="66">
        <f>Бюджет!G333</f>
        <v>68</v>
      </c>
      <c r="H119" s="66">
        <f>Бюджет!H333</f>
        <v>0</v>
      </c>
      <c r="I119" s="66">
        <f>Бюджет!I333</f>
        <v>0</v>
      </c>
      <c r="J119" s="66">
        <f>Бюджет!J333</f>
        <v>102</v>
      </c>
      <c r="K119" s="66">
        <f>Бюджет!K333</f>
        <v>2.1</v>
      </c>
      <c r="L119" s="66">
        <f>Бюджет!L333</f>
        <v>0</v>
      </c>
      <c r="M119" s="66">
        <f>Бюджет!M333</f>
        <v>0</v>
      </c>
      <c r="N119" s="66">
        <f>Бюджет!N333</f>
        <v>0</v>
      </c>
      <c r="O119" s="66">
        <f>Бюджет!O333</f>
        <v>0</v>
      </c>
      <c r="P119" s="66">
        <f>Бюджет!P333</f>
        <v>0</v>
      </c>
      <c r="Q119" s="66">
        <f>Бюджет!Q333</f>
        <v>3.4000000000000004</v>
      </c>
      <c r="R119" s="66">
        <f>Бюджет!R333</f>
        <v>0</v>
      </c>
      <c r="S119" s="66">
        <f>Бюджет!S333</f>
        <v>0</v>
      </c>
      <c r="T119" s="66">
        <f>Бюджет!T333</f>
        <v>0</v>
      </c>
      <c r="U119" s="66">
        <f>Бюджет!U333</f>
        <v>0</v>
      </c>
      <c r="V119" s="66">
        <f>Бюджет!V333</f>
        <v>0</v>
      </c>
      <c r="W119" s="66">
        <f>Бюджет!W333</f>
        <v>0</v>
      </c>
      <c r="X119" s="66">
        <f>Бюджет!X333</f>
        <v>0</v>
      </c>
      <c r="Y119" s="66">
        <f>Бюджет!Y333</f>
        <v>0</v>
      </c>
      <c r="Z119" s="66">
        <f>Бюджет!Z333</f>
        <v>0</v>
      </c>
      <c r="AA119" s="66">
        <f>Бюджет!AA333</f>
        <v>0</v>
      </c>
      <c r="AB119" s="66">
        <f>Бюджет!AB333</f>
        <v>0</v>
      </c>
      <c r="AC119" s="66">
        <f>Бюджет!AC333</f>
        <v>0</v>
      </c>
      <c r="AD119" s="66">
        <f>Бюджет!AD333</f>
        <v>0</v>
      </c>
      <c r="AE119" s="66">
        <f>Бюджет!AE333</f>
        <v>0</v>
      </c>
      <c r="AF119" s="66">
        <f>Бюджет!AF333</f>
        <v>0</v>
      </c>
      <c r="AG119" s="66">
        <f>Бюджет!AG333</f>
        <v>0</v>
      </c>
      <c r="AH119" s="66">
        <f>Бюджет!AH333</f>
        <v>0</v>
      </c>
      <c r="AI119" s="66">
        <f>Бюджет!AI333</f>
        <v>0</v>
      </c>
      <c r="AJ119" s="66">
        <f t="shared" si="14"/>
        <v>175.5</v>
      </c>
      <c r="AK119" s="74"/>
    </row>
    <row r="120" spans="1:37" s="109" customFormat="1" ht="15" x14ac:dyDescent="0.2">
      <c r="A120" s="60" t="str">
        <f>Бюджет!A334</f>
        <v>Б2.О.05(ПД)</v>
      </c>
      <c r="B120" s="60" t="str">
        <f>Бюджет!B334</f>
        <v>Преддипломная практика</v>
      </c>
      <c r="C120" s="67" t="str">
        <f>Бюджет!C334</f>
        <v>5\А</v>
      </c>
      <c r="D120" s="67">
        <f>Бюджет!D334</f>
        <v>7</v>
      </c>
      <c r="E120" s="67">
        <f>Бюджет!E334</f>
        <v>1</v>
      </c>
      <c r="F120" s="66">
        <f>Бюджет!F334</f>
        <v>0</v>
      </c>
      <c r="G120" s="66">
        <f>Бюджет!G334</f>
        <v>0</v>
      </c>
      <c r="H120" s="66">
        <f>Бюджет!H334</f>
        <v>0</v>
      </c>
      <c r="I120" s="66">
        <f>Бюджет!I334</f>
        <v>0</v>
      </c>
      <c r="J120" s="66">
        <f>Бюджет!J334</f>
        <v>0</v>
      </c>
      <c r="K120" s="66">
        <f>Бюджет!K334</f>
        <v>0</v>
      </c>
      <c r="L120" s="66">
        <f>Бюджет!L334</f>
        <v>0</v>
      </c>
      <c r="M120" s="66">
        <f>Бюджет!M334</f>
        <v>0</v>
      </c>
      <c r="N120" s="66">
        <f>Бюджет!N334</f>
        <v>0</v>
      </c>
      <c r="O120" s="66">
        <f>Бюджет!O334</f>
        <v>0</v>
      </c>
      <c r="P120" s="66">
        <f>Бюджет!P334</f>
        <v>0</v>
      </c>
      <c r="Q120" s="66">
        <f>Бюджет!Q334</f>
        <v>0</v>
      </c>
      <c r="R120" s="66">
        <f>Бюджет!R334</f>
        <v>0</v>
      </c>
      <c r="S120" s="66">
        <f>Бюджет!S334</f>
        <v>0</v>
      </c>
      <c r="T120" s="66">
        <f>Бюджет!T334</f>
        <v>42</v>
      </c>
      <c r="U120" s="66">
        <f>Бюджет!U334</f>
        <v>0</v>
      </c>
      <c r="V120" s="66">
        <f>Бюджет!V334</f>
        <v>0</v>
      </c>
      <c r="W120" s="66">
        <f>Бюджет!W334</f>
        <v>0</v>
      </c>
      <c r="X120" s="66">
        <f>Бюджет!X334</f>
        <v>0</v>
      </c>
      <c r="Y120" s="66">
        <f>Бюджет!Y334</f>
        <v>0</v>
      </c>
      <c r="Z120" s="66">
        <f>Бюджет!Z334</f>
        <v>0</v>
      </c>
      <c r="AA120" s="66">
        <f>Бюджет!AA334</f>
        <v>0</v>
      </c>
      <c r="AB120" s="66">
        <f>Бюджет!AB334</f>
        <v>0</v>
      </c>
      <c r="AC120" s="66">
        <f>Бюджет!AC334</f>
        <v>0</v>
      </c>
      <c r="AD120" s="66">
        <f>Бюджет!AD334</f>
        <v>0</v>
      </c>
      <c r="AE120" s="66">
        <f>Бюджет!AE334</f>
        <v>0</v>
      </c>
      <c r="AF120" s="66">
        <f>Бюджет!AF334</f>
        <v>0</v>
      </c>
      <c r="AG120" s="66">
        <f>Бюджет!AG334</f>
        <v>0</v>
      </c>
      <c r="AH120" s="66">
        <f>Бюджет!AH334</f>
        <v>0</v>
      </c>
      <c r="AI120" s="66">
        <f>Бюджет!AI334</f>
        <v>0</v>
      </c>
      <c r="AJ120" s="66">
        <f t="shared" si="14"/>
        <v>42</v>
      </c>
      <c r="AK120" s="74"/>
    </row>
    <row r="121" spans="1:37" s="109" customFormat="1" ht="15" x14ac:dyDescent="0.2">
      <c r="A121" s="60">
        <f>Бюджет!A335</f>
        <v>0</v>
      </c>
      <c r="B121" s="60" t="str">
        <f>Бюджет!B335</f>
        <v>Руководство ВКР</v>
      </c>
      <c r="C121" s="67" t="str">
        <f>Бюджет!C335</f>
        <v>5\А</v>
      </c>
      <c r="D121" s="67">
        <f>Бюджет!D335</f>
        <v>7</v>
      </c>
      <c r="E121" s="67">
        <f>Бюджет!E335</f>
        <v>1</v>
      </c>
      <c r="F121" s="66">
        <f>Бюджет!F335</f>
        <v>0</v>
      </c>
      <c r="G121" s="66">
        <f>Бюджет!G335</f>
        <v>0</v>
      </c>
      <c r="H121" s="66">
        <f>Бюджет!H335</f>
        <v>0</v>
      </c>
      <c r="I121" s="66">
        <f>Бюджет!I335</f>
        <v>0</v>
      </c>
      <c r="J121" s="66">
        <f>Бюджет!J335</f>
        <v>0</v>
      </c>
      <c r="K121" s="66">
        <f>Бюджет!K335</f>
        <v>0</v>
      </c>
      <c r="L121" s="66">
        <f>Бюджет!L335</f>
        <v>0</v>
      </c>
      <c r="M121" s="66">
        <f>Бюджет!M335</f>
        <v>0</v>
      </c>
      <c r="N121" s="66">
        <f>Бюджет!N335</f>
        <v>0</v>
      </c>
      <c r="O121" s="66">
        <f>Бюджет!O335</f>
        <v>0</v>
      </c>
      <c r="P121" s="66">
        <f>Бюджет!P335</f>
        <v>0</v>
      </c>
      <c r="Q121" s="66">
        <f>Бюджет!Q335</f>
        <v>0</v>
      </c>
      <c r="R121" s="66">
        <f>Бюджет!R335</f>
        <v>0</v>
      </c>
      <c r="S121" s="66">
        <f>Бюджет!S335</f>
        <v>0</v>
      </c>
      <c r="T121" s="66">
        <f>Бюджет!T335</f>
        <v>0</v>
      </c>
      <c r="U121" s="66">
        <f>Бюджет!U335</f>
        <v>0</v>
      </c>
      <c r="V121" s="66">
        <f>Бюджет!V335</f>
        <v>0</v>
      </c>
      <c r="W121" s="66">
        <f>Бюджет!W335</f>
        <v>112</v>
      </c>
      <c r="X121" s="66">
        <f>Бюджет!X335</f>
        <v>0</v>
      </c>
      <c r="Y121" s="66">
        <f>Бюджет!Y335</f>
        <v>0</v>
      </c>
      <c r="Z121" s="66">
        <f>Бюджет!Z335</f>
        <v>0</v>
      </c>
      <c r="AA121" s="66">
        <f>Бюджет!AA335</f>
        <v>0</v>
      </c>
      <c r="AB121" s="66">
        <f>Бюджет!AB335</f>
        <v>0</v>
      </c>
      <c r="AC121" s="66">
        <f>Бюджет!AC335</f>
        <v>0</v>
      </c>
      <c r="AD121" s="66">
        <f>Бюджет!AD335</f>
        <v>0</v>
      </c>
      <c r="AE121" s="66">
        <f>Бюджет!AE335</f>
        <v>0</v>
      </c>
      <c r="AF121" s="66">
        <f>Бюджет!AF335</f>
        <v>0</v>
      </c>
      <c r="AG121" s="66">
        <f>Бюджет!AG335</f>
        <v>0</v>
      </c>
      <c r="AH121" s="66">
        <f>Бюджет!AH335</f>
        <v>0</v>
      </c>
      <c r="AI121" s="66">
        <f>Бюджет!AI335</f>
        <v>0</v>
      </c>
      <c r="AJ121" s="66">
        <f t="shared" si="14"/>
        <v>112</v>
      </c>
      <c r="AK121" s="74"/>
    </row>
    <row r="122" spans="1:37" s="109" customFormat="1" ht="15" x14ac:dyDescent="0.2">
      <c r="A122" s="60">
        <f>Бюджет!A336</f>
        <v>0</v>
      </c>
      <c r="B122" s="60" t="str">
        <f>Бюджет!B336</f>
        <v>ГЭК (Защита ВКР бакалавра) (7 чел)</v>
      </c>
      <c r="C122" s="67" t="str">
        <f>Бюджет!C336</f>
        <v>5\А</v>
      </c>
      <c r="D122" s="67">
        <f>Бюджет!D336</f>
        <v>7</v>
      </c>
      <c r="E122" s="67">
        <f>Бюджет!E336</f>
        <v>1</v>
      </c>
      <c r="F122" s="66">
        <f>Бюджет!F336</f>
        <v>0</v>
      </c>
      <c r="G122" s="66">
        <f>Бюджет!G336</f>
        <v>0</v>
      </c>
      <c r="H122" s="66">
        <f>Бюджет!H336</f>
        <v>0</v>
      </c>
      <c r="I122" s="66">
        <f>Бюджет!I336</f>
        <v>0</v>
      </c>
      <c r="J122" s="66">
        <f>Бюджет!J336</f>
        <v>0</v>
      </c>
      <c r="K122" s="66">
        <f>Бюджет!K336</f>
        <v>0</v>
      </c>
      <c r="L122" s="66">
        <f>Бюджет!L336</f>
        <v>0</v>
      </c>
      <c r="M122" s="66">
        <f>Бюджет!M336</f>
        <v>0</v>
      </c>
      <c r="N122" s="66">
        <f>Бюджет!N336</f>
        <v>0</v>
      </c>
      <c r="O122" s="66">
        <f>Бюджет!O336</f>
        <v>0</v>
      </c>
      <c r="P122" s="66">
        <f>Бюджет!P336</f>
        <v>0</v>
      </c>
      <c r="Q122" s="66">
        <f>Бюджет!Q336</f>
        <v>0</v>
      </c>
      <c r="R122" s="66">
        <f>Бюджет!R336</f>
        <v>0</v>
      </c>
      <c r="S122" s="66">
        <f>Бюджет!S336</f>
        <v>0</v>
      </c>
      <c r="T122" s="66">
        <f>Бюджет!T336</f>
        <v>0</v>
      </c>
      <c r="U122" s="66">
        <f>Бюджет!U336</f>
        <v>0</v>
      </c>
      <c r="V122" s="66">
        <f>Бюджет!V336</f>
        <v>0</v>
      </c>
      <c r="W122" s="66">
        <f>Бюджет!W336</f>
        <v>0</v>
      </c>
      <c r="X122" s="66">
        <f>Бюджет!X336</f>
        <v>0</v>
      </c>
      <c r="Y122" s="66">
        <f>Бюджет!Y336</f>
        <v>0</v>
      </c>
      <c r="Z122" s="66">
        <f>Бюджет!Z336</f>
        <v>0</v>
      </c>
      <c r="AA122" s="66">
        <f>Бюджет!AA336</f>
        <v>0</v>
      </c>
      <c r="AB122" s="66">
        <f>Бюджет!AB336</f>
        <v>24.5</v>
      </c>
      <c r="AC122" s="66">
        <f>Бюджет!AC336</f>
        <v>0</v>
      </c>
      <c r="AD122" s="66">
        <f>Бюджет!AD336</f>
        <v>0</v>
      </c>
      <c r="AE122" s="66">
        <f>Бюджет!AE336</f>
        <v>0</v>
      </c>
      <c r="AF122" s="66">
        <f>Бюджет!AF336</f>
        <v>0</v>
      </c>
      <c r="AG122" s="66">
        <f>Бюджет!AG336</f>
        <v>0</v>
      </c>
      <c r="AH122" s="66">
        <f>Бюджет!AH336</f>
        <v>0</v>
      </c>
      <c r="AI122" s="66">
        <f>Бюджет!AI336</f>
        <v>0</v>
      </c>
      <c r="AJ122" s="66">
        <f t="shared" si="14"/>
        <v>24.5</v>
      </c>
      <c r="AK122" s="74"/>
    </row>
    <row r="123" spans="1:37" s="109" customFormat="1" ht="15.75" x14ac:dyDescent="0.2">
      <c r="A123" s="74"/>
      <c r="B123" s="94" t="s">
        <v>283</v>
      </c>
      <c r="C123" s="91"/>
      <c r="D123" s="91"/>
      <c r="E123" s="91"/>
      <c r="F123" s="88">
        <f t="shared" ref="F123:AJ123" si="15">SUM(F117:F122)</f>
        <v>86</v>
      </c>
      <c r="G123" s="88">
        <f t="shared" si="15"/>
        <v>86</v>
      </c>
      <c r="H123" s="88">
        <f t="shared" si="15"/>
        <v>70</v>
      </c>
      <c r="I123" s="88">
        <f t="shared" si="15"/>
        <v>70</v>
      </c>
      <c r="J123" s="88">
        <f t="shared" si="15"/>
        <v>102</v>
      </c>
      <c r="K123" s="88">
        <f t="shared" si="15"/>
        <v>6.3000000000000007</v>
      </c>
      <c r="L123" s="88">
        <f t="shared" si="15"/>
        <v>0</v>
      </c>
      <c r="M123" s="88">
        <f t="shared" si="15"/>
        <v>0</v>
      </c>
      <c r="N123" s="88">
        <f t="shared" si="15"/>
        <v>0</v>
      </c>
      <c r="O123" s="88">
        <f t="shared" si="15"/>
        <v>0</v>
      </c>
      <c r="P123" s="88">
        <f t="shared" si="15"/>
        <v>0</v>
      </c>
      <c r="Q123" s="88">
        <f t="shared" si="15"/>
        <v>4.3000000000000007</v>
      </c>
      <c r="R123" s="88">
        <f t="shared" si="15"/>
        <v>0</v>
      </c>
      <c r="S123" s="88">
        <f t="shared" si="15"/>
        <v>0</v>
      </c>
      <c r="T123" s="88">
        <f t="shared" si="15"/>
        <v>42</v>
      </c>
      <c r="U123" s="88">
        <f t="shared" si="15"/>
        <v>0</v>
      </c>
      <c r="V123" s="88">
        <f t="shared" si="15"/>
        <v>0</v>
      </c>
      <c r="W123" s="88">
        <f t="shared" si="15"/>
        <v>112</v>
      </c>
      <c r="X123" s="88">
        <f t="shared" si="15"/>
        <v>0</v>
      </c>
      <c r="Y123" s="88">
        <f t="shared" si="15"/>
        <v>0</v>
      </c>
      <c r="Z123" s="88">
        <f t="shared" si="15"/>
        <v>0</v>
      </c>
      <c r="AA123" s="88">
        <f t="shared" si="15"/>
        <v>0</v>
      </c>
      <c r="AB123" s="88">
        <f t="shared" si="15"/>
        <v>24.5</v>
      </c>
      <c r="AC123" s="88">
        <f t="shared" si="15"/>
        <v>0</v>
      </c>
      <c r="AD123" s="88">
        <f t="shared" si="15"/>
        <v>0</v>
      </c>
      <c r="AE123" s="88">
        <f t="shared" si="15"/>
        <v>0</v>
      </c>
      <c r="AF123" s="88">
        <f t="shared" si="15"/>
        <v>0</v>
      </c>
      <c r="AG123" s="88">
        <f t="shared" si="15"/>
        <v>0</v>
      </c>
      <c r="AH123" s="88">
        <f t="shared" si="15"/>
        <v>0</v>
      </c>
      <c r="AI123" s="88">
        <f t="shared" si="15"/>
        <v>0</v>
      </c>
      <c r="AJ123" s="88">
        <f t="shared" si="15"/>
        <v>447.1</v>
      </c>
      <c r="AK123" s="74"/>
    </row>
    <row r="124" spans="1:37" s="109" customFormat="1" ht="15.75" x14ac:dyDescent="0.2">
      <c r="A124" s="74"/>
      <c r="B124" s="120"/>
      <c r="C124" s="275"/>
      <c r="D124" s="275"/>
      <c r="E124" s="275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66">
        <f t="shared" ref="AJ124:AJ130" si="16">SUM(G124,I124:AI124)</f>
        <v>0</v>
      </c>
      <c r="AK124" s="74"/>
    </row>
    <row r="125" spans="1:37" s="109" customFormat="1" ht="15.75" x14ac:dyDescent="0.2">
      <c r="A125" s="74"/>
      <c r="B125" s="90"/>
      <c r="C125" s="74"/>
      <c r="D125" s="74"/>
      <c r="E125" s="74"/>
      <c r="F125" s="70"/>
      <c r="G125" s="70"/>
      <c r="H125" s="70"/>
      <c r="I125" s="70"/>
      <c r="J125" s="389" t="str">
        <f>Бюджет!L339</f>
        <v>09.03.02 Информационные системы и технологии</v>
      </c>
      <c r="K125" s="389"/>
      <c r="L125" s="389"/>
      <c r="M125" s="389"/>
      <c r="N125" s="389"/>
      <c r="O125" s="389"/>
      <c r="P125" s="389"/>
      <c r="Q125" s="389"/>
      <c r="R125" s="389"/>
      <c r="S125" s="389"/>
      <c r="T125" s="389"/>
      <c r="U125" s="389"/>
      <c r="V125" s="389"/>
      <c r="W125" s="389"/>
      <c r="X125" s="389"/>
      <c r="Y125" s="389"/>
      <c r="Z125" s="389"/>
      <c r="AA125" s="389"/>
      <c r="AB125" s="389"/>
      <c r="AC125" s="389"/>
      <c r="AD125" s="70"/>
      <c r="AE125" s="70"/>
      <c r="AF125" s="70"/>
      <c r="AG125" s="70"/>
      <c r="AH125" s="70"/>
      <c r="AI125" s="70"/>
      <c r="AJ125" s="66">
        <f t="shared" si="16"/>
        <v>0</v>
      </c>
      <c r="AK125" s="74"/>
    </row>
    <row r="126" spans="1:37" s="109" customFormat="1" ht="15.75" x14ac:dyDescent="0.2">
      <c r="B126" s="90"/>
      <c r="C126" s="74"/>
      <c r="D126" s="74"/>
      <c r="E126" s="74"/>
      <c r="F126" s="70"/>
      <c r="G126" s="70"/>
      <c r="H126" s="70"/>
      <c r="I126" s="70"/>
      <c r="J126" s="390" t="str">
        <f>Бюджет!K340</f>
        <v>профиль "Электронный инжиниринг"</v>
      </c>
      <c r="K126" s="390"/>
      <c r="L126" s="390"/>
      <c r="M126" s="390"/>
      <c r="N126" s="390"/>
      <c r="O126" s="390"/>
      <c r="P126" s="390"/>
      <c r="Q126" s="390"/>
      <c r="R126" s="390"/>
      <c r="S126" s="390"/>
      <c r="T126" s="390"/>
      <c r="U126" s="390"/>
      <c r="V126" s="390"/>
      <c r="W126" s="390"/>
      <c r="X126" s="390"/>
      <c r="Y126" s="390"/>
      <c r="Z126" s="390"/>
      <c r="AA126" s="390"/>
      <c r="AB126" s="390"/>
      <c r="AC126" s="390"/>
      <c r="AD126" s="70"/>
      <c r="AE126" s="70"/>
      <c r="AF126" s="70"/>
      <c r="AG126" s="70"/>
      <c r="AH126" s="70"/>
      <c r="AI126" s="70"/>
      <c r="AJ126" s="66">
        <f t="shared" si="16"/>
        <v>0</v>
      </c>
      <c r="AK126" s="74"/>
    </row>
    <row r="127" spans="1:37" s="109" customFormat="1" ht="15" x14ac:dyDescent="0.2">
      <c r="A127" s="60" t="str">
        <f>Бюджет!A341</f>
        <v>Б1.О.01</v>
      </c>
      <c r="B127" s="60" t="str">
        <f>Бюджет!B341</f>
        <v>Теория измерений (поток НЭ, ИБ, ИСТ)</v>
      </c>
      <c r="C127" s="67" t="str">
        <f>Бюджет!C341</f>
        <v>1\1</v>
      </c>
      <c r="D127" s="67">
        <f>Бюджет!D341</f>
        <v>25</v>
      </c>
      <c r="E127" s="67">
        <f>Бюджет!E341</f>
        <v>1</v>
      </c>
      <c r="F127" s="66">
        <f>Бюджет!F341</f>
        <v>16</v>
      </c>
      <c r="G127" s="66">
        <f>Бюджет!G341</f>
        <v>0</v>
      </c>
      <c r="H127" s="66">
        <f>Бюджет!H341</f>
        <v>0</v>
      </c>
      <c r="I127" s="66">
        <f>Бюджет!I341</f>
        <v>0</v>
      </c>
      <c r="J127" s="66">
        <f>Бюджет!J341</f>
        <v>32</v>
      </c>
      <c r="K127" s="66">
        <f>Бюджет!K341</f>
        <v>7.5</v>
      </c>
      <c r="L127" s="66">
        <f>Бюджет!L341</f>
        <v>0</v>
      </c>
      <c r="M127" s="66">
        <f>Бюджет!M341</f>
        <v>0</v>
      </c>
      <c r="N127" s="66">
        <f>Бюджет!N341</f>
        <v>0</v>
      </c>
      <c r="O127" s="66">
        <f>Бюджет!O341</f>
        <v>0</v>
      </c>
      <c r="P127" s="66">
        <f>Бюджет!P341</f>
        <v>0</v>
      </c>
      <c r="Q127" s="66">
        <f>Бюджет!Q341</f>
        <v>0</v>
      </c>
      <c r="R127" s="66">
        <f>Бюджет!R341</f>
        <v>0</v>
      </c>
      <c r="S127" s="66">
        <f>Бюджет!S341</f>
        <v>0</v>
      </c>
      <c r="T127" s="66">
        <f>Бюджет!T341</f>
        <v>0</v>
      </c>
      <c r="U127" s="66">
        <f>Бюджет!U341</f>
        <v>0</v>
      </c>
      <c r="V127" s="66">
        <f>Бюджет!V341</f>
        <v>0</v>
      </c>
      <c r="W127" s="66">
        <f>Бюджет!W341</f>
        <v>0</v>
      </c>
      <c r="X127" s="66">
        <f>Бюджет!X341</f>
        <v>0</v>
      </c>
      <c r="Y127" s="66">
        <f>Бюджет!Y341</f>
        <v>0</v>
      </c>
      <c r="Z127" s="66">
        <f>Бюджет!Z341</f>
        <v>0</v>
      </c>
      <c r="AA127" s="66">
        <f>Бюджет!AA341</f>
        <v>0</v>
      </c>
      <c r="AB127" s="66">
        <f>Бюджет!AB341</f>
        <v>0</v>
      </c>
      <c r="AC127" s="66">
        <f>Бюджет!AC341</f>
        <v>0</v>
      </c>
      <c r="AD127" s="66">
        <f>Бюджет!AD341</f>
        <v>0</v>
      </c>
      <c r="AE127" s="66">
        <f>Бюджет!AE341</f>
        <v>0</v>
      </c>
      <c r="AF127" s="66">
        <f>Бюджет!AF341</f>
        <v>0</v>
      </c>
      <c r="AG127" s="66">
        <f>Бюджет!AG341</f>
        <v>0</v>
      </c>
      <c r="AH127" s="66">
        <f>Бюджет!AH341</f>
        <v>0</v>
      </c>
      <c r="AI127" s="66">
        <f>Бюджет!AI341</f>
        <v>0</v>
      </c>
      <c r="AJ127" s="66">
        <f t="shared" si="16"/>
        <v>39.5</v>
      </c>
      <c r="AK127" s="74"/>
    </row>
    <row r="128" spans="1:37" s="109" customFormat="1" ht="30" x14ac:dyDescent="0.2">
      <c r="A128" s="60" t="str">
        <f>Бюджет!A346</f>
        <v>Б1.О.13.01</v>
      </c>
      <c r="B128" s="60" t="str">
        <f>Бюджет!B346</f>
        <v>Механика и молекулярная физика  (поток НЭ, ИБ, ИСТ)</v>
      </c>
      <c r="C128" s="67" t="str">
        <f>Бюджет!C346</f>
        <v>1\2</v>
      </c>
      <c r="D128" s="67">
        <f>Бюджет!D346</f>
        <v>25</v>
      </c>
      <c r="E128" s="67">
        <f>Бюджет!E346</f>
        <v>1</v>
      </c>
      <c r="F128" s="66">
        <f>Бюджет!F346</f>
        <v>60</v>
      </c>
      <c r="G128" s="66">
        <f>Бюджет!G346</f>
        <v>0</v>
      </c>
      <c r="H128" s="66">
        <f>Бюджет!H346</f>
        <v>60</v>
      </c>
      <c r="I128" s="66">
        <f>Бюджет!I346</f>
        <v>60</v>
      </c>
      <c r="J128" s="66">
        <f>Бюджет!J346</f>
        <v>40</v>
      </c>
      <c r="K128" s="66">
        <f>Бюджет!K346</f>
        <v>0</v>
      </c>
      <c r="L128" s="66">
        <f>Бюджет!L346</f>
        <v>0</v>
      </c>
      <c r="M128" s="66">
        <f>Бюджет!M346</f>
        <v>10</v>
      </c>
      <c r="N128" s="66">
        <f>Бюджет!N346</f>
        <v>0</v>
      </c>
      <c r="O128" s="66">
        <f>Бюджет!O346</f>
        <v>0</v>
      </c>
      <c r="P128" s="66">
        <f>Бюджет!P346</f>
        <v>0</v>
      </c>
      <c r="Q128" s="66">
        <f>Бюджет!Q346</f>
        <v>0</v>
      </c>
      <c r="R128" s="66">
        <f>Бюджет!R346</f>
        <v>0</v>
      </c>
      <c r="S128" s="66">
        <f>Бюджет!S346</f>
        <v>0</v>
      </c>
      <c r="T128" s="66">
        <f>Бюджет!T346</f>
        <v>0</v>
      </c>
      <c r="U128" s="66">
        <f>Бюджет!U346</f>
        <v>0</v>
      </c>
      <c r="V128" s="66">
        <f>Бюджет!V346</f>
        <v>0</v>
      </c>
      <c r="W128" s="66">
        <f>Бюджет!W346</f>
        <v>0</v>
      </c>
      <c r="X128" s="66">
        <f>Бюджет!X346</f>
        <v>0</v>
      </c>
      <c r="Y128" s="66">
        <f>Бюджет!Y346</f>
        <v>0</v>
      </c>
      <c r="Z128" s="66">
        <f>Бюджет!Z346</f>
        <v>0</v>
      </c>
      <c r="AA128" s="66">
        <f>Бюджет!AA346</f>
        <v>0</v>
      </c>
      <c r="AB128" s="66">
        <f>Бюджет!AB346</f>
        <v>0</v>
      </c>
      <c r="AC128" s="66">
        <f>Бюджет!AC346</f>
        <v>0</v>
      </c>
      <c r="AD128" s="66">
        <f>Бюджет!AD346</f>
        <v>0</v>
      </c>
      <c r="AE128" s="66">
        <f>Бюджет!AE346</f>
        <v>0</v>
      </c>
      <c r="AF128" s="66">
        <f>Бюджет!AF346</f>
        <v>0</v>
      </c>
      <c r="AG128" s="66">
        <f>Бюджет!AG346</f>
        <v>0</v>
      </c>
      <c r="AH128" s="66">
        <f>Бюджет!AH346</f>
        <v>0</v>
      </c>
      <c r="AI128" s="66">
        <f>Бюджет!AI346</f>
        <v>0</v>
      </c>
      <c r="AJ128" s="66">
        <f t="shared" si="16"/>
        <v>110</v>
      </c>
      <c r="AK128" s="74"/>
    </row>
    <row r="129" spans="1:37" s="109" customFormat="1" ht="30" x14ac:dyDescent="0.2">
      <c r="A129" s="60" t="str">
        <f>Бюджет!A352</f>
        <v>Б1.О.13.02</v>
      </c>
      <c r="B129" s="60" t="str">
        <f>Бюджет!B352</f>
        <v>Электричество, магнетизм и волновая оптика (поток НЭ, ИБ, ИСТ)</v>
      </c>
      <c r="C129" s="67" t="str">
        <f>Бюджет!C352</f>
        <v>2\3</v>
      </c>
      <c r="D129" s="67">
        <f>Бюджет!D352</f>
        <v>25</v>
      </c>
      <c r="E129" s="67">
        <f>Бюджет!E352</f>
        <v>1</v>
      </c>
      <c r="F129" s="66">
        <f>Бюджет!F352</f>
        <v>50</v>
      </c>
      <c r="G129" s="66">
        <f>Бюджет!G352</f>
        <v>0</v>
      </c>
      <c r="H129" s="66">
        <f>Бюджет!H352</f>
        <v>50</v>
      </c>
      <c r="I129" s="66">
        <f>Бюджет!I352</f>
        <v>50</v>
      </c>
      <c r="J129" s="66">
        <f>Бюджет!J352</f>
        <v>32</v>
      </c>
      <c r="K129" s="66">
        <f>Бюджет!K352</f>
        <v>0</v>
      </c>
      <c r="L129" s="66">
        <f>Бюджет!L352</f>
        <v>0</v>
      </c>
      <c r="M129" s="66">
        <f>Бюджет!M352</f>
        <v>10</v>
      </c>
      <c r="N129" s="66">
        <f>Бюджет!N352</f>
        <v>0</v>
      </c>
      <c r="O129" s="66">
        <f>Бюджет!O352</f>
        <v>0</v>
      </c>
      <c r="P129" s="66">
        <f>Бюджет!P352</f>
        <v>0</v>
      </c>
      <c r="Q129" s="66">
        <f>Бюджет!Q352</f>
        <v>0</v>
      </c>
      <c r="R129" s="66">
        <f>Бюджет!R352</f>
        <v>0</v>
      </c>
      <c r="S129" s="66">
        <f>Бюджет!S352</f>
        <v>0</v>
      </c>
      <c r="T129" s="66">
        <f>Бюджет!T352</f>
        <v>0</v>
      </c>
      <c r="U129" s="66">
        <f>Бюджет!U352</f>
        <v>0</v>
      </c>
      <c r="V129" s="66">
        <f>Бюджет!V352</f>
        <v>0</v>
      </c>
      <c r="W129" s="66">
        <f>Бюджет!W352</f>
        <v>0</v>
      </c>
      <c r="X129" s="66">
        <f>Бюджет!X352</f>
        <v>0</v>
      </c>
      <c r="Y129" s="66">
        <f>Бюджет!Y352</f>
        <v>0</v>
      </c>
      <c r="Z129" s="66">
        <f>Бюджет!Z352</f>
        <v>0</v>
      </c>
      <c r="AA129" s="66">
        <f>Бюджет!AA352</f>
        <v>0</v>
      </c>
      <c r="AB129" s="66">
        <f>Бюджет!AB352</f>
        <v>0</v>
      </c>
      <c r="AC129" s="66">
        <f>Бюджет!AC352</f>
        <v>0</v>
      </c>
      <c r="AD129" s="66">
        <f>Бюджет!AD352</f>
        <v>0</v>
      </c>
      <c r="AE129" s="66">
        <f>Бюджет!AE352</f>
        <v>0</v>
      </c>
      <c r="AF129" s="66">
        <f>Бюджет!AF352</f>
        <v>0</v>
      </c>
      <c r="AG129" s="66">
        <f>Бюджет!AG352</f>
        <v>0</v>
      </c>
      <c r="AH129" s="66">
        <f>Бюджет!AH352</f>
        <v>0</v>
      </c>
      <c r="AI129" s="66">
        <f>Бюджет!AI352</f>
        <v>2</v>
      </c>
      <c r="AJ129" s="66">
        <f t="shared" si="16"/>
        <v>94</v>
      </c>
      <c r="AK129" s="74"/>
    </row>
    <row r="130" spans="1:37" s="109" customFormat="1" ht="30" x14ac:dyDescent="0.2">
      <c r="A130" s="60" t="str">
        <f>Бюджет!A353</f>
        <v>Б1.О.13.03</v>
      </c>
      <c r="B130" s="60" t="str">
        <f>Бюджет!B353</f>
        <v>Квантовая отптика и атомная физика (поток НЭ, ИБ, ИСТ)</v>
      </c>
      <c r="C130" s="67" t="str">
        <f>Бюджет!C353</f>
        <v>2\4</v>
      </c>
      <c r="D130" s="67">
        <f>Бюджет!D353</f>
        <v>25</v>
      </c>
      <c r="E130" s="67">
        <f>Бюджет!E353</f>
        <v>1</v>
      </c>
      <c r="F130" s="66">
        <f>Бюджет!F353</f>
        <v>60</v>
      </c>
      <c r="G130" s="66">
        <f>Бюджет!G353</f>
        <v>0</v>
      </c>
      <c r="H130" s="66">
        <f>Бюджет!H353</f>
        <v>60</v>
      </c>
      <c r="I130" s="66">
        <f>Бюджет!I353</f>
        <v>60</v>
      </c>
      <c r="J130" s="66">
        <f>Бюджет!J353</f>
        <v>40</v>
      </c>
      <c r="K130" s="66">
        <f>Бюджет!K353</f>
        <v>0</v>
      </c>
      <c r="L130" s="66">
        <f>Бюджет!L353</f>
        <v>0</v>
      </c>
      <c r="M130" s="66">
        <f>Бюджет!M353</f>
        <v>10</v>
      </c>
      <c r="N130" s="66">
        <f>Бюджет!N353</f>
        <v>0</v>
      </c>
      <c r="O130" s="66">
        <f>Бюджет!O353</f>
        <v>0</v>
      </c>
      <c r="P130" s="66">
        <f>Бюджет!P353</f>
        <v>0</v>
      </c>
      <c r="Q130" s="66">
        <f>Бюджет!Q353</f>
        <v>0</v>
      </c>
      <c r="R130" s="66">
        <f>Бюджет!R353</f>
        <v>0</v>
      </c>
      <c r="S130" s="66">
        <f>Бюджет!S353</f>
        <v>0</v>
      </c>
      <c r="T130" s="66">
        <f>Бюджет!T353</f>
        <v>0</v>
      </c>
      <c r="U130" s="66">
        <f>Бюджет!U353</f>
        <v>0</v>
      </c>
      <c r="V130" s="66">
        <f>Бюджет!V353</f>
        <v>0</v>
      </c>
      <c r="W130" s="66">
        <f>Бюджет!W353</f>
        <v>0</v>
      </c>
      <c r="X130" s="66">
        <f>Бюджет!X353</f>
        <v>0</v>
      </c>
      <c r="Y130" s="66">
        <f>Бюджет!Y353</f>
        <v>0</v>
      </c>
      <c r="Z130" s="66">
        <f>Бюджет!Z353</f>
        <v>0</v>
      </c>
      <c r="AA130" s="66">
        <f>Бюджет!AA353</f>
        <v>0</v>
      </c>
      <c r="AB130" s="66">
        <f>Бюджет!AB353</f>
        <v>0</v>
      </c>
      <c r="AC130" s="66">
        <f>Бюджет!AC353</f>
        <v>0</v>
      </c>
      <c r="AD130" s="66">
        <f>Бюджет!AD353</f>
        <v>0</v>
      </c>
      <c r="AE130" s="66">
        <f>Бюджет!AE353</f>
        <v>0</v>
      </c>
      <c r="AF130" s="66">
        <f>Бюджет!AF353</f>
        <v>0</v>
      </c>
      <c r="AG130" s="66">
        <f>Бюджет!AG353</f>
        <v>0</v>
      </c>
      <c r="AH130" s="66">
        <f>Бюджет!AH353</f>
        <v>0</v>
      </c>
      <c r="AI130" s="66">
        <f>Бюджет!AI353</f>
        <v>8</v>
      </c>
      <c r="AJ130" s="66">
        <f t="shared" si="16"/>
        <v>118</v>
      </c>
      <c r="AK130" s="74"/>
    </row>
    <row r="131" spans="1:37" s="109" customFormat="1" ht="15.75" x14ac:dyDescent="0.2">
      <c r="A131" s="74"/>
      <c r="B131" s="94" t="s">
        <v>490</v>
      </c>
      <c r="C131" s="91"/>
      <c r="D131" s="91"/>
      <c r="E131" s="91"/>
      <c r="F131" s="88">
        <f>SUM(F127:F130)</f>
        <v>186</v>
      </c>
      <c r="G131" s="88">
        <f t="shared" ref="G131:AI131" si="17">SUM(G127:G130)</f>
        <v>0</v>
      </c>
      <c r="H131" s="88">
        <f t="shared" si="17"/>
        <v>170</v>
      </c>
      <c r="I131" s="88">
        <f t="shared" si="17"/>
        <v>170</v>
      </c>
      <c r="J131" s="88">
        <f t="shared" si="17"/>
        <v>144</v>
      </c>
      <c r="K131" s="88">
        <f t="shared" si="17"/>
        <v>7.5</v>
      </c>
      <c r="L131" s="88">
        <f t="shared" si="17"/>
        <v>0</v>
      </c>
      <c r="M131" s="88">
        <f t="shared" si="17"/>
        <v>30</v>
      </c>
      <c r="N131" s="88">
        <f t="shared" si="17"/>
        <v>0</v>
      </c>
      <c r="O131" s="88">
        <f t="shared" si="17"/>
        <v>0</v>
      </c>
      <c r="P131" s="88">
        <f t="shared" si="17"/>
        <v>0</v>
      </c>
      <c r="Q131" s="88">
        <f t="shared" si="17"/>
        <v>0</v>
      </c>
      <c r="R131" s="88">
        <f t="shared" si="17"/>
        <v>0</v>
      </c>
      <c r="S131" s="88">
        <f t="shared" si="17"/>
        <v>0</v>
      </c>
      <c r="T131" s="88">
        <f t="shared" si="17"/>
        <v>0</v>
      </c>
      <c r="U131" s="88">
        <f t="shared" si="17"/>
        <v>0</v>
      </c>
      <c r="V131" s="88">
        <f t="shared" si="17"/>
        <v>0</v>
      </c>
      <c r="W131" s="88">
        <f t="shared" si="17"/>
        <v>0</v>
      </c>
      <c r="X131" s="88">
        <f t="shared" si="17"/>
        <v>0</v>
      </c>
      <c r="Y131" s="88">
        <f t="shared" si="17"/>
        <v>0</v>
      </c>
      <c r="Z131" s="88">
        <f t="shared" si="17"/>
        <v>0</v>
      </c>
      <c r="AA131" s="88">
        <f t="shared" si="17"/>
        <v>0</v>
      </c>
      <c r="AB131" s="88">
        <f t="shared" si="17"/>
        <v>0</v>
      </c>
      <c r="AC131" s="88">
        <f t="shared" si="17"/>
        <v>0</v>
      </c>
      <c r="AD131" s="88">
        <f t="shared" si="17"/>
        <v>0</v>
      </c>
      <c r="AE131" s="88">
        <f t="shared" si="17"/>
        <v>0</v>
      </c>
      <c r="AF131" s="88">
        <f t="shared" si="17"/>
        <v>0</v>
      </c>
      <c r="AG131" s="88">
        <f t="shared" si="17"/>
        <v>0</v>
      </c>
      <c r="AH131" s="88">
        <f t="shared" si="17"/>
        <v>0</v>
      </c>
      <c r="AI131" s="88">
        <f t="shared" si="17"/>
        <v>10</v>
      </c>
      <c r="AJ131" s="88">
        <f>SUM(AJ127:AJ130)</f>
        <v>361.5</v>
      </c>
      <c r="AK131" s="74"/>
    </row>
    <row r="132" spans="1:37" s="109" customFormat="1" ht="15.75" x14ac:dyDescent="0.2">
      <c r="A132" s="74"/>
      <c r="B132" s="120"/>
      <c r="C132" s="275"/>
      <c r="D132" s="275"/>
      <c r="E132" s="275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4"/>
    </row>
    <row r="133" spans="1:37" s="109" customFormat="1" ht="15.75" x14ac:dyDescent="0.2">
      <c r="A133" s="74"/>
      <c r="B133" s="120"/>
      <c r="C133" s="275"/>
      <c r="D133" s="275"/>
      <c r="E133" s="275"/>
      <c r="F133" s="73"/>
      <c r="G133" s="73"/>
      <c r="H133" s="73"/>
      <c r="I133" s="73"/>
      <c r="J133" s="73"/>
      <c r="K133" s="73"/>
      <c r="L133" s="395" t="str">
        <f>Бюджет!L363</f>
        <v>03.04.03 Радиофизика</v>
      </c>
      <c r="M133" s="396"/>
      <c r="N133" s="396"/>
      <c r="O133" s="396"/>
      <c r="P133" s="396"/>
      <c r="Q133" s="396"/>
      <c r="R133" s="396"/>
      <c r="S133" s="396"/>
      <c r="T133" s="396"/>
      <c r="U133" s="396"/>
      <c r="V133" s="396"/>
      <c r="W133" s="396"/>
      <c r="X133" s="396"/>
      <c r="Y133" s="396"/>
      <c r="Z133" s="396"/>
      <c r="AA133" s="397"/>
      <c r="AB133" s="73"/>
      <c r="AC133" s="73"/>
      <c r="AD133" s="73"/>
      <c r="AE133" s="73"/>
      <c r="AF133" s="73"/>
      <c r="AG133" s="73"/>
      <c r="AH133" s="73"/>
      <c r="AI133" s="73"/>
      <c r="AJ133" s="66">
        <f t="shared" ref="AJ133:AJ138" si="18">SUM(G133,I133:AI133)</f>
        <v>0</v>
      </c>
      <c r="AK133" s="74"/>
    </row>
    <row r="134" spans="1:37" s="109" customFormat="1" ht="15.75" x14ac:dyDescent="0.2">
      <c r="A134" s="74"/>
      <c r="B134" s="120"/>
      <c r="C134" s="275"/>
      <c r="D134" s="275"/>
      <c r="E134" s="275"/>
      <c r="F134" s="73"/>
      <c r="G134" s="73"/>
      <c r="H134" s="73"/>
      <c r="I134" s="73"/>
      <c r="J134" s="73"/>
      <c r="K134" s="398" t="str">
        <f>Бюджет!K364</f>
        <v>профиль "Информационные процессы и системы"</v>
      </c>
      <c r="L134" s="399"/>
      <c r="M134" s="399"/>
      <c r="N134" s="399"/>
      <c r="O134" s="399"/>
      <c r="P134" s="399"/>
      <c r="Q134" s="399"/>
      <c r="R134" s="399"/>
      <c r="S134" s="399"/>
      <c r="T134" s="399"/>
      <c r="U134" s="399"/>
      <c r="V134" s="399"/>
      <c r="W134" s="399"/>
      <c r="X134" s="399"/>
      <c r="Y134" s="399"/>
      <c r="Z134" s="399"/>
      <c r="AA134" s="399"/>
      <c r="AB134" s="400"/>
      <c r="AC134" s="73"/>
      <c r="AD134" s="73"/>
      <c r="AE134" s="73"/>
      <c r="AF134" s="73"/>
      <c r="AG134" s="73"/>
      <c r="AH134" s="73"/>
      <c r="AI134" s="73"/>
      <c r="AJ134" s="66">
        <f t="shared" si="18"/>
        <v>0</v>
      </c>
      <c r="AK134" s="74"/>
    </row>
    <row r="135" spans="1:37" s="109" customFormat="1" ht="45" x14ac:dyDescent="0.2">
      <c r="A135" s="90" t="str">
        <f>Бюджет!A365</f>
        <v>Б1.О.01</v>
      </c>
      <c r="B135" s="60" t="str">
        <f>Бюджет!B365</f>
        <v>Управление исследовательской и проектной деятельностью (поток РФ, ФИЗ, НЭ маг)</v>
      </c>
      <c r="C135" s="74" t="str">
        <f>Бюджет!C365</f>
        <v>1\2</v>
      </c>
      <c r="D135" s="74">
        <f>Бюджет!D365</f>
        <v>5</v>
      </c>
      <c r="E135" s="74">
        <f>Бюджет!E365</f>
        <v>1</v>
      </c>
      <c r="F135" s="70">
        <f>Бюджет!F365</f>
        <v>20</v>
      </c>
      <c r="G135" s="70">
        <f>Бюджет!G365</f>
        <v>20</v>
      </c>
      <c r="H135" s="70">
        <f>Бюджет!H365</f>
        <v>20</v>
      </c>
      <c r="I135" s="70">
        <f>Бюджет!I365</f>
        <v>20</v>
      </c>
      <c r="J135" s="70">
        <f>Бюджет!J365</f>
        <v>0</v>
      </c>
      <c r="K135" s="70">
        <f>Бюджет!K365</f>
        <v>1.5</v>
      </c>
      <c r="L135" s="70">
        <f>Бюджет!L365</f>
        <v>0</v>
      </c>
      <c r="M135" s="70">
        <f>Бюджет!M365</f>
        <v>0</v>
      </c>
      <c r="N135" s="70">
        <f>Бюджет!N365</f>
        <v>0</v>
      </c>
      <c r="O135" s="70">
        <f>Бюджет!O365</f>
        <v>0</v>
      </c>
      <c r="P135" s="70">
        <f>Бюджет!P365</f>
        <v>0</v>
      </c>
      <c r="Q135" s="70">
        <f>Бюджет!Q365</f>
        <v>1</v>
      </c>
      <c r="R135" s="70">
        <f>Бюджет!R365</f>
        <v>0</v>
      </c>
      <c r="S135" s="70">
        <f>Бюджет!S365</f>
        <v>0</v>
      </c>
      <c r="T135" s="70">
        <f>Бюджет!T365</f>
        <v>0</v>
      </c>
      <c r="U135" s="70">
        <f>Бюджет!U365</f>
        <v>0</v>
      </c>
      <c r="V135" s="70">
        <f>Бюджет!V365</f>
        <v>0</v>
      </c>
      <c r="W135" s="70">
        <f>Бюджет!W365</f>
        <v>0</v>
      </c>
      <c r="X135" s="70">
        <f>Бюджет!X365</f>
        <v>0</v>
      </c>
      <c r="Y135" s="70">
        <f>Бюджет!Y365</f>
        <v>0</v>
      </c>
      <c r="Z135" s="70">
        <f>Бюджет!Z365</f>
        <v>0</v>
      </c>
      <c r="AA135" s="70">
        <f>Бюджет!AA365</f>
        <v>0</v>
      </c>
      <c r="AB135" s="70">
        <f>Бюджет!AB365</f>
        <v>0</v>
      </c>
      <c r="AC135" s="70">
        <f>Бюджет!AC365</f>
        <v>0</v>
      </c>
      <c r="AD135" s="70">
        <f>Бюджет!AD365</f>
        <v>0</v>
      </c>
      <c r="AE135" s="70">
        <f>Бюджет!AE365</f>
        <v>0</v>
      </c>
      <c r="AF135" s="70">
        <f>Бюджет!AF365</f>
        <v>0</v>
      </c>
      <c r="AG135" s="70">
        <f>Бюджет!AG365</f>
        <v>0</v>
      </c>
      <c r="AH135" s="70">
        <f>Бюджет!AH365</f>
        <v>0</v>
      </c>
      <c r="AI135" s="70">
        <f>Бюджет!AI365</f>
        <v>0</v>
      </c>
      <c r="AJ135" s="66">
        <f t="shared" si="18"/>
        <v>42.5</v>
      </c>
      <c r="AK135" s="74"/>
    </row>
    <row r="136" spans="1:37" s="109" customFormat="1" ht="30" x14ac:dyDescent="0.2">
      <c r="A136" s="90" t="str">
        <f>Бюджет!A381</f>
        <v>Б2.О.02(Н)</v>
      </c>
      <c r="B136" s="60" t="str">
        <f>Бюджет!B381</f>
        <v>Производственная практика (Научно-исследовательская работа)</v>
      </c>
      <c r="C136" s="74" t="str">
        <f>Бюджет!C381</f>
        <v>2\3</v>
      </c>
      <c r="D136" s="74">
        <v>1</v>
      </c>
      <c r="E136" s="74"/>
      <c r="F136" s="70">
        <f>Бюджет!F381</f>
        <v>0</v>
      </c>
      <c r="G136" s="70">
        <f>Бюджет!G381</f>
        <v>0</v>
      </c>
      <c r="H136" s="70">
        <f>Бюджет!H381</f>
        <v>0</v>
      </c>
      <c r="I136" s="70">
        <f>Бюджет!I381</f>
        <v>0</v>
      </c>
      <c r="J136" s="70">
        <f>Бюджет!J381</f>
        <v>0</v>
      </c>
      <c r="K136" s="70">
        <f>Бюджет!K381</f>
        <v>0</v>
      </c>
      <c r="L136" s="70">
        <f>Бюджет!L381</f>
        <v>0</v>
      </c>
      <c r="M136" s="70">
        <f>Бюджет!M381</f>
        <v>0</v>
      </c>
      <c r="N136" s="70">
        <f>Бюджет!N381</f>
        <v>0</v>
      </c>
      <c r="O136" s="70">
        <f>Бюджет!O381</f>
        <v>0</v>
      </c>
      <c r="P136" s="70">
        <f>Бюджет!P381</f>
        <v>0</v>
      </c>
      <c r="Q136" s="70">
        <f>Бюджет!Q381</f>
        <v>0</v>
      </c>
      <c r="R136" s="70">
        <f>Бюджет!R381</f>
        <v>0</v>
      </c>
      <c r="S136" s="70">
        <f>Бюджет!S381</f>
        <v>0</v>
      </c>
      <c r="T136" s="70">
        <f>Бюджет!T381/5</f>
        <v>6</v>
      </c>
      <c r="U136" s="70">
        <f>Бюджет!U381</f>
        <v>0</v>
      </c>
      <c r="V136" s="70">
        <f>Бюджет!V381</f>
        <v>0</v>
      </c>
      <c r="W136" s="70">
        <f>Бюджет!W381</f>
        <v>0</v>
      </c>
      <c r="X136" s="70">
        <f>Бюджет!X381</f>
        <v>0</v>
      </c>
      <c r="Y136" s="70">
        <f>Бюджет!Y381</f>
        <v>0</v>
      </c>
      <c r="Z136" s="70">
        <f>Бюджет!Z381</f>
        <v>0</v>
      </c>
      <c r="AA136" s="70">
        <f>Бюджет!AA381</f>
        <v>0</v>
      </c>
      <c r="AB136" s="70">
        <f>Бюджет!AB381</f>
        <v>0</v>
      </c>
      <c r="AC136" s="70">
        <f>Бюджет!AC381</f>
        <v>0</v>
      </c>
      <c r="AD136" s="70">
        <f>Бюджет!AD381</f>
        <v>0</v>
      </c>
      <c r="AE136" s="70">
        <f>Бюджет!AE381</f>
        <v>0</v>
      </c>
      <c r="AF136" s="70">
        <f>Бюджет!AF381</f>
        <v>0</v>
      </c>
      <c r="AG136" s="70">
        <f>Бюджет!AG381</f>
        <v>0</v>
      </c>
      <c r="AH136" s="70">
        <f>Бюджет!AH381</f>
        <v>0</v>
      </c>
      <c r="AI136" s="70">
        <f>Бюджет!AI381</f>
        <v>0</v>
      </c>
      <c r="AJ136" s="66">
        <f t="shared" si="18"/>
        <v>6</v>
      </c>
      <c r="AK136" s="74" t="s">
        <v>599</v>
      </c>
    </row>
    <row r="137" spans="1:37" s="109" customFormat="1" ht="15" x14ac:dyDescent="0.2">
      <c r="A137" s="90" t="str">
        <f>Бюджет!A382</f>
        <v>Б2.О.01(Пд)</v>
      </c>
      <c r="B137" s="60" t="str">
        <f>Бюджет!B382</f>
        <v>Преддипломная практика</v>
      </c>
      <c r="C137" s="74" t="str">
        <f>Бюджет!C382</f>
        <v>2\4</v>
      </c>
      <c r="D137" s="74">
        <v>1</v>
      </c>
      <c r="E137" s="74"/>
      <c r="F137" s="70">
        <f>Бюджет!F382</f>
        <v>0</v>
      </c>
      <c r="G137" s="70">
        <f>Бюджет!G382</f>
        <v>0</v>
      </c>
      <c r="H137" s="70">
        <f>Бюджет!H382</f>
        <v>0</v>
      </c>
      <c r="I137" s="70">
        <f>Бюджет!I382</f>
        <v>0</v>
      </c>
      <c r="J137" s="70">
        <f>Бюджет!J382</f>
        <v>0</v>
      </c>
      <c r="K137" s="70">
        <f>Бюджет!K382</f>
        <v>0</v>
      </c>
      <c r="L137" s="70">
        <f>Бюджет!L382</f>
        <v>0</v>
      </c>
      <c r="M137" s="70">
        <f>Бюджет!M382</f>
        <v>0</v>
      </c>
      <c r="N137" s="70">
        <f>Бюджет!N382</f>
        <v>0</v>
      </c>
      <c r="O137" s="70">
        <f>Бюджет!O382</f>
        <v>0</v>
      </c>
      <c r="P137" s="70">
        <f>Бюджет!P382</f>
        <v>0</v>
      </c>
      <c r="Q137" s="70">
        <f>Бюджет!Q382</f>
        <v>0</v>
      </c>
      <c r="R137" s="70">
        <f>Бюджет!R382</f>
        <v>0</v>
      </c>
      <c r="S137" s="70">
        <f>Бюджет!S382</f>
        <v>0</v>
      </c>
      <c r="T137" s="70">
        <f>Бюджет!T382/5</f>
        <v>17.333333333333332</v>
      </c>
      <c r="U137" s="70">
        <f>Бюджет!U382</f>
        <v>0</v>
      </c>
      <c r="V137" s="70">
        <f>Бюджет!V382</f>
        <v>0</v>
      </c>
      <c r="W137" s="70">
        <f>Бюджет!W382</f>
        <v>0</v>
      </c>
      <c r="X137" s="70">
        <f>Бюджет!X382</f>
        <v>0</v>
      </c>
      <c r="Y137" s="70">
        <f>Бюджет!Y382</f>
        <v>0</v>
      </c>
      <c r="Z137" s="70">
        <f>Бюджет!Z382</f>
        <v>0</v>
      </c>
      <c r="AA137" s="70">
        <f>Бюджет!AA382</f>
        <v>0</v>
      </c>
      <c r="AB137" s="70">
        <f>Бюджет!AB382</f>
        <v>0</v>
      </c>
      <c r="AC137" s="70">
        <f>Бюджет!AC382</f>
        <v>0</v>
      </c>
      <c r="AD137" s="70">
        <f>Бюджет!AD382</f>
        <v>0</v>
      </c>
      <c r="AE137" s="70">
        <f>Бюджет!AE382</f>
        <v>0</v>
      </c>
      <c r="AF137" s="70">
        <f>Бюджет!AF382</f>
        <v>0</v>
      </c>
      <c r="AG137" s="70">
        <f>Бюджет!AG382</f>
        <v>0</v>
      </c>
      <c r="AH137" s="70">
        <f>Бюджет!AH382</f>
        <v>0</v>
      </c>
      <c r="AI137" s="70">
        <f>Бюджет!AI382</f>
        <v>0</v>
      </c>
      <c r="AJ137" s="66">
        <f t="shared" si="18"/>
        <v>17.333333333333332</v>
      </c>
      <c r="AK137" s="74" t="s">
        <v>599</v>
      </c>
    </row>
    <row r="138" spans="1:37" s="109" customFormat="1" ht="15" x14ac:dyDescent="0.2">
      <c r="A138" s="90">
        <f>Бюджет!A384</f>
        <v>0</v>
      </c>
      <c r="B138" s="60" t="str">
        <f>Бюджет!B384</f>
        <v>Подготовка и рецензирование ВКР</v>
      </c>
      <c r="C138" s="74" t="str">
        <f>Бюджет!C384</f>
        <v>2\4</v>
      </c>
      <c r="D138" s="74">
        <v>1</v>
      </c>
      <c r="E138" s="74"/>
      <c r="F138" s="70">
        <f>Бюджет!F384</f>
        <v>0</v>
      </c>
      <c r="G138" s="70">
        <f>Бюджет!G384</f>
        <v>0</v>
      </c>
      <c r="H138" s="70">
        <f>Бюджет!H384</f>
        <v>0</v>
      </c>
      <c r="I138" s="70">
        <f>Бюджет!I384</f>
        <v>0</v>
      </c>
      <c r="J138" s="70">
        <f>Бюджет!J384</f>
        <v>0</v>
      </c>
      <c r="K138" s="70">
        <f>Бюджет!K384</f>
        <v>0</v>
      </c>
      <c r="L138" s="70">
        <f>Бюджет!L384</f>
        <v>0</v>
      </c>
      <c r="M138" s="70">
        <f>Бюджет!M384</f>
        <v>0</v>
      </c>
      <c r="N138" s="70">
        <f>Бюджет!N384</f>
        <v>0</v>
      </c>
      <c r="O138" s="70">
        <f>Бюджет!O384</f>
        <v>0</v>
      </c>
      <c r="P138" s="70">
        <f>Бюджет!P384</f>
        <v>0</v>
      </c>
      <c r="Q138" s="70">
        <f>Бюджет!Q384</f>
        <v>0</v>
      </c>
      <c r="R138" s="70">
        <f>Бюджет!R384</f>
        <v>0</v>
      </c>
      <c r="S138" s="70">
        <f>Бюджет!S384</f>
        <v>0</v>
      </c>
      <c r="T138" s="70">
        <f>Бюджет!T384</f>
        <v>0</v>
      </c>
      <c r="U138" s="70">
        <f>Бюджет!U384</f>
        <v>0</v>
      </c>
      <c r="V138" s="70">
        <f>Бюджет!V384</f>
        <v>0</v>
      </c>
      <c r="W138" s="70">
        <f>Бюджет!W384/5</f>
        <v>30</v>
      </c>
      <c r="X138" s="70">
        <f>Бюджет!X384/5</f>
        <v>5</v>
      </c>
      <c r="Y138" s="70">
        <f>Бюджет!Y384</f>
        <v>0</v>
      </c>
      <c r="Z138" s="70">
        <f>Бюджет!Z384</f>
        <v>0</v>
      </c>
      <c r="AA138" s="70">
        <f>Бюджет!AA384</f>
        <v>0</v>
      </c>
      <c r="AB138" s="70">
        <f>Бюджет!AB384</f>
        <v>0</v>
      </c>
      <c r="AC138" s="70">
        <f>Бюджет!AC384</f>
        <v>0</v>
      </c>
      <c r="AD138" s="70">
        <f>Бюджет!AD384</f>
        <v>0</v>
      </c>
      <c r="AE138" s="70">
        <f>Бюджет!AE384</f>
        <v>0</v>
      </c>
      <c r="AF138" s="70">
        <f>Бюджет!AF384</f>
        <v>0</v>
      </c>
      <c r="AG138" s="70">
        <f>Бюджет!AG384</f>
        <v>0</v>
      </c>
      <c r="AH138" s="70">
        <f>Бюджет!AH384</f>
        <v>0</v>
      </c>
      <c r="AI138" s="70">
        <f>Бюджет!AI384</f>
        <v>0</v>
      </c>
      <c r="AJ138" s="66">
        <f t="shared" si="18"/>
        <v>35</v>
      </c>
      <c r="AK138" s="74" t="s">
        <v>599</v>
      </c>
    </row>
    <row r="139" spans="1:37" s="109" customFormat="1" ht="15.75" x14ac:dyDescent="0.2">
      <c r="A139" s="74"/>
      <c r="B139" s="94" t="s">
        <v>292</v>
      </c>
      <c r="C139" s="91"/>
      <c r="D139" s="91"/>
      <c r="E139" s="91"/>
      <c r="F139" s="88">
        <f>SUM(F135:F138)</f>
        <v>20</v>
      </c>
      <c r="G139" s="88">
        <f t="shared" ref="G139:AJ139" si="19">SUM(G135:G138)</f>
        <v>20</v>
      </c>
      <c r="H139" s="88">
        <f t="shared" si="19"/>
        <v>20</v>
      </c>
      <c r="I139" s="88">
        <f t="shared" si="19"/>
        <v>20</v>
      </c>
      <c r="J139" s="88">
        <f t="shared" si="19"/>
        <v>0</v>
      </c>
      <c r="K139" s="88">
        <f t="shared" si="19"/>
        <v>1.5</v>
      </c>
      <c r="L139" s="88">
        <f t="shared" si="19"/>
        <v>0</v>
      </c>
      <c r="M139" s="88">
        <f t="shared" si="19"/>
        <v>0</v>
      </c>
      <c r="N139" s="88">
        <f t="shared" si="19"/>
        <v>0</v>
      </c>
      <c r="O139" s="88">
        <f t="shared" si="19"/>
        <v>0</v>
      </c>
      <c r="P139" s="88">
        <f t="shared" si="19"/>
        <v>0</v>
      </c>
      <c r="Q139" s="88">
        <f t="shared" si="19"/>
        <v>1</v>
      </c>
      <c r="R139" s="88">
        <f t="shared" si="19"/>
        <v>0</v>
      </c>
      <c r="S139" s="88">
        <f t="shared" si="19"/>
        <v>0</v>
      </c>
      <c r="T139" s="88">
        <f t="shared" si="19"/>
        <v>23.333333333333332</v>
      </c>
      <c r="U139" s="88">
        <f t="shared" si="19"/>
        <v>0</v>
      </c>
      <c r="V139" s="88">
        <f t="shared" si="19"/>
        <v>0</v>
      </c>
      <c r="W139" s="88">
        <f t="shared" si="19"/>
        <v>30</v>
      </c>
      <c r="X139" s="88">
        <f t="shared" si="19"/>
        <v>5</v>
      </c>
      <c r="Y139" s="88">
        <f t="shared" si="19"/>
        <v>0</v>
      </c>
      <c r="Z139" s="88">
        <f t="shared" si="19"/>
        <v>0</v>
      </c>
      <c r="AA139" s="88">
        <f t="shared" si="19"/>
        <v>0</v>
      </c>
      <c r="AB139" s="88">
        <f t="shared" si="19"/>
        <v>0</v>
      </c>
      <c r="AC139" s="88">
        <f t="shared" si="19"/>
        <v>0</v>
      </c>
      <c r="AD139" s="88">
        <f t="shared" si="19"/>
        <v>0</v>
      </c>
      <c r="AE139" s="88">
        <f t="shared" si="19"/>
        <v>0</v>
      </c>
      <c r="AF139" s="88">
        <f t="shared" si="19"/>
        <v>0</v>
      </c>
      <c r="AG139" s="88">
        <f t="shared" si="19"/>
        <v>0</v>
      </c>
      <c r="AH139" s="88">
        <f t="shared" si="19"/>
        <v>0</v>
      </c>
      <c r="AI139" s="88">
        <f t="shared" si="19"/>
        <v>0</v>
      </c>
      <c r="AJ139" s="88">
        <f t="shared" si="19"/>
        <v>100.83333333333333</v>
      </c>
      <c r="AK139" s="74"/>
    </row>
    <row r="140" spans="1:37" s="109" customFormat="1" ht="15.75" x14ac:dyDescent="0.2">
      <c r="A140" s="74"/>
      <c r="B140" s="120"/>
      <c r="C140" s="275"/>
      <c r="D140" s="275"/>
      <c r="E140" s="275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66"/>
      <c r="AK140" s="74"/>
    </row>
    <row r="141" spans="1:37" s="109" customFormat="1" ht="15.75" x14ac:dyDescent="0.2">
      <c r="A141" s="74"/>
      <c r="B141" s="60"/>
      <c r="C141" s="74"/>
      <c r="D141" s="74"/>
      <c r="E141" s="74"/>
      <c r="F141" s="70"/>
      <c r="G141" s="70"/>
      <c r="H141" s="70"/>
      <c r="I141" s="70"/>
      <c r="J141" s="70"/>
      <c r="K141" s="73"/>
      <c r="L141" s="401" t="str">
        <f>Бюджет!L387</f>
        <v>03.04.02 Физика</v>
      </c>
      <c r="M141" s="401"/>
      <c r="N141" s="401"/>
      <c r="O141" s="401"/>
      <c r="P141" s="401"/>
      <c r="Q141" s="401"/>
      <c r="R141" s="401"/>
      <c r="S141" s="401"/>
      <c r="T141" s="401"/>
      <c r="U141" s="401"/>
      <c r="V141" s="401"/>
      <c r="W141" s="401"/>
      <c r="X141" s="401"/>
      <c r="Y141" s="401"/>
      <c r="Z141" s="401"/>
      <c r="AA141" s="401"/>
      <c r="AB141" s="73"/>
      <c r="AC141" s="70"/>
      <c r="AD141" s="70"/>
      <c r="AE141" s="70"/>
      <c r="AF141" s="70"/>
      <c r="AG141" s="70"/>
      <c r="AH141" s="70"/>
      <c r="AI141" s="70"/>
      <c r="AJ141" s="66">
        <f t="shared" ref="AJ141" si="20">SUM(G141,I141:AI141)</f>
        <v>0</v>
      </c>
      <c r="AK141" s="70"/>
    </row>
    <row r="142" spans="1:37" s="109" customFormat="1" ht="45" x14ac:dyDescent="0.2">
      <c r="A142" s="90" t="str">
        <f>Бюджет!A388</f>
        <v>Б1.О.01</v>
      </c>
      <c r="B142" s="60" t="str">
        <f>Бюджет!B388</f>
        <v>Управление исследовательской и проектной деятельностью (поток РФ, ФИЗ, НЭ маг)</v>
      </c>
      <c r="C142" s="74" t="str">
        <f>Бюджет!C388</f>
        <v>1\2</v>
      </c>
      <c r="D142" s="74">
        <f>Бюджет!D388</f>
        <v>12</v>
      </c>
      <c r="E142" s="74">
        <f>Бюджет!E388</f>
        <v>1</v>
      </c>
      <c r="F142" s="74">
        <f>Бюджет!F388</f>
        <v>20</v>
      </c>
      <c r="G142" s="74">
        <f>Бюджет!G388</f>
        <v>0</v>
      </c>
      <c r="H142" s="74">
        <f>Бюджет!H388</f>
        <v>20</v>
      </c>
      <c r="I142" s="74">
        <f>Бюджет!I388</f>
        <v>0</v>
      </c>
      <c r="J142" s="74">
        <f>Бюджет!J388</f>
        <v>0</v>
      </c>
      <c r="K142" s="74">
        <f>Бюджет!K388</f>
        <v>3.5999999999999996</v>
      </c>
      <c r="L142" s="74">
        <f>Бюджет!L388</f>
        <v>0</v>
      </c>
      <c r="M142" s="74">
        <f>Бюджет!M388</f>
        <v>0</v>
      </c>
      <c r="N142" s="74">
        <f>Бюджет!N388</f>
        <v>0</v>
      </c>
      <c r="O142" s="74">
        <f>Бюджет!O388</f>
        <v>0</v>
      </c>
      <c r="P142" s="74">
        <f>Бюджет!P388</f>
        <v>0</v>
      </c>
      <c r="Q142" s="74">
        <f>Бюджет!Q388</f>
        <v>0</v>
      </c>
      <c r="R142" s="74">
        <f>Бюджет!R388</f>
        <v>0</v>
      </c>
      <c r="S142" s="74">
        <f>Бюджет!S388</f>
        <v>0</v>
      </c>
      <c r="T142" s="74">
        <f>Бюджет!T388</f>
        <v>0</v>
      </c>
      <c r="U142" s="74">
        <f>Бюджет!U388</f>
        <v>0</v>
      </c>
      <c r="V142" s="74">
        <f>Бюджет!V388</f>
        <v>0</v>
      </c>
      <c r="W142" s="74">
        <f>Бюджет!W388</f>
        <v>0</v>
      </c>
      <c r="X142" s="74">
        <f>Бюджет!X388</f>
        <v>0</v>
      </c>
      <c r="Y142" s="74">
        <f>Бюджет!Y388</f>
        <v>0</v>
      </c>
      <c r="Z142" s="74">
        <f>Бюджет!Z388</f>
        <v>0</v>
      </c>
      <c r="AA142" s="74">
        <f>Бюджет!AA388</f>
        <v>0</v>
      </c>
      <c r="AB142" s="74">
        <f>Бюджет!AB388</f>
        <v>0</v>
      </c>
      <c r="AC142" s="74">
        <f>Бюджет!AC388</f>
        <v>0</v>
      </c>
      <c r="AD142" s="74">
        <f>Бюджет!AD388</f>
        <v>0</v>
      </c>
      <c r="AE142" s="74">
        <f>Бюджет!AE388</f>
        <v>0</v>
      </c>
      <c r="AF142" s="74">
        <f>Бюджет!AF388</f>
        <v>0</v>
      </c>
      <c r="AG142" s="74">
        <f>Бюджет!AG388</f>
        <v>0</v>
      </c>
      <c r="AH142" s="74">
        <f>Бюджет!AH388</f>
        <v>0</v>
      </c>
      <c r="AI142" s="74">
        <f>Бюджет!AI388</f>
        <v>0</v>
      </c>
      <c r="AJ142" s="66">
        <f t="shared" ref="AJ142:AJ163" si="21">SUM(G142,I142:AI142)</f>
        <v>3.5999999999999996</v>
      </c>
      <c r="AK142" s="70"/>
    </row>
    <row r="143" spans="1:37" s="109" customFormat="1" ht="15.75" x14ac:dyDescent="0.2">
      <c r="A143" s="90"/>
      <c r="B143" s="60"/>
      <c r="C143" s="74"/>
      <c r="D143" s="74"/>
      <c r="E143" s="74"/>
      <c r="F143" s="70"/>
      <c r="G143" s="70"/>
      <c r="H143" s="70"/>
      <c r="I143" s="70"/>
      <c r="J143" s="70"/>
      <c r="K143" s="386" t="str">
        <f>Бюджет!K390</f>
        <v>профиль "Физика материалов твердотельной электроники и фотоники"</v>
      </c>
      <c r="L143" s="386"/>
      <c r="M143" s="386"/>
      <c r="N143" s="386"/>
      <c r="O143" s="386"/>
      <c r="P143" s="386"/>
      <c r="Q143" s="386"/>
      <c r="R143" s="386"/>
      <c r="S143" s="386"/>
      <c r="T143" s="386"/>
      <c r="U143" s="386"/>
      <c r="V143" s="386"/>
      <c r="W143" s="386"/>
      <c r="X143" s="386"/>
      <c r="Y143" s="386"/>
      <c r="Z143" s="386"/>
      <c r="AA143" s="386"/>
      <c r="AB143" s="386"/>
      <c r="AC143" s="70"/>
      <c r="AD143" s="70"/>
      <c r="AE143" s="70"/>
      <c r="AF143" s="70"/>
      <c r="AG143" s="70"/>
      <c r="AH143" s="70"/>
      <c r="AI143" s="70"/>
      <c r="AJ143" s="66">
        <f t="shared" si="21"/>
        <v>0</v>
      </c>
      <c r="AK143" s="70"/>
    </row>
    <row r="144" spans="1:37" s="109" customFormat="1" ht="30" x14ac:dyDescent="0.2">
      <c r="A144" s="90">
        <f>Бюджет!A391</f>
        <v>0</v>
      </c>
      <c r="B144" s="60" t="str">
        <f>Бюджет!B391</f>
        <v>Руководство программой магистерской подготовки</v>
      </c>
      <c r="C144" s="74">
        <f>Бюджет!C391</f>
        <v>0</v>
      </c>
      <c r="D144" s="74">
        <f>Бюджет!D391</f>
        <v>0</v>
      </c>
      <c r="E144" s="74">
        <f>Бюджет!E391</f>
        <v>0</v>
      </c>
      <c r="F144" s="70">
        <f>Бюджет!F391</f>
        <v>0</v>
      </c>
      <c r="G144" s="70">
        <f>Бюджет!G391</f>
        <v>0</v>
      </c>
      <c r="H144" s="70">
        <f>Бюджет!H391</f>
        <v>0</v>
      </c>
      <c r="I144" s="70">
        <f>Бюджет!I391</f>
        <v>0</v>
      </c>
      <c r="J144" s="70">
        <f>Бюджет!J391</f>
        <v>0</v>
      </c>
      <c r="K144" s="70">
        <f>Бюджет!K391</f>
        <v>0</v>
      </c>
      <c r="L144" s="70">
        <f>Бюджет!L391</f>
        <v>0</v>
      </c>
      <c r="M144" s="70">
        <f>Бюджет!M391</f>
        <v>0</v>
      </c>
      <c r="N144" s="70">
        <f>Бюджет!N391</f>
        <v>0</v>
      </c>
      <c r="O144" s="70">
        <f>Бюджет!O391</f>
        <v>0</v>
      </c>
      <c r="P144" s="70">
        <f>Бюджет!P391</f>
        <v>0</v>
      </c>
      <c r="Q144" s="70">
        <f>Бюджет!Q391</f>
        <v>0</v>
      </c>
      <c r="R144" s="70">
        <f>Бюджет!R391</f>
        <v>0</v>
      </c>
      <c r="S144" s="70">
        <f>Бюджет!S391</f>
        <v>0</v>
      </c>
      <c r="T144" s="70">
        <f>Бюджет!T391</f>
        <v>0</v>
      </c>
      <c r="U144" s="70">
        <f>Бюджет!U391</f>
        <v>0</v>
      </c>
      <c r="V144" s="70">
        <f>Бюджет!V391</f>
        <v>0</v>
      </c>
      <c r="W144" s="70">
        <f>Бюджет!W391</f>
        <v>0</v>
      </c>
      <c r="X144" s="70">
        <f>Бюджет!X391</f>
        <v>0</v>
      </c>
      <c r="Y144" s="70">
        <f>Бюджет!Y391</f>
        <v>0</v>
      </c>
      <c r="Z144" s="70">
        <f>Бюджет!Z391</f>
        <v>0</v>
      </c>
      <c r="AA144" s="70">
        <f>Бюджет!AA391</f>
        <v>0</v>
      </c>
      <c r="AB144" s="70">
        <f>Бюджет!AB391</f>
        <v>0</v>
      </c>
      <c r="AC144" s="70">
        <f>Бюджет!AC391</f>
        <v>0</v>
      </c>
      <c r="AD144" s="70">
        <f>Бюджет!AD391</f>
        <v>0</v>
      </c>
      <c r="AE144" s="70">
        <f>Бюджет!AE391</f>
        <v>30</v>
      </c>
      <c r="AF144" s="70">
        <f>Бюджет!AF391</f>
        <v>0</v>
      </c>
      <c r="AG144" s="70">
        <f>Бюджет!AG391</f>
        <v>0</v>
      </c>
      <c r="AH144" s="70">
        <f>Бюджет!AH391</f>
        <v>0</v>
      </c>
      <c r="AI144" s="70">
        <f>Бюджет!AI391</f>
        <v>0</v>
      </c>
      <c r="AJ144" s="66">
        <f t="shared" si="21"/>
        <v>30</v>
      </c>
      <c r="AK144" s="70"/>
    </row>
    <row r="145" spans="1:37" s="109" customFormat="1" ht="15" x14ac:dyDescent="0.2">
      <c r="A145" s="90" t="str">
        <f>Бюджет!A393</f>
        <v>Б1.В.03</v>
      </c>
      <c r="B145" s="60" t="str">
        <f>Бюджет!B393</f>
        <v>Спинтроника</v>
      </c>
      <c r="C145" s="74" t="str">
        <f>Бюджет!C393</f>
        <v>2\3</v>
      </c>
      <c r="D145" s="74">
        <f>Бюджет!D393</f>
        <v>8</v>
      </c>
      <c r="E145" s="74">
        <f>Бюджет!E393</f>
        <v>1</v>
      </c>
      <c r="F145" s="70">
        <f>Бюджет!F393</f>
        <v>34</v>
      </c>
      <c r="G145" s="70">
        <f>Бюджет!G393</f>
        <v>34</v>
      </c>
      <c r="H145" s="70">
        <f>Бюджет!H393</f>
        <v>34</v>
      </c>
      <c r="I145" s="70">
        <f>Бюджет!I393</f>
        <v>34</v>
      </c>
      <c r="J145" s="70">
        <f>Бюджет!J393</f>
        <v>0</v>
      </c>
      <c r="K145" s="70">
        <f>Бюджет!K393</f>
        <v>2.4</v>
      </c>
      <c r="L145" s="70">
        <f>Бюджет!L393</f>
        <v>0</v>
      </c>
      <c r="M145" s="70">
        <f>Бюджет!M393</f>
        <v>0</v>
      </c>
      <c r="N145" s="70">
        <f>Бюджет!N393</f>
        <v>0</v>
      </c>
      <c r="O145" s="70">
        <f>Бюджет!O393</f>
        <v>0</v>
      </c>
      <c r="P145" s="70">
        <f>Бюджет!P393</f>
        <v>0</v>
      </c>
      <c r="Q145" s="70">
        <f>Бюджет!Q393</f>
        <v>1.7000000000000002</v>
      </c>
      <c r="R145" s="70">
        <f>Бюджет!R393</f>
        <v>0</v>
      </c>
      <c r="S145" s="70">
        <f>Бюджет!S393</f>
        <v>0</v>
      </c>
      <c r="T145" s="70">
        <f>Бюджет!T393</f>
        <v>0</v>
      </c>
      <c r="U145" s="70">
        <f>Бюджет!U393</f>
        <v>0</v>
      </c>
      <c r="V145" s="70">
        <f>Бюджет!V393</f>
        <v>0</v>
      </c>
      <c r="W145" s="70">
        <f>Бюджет!W393</f>
        <v>0</v>
      </c>
      <c r="X145" s="70">
        <f>Бюджет!X393</f>
        <v>0</v>
      </c>
      <c r="Y145" s="70">
        <f>Бюджет!Y393</f>
        <v>0</v>
      </c>
      <c r="Z145" s="70">
        <f>Бюджет!Z393</f>
        <v>0</v>
      </c>
      <c r="AA145" s="70">
        <f>Бюджет!AA393</f>
        <v>0</v>
      </c>
      <c r="AB145" s="70">
        <f>Бюджет!AB393</f>
        <v>0</v>
      </c>
      <c r="AC145" s="70">
        <f>Бюджет!AC393</f>
        <v>0</v>
      </c>
      <c r="AD145" s="70">
        <f>Бюджет!AD393</f>
        <v>0</v>
      </c>
      <c r="AE145" s="70">
        <f>Бюджет!AE393</f>
        <v>0</v>
      </c>
      <c r="AF145" s="70">
        <f>Бюджет!AF393</f>
        <v>0</v>
      </c>
      <c r="AG145" s="70">
        <f>Бюджет!AG393</f>
        <v>0</v>
      </c>
      <c r="AH145" s="70">
        <f>Бюджет!AH393</f>
        <v>0</v>
      </c>
      <c r="AI145" s="70">
        <f>Бюджет!AI393</f>
        <v>18</v>
      </c>
      <c r="AJ145" s="66">
        <f t="shared" si="21"/>
        <v>90.100000000000009</v>
      </c>
      <c r="AK145" s="70"/>
    </row>
    <row r="146" spans="1:37" s="109" customFormat="1" ht="15" x14ac:dyDescent="0.2">
      <c r="A146" s="90" t="str">
        <f>Бюджет!A394</f>
        <v>Б1.В.ДВ.01.02</v>
      </c>
      <c r="B146" s="60" t="str">
        <f>Бюджет!B394</f>
        <v>Физика сцинтилляторов</v>
      </c>
      <c r="C146" s="74" t="str">
        <f>Бюджет!C394</f>
        <v>2\3</v>
      </c>
      <c r="D146" s="74">
        <f>Бюджет!D394</f>
        <v>8</v>
      </c>
      <c r="E146" s="74">
        <f>Бюджет!E394</f>
        <v>1</v>
      </c>
      <c r="F146" s="70">
        <f>Бюджет!F394</f>
        <v>34</v>
      </c>
      <c r="G146" s="70">
        <f>Бюджет!G394</f>
        <v>34</v>
      </c>
      <c r="H146" s="70">
        <f>Бюджет!H394</f>
        <v>34</v>
      </c>
      <c r="I146" s="70">
        <f>Бюджет!I394</f>
        <v>34</v>
      </c>
      <c r="J146" s="70">
        <f>Бюджет!J394</f>
        <v>0</v>
      </c>
      <c r="K146" s="70">
        <f>Бюджет!K394</f>
        <v>0</v>
      </c>
      <c r="L146" s="70">
        <f>Бюджет!L394</f>
        <v>0</v>
      </c>
      <c r="M146" s="70">
        <f>Бюджет!M394</f>
        <v>3.2</v>
      </c>
      <c r="N146" s="70">
        <f>Бюджет!N394</f>
        <v>0</v>
      </c>
      <c r="O146" s="70">
        <f>Бюджет!O394</f>
        <v>0</v>
      </c>
      <c r="P146" s="70">
        <f>Бюджет!P394</f>
        <v>0</v>
      </c>
      <c r="Q146" s="70">
        <f>Бюджет!Q394</f>
        <v>2.7</v>
      </c>
      <c r="R146" s="70">
        <f>Бюджет!R394</f>
        <v>0</v>
      </c>
      <c r="S146" s="70">
        <f>Бюджет!S394</f>
        <v>0</v>
      </c>
      <c r="T146" s="70">
        <f>Бюджет!T394</f>
        <v>0</v>
      </c>
      <c r="U146" s="70">
        <f>Бюджет!U394</f>
        <v>0</v>
      </c>
      <c r="V146" s="70">
        <f>Бюджет!V394</f>
        <v>0</v>
      </c>
      <c r="W146" s="70">
        <f>Бюджет!W394</f>
        <v>0</v>
      </c>
      <c r="X146" s="70">
        <f>Бюджет!X394</f>
        <v>0</v>
      </c>
      <c r="Y146" s="70">
        <f>Бюджет!Y394</f>
        <v>0</v>
      </c>
      <c r="Z146" s="70">
        <f>Бюджет!Z394</f>
        <v>0</v>
      </c>
      <c r="AA146" s="70">
        <f>Бюджет!AA394</f>
        <v>0</v>
      </c>
      <c r="AB146" s="70">
        <f>Бюджет!AB394</f>
        <v>0</v>
      </c>
      <c r="AC146" s="70">
        <f>Бюджет!AC394</f>
        <v>0</v>
      </c>
      <c r="AD146" s="70">
        <f>Бюджет!AD394</f>
        <v>0</v>
      </c>
      <c r="AE146" s="70">
        <f>Бюджет!AE394</f>
        <v>0</v>
      </c>
      <c r="AF146" s="70">
        <f>Бюджет!AF394</f>
        <v>0</v>
      </c>
      <c r="AG146" s="70">
        <f>Бюджет!AG394</f>
        <v>0</v>
      </c>
      <c r="AH146" s="70">
        <f>Бюджет!AH394</f>
        <v>0</v>
      </c>
      <c r="AI146" s="70">
        <f>Бюджет!AI394</f>
        <v>12</v>
      </c>
      <c r="AJ146" s="66">
        <f t="shared" si="21"/>
        <v>85.9</v>
      </c>
      <c r="AK146" s="70"/>
    </row>
    <row r="147" spans="1:37" s="109" customFormat="1" ht="30" x14ac:dyDescent="0.2">
      <c r="A147" s="90" t="str">
        <f>Бюджет!A395</f>
        <v>Б1.В.ДВ.02.01</v>
      </c>
      <c r="B147" s="60" t="str">
        <f>Бюджет!B395</f>
        <v>Взаимодейтсвие излучения с веществом</v>
      </c>
      <c r="C147" s="74" t="str">
        <f>Бюджет!C395</f>
        <v>2\3</v>
      </c>
      <c r="D147" s="74">
        <f>Бюджет!D395</f>
        <v>8</v>
      </c>
      <c r="E147" s="74">
        <f>Бюджет!E395</f>
        <v>1</v>
      </c>
      <c r="F147" s="70">
        <f>Бюджет!F395</f>
        <v>34</v>
      </c>
      <c r="G147" s="70">
        <f>Бюджет!G395</f>
        <v>34</v>
      </c>
      <c r="H147" s="70">
        <f>Бюджет!H395</f>
        <v>34</v>
      </c>
      <c r="I147" s="70">
        <f>Бюджет!I395</f>
        <v>34</v>
      </c>
      <c r="J147" s="70">
        <f>Бюджет!J395</f>
        <v>0</v>
      </c>
      <c r="K147" s="70">
        <f>Бюджет!K395</f>
        <v>0</v>
      </c>
      <c r="L147" s="70">
        <f>Бюджет!L395</f>
        <v>0</v>
      </c>
      <c r="M147" s="70">
        <f>Бюджет!M395</f>
        <v>3.2</v>
      </c>
      <c r="N147" s="70">
        <f>Бюджет!N395</f>
        <v>0</v>
      </c>
      <c r="O147" s="70">
        <f>Бюджет!O395</f>
        <v>0</v>
      </c>
      <c r="P147" s="70">
        <f>Бюджет!P395</f>
        <v>0</v>
      </c>
      <c r="Q147" s="70">
        <f>Бюджет!Q395</f>
        <v>2.7</v>
      </c>
      <c r="R147" s="70">
        <f>Бюджет!R395</f>
        <v>0</v>
      </c>
      <c r="S147" s="70">
        <f>Бюджет!S395</f>
        <v>0</v>
      </c>
      <c r="T147" s="70">
        <f>Бюджет!T395</f>
        <v>0</v>
      </c>
      <c r="U147" s="70">
        <f>Бюджет!U395</f>
        <v>0</v>
      </c>
      <c r="V147" s="70">
        <f>Бюджет!V395</f>
        <v>0</v>
      </c>
      <c r="W147" s="70">
        <f>Бюджет!W395</f>
        <v>0</v>
      </c>
      <c r="X147" s="70">
        <f>Бюджет!X395</f>
        <v>0</v>
      </c>
      <c r="Y147" s="70">
        <f>Бюджет!Y395</f>
        <v>0</v>
      </c>
      <c r="Z147" s="70">
        <f>Бюджет!Z395</f>
        <v>0</v>
      </c>
      <c r="AA147" s="70">
        <f>Бюджет!AA395</f>
        <v>0</v>
      </c>
      <c r="AB147" s="70">
        <f>Бюджет!AB395</f>
        <v>0</v>
      </c>
      <c r="AC147" s="70">
        <f>Бюджет!AC395</f>
        <v>0</v>
      </c>
      <c r="AD147" s="70">
        <f>Бюджет!AD395</f>
        <v>0</v>
      </c>
      <c r="AE147" s="70">
        <f>Бюджет!AE395</f>
        <v>0</v>
      </c>
      <c r="AF147" s="70">
        <f>Бюджет!AF395</f>
        <v>0</v>
      </c>
      <c r="AG147" s="70">
        <f>Бюджет!AG395</f>
        <v>0</v>
      </c>
      <c r="AH147" s="70">
        <f>Бюджет!AH395</f>
        <v>0</v>
      </c>
      <c r="AI147" s="70">
        <f>Бюджет!AI395</f>
        <v>6</v>
      </c>
      <c r="AJ147" s="66">
        <f t="shared" si="21"/>
        <v>79.900000000000006</v>
      </c>
      <c r="AK147" s="70"/>
    </row>
    <row r="148" spans="1:37" s="109" customFormat="1" ht="30" x14ac:dyDescent="0.2">
      <c r="A148" s="90" t="str">
        <f>Бюджет!A396</f>
        <v>Б2.О.02(У)</v>
      </c>
      <c r="B148" s="60" t="str">
        <f>Бюджет!B396</f>
        <v>Учебная практика (Научно-исследовательская работа)</v>
      </c>
      <c r="C148" s="74" t="str">
        <f>Бюджет!C396</f>
        <v>2\3</v>
      </c>
      <c r="D148" s="74">
        <f>Бюджет!D396</f>
        <v>8</v>
      </c>
      <c r="E148" s="74">
        <f>Бюджет!E396</f>
        <v>1</v>
      </c>
      <c r="F148" s="70">
        <f>Бюджет!F396</f>
        <v>0</v>
      </c>
      <c r="G148" s="70">
        <f>Бюджет!G396</f>
        <v>0</v>
      </c>
      <c r="H148" s="70">
        <f>Бюджет!H396</f>
        <v>0</v>
      </c>
      <c r="I148" s="70">
        <f>Бюджет!I396</f>
        <v>0</v>
      </c>
      <c r="J148" s="70">
        <f>Бюджет!J396</f>
        <v>0</v>
      </c>
      <c r="K148" s="70">
        <f>Бюджет!K396</f>
        <v>0</v>
      </c>
      <c r="L148" s="70">
        <f>Бюджет!L396</f>
        <v>0</v>
      </c>
      <c r="M148" s="70">
        <f>Бюджет!M396</f>
        <v>0</v>
      </c>
      <c r="N148" s="70">
        <f>Бюджет!N396</f>
        <v>0</v>
      </c>
      <c r="O148" s="70">
        <f>Бюджет!O396</f>
        <v>0</v>
      </c>
      <c r="P148" s="70">
        <f>Бюджет!P396</f>
        <v>0</v>
      </c>
      <c r="Q148" s="70">
        <f>Бюджет!Q396</f>
        <v>0</v>
      </c>
      <c r="R148" s="70">
        <f>Бюджет!R396</f>
        <v>0</v>
      </c>
      <c r="S148" s="70">
        <f>Бюджет!S396</f>
        <v>48</v>
      </c>
      <c r="T148" s="70">
        <f>Бюджет!T396</f>
        <v>0</v>
      </c>
      <c r="U148" s="70">
        <f>Бюджет!U396</f>
        <v>0</v>
      </c>
      <c r="V148" s="70">
        <f>Бюджет!V396</f>
        <v>0</v>
      </c>
      <c r="W148" s="70">
        <f>Бюджет!W396</f>
        <v>0</v>
      </c>
      <c r="X148" s="70">
        <f>Бюджет!X396</f>
        <v>0</v>
      </c>
      <c r="Y148" s="70">
        <f>Бюджет!Y396</f>
        <v>0</v>
      </c>
      <c r="Z148" s="70">
        <f>Бюджет!Z396</f>
        <v>0</v>
      </c>
      <c r="AA148" s="70">
        <f>Бюджет!AA396</f>
        <v>0</v>
      </c>
      <c r="AB148" s="70">
        <f>Бюджет!AB396</f>
        <v>0</v>
      </c>
      <c r="AC148" s="70">
        <f>Бюджет!AC396</f>
        <v>0</v>
      </c>
      <c r="AD148" s="70">
        <f>Бюджет!AD396</f>
        <v>0</v>
      </c>
      <c r="AE148" s="70">
        <f>Бюджет!AE396</f>
        <v>0</v>
      </c>
      <c r="AF148" s="70">
        <f>Бюджет!AF396</f>
        <v>0</v>
      </c>
      <c r="AG148" s="70">
        <f>Бюджет!AG396</f>
        <v>0</v>
      </c>
      <c r="AH148" s="70">
        <f>Бюджет!AH396</f>
        <v>0</v>
      </c>
      <c r="AI148" s="70">
        <f>Бюджет!AI396</f>
        <v>0</v>
      </c>
      <c r="AJ148" s="66">
        <f t="shared" si="21"/>
        <v>48</v>
      </c>
      <c r="AK148" s="70"/>
    </row>
    <row r="149" spans="1:37" s="109" customFormat="1" ht="30" x14ac:dyDescent="0.2">
      <c r="A149" s="90" t="str">
        <f>Бюджет!A397</f>
        <v>Б1.О.01(Пд)</v>
      </c>
      <c r="B149" s="60" t="str">
        <f>Бюджет!B397</f>
        <v>Производственная практика (Преддипломная практика)</v>
      </c>
      <c r="C149" s="74" t="str">
        <f>Бюджет!C397</f>
        <v>2\4</v>
      </c>
      <c r="D149" s="74">
        <f>Бюджет!D397</f>
        <v>8</v>
      </c>
      <c r="E149" s="74">
        <f>Бюджет!E397</f>
        <v>1</v>
      </c>
      <c r="F149" s="70">
        <f>Бюджет!F397</f>
        <v>0</v>
      </c>
      <c r="G149" s="70">
        <f>Бюджет!G397</f>
        <v>0</v>
      </c>
      <c r="H149" s="70">
        <f>Бюджет!H397</f>
        <v>0</v>
      </c>
      <c r="I149" s="70">
        <f>Бюджет!I397</f>
        <v>0</v>
      </c>
      <c r="J149" s="70">
        <f>Бюджет!J397</f>
        <v>0</v>
      </c>
      <c r="K149" s="70">
        <f>Бюджет!K397</f>
        <v>0</v>
      </c>
      <c r="L149" s="70">
        <f>Бюджет!L397</f>
        <v>0</v>
      </c>
      <c r="M149" s="70">
        <f>Бюджет!M397</f>
        <v>0</v>
      </c>
      <c r="N149" s="70">
        <f>Бюджет!N397</f>
        <v>0</v>
      </c>
      <c r="O149" s="70">
        <f>Бюджет!O397</f>
        <v>0</v>
      </c>
      <c r="P149" s="70">
        <f>Бюджет!P397</f>
        <v>0</v>
      </c>
      <c r="Q149" s="70">
        <f>Бюджет!Q397</f>
        <v>0</v>
      </c>
      <c r="R149" s="70">
        <f>Бюджет!R397</f>
        <v>0</v>
      </c>
      <c r="S149" s="70">
        <f>Бюджет!S397</f>
        <v>0</v>
      </c>
      <c r="T149" s="70">
        <f>Бюджет!T397</f>
        <v>138.66666666666666</v>
      </c>
      <c r="U149" s="70">
        <f>Бюджет!U397</f>
        <v>0</v>
      </c>
      <c r="V149" s="70">
        <f>Бюджет!V397</f>
        <v>0</v>
      </c>
      <c r="W149" s="70">
        <f>Бюджет!W397</f>
        <v>0</v>
      </c>
      <c r="X149" s="70">
        <f>Бюджет!X397</f>
        <v>0</v>
      </c>
      <c r="Y149" s="70">
        <f>Бюджет!Y397</f>
        <v>0</v>
      </c>
      <c r="Z149" s="70">
        <f>Бюджет!Z397</f>
        <v>0</v>
      </c>
      <c r="AA149" s="70">
        <f>Бюджет!AA397</f>
        <v>0</v>
      </c>
      <c r="AB149" s="70">
        <f>Бюджет!AB397</f>
        <v>0</v>
      </c>
      <c r="AC149" s="70">
        <f>Бюджет!AC397</f>
        <v>0</v>
      </c>
      <c r="AD149" s="70">
        <f>Бюджет!AD397</f>
        <v>0</v>
      </c>
      <c r="AE149" s="70">
        <f>Бюджет!AE397</f>
        <v>0</v>
      </c>
      <c r="AF149" s="70">
        <f>Бюджет!AF397</f>
        <v>0</v>
      </c>
      <c r="AG149" s="70">
        <f>Бюджет!AG397</f>
        <v>0</v>
      </c>
      <c r="AH149" s="70">
        <f>Бюджет!AH397</f>
        <v>0</v>
      </c>
      <c r="AI149" s="70">
        <f>Бюджет!AI397</f>
        <v>0</v>
      </c>
      <c r="AJ149" s="66">
        <f t="shared" si="21"/>
        <v>138.66666666666666</v>
      </c>
      <c r="AK149" s="70"/>
    </row>
    <row r="150" spans="1:37" s="109" customFormat="1" ht="15" x14ac:dyDescent="0.2">
      <c r="A150" s="90">
        <f>Бюджет!A398</f>
        <v>0</v>
      </c>
      <c r="B150" s="60" t="str">
        <f>Бюджет!B398</f>
        <v>ГИА (ВКР защита) комиссия 7 человека</v>
      </c>
      <c r="C150" s="74" t="str">
        <f>Бюджет!C398</f>
        <v>2\4</v>
      </c>
      <c r="D150" s="74">
        <f>Бюджет!D398</f>
        <v>8</v>
      </c>
      <c r="E150" s="74">
        <f>Бюджет!E398</f>
        <v>1</v>
      </c>
      <c r="F150" s="70">
        <f>Бюджет!F398</f>
        <v>0</v>
      </c>
      <c r="G150" s="70">
        <f>Бюджет!G398</f>
        <v>0</v>
      </c>
      <c r="H150" s="70">
        <f>Бюджет!H398</f>
        <v>0</v>
      </c>
      <c r="I150" s="70">
        <f>Бюджет!I398</f>
        <v>0</v>
      </c>
      <c r="J150" s="70">
        <f>Бюджет!J398</f>
        <v>0</v>
      </c>
      <c r="K150" s="70">
        <f>Бюджет!K398</f>
        <v>0</v>
      </c>
      <c r="L150" s="70">
        <f>Бюджет!L398</f>
        <v>0</v>
      </c>
      <c r="M150" s="70">
        <f>Бюджет!M398</f>
        <v>0</v>
      </c>
      <c r="N150" s="70">
        <f>Бюджет!N398</f>
        <v>0</v>
      </c>
      <c r="O150" s="70">
        <f>Бюджет!O398</f>
        <v>0</v>
      </c>
      <c r="P150" s="70">
        <f>Бюджет!P398</f>
        <v>0</v>
      </c>
      <c r="Q150" s="70">
        <f>Бюджет!Q398</f>
        <v>0</v>
      </c>
      <c r="R150" s="70">
        <f>Бюджет!R398</f>
        <v>0</v>
      </c>
      <c r="S150" s="70">
        <f>Бюджет!S398</f>
        <v>0</v>
      </c>
      <c r="T150" s="70">
        <f>Бюджет!T398</f>
        <v>0</v>
      </c>
      <c r="U150" s="70">
        <f>Бюджет!U398</f>
        <v>0</v>
      </c>
      <c r="V150" s="70">
        <f>Бюджет!V398</f>
        <v>0</v>
      </c>
      <c r="W150" s="70">
        <f>Бюджет!W398</f>
        <v>0</v>
      </c>
      <c r="X150" s="70">
        <f>Бюджет!X398</f>
        <v>0</v>
      </c>
      <c r="Y150" s="70">
        <f>Бюджет!Y398</f>
        <v>0</v>
      </c>
      <c r="Z150" s="70">
        <f>Бюджет!Z398</f>
        <v>0</v>
      </c>
      <c r="AA150" s="70">
        <f>Бюджет!AA398</f>
        <v>0</v>
      </c>
      <c r="AB150" s="70">
        <f>Бюджет!AB398/7*5</f>
        <v>20</v>
      </c>
      <c r="AC150" s="70">
        <f>Бюджет!AC398</f>
        <v>0</v>
      </c>
      <c r="AD150" s="70">
        <f>Бюджет!AD398</f>
        <v>0</v>
      </c>
      <c r="AE150" s="70">
        <f>Бюджет!AE398</f>
        <v>0</v>
      </c>
      <c r="AF150" s="70">
        <f>Бюджет!AF398</f>
        <v>0</v>
      </c>
      <c r="AG150" s="70">
        <f>Бюджет!AG398</f>
        <v>0</v>
      </c>
      <c r="AH150" s="70">
        <f>Бюджет!AH398</f>
        <v>0</v>
      </c>
      <c r="AI150" s="70">
        <f>Бюджет!AI398</f>
        <v>0</v>
      </c>
      <c r="AJ150" s="66">
        <f t="shared" si="21"/>
        <v>20</v>
      </c>
      <c r="AK150" s="70"/>
    </row>
    <row r="151" spans="1:37" s="109" customFormat="1" ht="15" x14ac:dyDescent="0.2">
      <c r="A151" s="90">
        <f>Бюджет!A399</f>
        <v>0</v>
      </c>
      <c r="B151" s="60" t="str">
        <f>Бюджет!B399</f>
        <v>Подготовка и рецензирование ВКР</v>
      </c>
      <c r="C151" s="74" t="str">
        <f>Бюджет!C399</f>
        <v>2\4</v>
      </c>
      <c r="D151" s="74">
        <f>Бюджет!D399</f>
        <v>8</v>
      </c>
      <c r="E151" s="74">
        <f>Бюджет!E399</f>
        <v>1</v>
      </c>
      <c r="F151" s="70">
        <f>Бюджет!F399</f>
        <v>0</v>
      </c>
      <c r="G151" s="70">
        <f>Бюджет!G399</f>
        <v>0</v>
      </c>
      <c r="H151" s="70">
        <f>Бюджет!H399</f>
        <v>0</v>
      </c>
      <c r="I151" s="70">
        <f>Бюджет!I399</f>
        <v>0</v>
      </c>
      <c r="J151" s="70">
        <f>Бюджет!J399</f>
        <v>0</v>
      </c>
      <c r="K151" s="70">
        <f>Бюджет!K399</f>
        <v>0</v>
      </c>
      <c r="L151" s="70">
        <f>Бюджет!L399</f>
        <v>0</v>
      </c>
      <c r="M151" s="70">
        <f>Бюджет!M399</f>
        <v>0</v>
      </c>
      <c r="N151" s="70">
        <f>Бюджет!N399</f>
        <v>0</v>
      </c>
      <c r="O151" s="70">
        <f>Бюджет!O399</f>
        <v>0</v>
      </c>
      <c r="P151" s="70">
        <f>Бюджет!P399</f>
        <v>0</v>
      </c>
      <c r="Q151" s="70">
        <f>Бюджет!Q399</f>
        <v>0</v>
      </c>
      <c r="R151" s="70">
        <f>Бюджет!R399</f>
        <v>0</v>
      </c>
      <c r="S151" s="70">
        <f>Бюджет!S399</f>
        <v>0</v>
      </c>
      <c r="T151" s="70">
        <f>Бюджет!T399</f>
        <v>0</v>
      </c>
      <c r="U151" s="70">
        <f>Бюджет!U399</f>
        <v>0</v>
      </c>
      <c r="V151" s="70">
        <f>Бюджет!V399</f>
        <v>0</v>
      </c>
      <c r="W151" s="70">
        <f>Бюджет!W399</f>
        <v>240</v>
      </c>
      <c r="X151" s="70">
        <f>Бюджет!X399</f>
        <v>40</v>
      </c>
      <c r="Y151" s="70">
        <f>Бюджет!Y399</f>
        <v>0</v>
      </c>
      <c r="Z151" s="70">
        <f>Бюджет!Z399</f>
        <v>0</v>
      </c>
      <c r="AA151" s="70">
        <f>Бюджет!AA399</f>
        <v>0</v>
      </c>
      <c r="AB151" s="70">
        <f>Бюджет!AB399</f>
        <v>0</v>
      </c>
      <c r="AC151" s="70">
        <f>Бюджет!AC399</f>
        <v>0</v>
      </c>
      <c r="AD151" s="70">
        <f>Бюджет!AD399</f>
        <v>0</v>
      </c>
      <c r="AE151" s="70">
        <f>Бюджет!AE399</f>
        <v>0</v>
      </c>
      <c r="AF151" s="70">
        <f>Бюджет!AF399</f>
        <v>0</v>
      </c>
      <c r="AG151" s="70">
        <f>Бюджет!AG399</f>
        <v>0</v>
      </c>
      <c r="AH151" s="70">
        <f>Бюджет!AH399</f>
        <v>0</v>
      </c>
      <c r="AI151" s="70">
        <f>Бюджет!AI399</f>
        <v>0</v>
      </c>
      <c r="AJ151" s="66">
        <f t="shared" si="21"/>
        <v>280</v>
      </c>
      <c r="AK151" s="70"/>
    </row>
    <row r="152" spans="1:37" s="109" customFormat="1" ht="15.75" x14ac:dyDescent="0.2">
      <c r="A152" s="74"/>
      <c r="B152" s="60"/>
      <c r="C152" s="74"/>
      <c r="D152" s="74"/>
      <c r="E152" s="74"/>
      <c r="F152" s="70"/>
      <c r="G152" s="70"/>
      <c r="H152" s="70"/>
      <c r="I152" s="70"/>
      <c r="J152" s="70"/>
      <c r="K152" s="386" t="str">
        <f>Бюджет!K400</f>
        <v>профиль "Медицинская физика"</v>
      </c>
      <c r="L152" s="386"/>
      <c r="M152" s="386"/>
      <c r="N152" s="386"/>
      <c r="O152" s="386"/>
      <c r="P152" s="386"/>
      <c r="Q152" s="386"/>
      <c r="R152" s="386"/>
      <c r="S152" s="386"/>
      <c r="T152" s="386"/>
      <c r="U152" s="386"/>
      <c r="V152" s="386"/>
      <c r="W152" s="386"/>
      <c r="X152" s="386"/>
      <c r="Y152" s="386"/>
      <c r="Z152" s="386"/>
      <c r="AA152" s="386"/>
      <c r="AB152" s="386"/>
      <c r="AC152" s="70"/>
      <c r="AD152" s="70"/>
      <c r="AE152" s="70"/>
      <c r="AF152" s="70"/>
      <c r="AG152" s="70"/>
      <c r="AH152" s="70"/>
      <c r="AI152" s="70"/>
      <c r="AJ152" s="66">
        <f t="shared" si="21"/>
        <v>0</v>
      </c>
      <c r="AK152" s="70"/>
    </row>
    <row r="153" spans="1:37" s="109" customFormat="1" ht="30" x14ac:dyDescent="0.2">
      <c r="A153" s="60" t="str">
        <f>Бюджет!A401</f>
        <v>Б1.О.06</v>
      </c>
      <c r="B153" s="60" t="str">
        <f>Бюджет!B401</f>
        <v>Практикум по методам исследования материалов</v>
      </c>
      <c r="C153" s="67" t="str">
        <f>Бюджет!C401</f>
        <v>1\2</v>
      </c>
      <c r="D153" s="67">
        <f>Бюджет!D401</f>
        <v>9</v>
      </c>
      <c r="E153" s="67">
        <f>Бюджет!E401</f>
        <v>1</v>
      </c>
      <c r="F153" s="66">
        <f>Бюджет!F401</f>
        <v>0</v>
      </c>
      <c r="G153" s="66">
        <f>Бюджет!G401</f>
        <v>0</v>
      </c>
      <c r="H153" s="66">
        <f>Бюджет!H401</f>
        <v>0</v>
      </c>
      <c r="I153" s="66">
        <f>Бюджет!I401</f>
        <v>0</v>
      </c>
      <c r="J153" s="66">
        <f>Бюджет!J401</f>
        <v>60</v>
      </c>
      <c r="K153" s="66">
        <f>Бюджет!K401</f>
        <v>2.6999999999999997</v>
      </c>
      <c r="L153" s="66">
        <f>Бюджет!L401</f>
        <v>0</v>
      </c>
      <c r="M153" s="66">
        <f>Бюджет!M401</f>
        <v>0</v>
      </c>
      <c r="N153" s="66">
        <f>Бюджет!N401</f>
        <v>0</v>
      </c>
      <c r="O153" s="66">
        <f>Бюджет!O401</f>
        <v>0</v>
      </c>
      <c r="P153" s="66">
        <f>Бюджет!P401</f>
        <v>0</v>
      </c>
      <c r="Q153" s="66">
        <f>Бюджет!Q401</f>
        <v>0</v>
      </c>
      <c r="R153" s="66">
        <f>Бюджет!R401</f>
        <v>0</v>
      </c>
      <c r="S153" s="66">
        <f>Бюджет!S401</f>
        <v>0</v>
      </c>
      <c r="T153" s="66">
        <f>Бюджет!T401</f>
        <v>0</v>
      </c>
      <c r="U153" s="66">
        <f>Бюджет!U401</f>
        <v>0</v>
      </c>
      <c r="V153" s="66">
        <f>Бюджет!V401</f>
        <v>0</v>
      </c>
      <c r="W153" s="66">
        <f>Бюджет!W401</f>
        <v>0</v>
      </c>
      <c r="X153" s="66">
        <f>Бюджет!X401</f>
        <v>0</v>
      </c>
      <c r="Y153" s="66">
        <f>Бюджет!Y401</f>
        <v>0</v>
      </c>
      <c r="Z153" s="66">
        <f>Бюджет!Z401</f>
        <v>0</v>
      </c>
      <c r="AA153" s="66">
        <f>Бюджет!AA401</f>
        <v>0</v>
      </c>
      <c r="AB153" s="66">
        <f>Бюджет!AB401</f>
        <v>0</v>
      </c>
      <c r="AC153" s="66">
        <f>Бюджет!AC401</f>
        <v>0</v>
      </c>
      <c r="AD153" s="66">
        <f>Бюджет!AD401</f>
        <v>0</v>
      </c>
      <c r="AE153" s="66">
        <f>Бюджет!AE401</f>
        <v>0</v>
      </c>
      <c r="AF153" s="66">
        <f>Бюджет!AF401</f>
        <v>0</v>
      </c>
      <c r="AG153" s="66">
        <f>Бюджет!AG401</f>
        <v>0</v>
      </c>
      <c r="AH153" s="66">
        <f>Бюджет!AH401</f>
        <v>0</v>
      </c>
      <c r="AI153" s="66">
        <f>Бюджет!AI401</f>
        <v>6</v>
      </c>
      <c r="AJ153" s="66">
        <f t="shared" si="21"/>
        <v>68.7</v>
      </c>
      <c r="AK153" s="70"/>
    </row>
    <row r="154" spans="1:37" s="109" customFormat="1" ht="15" x14ac:dyDescent="0.2">
      <c r="A154" s="60" t="str">
        <f>Бюджет!A402</f>
        <v>Б1.О.08</v>
      </c>
      <c r="B154" s="60" t="str">
        <f>Бюджет!B402</f>
        <v>Основы физиологии живых систем</v>
      </c>
      <c r="C154" s="67" t="str">
        <f>Бюджет!C402</f>
        <v>1\1</v>
      </c>
      <c r="D154" s="67">
        <f>Бюджет!D402</f>
        <v>9</v>
      </c>
      <c r="E154" s="67">
        <f>Бюджет!E402</f>
        <v>1</v>
      </c>
      <c r="F154" s="66">
        <f>Бюджет!F402</f>
        <v>36</v>
      </c>
      <c r="G154" s="66">
        <f>Бюджет!G402</f>
        <v>36</v>
      </c>
      <c r="H154" s="66">
        <f>Бюджет!H402</f>
        <v>36</v>
      </c>
      <c r="I154" s="66">
        <f>Бюджет!I402</f>
        <v>36</v>
      </c>
      <c r="J154" s="66">
        <f>Бюджет!J402</f>
        <v>0</v>
      </c>
      <c r="K154" s="66">
        <f>Бюджет!K402</f>
        <v>2.6999999999999997</v>
      </c>
      <c r="L154" s="66">
        <f>Бюджет!L402</f>
        <v>0</v>
      </c>
      <c r="M154" s="66">
        <f>Бюджет!M402</f>
        <v>0</v>
      </c>
      <c r="N154" s="66">
        <f>Бюджет!N402</f>
        <v>0</v>
      </c>
      <c r="O154" s="66">
        <f>Бюджет!O402</f>
        <v>0</v>
      </c>
      <c r="P154" s="66">
        <f>Бюджет!P402</f>
        <v>0</v>
      </c>
      <c r="Q154" s="66">
        <f>Бюджет!Q402</f>
        <v>1.8</v>
      </c>
      <c r="R154" s="66">
        <f>Бюджет!R402</f>
        <v>0</v>
      </c>
      <c r="S154" s="66">
        <f>Бюджет!S402</f>
        <v>0</v>
      </c>
      <c r="T154" s="66">
        <f>Бюджет!T402</f>
        <v>0</v>
      </c>
      <c r="U154" s="66">
        <f>Бюджет!U402</f>
        <v>0</v>
      </c>
      <c r="V154" s="66">
        <f>Бюджет!V402</f>
        <v>0</v>
      </c>
      <c r="W154" s="66">
        <f>Бюджет!W402</f>
        <v>0</v>
      </c>
      <c r="X154" s="66">
        <f>Бюджет!X402</f>
        <v>0</v>
      </c>
      <c r="Y154" s="66">
        <f>Бюджет!Y402</f>
        <v>0</v>
      </c>
      <c r="Z154" s="66">
        <f>Бюджет!Z402</f>
        <v>0</v>
      </c>
      <c r="AA154" s="66">
        <f>Бюджет!AA402</f>
        <v>0</v>
      </c>
      <c r="AB154" s="66">
        <f>Бюджет!AB402</f>
        <v>0</v>
      </c>
      <c r="AC154" s="66">
        <f>Бюджет!AC402</f>
        <v>0</v>
      </c>
      <c r="AD154" s="66">
        <f>Бюджет!AD402</f>
        <v>0</v>
      </c>
      <c r="AE154" s="66">
        <f>Бюджет!AE402</f>
        <v>0</v>
      </c>
      <c r="AF154" s="66">
        <f>Бюджет!AF402</f>
        <v>0</v>
      </c>
      <c r="AG154" s="66">
        <f>Бюджет!AG402</f>
        <v>0</v>
      </c>
      <c r="AH154" s="66">
        <f>Бюджет!AH402</f>
        <v>0</v>
      </c>
      <c r="AI154" s="66">
        <f>Бюджет!AI402</f>
        <v>0</v>
      </c>
      <c r="AJ154" s="66">
        <f t="shared" si="21"/>
        <v>76.5</v>
      </c>
      <c r="AK154" s="70"/>
    </row>
    <row r="155" spans="1:37" s="109" customFormat="1" ht="15" x14ac:dyDescent="0.2">
      <c r="A155" s="60" t="str">
        <f>Бюджет!A403</f>
        <v>Б1В.01</v>
      </c>
      <c r="B155" s="60" t="str">
        <f>Бюджет!B403</f>
        <v>Лазерные технологии в медицине</v>
      </c>
      <c r="C155" s="67" t="str">
        <f>Бюджет!C403</f>
        <v>1\2</v>
      </c>
      <c r="D155" s="67">
        <f>Бюджет!D403</f>
        <v>9</v>
      </c>
      <c r="E155" s="67">
        <f>Бюджет!E403</f>
        <v>1</v>
      </c>
      <c r="F155" s="66">
        <f>Бюджет!F403</f>
        <v>40</v>
      </c>
      <c r="G155" s="66">
        <f>Бюджет!G403</f>
        <v>40</v>
      </c>
      <c r="H155" s="66">
        <f>Бюджет!H403</f>
        <v>0</v>
      </c>
      <c r="I155" s="66">
        <f>Бюджет!I403</f>
        <v>0</v>
      </c>
      <c r="J155" s="66">
        <f>Бюджет!J403</f>
        <v>20</v>
      </c>
      <c r="K155" s="66">
        <f>Бюджет!K403</f>
        <v>2.6999999999999997</v>
      </c>
      <c r="L155" s="66">
        <f>Бюджет!L403</f>
        <v>0</v>
      </c>
      <c r="M155" s="66">
        <f>Бюджет!M403</f>
        <v>0</v>
      </c>
      <c r="N155" s="66">
        <f>Бюджет!N403</f>
        <v>0</v>
      </c>
      <c r="O155" s="66">
        <f>Бюджет!O403</f>
        <v>0</v>
      </c>
      <c r="P155" s="66">
        <f>Бюджет!P403</f>
        <v>0</v>
      </c>
      <c r="Q155" s="66">
        <f>Бюджет!Q403</f>
        <v>2</v>
      </c>
      <c r="R155" s="66">
        <f>Бюджет!R403</f>
        <v>0</v>
      </c>
      <c r="S155" s="66">
        <f>Бюджет!S403</f>
        <v>0</v>
      </c>
      <c r="T155" s="66">
        <f>Бюджет!T403</f>
        <v>0</v>
      </c>
      <c r="U155" s="66">
        <f>Бюджет!U403</f>
        <v>0</v>
      </c>
      <c r="V155" s="66">
        <f>Бюджет!V403</f>
        <v>0</v>
      </c>
      <c r="W155" s="66">
        <f>Бюджет!W403</f>
        <v>0</v>
      </c>
      <c r="X155" s="66">
        <f>Бюджет!X403</f>
        <v>0</v>
      </c>
      <c r="Y155" s="66">
        <f>Бюджет!Y403</f>
        <v>0</v>
      </c>
      <c r="Z155" s="66">
        <f>Бюджет!Z403</f>
        <v>0</v>
      </c>
      <c r="AA155" s="66">
        <f>Бюджет!AA403</f>
        <v>0</v>
      </c>
      <c r="AB155" s="66">
        <f>Бюджет!AB403</f>
        <v>0</v>
      </c>
      <c r="AC155" s="66">
        <f>Бюджет!AC403</f>
        <v>0</v>
      </c>
      <c r="AD155" s="66">
        <f>Бюджет!AD403</f>
        <v>0</v>
      </c>
      <c r="AE155" s="66">
        <f>Бюджет!AE403</f>
        <v>0</v>
      </c>
      <c r="AF155" s="66">
        <f>Бюджет!AF403</f>
        <v>0</v>
      </c>
      <c r="AG155" s="66">
        <f>Бюджет!AG403</f>
        <v>0</v>
      </c>
      <c r="AH155" s="66">
        <f>Бюджет!AH403</f>
        <v>0</v>
      </c>
      <c r="AI155" s="66">
        <f>Бюджет!AI403</f>
        <v>4</v>
      </c>
      <c r="AJ155" s="66">
        <f t="shared" si="21"/>
        <v>68.7</v>
      </c>
      <c r="AK155" s="70"/>
    </row>
    <row r="156" spans="1:37" s="109" customFormat="1" ht="15" x14ac:dyDescent="0.2">
      <c r="A156" s="60" t="str">
        <f>Бюджет!A404</f>
        <v>Б1.В.02</v>
      </c>
      <c r="B156" s="60" t="str">
        <f>Бюджет!B404</f>
        <v>Радиационная физика и дозиметрия</v>
      </c>
      <c r="C156" s="67" t="str">
        <f>Бюджет!C404</f>
        <v>1\1</v>
      </c>
      <c r="D156" s="67">
        <f>Бюджет!D404</f>
        <v>9</v>
      </c>
      <c r="E156" s="67">
        <f>Бюджет!E404</f>
        <v>1</v>
      </c>
      <c r="F156" s="66">
        <f>Бюджет!F404</f>
        <v>36</v>
      </c>
      <c r="G156" s="66">
        <f>Бюджет!G404</f>
        <v>36</v>
      </c>
      <c r="H156" s="66">
        <f>Бюджет!H404</f>
        <v>0</v>
      </c>
      <c r="I156" s="66">
        <f>Бюджет!I404</f>
        <v>0</v>
      </c>
      <c r="J156" s="66">
        <f>Бюджет!J404</f>
        <v>36</v>
      </c>
      <c r="K156" s="66">
        <f>Бюджет!K404</f>
        <v>0</v>
      </c>
      <c r="L156" s="66">
        <f>Бюджет!L404</f>
        <v>0</v>
      </c>
      <c r="M156" s="66">
        <f>Бюджет!M404</f>
        <v>3.6</v>
      </c>
      <c r="N156" s="66">
        <f>Бюджет!N404</f>
        <v>0</v>
      </c>
      <c r="O156" s="66">
        <f>Бюджет!O404</f>
        <v>0</v>
      </c>
      <c r="P156" s="66">
        <f>Бюджет!P404</f>
        <v>0</v>
      </c>
      <c r="Q156" s="66">
        <f>Бюджет!Q404</f>
        <v>2.8</v>
      </c>
      <c r="R156" s="66">
        <f>Бюджет!R404</f>
        <v>0</v>
      </c>
      <c r="S156" s="66">
        <f>Бюджет!S404</f>
        <v>0</v>
      </c>
      <c r="T156" s="66">
        <f>Бюджет!T404</f>
        <v>0</v>
      </c>
      <c r="U156" s="66">
        <f>Бюджет!U404</f>
        <v>0</v>
      </c>
      <c r="V156" s="66">
        <f>Бюджет!V404</f>
        <v>0</v>
      </c>
      <c r="W156" s="66">
        <f>Бюджет!W404</f>
        <v>0</v>
      </c>
      <c r="X156" s="66">
        <f>Бюджет!X404</f>
        <v>0</v>
      </c>
      <c r="Y156" s="66">
        <f>Бюджет!Y404</f>
        <v>0</v>
      </c>
      <c r="Z156" s="66">
        <f>Бюджет!Z404</f>
        <v>0</v>
      </c>
      <c r="AA156" s="66">
        <f>Бюджет!AA404</f>
        <v>0</v>
      </c>
      <c r="AB156" s="66">
        <f>Бюджет!AB404</f>
        <v>0</v>
      </c>
      <c r="AC156" s="66">
        <f>Бюджет!AC404</f>
        <v>0</v>
      </c>
      <c r="AD156" s="66">
        <f>Бюджет!AD404</f>
        <v>0</v>
      </c>
      <c r="AE156" s="66">
        <f>Бюджет!AE404</f>
        <v>0</v>
      </c>
      <c r="AF156" s="66">
        <f>Бюджет!AF404</f>
        <v>0</v>
      </c>
      <c r="AG156" s="66">
        <f>Бюджет!AG404</f>
        <v>0</v>
      </c>
      <c r="AH156" s="66">
        <f>Бюджет!AH404</f>
        <v>0</v>
      </c>
      <c r="AI156" s="66">
        <f>Бюджет!AI404</f>
        <v>8</v>
      </c>
      <c r="AJ156" s="66">
        <f t="shared" si="21"/>
        <v>86.399999999999991</v>
      </c>
      <c r="AK156" s="70"/>
    </row>
    <row r="157" spans="1:37" s="109" customFormat="1" ht="15" x14ac:dyDescent="0.2">
      <c r="A157" s="60" t="str">
        <f>Бюджет!A405</f>
        <v>Б1.В.05</v>
      </c>
      <c r="B157" s="60" t="str">
        <f>Бюджет!B405</f>
        <v>Биофизика и биофотоника</v>
      </c>
      <c r="C157" s="67" t="str">
        <f>Бюджет!C405</f>
        <v>1\1</v>
      </c>
      <c r="D157" s="67">
        <f>Бюджет!D405</f>
        <v>9</v>
      </c>
      <c r="E157" s="67">
        <f>Бюджет!E405</f>
        <v>1</v>
      </c>
      <c r="F157" s="66">
        <f>Бюджет!F405</f>
        <v>36</v>
      </c>
      <c r="G157" s="66">
        <f>Бюджет!G405</f>
        <v>36</v>
      </c>
      <c r="H157" s="66">
        <f>Бюджет!H405</f>
        <v>36</v>
      </c>
      <c r="I157" s="66">
        <f>Бюджет!I405</f>
        <v>36</v>
      </c>
      <c r="J157" s="66">
        <f>Бюджет!J405</f>
        <v>0</v>
      </c>
      <c r="K157" s="66">
        <f>Бюджет!K405</f>
        <v>2.6999999999999997</v>
      </c>
      <c r="L157" s="66">
        <f>Бюджет!L405</f>
        <v>0</v>
      </c>
      <c r="M157" s="66">
        <f>Бюджет!M405</f>
        <v>0</v>
      </c>
      <c r="N157" s="66">
        <f>Бюджет!N405</f>
        <v>0</v>
      </c>
      <c r="O157" s="66">
        <f>Бюджет!O405</f>
        <v>0</v>
      </c>
      <c r="P157" s="66">
        <f>Бюджет!P405</f>
        <v>0</v>
      </c>
      <c r="Q157" s="66">
        <f>Бюджет!Q405</f>
        <v>1.8</v>
      </c>
      <c r="R157" s="66">
        <f>Бюджет!R405</f>
        <v>0</v>
      </c>
      <c r="S157" s="66">
        <f>Бюджет!S405</f>
        <v>0</v>
      </c>
      <c r="T157" s="66">
        <f>Бюджет!T405</f>
        <v>0</v>
      </c>
      <c r="U157" s="66">
        <f>Бюджет!U405</f>
        <v>0</v>
      </c>
      <c r="V157" s="66">
        <f>Бюджет!V405</f>
        <v>0</v>
      </c>
      <c r="W157" s="66">
        <f>Бюджет!W405</f>
        <v>0</v>
      </c>
      <c r="X157" s="66">
        <f>Бюджет!X405</f>
        <v>0</v>
      </c>
      <c r="Y157" s="66">
        <f>Бюджет!Y405</f>
        <v>0</v>
      </c>
      <c r="Z157" s="66">
        <f>Бюджет!Z405</f>
        <v>0</v>
      </c>
      <c r="AA157" s="66">
        <f>Бюджет!AA405</f>
        <v>0</v>
      </c>
      <c r="AB157" s="66">
        <f>Бюджет!AB405</f>
        <v>0</v>
      </c>
      <c r="AC157" s="66">
        <f>Бюджет!AC405</f>
        <v>0</v>
      </c>
      <c r="AD157" s="66">
        <f>Бюджет!AD405</f>
        <v>0</v>
      </c>
      <c r="AE157" s="66">
        <f>Бюджет!AE405</f>
        <v>0</v>
      </c>
      <c r="AF157" s="66">
        <f>Бюджет!AF405</f>
        <v>0</v>
      </c>
      <c r="AG157" s="66">
        <f>Бюджет!AG405</f>
        <v>0</v>
      </c>
      <c r="AH157" s="66">
        <f>Бюджет!AH405</f>
        <v>0</v>
      </c>
      <c r="AI157" s="66">
        <f>Бюджет!AI405</f>
        <v>14</v>
      </c>
      <c r="AJ157" s="66">
        <f t="shared" si="21"/>
        <v>90.5</v>
      </c>
      <c r="AK157" s="70"/>
    </row>
    <row r="158" spans="1:37" s="109" customFormat="1" ht="15" x14ac:dyDescent="0.2">
      <c r="A158" s="60" t="str">
        <f>Бюджет!A406</f>
        <v>Б1.В.05</v>
      </c>
      <c r="B158" s="60" t="str">
        <f>Бюджет!B406</f>
        <v>Биофизика и биофотоника</v>
      </c>
      <c r="C158" s="67" t="str">
        <f>Бюджет!C406</f>
        <v>1\2</v>
      </c>
      <c r="D158" s="67">
        <f>Бюджет!D406</f>
        <v>9</v>
      </c>
      <c r="E158" s="67">
        <f>Бюджет!E406</f>
        <v>1</v>
      </c>
      <c r="F158" s="66">
        <f>Бюджет!F406</f>
        <v>40</v>
      </c>
      <c r="G158" s="66">
        <f>Бюджет!G406</f>
        <v>40</v>
      </c>
      <c r="H158" s="66">
        <f>Бюджет!H406</f>
        <v>40</v>
      </c>
      <c r="I158" s="66">
        <f>Бюджет!I406</f>
        <v>40</v>
      </c>
      <c r="J158" s="66">
        <f>Бюджет!J406</f>
        <v>0</v>
      </c>
      <c r="K158" s="66">
        <f>Бюджет!K406</f>
        <v>0</v>
      </c>
      <c r="L158" s="66">
        <f>Бюджет!L406</f>
        <v>0</v>
      </c>
      <c r="M158" s="66">
        <f>Бюджет!M406</f>
        <v>3.6</v>
      </c>
      <c r="N158" s="66">
        <f>Бюджет!N406</f>
        <v>0</v>
      </c>
      <c r="O158" s="66">
        <f>Бюджет!O406</f>
        <v>0</v>
      </c>
      <c r="P158" s="66">
        <f>Бюджет!P406</f>
        <v>0</v>
      </c>
      <c r="Q158" s="66">
        <f>Бюджет!Q406</f>
        <v>3</v>
      </c>
      <c r="R158" s="66">
        <f>Бюджет!R406</f>
        <v>0</v>
      </c>
      <c r="S158" s="66">
        <f>Бюджет!S406</f>
        <v>0</v>
      </c>
      <c r="T158" s="66">
        <f>Бюджет!T406</f>
        <v>0</v>
      </c>
      <c r="U158" s="66">
        <f>Бюджет!U406</f>
        <v>0</v>
      </c>
      <c r="V158" s="66">
        <f>Бюджет!V406</f>
        <v>0</v>
      </c>
      <c r="W158" s="66">
        <f>Бюджет!W406</f>
        <v>0</v>
      </c>
      <c r="X158" s="66">
        <f>Бюджет!X406</f>
        <v>0</v>
      </c>
      <c r="Y158" s="66">
        <f>Бюджет!Y406</f>
        <v>0</v>
      </c>
      <c r="Z158" s="66">
        <f>Бюджет!Z406</f>
        <v>0</v>
      </c>
      <c r="AA158" s="66">
        <f>Бюджет!AA406</f>
        <v>0</v>
      </c>
      <c r="AB158" s="66">
        <f>Бюджет!AB406</f>
        <v>0</v>
      </c>
      <c r="AC158" s="66">
        <f>Бюджет!AC406</f>
        <v>0</v>
      </c>
      <c r="AD158" s="66">
        <f>Бюджет!AD406</f>
        <v>0</v>
      </c>
      <c r="AE158" s="66">
        <f>Бюджет!AE406</f>
        <v>0</v>
      </c>
      <c r="AF158" s="66">
        <f>Бюджет!AF406</f>
        <v>0</v>
      </c>
      <c r="AG158" s="66">
        <f>Бюджет!AG406</f>
        <v>0</v>
      </c>
      <c r="AH158" s="66">
        <f>Бюджет!AH406</f>
        <v>0</v>
      </c>
      <c r="AI158" s="66">
        <f>Бюджет!AI406</f>
        <v>0</v>
      </c>
      <c r="AJ158" s="66">
        <f t="shared" si="21"/>
        <v>86.6</v>
      </c>
      <c r="AK158" s="70"/>
    </row>
    <row r="159" spans="1:37" s="109" customFormat="1" ht="30" x14ac:dyDescent="0.2">
      <c r="A159" s="60" t="str">
        <f>Бюджет!A407</f>
        <v>Б2.О.02(Н)</v>
      </c>
      <c r="B159" s="60" t="str">
        <f>Бюджет!B407</f>
        <v>Учебная практика (Научно-исследовательская работа)</v>
      </c>
      <c r="C159" s="67" t="str">
        <f>Бюджет!C407</f>
        <v>1\1</v>
      </c>
      <c r="D159" s="67">
        <f>Бюджет!D407</f>
        <v>9</v>
      </c>
      <c r="E159" s="67">
        <f>Бюджет!E407</f>
        <v>1</v>
      </c>
      <c r="F159" s="66">
        <f>Бюджет!F407</f>
        <v>0</v>
      </c>
      <c r="G159" s="66">
        <f>Бюджет!G407</f>
        <v>0</v>
      </c>
      <c r="H159" s="66">
        <f>Бюджет!H407</f>
        <v>0</v>
      </c>
      <c r="I159" s="66">
        <f>Бюджет!I407</f>
        <v>0</v>
      </c>
      <c r="J159" s="66">
        <f>Бюджет!J407</f>
        <v>0</v>
      </c>
      <c r="K159" s="66">
        <f>Бюджет!K407</f>
        <v>0</v>
      </c>
      <c r="L159" s="66">
        <f>Бюджет!L407</f>
        <v>0</v>
      </c>
      <c r="M159" s="66">
        <f>Бюджет!M407</f>
        <v>0</v>
      </c>
      <c r="N159" s="66">
        <f>Бюджет!N407</f>
        <v>0</v>
      </c>
      <c r="O159" s="66">
        <f>Бюджет!O407</f>
        <v>0</v>
      </c>
      <c r="P159" s="66">
        <f>Бюджет!P407</f>
        <v>0</v>
      </c>
      <c r="Q159" s="66">
        <f>Бюджет!Q407</f>
        <v>0</v>
      </c>
      <c r="R159" s="66">
        <f>Бюджет!R407</f>
        <v>0</v>
      </c>
      <c r="S159" s="66">
        <f>Бюджет!S407</f>
        <v>54</v>
      </c>
      <c r="T159" s="66">
        <f>Бюджет!T407</f>
        <v>0</v>
      </c>
      <c r="U159" s="66">
        <f>Бюджет!U407</f>
        <v>0</v>
      </c>
      <c r="V159" s="66">
        <f>Бюджет!V407</f>
        <v>0</v>
      </c>
      <c r="W159" s="66">
        <f>Бюджет!W407</f>
        <v>0</v>
      </c>
      <c r="X159" s="66">
        <f>Бюджет!X407</f>
        <v>0</v>
      </c>
      <c r="Y159" s="66">
        <f>Бюджет!Y407</f>
        <v>0</v>
      </c>
      <c r="Z159" s="66">
        <f>Бюджет!Z407</f>
        <v>0</v>
      </c>
      <c r="AA159" s="66">
        <f>Бюджет!AA407</f>
        <v>0</v>
      </c>
      <c r="AB159" s="66">
        <f>Бюджет!AB407</f>
        <v>0</v>
      </c>
      <c r="AC159" s="66">
        <f>Бюджет!AC407</f>
        <v>0</v>
      </c>
      <c r="AD159" s="66">
        <f>Бюджет!AD407</f>
        <v>0</v>
      </c>
      <c r="AE159" s="66">
        <f>Бюджет!AE407</f>
        <v>0</v>
      </c>
      <c r="AF159" s="66">
        <f>Бюджет!AF407</f>
        <v>0</v>
      </c>
      <c r="AG159" s="66">
        <f>Бюджет!AG407</f>
        <v>0</v>
      </c>
      <c r="AH159" s="66">
        <f>Бюджет!AH407</f>
        <v>0</v>
      </c>
      <c r="AI159" s="66">
        <f>Бюджет!AI407</f>
        <v>0</v>
      </c>
      <c r="AJ159" s="66">
        <f t="shared" si="21"/>
        <v>54</v>
      </c>
      <c r="AK159" s="70"/>
    </row>
    <row r="160" spans="1:37" s="109" customFormat="1" ht="30" x14ac:dyDescent="0.2">
      <c r="A160" s="60" t="str">
        <f>Бюджет!A408</f>
        <v>Б2.В.01(Н)</v>
      </c>
      <c r="B160" s="60" t="str">
        <f>Бюджет!B408</f>
        <v>Производственная практика (Научно-исследовательская работа)</v>
      </c>
      <c r="C160" s="67" t="str">
        <f>Бюджет!C408</f>
        <v>1\2</v>
      </c>
      <c r="D160" s="67">
        <f>Бюджет!D408</f>
        <v>9</v>
      </c>
      <c r="E160" s="67">
        <f>Бюджет!E408</f>
        <v>1</v>
      </c>
      <c r="F160" s="66">
        <f>Бюджет!F408</f>
        <v>0</v>
      </c>
      <c r="G160" s="66">
        <f>Бюджет!G408</f>
        <v>0</v>
      </c>
      <c r="H160" s="66">
        <f>Бюджет!H408</f>
        <v>0</v>
      </c>
      <c r="I160" s="66">
        <f>Бюджет!I408</f>
        <v>0</v>
      </c>
      <c r="J160" s="66">
        <f>Бюджет!J408</f>
        <v>0</v>
      </c>
      <c r="K160" s="66">
        <f>Бюджет!K408</f>
        <v>0</v>
      </c>
      <c r="L160" s="66">
        <f>Бюджет!L408</f>
        <v>0</v>
      </c>
      <c r="M160" s="66">
        <f>Бюджет!M408</f>
        <v>0</v>
      </c>
      <c r="N160" s="66">
        <f>Бюджет!N408</f>
        <v>0</v>
      </c>
      <c r="O160" s="66">
        <f>Бюджет!O408</f>
        <v>0</v>
      </c>
      <c r="P160" s="66">
        <f>Бюджет!P408</f>
        <v>0</v>
      </c>
      <c r="Q160" s="66">
        <f>Бюджет!Q408</f>
        <v>0</v>
      </c>
      <c r="R160" s="66">
        <f>Бюджет!R408</f>
        <v>0</v>
      </c>
      <c r="S160" s="66">
        <f>Бюджет!S408</f>
        <v>0</v>
      </c>
      <c r="T160" s="66">
        <f>Бюджет!T408</f>
        <v>66</v>
      </c>
      <c r="U160" s="66">
        <f>Бюджет!U408</f>
        <v>0</v>
      </c>
      <c r="V160" s="66">
        <f>Бюджет!V408</f>
        <v>0</v>
      </c>
      <c r="W160" s="66">
        <f>Бюджет!W408</f>
        <v>0</v>
      </c>
      <c r="X160" s="66">
        <f>Бюджет!X408</f>
        <v>0</v>
      </c>
      <c r="Y160" s="66">
        <f>Бюджет!Y408</f>
        <v>0</v>
      </c>
      <c r="Z160" s="66">
        <f>Бюджет!Z408</f>
        <v>0</v>
      </c>
      <c r="AA160" s="66">
        <f>Бюджет!AA408</f>
        <v>0</v>
      </c>
      <c r="AB160" s="66">
        <f>Бюджет!AB408</f>
        <v>0</v>
      </c>
      <c r="AC160" s="66">
        <f>Бюджет!AC408</f>
        <v>0</v>
      </c>
      <c r="AD160" s="66">
        <f>Бюджет!AD408</f>
        <v>0</v>
      </c>
      <c r="AE160" s="66">
        <f>Бюджет!AE408</f>
        <v>0</v>
      </c>
      <c r="AF160" s="66">
        <f>Бюджет!AF408</f>
        <v>0</v>
      </c>
      <c r="AG160" s="66">
        <f>Бюджет!AG408</f>
        <v>0</v>
      </c>
      <c r="AH160" s="66">
        <f>Бюджет!AH408</f>
        <v>0</v>
      </c>
      <c r="AI160" s="66">
        <f>Бюджет!AI408</f>
        <v>0</v>
      </c>
      <c r="AJ160" s="66">
        <f t="shared" si="21"/>
        <v>66</v>
      </c>
      <c r="AK160" s="70"/>
    </row>
    <row r="161" spans="1:37" s="109" customFormat="1" ht="30" x14ac:dyDescent="0.2">
      <c r="A161" s="60">
        <f>Бюджет!A409</f>
        <v>0</v>
      </c>
      <c r="B161" s="60" t="str">
        <f>Бюджет!B409</f>
        <v>Руководство программой магистерской подготовки</v>
      </c>
      <c r="C161" s="67">
        <f>Бюджет!C409</f>
        <v>0</v>
      </c>
      <c r="D161" s="67">
        <f>Бюджет!D409</f>
        <v>0</v>
      </c>
      <c r="E161" s="67">
        <f>Бюджет!E409</f>
        <v>0</v>
      </c>
      <c r="F161" s="66">
        <f>Бюджет!F409</f>
        <v>0</v>
      </c>
      <c r="G161" s="66">
        <f>Бюджет!G409</f>
        <v>0</v>
      </c>
      <c r="H161" s="66">
        <f>Бюджет!H409</f>
        <v>0</v>
      </c>
      <c r="I161" s="66">
        <f>Бюджет!I409</f>
        <v>0</v>
      </c>
      <c r="J161" s="66">
        <f>Бюджет!J409</f>
        <v>0</v>
      </c>
      <c r="K161" s="66">
        <f>Бюджет!K409</f>
        <v>0</v>
      </c>
      <c r="L161" s="66">
        <f>Бюджет!L409</f>
        <v>0</v>
      </c>
      <c r="M161" s="66">
        <f>Бюджет!M409</f>
        <v>0</v>
      </c>
      <c r="N161" s="66">
        <f>Бюджет!N409</f>
        <v>0</v>
      </c>
      <c r="O161" s="66">
        <f>Бюджет!O409</f>
        <v>0</v>
      </c>
      <c r="P161" s="66">
        <f>Бюджет!P409</f>
        <v>0</v>
      </c>
      <c r="Q161" s="66">
        <f>Бюджет!Q409</f>
        <v>0</v>
      </c>
      <c r="R161" s="66">
        <f>Бюджет!R409</f>
        <v>0</v>
      </c>
      <c r="S161" s="66">
        <f>Бюджет!S409</f>
        <v>0</v>
      </c>
      <c r="T161" s="66">
        <f>Бюджет!T409</f>
        <v>0</v>
      </c>
      <c r="U161" s="66">
        <f>Бюджет!U409</f>
        <v>0</v>
      </c>
      <c r="V161" s="66">
        <f>Бюджет!V409</f>
        <v>0</v>
      </c>
      <c r="W161" s="66">
        <f>Бюджет!W409</f>
        <v>0</v>
      </c>
      <c r="X161" s="66">
        <f>Бюджет!X409</f>
        <v>0</v>
      </c>
      <c r="Y161" s="66">
        <f>Бюджет!Y409</f>
        <v>0</v>
      </c>
      <c r="Z161" s="66">
        <f>Бюджет!Z409</f>
        <v>0</v>
      </c>
      <c r="AA161" s="66">
        <f>Бюджет!AA409</f>
        <v>0</v>
      </c>
      <c r="AB161" s="66">
        <f>Бюджет!AB409</f>
        <v>0</v>
      </c>
      <c r="AC161" s="66">
        <f>Бюджет!AC409</f>
        <v>0</v>
      </c>
      <c r="AD161" s="66">
        <f>Бюджет!AD409</f>
        <v>0</v>
      </c>
      <c r="AE161" s="66">
        <f>Бюджет!AE409</f>
        <v>30</v>
      </c>
      <c r="AF161" s="66">
        <f>Бюджет!AF409</f>
        <v>0</v>
      </c>
      <c r="AG161" s="66">
        <f>Бюджет!AG409</f>
        <v>0</v>
      </c>
      <c r="AH161" s="66">
        <f>Бюджет!AH409</f>
        <v>0</v>
      </c>
      <c r="AI161" s="66">
        <f>Бюджет!AI409</f>
        <v>0</v>
      </c>
      <c r="AJ161" s="66">
        <f t="shared" si="21"/>
        <v>30</v>
      </c>
      <c r="AK161" s="70"/>
    </row>
    <row r="162" spans="1:37" s="109" customFormat="1" ht="15.75" x14ac:dyDescent="0.2">
      <c r="A162" s="74"/>
      <c r="B162" s="60"/>
      <c r="C162" s="74"/>
      <c r="D162" s="74"/>
      <c r="E162" s="74"/>
      <c r="F162" s="70"/>
      <c r="G162" s="70"/>
      <c r="H162" s="70"/>
      <c r="I162" s="70"/>
      <c r="J162" s="70"/>
      <c r="K162" s="386" t="str">
        <f>Бюджет!K410</f>
        <v>профиль "Астрофизика высоких энергий"</v>
      </c>
      <c r="L162" s="386"/>
      <c r="M162" s="386"/>
      <c r="N162" s="386"/>
      <c r="O162" s="386"/>
      <c r="P162" s="386"/>
      <c r="Q162" s="386"/>
      <c r="R162" s="386"/>
      <c r="S162" s="386"/>
      <c r="T162" s="386"/>
      <c r="U162" s="386"/>
      <c r="V162" s="386"/>
      <c r="W162" s="386"/>
      <c r="X162" s="386"/>
      <c r="Y162" s="386"/>
      <c r="Z162" s="386"/>
      <c r="AA162" s="386"/>
      <c r="AB162" s="386"/>
      <c r="AC162" s="70"/>
      <c r="AD162" s="70"/>
      <c r="AE162" s="70"/>
      <c r="AF162" s="70"/>
      <c r="AG162" s="70"/>
      <c r="AH162" s="70"/>
      <c r="AI162" s="70"/>
      <c r="AJ162" s="66">
        <f t="shared" si="21"/>
        <v>0</v>
      </c>
      <c r="AK162" s="70"/>
    </row>
    <row r="163" spans="1:37" s="109" customFormat="1" ht="15" x14ac:dyDescent="0.2">
      <c r="A163" s="60">
        <f>Бюджет!A429</f>
        <v>0</v>
      </c>
      <c r="B163" s="60" t="str">
        <f>Бюджет!B429</f>
        <v>ГИА (ВКР защита) комиссия 7 человека</v>
      </c>
      <c r="C163" s="67" t="str">
        <f>Бюджет!C429</f>
        <v>2\4</v>
      </c>
      <c r="D163" s="67">
        <f>Бюджет!D429</f>
        <v>5</v>
      </c>
      <c r="E163" s="67">
        <f>Бюджет!E429</f>
        <v>1</v>
      </c>
      <c r="F163" s="66">
        <f>Бюджет!F429</f>
        <v>0</v>
      </c>
      <c r="G163" s="66">
        <f>Бюджет!G429</f>
        <v>0</v>
      </c>
      <c r="H163" s="66">
        <f>Бюджет!H429</f>
        <v>0</v>
      </c>
      <c r="I163" s="66">
        <f>Бюджет!I429</f>
        <v>0</v>
      </c>
      <c r="J163" s="66">
        <f>Бюджет!J429</f>
        <v>0</v>
      </c>
      <c r="K163" s="66">
        <f>Бюджет!K429</f>
        <v>0</v>
      </c>
      <c r="L163" s="66">
        <f>Бюджет!L429</f>
        <v>0</v>
      </c>
      <c r="M163" s="66">
        <f>Бюджет!M429</f>
        <v>0</v>
      </c>
      <c r="N163" s="66">
        <f>Бюджет!N429</f>
        <v>0</v>
      </c>
      <c r="O163" s="66">
        <f>Бюджет!O429</f>
        <v>0</v>
      </c>
      <c r="P163" s="66">
        <f>Бюджет!P429</f>
        <v>0</v>
      </c>
      <c r="Q163" s="66">
        <f>Бюджет!Q429</f>
        <v>0</v>
      </c>
      <c r="R163" s="66">
        <f>Бюджет!R429</f>
        <v>0</v>
      </c>
      <c r="S163" s="66">
        <f>Бюджет!S429</f>
        <v>0</v>
      </c>
      <c r="T163" s="66">
        <f>Бюджет!T429</f>
        <v>0</v>
      </c>
      <c r="U163" s="66">
        <f>Бюджет!U429</f>
        <v>0</v>
      </c>
      <c r="V163" s="66">
        <f>Бюджет!V429</f>
        <v>0</v>
      </c>
      <c r="W163" s="66">
        <f>Бюджет!W429</f>
        <v>0</v>
      </c>
      <c r="X163" s="66">
        <f>Бюджет!X429</f>
        <v>0</v>
      </c>
      <c r="Y163" s="66">
        <f>Бюджет!Y429</f>
        <v>0</v>
      </c>
      <c r="Z163" s="66">
        <f>Бюджет!Z429</f>
        <v>0</v>
      </c>
      <c r="AA163" s="66">
        <f>Бюджет!AA429</f>
        <v>0</v>
      </c>
      <c r="AB163" s="66">
        <f>Бюджет!AB429/7*5</f>
        <v>12.5</v>
      </c>
      <c r="AC163" s="66">
        <f>Бюджет!AC429</f>
        <v>0</v>
      </c>
      <c r="AD163" s="66">
        <f>Бюджет!AD429</f>
        <v>0</v>
      </c>
      <c r="AE163" s="66">
        <f>Бюджет!AE429</f>
        <v>0</v>
      </c>
      <c r="AF163" s="66">
        <f>Бюджет!AF429</f>
        <v>0</v>
      </c>
      <c r="AG163" s="66">
        <f>Бюджет!AG429</f>
        <v>0</v>
      </c>
      <c r="AH163" s="66">
        <f>Бюджет!AH429</f>
        <v>0</v>
      </c>
      <c r="AI163" s="66">
        <f>Бюджет!AI429</f>
        <v>0</v>
      </c>
      <c r="AJ163" s="66">
        <f t="shared" si="21"/>
        <v>12.5</v>
      </c>
      <c r="AK163" s="70"/>
    </row>
    <row r="164" spans="1:37" s="109" customFormat="1" ht="15.75" x14ac:dyDescent="0.2">
      <c r="A164" s="67"/>
      <c r="B164" s="94" t="s">
        <v>238</v>
      </c>
      <c r="C164" s="95"/>
      <c r="D164" s="95"/>
      <c r="E164" s="95"/>
      <c r="F164" s="88">
        <f>SUM(F142:F163)</f>
        <v>310</v>
      </c>
      <c r="G164" s="88">
        <f t="shared" ref="G164:AJ164" si="22">SUM(G142:G163)</f>
        <v>290</v>
      </c>
      <c r="H164" s="88">
        <f t="shared" si="22"/>
        <v>234</v>
      </c>
      <c r="I164" s="88">
        <f t="shared" si="22"/>
        <v>214</v>
      </c>
      <c r="J164" s="88">
        <f t="shared" si="22"/>
        <v>116</v>
      </c>
      <c r="K164" s="88">
        <f t="shared" si="22"/>
        <v>16.799999999999997</v>
      </c>
      <c r="L164" s="88">
        <f t="shared" si="22"/>
        <v>0</v>
      </c>
      <c r="M164" s="88">
        <f t="shared" si="22"/>
        <v>13.6</v>
      </c>
      <c r="N164" s="88">
        <f t="shared" si="22"/>
        <v>0</v>
      </c>
      <c r="O164" s="88">
        <f t="shared" si="22"/>
        <v>0</v>
      </c>
      <c r="P164" s="88">
        <f t="shared" si="22"/>
        <v>0</v>
      </c>
      <c r="Q164" s="88">
        <f t="shared" si="22"/>
        <v>18.5</v>
      </c>
      <c r="R164" s="88">
        <f t="shared" si="22"/>
        <v>0</v>
      </c>
      <c r="S164" s="88">
        <f t="shared" si="22"/>
        <v>102</v>
      </c>
      <c r="T164" s="88">
        <f t="shared" si="22"/>
        <v>204.66666666666666</v>
      </c>
      <c r="U164" s="88">
        <f t="shared" si="22"/>
        <v>0</v>
      </c>
      <c r="V164" s="88">
        <f t="shared" si="22"/>
        <v>0</v>
      </c>
      <c r="W164" s="88">
        <f t="shared" si="22"/>
        <v>240</v>
      </c>
      <c r="X164" s="88">
        <f t="shared" si="22"/>
        <v>40</v>
      </c>
      <c r="Y164" s="88">
        <f t="shared" si="22"/>
        <v>0</v>
      </c>
      <c r="Z164" s="88">
        <f t="shared" si="22"/>
        <v>0</v>
      </c>
      <c r="AA164" s="88">
        <f t="shared" si="22"/>
        <v>0</v>
      </c>
      <c r="AB164" s="88">
        <f t="shared" si="22"/>
        <v>32.5</v>
      </c>
      <c r="AC164" s="88">
        <f t="shared" si="22"/>
        <v>0</v>
      </c>
      <c r="AD164" s="88">
        <f t="shared" si="22"/>
        <v>0</v>
      </c>
      <c r="AE164" s="88">
        <f t="shared" si="22"/>
        <v>60</v>
      </c>
      <c r="AF164" s="88">
        <f t="shared" si="22"/>
        <v>0</v>
      </c>
      <c r="AG164" s="88">
        <f t="shared" si="22"/>
        <v>0</v>
      </c>
      <c r="AH164" s="88">
        <f t="shared" si="22"/>
        <v>0</v>
      </c>
      <c r="AI164" s="88">
        <f t="shared" si="22"/>
        <v>68</v>
      </c>
      <c r="AJ164" s="88">
        <f t="shared" si="22"/>
        <v>1416.0666666666666</v>
      </c>
      <c r="AK164" s="70"/>
    </row>
    <row r="165" spans="1:37" s="109" customFormat="1" ht="15" x14ac:dyDescent="0.2">
      <c r="A165" s="74"/>
      <c r="B165" s="201"/>
      <c r="C165" s="201"/>
      <c r="D165" s="201"/>
      <c r="E165" s="201"/>
      <c r="F165" s="201"/>
      <c r="G165" s="201"/>
      <c r="H165" s="201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4"/>
    </row>
    <row r="166" spans="1:37" s="109" customFormat="1" ht="15.75" x14ac:dyDescent="0.2">
      <c r="A166" s="74"/>
      <c r="B166" s="201"/>
      <c r="C166" s="201"/>
      <c r="D166" s="201"/>
      <c r="E166" s="201"/>
      <c r="F166" s="201"/>
      <c r="G166" s="201"/>
      <c r="H166" s="201"/>
      <c r="I166" s="70"/>
      <c r="J166" s="70"/>
      <c r="K166" s="73"/>
      <c r="L166" s="401" t="str">
        <f>Бюджет!L433</f>
        <v>11.04.04 Электроника и наноэлектроника</v>
      </c>
      <c r="M166" s="401"/>
      <c r="N166" s="401"/>
      <c r="O166" s="401"/>
      <c r="P166" s="401"/>
      <c r="Q166" s="401"/>
      <c r="R166" s="401"/>
      <c r="S166" s="401"/>
      <c r="T166" s="401"/>
      <c r="U166" s="401"/>
      <c r="V166" s="401"/>
      <c r="W166" s="401"/>
      <c r="X166" s="401"/>
      <c r="Y166" s="401"/>
      <c r="Z166" s="401"/>
      <c r="AA166" s="401"/>
      <c r="AB166" s="73"/>
      <c r="AC166" s="70"/>
      <c r="AD166" s="70"/>
      <c r="AE166" s="70"/>
      <c r="AF166" s="70"/>
      <c r="AG166" s="70"/>
      <c r="AH166" s="70"/>
      <c r="AI166" s="70"/>
      <c r="AJ166" s="70"/>
      <c r="AK166" s="74"/>
    </row>
    <row r="167" spans="1:37" s="109" customFormat="1" ht="15.75" x14ac:dyDescent="0.2">
      <c r="A167" s="74"/>
      <c r="B167" s="201"/>
      <c r="C167" s="201"/>
      <c r="D167" s="201"/>
      <c r="E167" s="201"/>
      <c r="F167" s="201"/>
      <c r="G167" s="201"/>
      <c r="H167" s="201"/>
      <c r="I167" s="70"/>
      <c r="J167" s="70"/>
      <c r="K167" s="386" t="str">
        <f>Бюджет!K434</f>
        <v>профиль "Электроника и наноэлектроника"</v>
      </c>
      <c r="L167" s="386"/>
      <c r="M167" s="386"/>
      <c r="N167" s="386"/>
      <c r="O167" s="386"/>
      <c r="P167" s="386"/>
      <c r="Q167" s="386"/>
      <c r="R167" s="386"/>
      <c r="S167" s="386"/>
      <c r="T167" s="386"/>
      <c r="U167" s="386"/>
      <c r="V167" s="386"/>
      <c r="W167" s="386"/>
      <c r="X167" s="386"/>
      <c r="Y167" s="386"/>
      <c r="Z167" s="386"/>
      <c r="AA167" s="386"/>
      <c r="AB167" s="386"/>
      <c r="AC167" s="70"/>
      <c r="AD167" s="70"/>
      <c r="AE167" s="70"/>
      <c r="AF167" s="70"/>
      <c r="AG167" s="70"/>
      <c r="AH167" s="70"/>
      <c r="AI167" s="70"/>
      <c r="AJ167" s="70"/>
      <c r="AK167" s="74"/>
    </row>
    <row r="168" spans="1:37" s="109" customFormat="1" ht="15" x14ac:dyDescent="0.2">
      <c r="A168" s="90">
        <f>Бюджет!A435</f>
        <v>0</v>
      </c>
      <c r="B168" s="60"/>
      <c r="C168" s="74"/>
      <c r="D168" s="74"/>
      <c r="E168" s="74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66">
        <f t="shared" ref="AJ168:AJ181" si="23">SUM(G168,I168:AI168)</f>
        <v>0</v>
      </c>
      <c r="AK168" s="74"/>
    </row>
    <row r="169" spans="1:37" s="109" customFormat="1" ht="30" x14ac:dyDescent="0.2">
      <c r="A169" s="90">
        <f>Бюджет!A435</f>
        <v>0</v>
      </c>
      <c r="B169" s="60" t="str">
        <f>Бюджет!B435</f>
        <v>Руководство программой магистрской подготовки</v>
      </c>
      <c r="C169" s="74">
        <f>Бюджет!C435</f>
        <v>1</v>
      </c>
      <c r="D169" s="74">
        <f>Бюджет!D435</f>
        <v>0</v>
      </c>
      <c r="E169" s="74">
        <f>Бюджет!E435</f>
        <v>0</v>
      </c>
      <c r="F169" s="70">
        <f>Бюджет!F435</f>
        <v>0</v>
      </c>
      <c r="G169" s="70">
        <f>Бюджет!G435</f>
        <v>0</v>
      </c>
      <c r="H169" s="70">
        <f>Бюджет!H435</f>
        <v>0</v>
      </c>
      <c r="I169" s="70">
        <f>Бюджет!I435</f>
        <v>0</v>
      </c>
      <c r="J169" s="70">
        <f>Бюджет!J435</f>
        <v>0</v>
      </c>
      <c r="K169" s="70">
        <f>Бюджет!K435</f>
        <v>0</v>
      </c>
      <c r="L169" s="70">
        <f>Бюджет!L435</f>
        <v>0</v>
      </c>
      <c r="M169" s="70">
        <f>Бюджет!M435</f>
        <v>0</v>
      </c>
      <c r="N169" s="70">
        <f>Бюджет!N435</f>
        <v>0</v>
      </c>
      <c r="O169" s="70">
        <f>Бюджет!O435</f>
        <v>0</v>
      </c>
      <c r="P169" s="70">
        <f>Бюджет!P435</f>
        <v>0</v>
      </c>
      <c r="Q169" s="70">
        <f>Бюджет!Q435</f>
        <v>0</v>
      </c>
      <c r="R169" s="70">
        <f>Бюджет!R435</f>
        <v>0</v>
      </c>
      <c r="S169" s="70">
        <f>Бюджет!S435</f>
        <v>0</v>
      </c>
      <c r="T169" s="70">
        <f>Бюджет!T435</f>
        <v>0</v>
      </c>
      <c r="U169" s="70">
        <f>Бюджет!U435</f>
        <v>0</v>
      </c>
      <c r="V169" s="70">
        <f>Бюджет!V435</f>
        <v>0</v>
      </c>
      <c r="W169" s="70">
        <f>Бюджет!W435</f>
        <v>0</v>
      </c>
      <c r="X169" s="70">
        <f>Бюджет!X435</f>
        <v>0</v>
      </c>
      <c r="Y169" s="70">
        <f>Бюджет!Y435</f>
        <v>0</v>
      </c>
      <c r="Z169" s="70">
        <f>Бюджет!Z435</f>
        <v>0</v>
      </c>
      <c r="AA169" s="70">
        <f>Бюджет!AA435</f>
        <v>0</v>
      </c>
      <c r="AB169" s="70">
        <f>Бюджет!AB435</f>
        <v>0</v>
      </c>
      <c r="AC169" s="70">
        <f>Бюджет!AC435</f>
        <v>0</v>
      </c>
      <c r="AD169" s="70">
        <f>Бюджет!AD435</f>
        <v>0</v>
      </c>
      <c r="AE169" s="70">
        <f>Бюджет!AE435</f>
        <v>30</v>
      </c>
      <c r="AF169" s="70">
        <f>Бюджет!AF435</f>
        <v>0</v>
      </c>
      <c r="AG169" s="70">
        <f>Бюджет!AG435</f>
        <v>0</v>
      </c>
      <c r="AH169" s="70">
        <f>Бюджет!AH435</f>
        <v>0</v>
      </c>
      <c r="AI169" s="70">
        <f>Бюджет!AI435</f>
        <v>0</v>
      </c>
      <c r="AJ169" s="66">
        <f t="shared" si="23"/>
        <v>30</v>
      </c>
      <c r="AK169" s="74"/>
    </row>
    <row r="170" spans="1:37" s="109" customFormat="1" ht="45" x14ac:dyDescent="0.2">
      <c r="A170" s="90" t="str">
        <f>Бюджет!A436</f>
        <v>Б1.О.01</v>
      </c>
      <c r="B170" s="60" t="str">
        <f>Бюджет!B436</f>
        <v>Управление исследовательской и проектной деятельностью (поток РФ, ФИЗ, НЭ маг)</v>
      </c>
      <c r="C170" s="74" t="str">
        <f>Бюджет!C436</f>
        <v>1\2</v>
      </c>
      <c r="D170" s="74">
        <f>Бюджет!D436</f>
        <v>5</v>
      </c>
      <c r="E170" s="74">
        <f>Бюджет!E436</f>
        <v>1</v>
      </c>
      <c r="F170" s="70">
        <f>Бюджет!F436</f>
        <v>20</v>
      </c>
      <c r="G170" s="70">
        <f>Бюджет!G436</f>
        <v>0</v>
      </c>
      <c r="H170" s="70">
        <f>Бюджет!H436</f>
        <v>20</v>
      </c>
      <c r="I170" s="70">
        <f>Бюджет!I436</f>
        <v>0</v>
      </c>
      <c r="J170" s="70">
        <f>Бюджет!J436</f>
        <v>0</v>
      </c>
      <c r="K170" s="70">
        <f>Бюджет!K436</f>
        <v>1.5</v>
      </c>
      <c r="L170" s="70">
        <f>Бюджет!L436</f>
        <v>0</v>
      </c>
      <c r="M170" s="70">
        <f>Бюджет!M436</f>
        <v>0</v>
      </c>
      <c r="N170" s="70">
        <f>Бюджет!N436</f>
        <v>0</v>
      </c>
      <c r="O170" s="70">
        <f>Бюджет!O436</f>
        <v>0</v>
      </c>
      <c r="P170" s="70">
        <f>Бюджет!P436</f>
        <v>0</v>
      </c>
      <c r="Q170" s="70">
        <f>Бюджет!Q436</f>
        <v>0</v>
      </c>
      <c r="R170" s="70">
        <f>Бюджет!R436</f>
        <v>0</v>
      </c>
      <c r="S170" s="70">
        <f>Бюджет!S436</f>
        <v>0</v>
      </c>
      <c r="T170" s="70">
        <f>Бюджет!T436</f>
        <v>0</v>
      </c>
      <c r="U170" s="70">
        <f>Бюджет!U436</f>
        <v>0</v>
      </c>
      <c r="V170" s="70">
        <f>Бюджет!V436</f>
        <v>0</v>
      </c>
      <c r="W170" s="70">
        <f>Бюджет!W436</f>
        <v>0</v>
      </c>
      <c r="X170" s="70">
        <f>Бюджет!X436</f>
        <v>0</v>
      </c>
      <c r="Y170" s="70">
        <f>Бюджет!Y436</f>
        <v>0</v>
      </c>
      <c r="Z170" s="70">
        <f>Бюджет!Z436</f>
        <v>0</v>
      </c>
      <c r="AA170" s="70">
        <f>Бюджет!AA436</f>
        <v>0</v>
      </c>
      <c r="AB170" s="70">
        <f>Бюджет!AB436</f>
        <v>0</v>
      </c>
      <c r="AC170" s="70">
        <f>Бюджет!AC436</f>
        <v>0</v>
      </c>
      <c r="AD170" s="70">
        <f>Бюджет!AD436</f>
        <v>0</v>
      </c>
      <c r="AE170" s="70">
        <f>Бюджет!AE436</f>
        <v>0</v>
      </c>
      <c r="AF170" s="70">
        <f>Бюджет!AF436</f>
        <v>0</v>
      </c>
      <c r="AG170" s="70">
        <f>Бюджет!AG436</f>
        <v>0</v>
      </c>
      <c r="AH170" s="70">
        <f>Бюджет!AH436</f>
        <v>0</v>
      </c>
      <c r="AI170" s="70">
        <f>Бюджет!AI436</f>
        <v>0</v>
      </c>
      <c r="AJ170" s="66">
        <f t="shared" si="23"/>
        <v>1.5</v>
      </c>
      <c r="AK170" s="74"/>
    </row>
    <row r="171" spans="1:37" s="109" customFormat="1" ht="30" x14ac:dyDescent="0.2">
      <c r="A171" s="90" t="str">
        <f>Бюджет!A437</f>
        <v>Б1.О.04</v>
      </c>
      <c r="B171" s="60" t="str">
        <f>Бюджет!B437</f>
        <v>Методы математического моделирования</v>
      </c>
      <c r="C171" s="74" t="str">
        <f>Бюджет!C437</f>
        <v>1\2</v>
      </c>
      <c r="D171" s="74">
        <f>Бюджет!D437</f>
        <v>5</v>
      </c>
      <c r="E171" s="74">
        <f>Бюджет!E437</f>
        <v>1</v>
      </c>
      <c r="F171" s="70">
        <f>Бюджет!F437</f>
        <v>0</v>
      </c>
      <c r="G171" s="70">
        <f>Бюджет!G437</f>
        <v>0</v>
      </c>
      <c r="H171" s="70">
        <f>Бюджет!H437</f>
        <v>40</v>
      </c>
      <c r="I171" s="70">
        <f>Бюджет!I437</f>
        <v>40</v>
      </c>
      <c r="J171" s="70">
        <f>Бюджет!J437</f>
        <v>0</v>
      </c>
      <c r="K171" s="70">
        <f>Бюджет!K437</f>
        <v>1.5</v>
      </c>
      <c r="L171" s="70">
        <f>Бюджет!L437</f>
        <v>0</v>
      </c>
      <c r="M171" s="70">
        <f>Бюджет!M437</f>
        <v>0</v>
      </c>
      <c r="N171" s="70">
        <f>Бюджет!N437</f>
        <v>0</v>
      </c>
      <c r="O171" s="70">
        <f>Бюджет!O437</f>
        <v>0</v>
      </c>
      <c r="P171" s="70">
        <f>Бюджет!P437</f>
        <v>0</v>
      </c>
      <c r="Q171" s="70">
        <f>Бюджет!Q437</f>
        <v>0</v>
      </c>
      <c r="R171" s="70">
        <f>Бюджет!R437</f>
        <v>0</v>
      </c>
      <c r="S171" s="70">
        <f>Бюджет!S437</f>
        <v>0</v>
      </c>
      <c r="T171" s="70">
        <f>Бюджет!T437</f>
        <v>0</v>
      </c>
      <c r="U171" s="70">
        <f>Бюджет!U437</f>
        <v>0</v>
      </c>
      <c r="V171" s="70">
        <f>Бюджет!V437</f>
        <v>0</v>
      </c>
      <c r="W171" s="70">
        <f>Бюджет!W437</f>
        <v>0</v>
      </c>
      <c r="X171" s="70">
        <f>Бюджет!X437</f>
        <v>0</v>
      </c>
      <c r="Y171" s="70">
        <f>Бюджет!Y437</f>
        <v>0</v>
      </c>
      <c r="Z171" s="70">
        <f>Бюджет!Z437</f>
        <v>0</v>
      </c>
      <c r="AA171" s="70">
        <f>Бюджет!AA437</f>
        <v>0</v>
      </c>
      <c r="AB171" s="70">
        <f>Бюджет!AB437</f>
        <v>0</v>
      </c>
      <c r="AC171" s="70">
        <f>Бюджет!AC437</f>
        <v>0</v>
      </c>
      <c r="AD171" s="70">
        <f>Бюджет!AD437</f>
        <v>0</v>
      </c>
      <c r="AE171" s="70">
        <f>Бюджет!AE437</f>
        <v>0</v>
      </c>
      <c r="AF171" s="70">
        <f>Бюджет!AF437</f>
        <v>0</v>
      </c>
      <c r="AG171" s="70">
        <f>Бюджет!AG437</f>
        <v>0</v>
      </c>
      <c r="AH171" s="70">
        <f>Бюджет!AH437</f>
        <v>0</v>
      </c>
      <c r="AI171" s="70">
        <f>Бюджет!AI437</f>
        <v>0</v>
      </c>
      <c r="AJ171" s="66">
        <f t="shared" si="23"/>
        <v>41.5</v>
      </c>
      <c r="AK171" s="74"/>
    </row>
    <row r="172" spans="1:37" s="109" customFormat="1" ht="15" x14ac:dyDescent="0.2">
      <c r="A172" s="90" t="str">
        <f>Бюджет!A438</f>
        <v>Б1.В.01</v>
      </c>
      <c r="B172" s="60" t="str">
        <f>Бюджет!B438</f>
        <v>Материалы наноэлектроники</v>
      </c>
      <c r="C172" s="74" t="str">
        <f>Бюджет!C438</f>
        <v>2\3</v>
      </c>
      <c r="D172" s="74">
        <f>Бюджет!D438</f>
        <v>5</v>
      </c>
      <c r="E172" s="74">
        <f>Бюджет!E438</f>
        <v>1</v>
      </c>
      <c r="F172" s="70">
        <f>Бюджет!F438</f>
        <v>72</v>
      </c>
      <c r="G172" s="70">
        <f>Бюджет!G438</f>
        <v>72</v>
      </c>
      <c r="H172" s="70">
        <f>Бюджет!H438</f>
        <v>0</v>
      </c>
      <c r="I172" s="70">
        <f>Бюджет!I438</f>
        <v>0</v>
      </c>
      <c r="J172" s="70">
        <f>Бюджет!J438</f>
        <v>90</v>
      </c>
      <c r="K172" s="70">
        <f>Бюджет!K438</f>
        <v>0</v>
      </c>
      <c r="L172" s="70">
        <f>Бюджет!L438</f>
        <v>0</v>
      </c>
      <c r="M172" s="70">
        <f>Бюджет!M438</f>
        <v>2</v>
      </c>
      <c r="N172" s="70">
        <f>Бюджет!N438</f>
        <v>0</v>
      </c>
      <c r="O172" s="70">
        <f>Бюджет!O438</f>
        <v>0</v>
      </c>
      <c r="P172" s="70">
        <f>Бюджет!P438</f>
        <v>0</v>
      </c>
      <c r="Q172" s="70">
        <f>Бюджет!Q438</f>
        <v>4.5999999999999996</v>
      </c>
      <c r="R172" s="70">
        <f>Бюджет!R438</f>
        <v>0</v>
      </c>
      <c r="S172" s="70">
        <f>Бюджет!S438</f>
        <v>0</v>
      </c>
      <c r="T172" s="70">
        <f>Бюджет!T438</f>
        <v>0</v>
      </c>
      <c r="U172" s="70">
        <f>Бюджет!U438</f>
        <v>0</v>
      </c>
      <c r="V172" s="70">
        <f>Бюджет!V438</f>
        <v>0</v>
      </c>
      <c r="W172" s="70">
        <f>Бюджет!W438</f>
        <v>0</v>
      </c>
      <c r="X172" s="70">
        <f>Бюджет!X438</f>
        <v>0</v>
      </c>
      <c r="Y172" s="70">
        <f>Бюджет!Y438</f>
        <v>0</v>
      </c>
      <c r="Z172" s="70">
        <f>Бюджет!Z438</f>
        <v>0</v>
      </c>
      <c r="AA172" s="70">
        <f>Бюджет!AA438</f>
        <v>0</v>
      </c>
      <c r="AB172" s="70">
        <f>Бюджет!AB438</f>
        <v>0</v>
      </c>
      <c r="AC172" s="70">
        <f>Бюджет!AC438</f>
        <v>0</v>
      </c>
      <c r="AD172" s="70">
        <f>Бюджет!AD438</f>
        <v>0</v>
      </c>
      <c r="AE172" s="70">
        <f>Бюджет!AE438</f>
        <v>0</v>
      </c>
      <c r="AF172" s="70">
        <f>Бюджет!AF438</f>
        <v>0</v>
      </c>
      <c r="AG172" s="70">
        <f>Бюджет!AG438</f>
        <v>0</v>
      </c>
      <c r="AH172" s="70">
        <f>Бюджет!AH438</f>
        <v>0</v>
      </c>
      <c r="AI172" s="70">
        <f>Бюджет!AI438</f>
        <v>0</v>
      </c>
      <c r="AJ172" s="66">
        <f t="shared" si="23"/>
        <v>168.6</v>
      </c>
      <c r="AK172" s="74"/>
    </row>
    <row r="173" spans="1:37" s="109" customFormat="1" ht="30" x14ac:dyDescent="0.2">
      <c r="A173" s="90" t="str">
        <f>Бюджет!A439</f>
        <v>Б1.О.05</v>
      </c>
      <c r="B173" s="60" t="str">
        <f>Бюджет!B439</f>
        <v>Практикум по диагностике материалов электроники</v>
      </c>
      <c r="C173" s="74" t="str">
        <f>Бюджет!C439</f>
        <v>1\2</v>
      </c>
      <c r="D173" s="74">
        <f>Бюджет!D439</f>
        <v>5</v>
      </c>
      <c r="E173" s="74">
        <f>Бюджет!E439</f>
        <v>1</v>
      </c>
      <c r="F173" s="70">
        <f>Бюджет!F439</f>
        <v>0</v>
      </c>
      <c r="G173" s="70">
        <f>Бюджет!G439</f>
        <v>0</v>
      </c>
      <c r="H173" s="70">
        <f>Бюджет!H439</f>
        <v>0</v>
      </c>
      <c r="I173" s="70">
        <f>Бюджет!I439</f>
        <v>0</v>
      </c>
      <c r="J173" s="70">
        <f>Бюджет!J439</f>
        <v>40</v>
      </c>
      <c r="K173" s="70">
        <f>Бюджет!K439</f>
        <v>1.5</v>
      </c>
      <c r="L173" s="70">
        <f>Бюджет!L439</f>
        <v>0</v>
      </c>
      <c r="M173" s="70">
        <f>Бюджет!M439</f>
        <v>0</v>
      </c>
      <c r="N173" s="70">
        <f>Бюджет!N439</f>
        <v>0</v>
      </c>
      <c r="O173" s="70">
        <f>Бюджет!O439</f>
        <v>0</v>
      </c>
      <c r="P173" s="70">
        <f>Бюджет!P439</f>
        <v>0</v>
      </c>
      <c r="Q173" s="70">
        <f>Бюджет!Q439</f>
        <v>0</v>
      </c>
      <c r="R173" s="70">
        <f>Бюджет!R439</f>
        <v>0</v>
      </c>
      <c r="S173" s="70">
        <f>Бюджет!S439</f>
        <v>0</v>
      </c>
      <c r="T173" s="70">
        <f>Бюджет!T439</f>
        <v>0</v>
      </c>
      <c r="U173" s="70">
        <f>Бюджет!U439</f>
        <v>0</v>
      </c>
      <c r="V173" s="70">
        <f>Бюджет!V439</f>
        <v>0</v>
      </c>
      <c r="W173" s="70">
        <f>Бюджет!W439</f>
        <v>0</v>
      </c>
      <c r="X173" s="70">
        <f>Бюджет!X439</f>
        <v>0</v>
      </c>
      <c r="Y173" s="70">
        <f>Бюджет!Y439</f>
        <v>0</v>
      </c>
      <c r="Z173" s="70">
        <f>Бюджет!Z439</f>
        <v>0</v>
      </c>
      <c r="AA173" s="70">
        <f>Бюджет!AA439</f>
        <v>0</v>
      </c>
      <c r="AB173" s="70">
        <f>Бюджет!AB439</f>
        <v>0</v>
      </c>
      <c r="AC173" s="70">
        <f>Бюджет!AC439</f>
        <v>0</v>
      </c>
      <c r="AD173" s="70">
        <f>Бюджет!AD439</f>
        <v>0</v>
      </c>
      <c r="AE173" s="70">
        <f>Бюджет!AE439</f>
        <v>0</v>
      </c>
      <c r="AF173" s="70">
        <f>Бюджет!AF439</f>
        <v>0</v>
      </c>
      <c r="AG173" s="70">
        <f>Бюджет!AG439</f>
        <v>0</v>
      </c>
      <c r="AH173" s="70">
        <f>Бюджет!AH439</f>
        <v>0</v>
      </c>
      <c r="AI173" s="70">
        <f>Бюджет!AI439</f>
        <v>0</v>
      </c>
      <c r="AJ173" s="66">
        <f t="shared" si="23"/>
        <v>41.5</v>
      </c>
      <c r="AK173" s="74"/>
    </row>
    <row r="174" spans="1:37" s="109" customFormat="1" ht="30" x14ac:dyDescent="0.2">
      <c r="A174" s="90" t="str">
        <f>Бюджет!A440</f>
        <v>Б1.О.06</v>
      </c>
      <c r="B174" s="60" t="str">
        <f>Бюджет!B440</f>
        <v>Современные направления развития физического материаловедения</v>
      </c>
      <c r="C174" s="74" t="str">
        <f>Бюджет!C440</f>
        <v>1\1</v>
      </c>
      <c r="D174" s="74">
        <f>Бюджет!D440</f>
        <v>5</v>
      </c>
      <c r="E174" s="74">
        <f>Бюджет!E440</f>
        <v>1</v>
      </c>
      <c r="F174" s="70">
        <f>Бюджет!F440</f>
        <v>36</v>
      </c>
      <c r="G174" s="70">
        <f>Бюджет!G440</f>
        <v>36</v>
      </c>
      <c r="H174" s="70">
        <f>Бюджет!H440</f>
        <v>36</v>
      </c>
      <c r="I174" s="70">
        <f>Бюджет!I440</f>
        <v>36</v>
      </c>
      <c r="J174" s="70">
        <f>Бюджет!J440</f>
        <v>0</v>
      </c>
      <c r="K174" s="70">
        <f>Бюджет!K440</f>
        <v>0</v>
      </c>
      <c r="L174" s="70">
        <f>Бюджет!L440</f>
        <v>0</v>
      </c>
      <c r="M174" s="70">
        <f>Бюджет!M440</f>
        <v>2</v>
      </c>
      <c r="N174" s="70">
        <f>Бюджет!N440</f>
        <v>0</v>
      </c>
      <c r="O174" s="70">
        <f>Бюджет!O440</f>
        <v>0</v>
      </c>
      <c r="P174" s="70">
        <f>Бюджет!P440</f>
        <v>0</v>
      </c>
      <c r="Q174" s="70">
        <f>Бюджет!Q440</f>
        <v>2.8</v>
      </c>
      <c r="R174" s="70">
        <f>Бюджет!R440</f>
        <v>0</v>
      </c>
      <c r="S174" s="70">
        <f>Бюджет!S440</f>
        <v>0</v>
      </c>
      <c r="T174" s="70">
        <f>Бюджет!T440</f>
        <v>0</v>
      </c>
      <c r="U174" s="70">
        <f>Бюджет!U440</f>
        <v>0</v>
      </c>
      <c r="V174" s="70">
        <f>Бюджет!V440</f>
        <v>0</v>
      </c>
      <c r="W174" s="70">
        <f>Бюджет!W440</f>
        <v>0</v>
      </c>
      <c r="X174" s="70">
        <f>Бюджет!X440</f>
        <v>0</v>
      </c>
      <c r="Y174" s="70">
        <f>Бюджет!Y440</f>
        <v>0</v>
      </c>
      <c r="Z174" s="70">
        <f>Бюджет!Z440</f>
        <v>0</v>
      </c>
      <c r="AA174" s="70">
        <f>Бюджет!AA440</f>
        <v>0</v>
      </c>
      <c r="AB174" s="70">
        <f>Бюджет!AB440</f>
        <v>0</v>
      </c>
      <c r="AC174" s="70">
        <f>Бюджет!AC440</f>
        <v>0</v>
      </c>
      <c r="AD174" s="70">
        <f>Бюджет!AD440</f>
        <v>0</v>
      </c>
      <c r="AE174" s="70">
        <f>Бюджет!AE440</f>
        <v>0</v>
      </c>
      <c r="AF174" s="70">
        <f>Бюджет!AF440</f>
        <v>0</v>
      </c>
      <c r="AG174" s="70">
        <f>Бюджет!AG440</f>
        <v>0</v>
      </c>
      <c r="AH174" s="70">
        <f>Бюджет!AH440</f>
        <v>0</v>
      </c>
      <c r="AI174" s="70">
        <f>Бюджет!AI440</f>
        <v>0</v>
      </c>
      <c r="AJ174" s="66">
        <f t="shared" si="23"/>
        <v>76.8</v>
      </c>
      <c r="AK174" s="74"/>
    </row>
    <row r="175" spans="1:37" s="109" customFormat="1" ht="15" x14ac:dyDescent="0.2">
      <c r="A175" s="90" t="str">
        <f>Бюджет!A441</f>
        <v>Б1.О.07</v>
      </c>
      <c r="B175" s="60" t="str">
        <f>Бюджет!B441</f>
        <v>Высокорезистивные материалы</v>
      </c>
      <c r="C175" s="74" t="str">
        <f>Бюджет!C441</f>
        <v>1\2</v>
      </c>
      <c r="D175" s="74">
        <f>Бюджет!D441</f>
        <v>5</v>
      </c>
      <c r="E175" s="74">
        <f>Бюджет!E441</f>
        <v>1</v>
      </c>
      <c r="F175" s="70">
        <f>Бюджет!F441</f>
        <v>40</v>
      </c>
      <c r="G175" s="70">
        <f>Бюджет!G441</f>
        <v>40</v>
      </c>
      <c r="H175" s="70">
        <f>Бюджет!H441</f>
        <v>20</v>
      </c>
      <c r="I175" s="70">
        <f>Бюджет!I441</f>
        <v>20</v>
      </c>
      <c r="J175" s="70">
        <f>Бюджет!J441</f>
        <v>0</v>
      </c>
      <c r="K175" s="70">
        <f>Бюджет!K441</f>
        <v>0</v>
      </c>
      <c r="L175" s="70">
        <f>Бюджет!L441</f>
        <v>0</v>
      </c>
      <c r="M175" s="70">
        <f>Бюджет!M441</f>
        <v>2</v>
      </c>
      <c r="N175" s="70">
        <f>Бюджет!N441</f>
        <v>0</v>
      </c>
      <c r="O175" s="70">
        <f>Бюджет!O441</f>
        <v>0</v>
      </c>
      <c r="P175" s="70">
        <f>Бюджет!P441</f>
        <v>0</v>
      </c>
      <c r="Q175" s="70">
        <f>Бюджет!Q441</f>
        <v>3</v>
      </c>
      <c r="R175" s="70">
        <f>Бюджет!R441</f>
        <v>0</v>
      </c>
      <c r="S175" s="70">
        <f>Бюджет!S441</f>
        <v>0</v>
      </c>
      <c r="T175" s="70">
        <f>Бюджет!T441</f>
        <v>0</v>
      </c>
      <c r="U175" s="70">
        <f>Бюджет!U441</f>
        <v>0</v>
      </c>
      <c r="V175" s="70">
        <f>Бюджет!V441</f>
        <v>0</v>
      </c>
      <c r="W175" s="70">
        <f>Бюджет!W441</f>
        <v>0</v>
      </c>
      <c r="X175" s="70">
        <f>Бюджет!X441</f>
        <v>0</v>
      </c>
      <c r="Y175" s="70">
        <f>Бюджет!Y441</f>
        <v>0</v>
      </c>
      <c r="Z175" s="70">
        <f>Бюджет!Z441</f>
        <v>0</v>
      </c>
      <c r="AA175" s="70">
        <f>Бюджет!AA441</f>
        <v>0</v>
      </c>
      <c r="AB175" s="70">
        <f>Бюджет!AB441</f>
        <v>0</v>
      </c>
      <c r="AC175" s="70">
        <f>Бюджет!AC441</f>
        <v>0</v>
      </c>
      <c r="AD175" s="70">
        <f>Бюджет!AD441</f>
        <v>0</v>
      </c>
      <c r="AE175" s="70">
        <f>Бюджет!AE441</f>
        <v>0</v>
      </c>
      <c r="AF175" s="70">
        <f>Бюджет!AF441</f>
        <v>0</v>
      </c>
      <c r="AG175" s="70">
        <f>Бюджет!AG441</f>
        <v>0</v>
      </c>
      <c r="AH175" s="70">
        <f>Бюджет!AH441</f>
        <v>0</v>
      </c>
      <c r="AI175" s="70">
        <f>Бюджет!AI441</f>
        <v>0</v>
      </c>
      <c r="AJ175" s="66">
        <f t="shared" si="23"/>
        <v>65</v>
      </c>
      <c r="AK175" s="74"/>
    </row>
    <row r="176" spans="1:37" s="109" customFormat="1" ht="15" x14ac:dyDescent="0.2">
      <c r="A176" s="90" t="str">
        <f>Бюджет!A442</f>
        <v>Б1.О.08</v>
      </c>
      <c r="B176" s="60" t="str">
        <f>Бюджет!B442</f>
        <v>Процессы микро- и нанотехнологий</v>
      </c>
      <c r="C176" s="74" t="str">
        <f>Бюджет!C442</f>
        <v>1\1</v>
      </c>
      <c r="D176" s="74">
        <f>Бюджет!D442</f>
        <v>5</v>
      </c>
      <c r="E176" s="74">
        <f>Бюджет!E442</f>
        <v>1</v>
      </c>
      <c r="F176" s="70">
        <f>Бюджет!F442</f>
        <v>36</v>
      </c>
      <c r="G176" s="70">
        <f>Бюджет!G442</f>
        <v>36</v>
      </c>
      <c r="H176" s="70">
        <f>Бюджет!H442</f>
        <v>36</v>
      </c>
      <c r="I176" s="70">
        <f>Бюджет!I442</f>
        <v>36</v>
      </c>
      <c r="J176" s="70">
        <f>Бюджет!J442</f>
        <v>0</v>
      </c>
      <c r="K176" s="70">
        <f>Бюджет!K442</f>
        <v>0</v>
      </c>
      <c r="L176" s="70">
        <f>Бюджет!L442</f>
        <v>0</v>
      </c>
      <c r="M176" s="70">
        <f>Бюджет!M442</f>
        <v>2</v>
      </c>
      <c r="N176" s="70">
        <f>Бюджет!N442</f>
        <v>0</v>
      </c>
      <c r="O176" s="70">
        <f>Бюджет!O442</f>
        <v>0</v>
      </c>
      <c r="P176" s="70">
        <f>Бюджет!P442</f>
        <v>0</v>
      </c>
      <c r="Q176" s="70">
        <f>Бюджет!Q442</f>
        <v>2.8</v>
      </c>
      <c r="R176" s="70">
        <f>Бюджет!R442</f>
        <v>0</v>
      </c>
      <c r="S176" s="70">
        <f>Бюджет!S442</f>
        <v>0</v>
      </c>
      <c r="T176" s="70">
        <f>Бюджет!T442</f>
        <v>0</v>
      </c>
      <c r="U176" s="70">
        <f>Бюджет!U442</f>
        <v>0</v>
      </c>
      <c r="V176" s="70">
        <f>Бюджет!V442</f>
        <v>0</v>
      </c>
      <c r="W176" s="70">
        <f>Бюджет!W442</f>
        <v>0</v>
      </c>
      <c r="X176" s="70">
        <f>Бюджет!X442</f>
        <v>0</v>
      </c>
      <c r="Y176" s="70">
        <f>Бюджет!Y442</f>
        <v>0</v>
      </c>
      <c r="Z176" s="70">
        <f>Бюджет!Z442</f>
        <v>0</v>
      </c>
      <c r="AA176" s="70">
        <f>Бюджет!AA442</f>
        <v>0</v>
      </c>
      <c r="AB176" s="70">
        <f>Бюджет!AB442</f>
        <v>0</v>
      </c>
      <c r="AC176" s="70">
        <f>Бюджет!AC442</f>
        <v>0</v>
      </c>
      <c r="AD176" s="70">
        <f>Бюджет!AD442</f>
        <v>0</v>
      </c>
      <c r="AE176" s="70">
        <f>Бюджет!AE442</f>
        <v>0</v>
      </c>
      <c r="AF176" s="70">
        <f>Бюджет!AF442</f>
        <v>0</v>
      </c>
      <c r="AG176" s="70">
        <f>Бюджет!AG442</f>
        <v>0</v>
      </c>
      <c r="AH176" s="70">
        <f>Бюджет!AH442</f>
        <v>0</v>
      </c>
      <c r="AI176" s="70">
        <f>Бюджет!AI442</f>
        <v>0</v>
      </c>
      <c r="AJ176" s="66">
        <f t="shared" si="23"/>
        <v>76.8</v>
      </c>
      <c r="AK176" s="74"/>
    </row>
    <row r="177" spans="1:37" s="109" customFormat="1" ht="45" x14ac:dyDescent="0.2">
      <c r="A177" s="90" t="str">
        <f>Бюджет!A443</f>
        <v>Б1.О.09</v>
      </c>
      <c r="B177" s="60" t="str">
        <f>Бюджет!B443</f>
        <v>Организация мероприятий метрологического обеспечениения средств измерений</v>
      </c>
      <c r="C177" s="74" t="str">
        <f>Бюджет!C443</f>
        <v>1\2</v>
      </c>
      <c r="D177" s="74">
        <f>Бюджет!D443</f>
        <v>5</v>
      </c>
      <c r="E177" s="74">
        <f>Бюджет!E443</f>
        <v>1</v>
      </c>
      <c r="F177" s="70">
        <f>Бюджет!F443</f>
        <v>40</v>
      </c>
      <c r="G177" s="70">
        <f>Бюджет!G443</f>
        <v>40</v>
      </c>
      <c r="H177" s="70">
        <f>Бюджет!H443</f>
        <v>40</v>
      </c>
      <c r="I177" s="70">
        <f>Бюджет!I443</f>
        <v>40</v>
      </c>
      <c r="J177" s="70">
        <f>Бюджет!J443</f>
        <v>0</v>
      </c>
      <c r="K177" s="70">
        <f>Бюджет!K443</f>
        <v>0</v>
      </c>
      <c r="L177" s="70">
        <f>Бюджет!L443</f>
        <v>0</v>
      </c>
      <c r="M177" s="70">
        <f>Бюджет!M443</f>
        <v>2</v>
      </c>
      <c r="N177" s="70">
        <f>Бюджет!N443</f>
        <v>0</v>
      </c>
      <c r="O177" s="70">
        <f>Бюджет!O443</f>
        <v>0</v>
      </c>
      <c r="P177" s="70">
        <f>Бюджет!P443</f>
        <v>0</v>
      </c>
      <c r="Q177" s="70">
        <f>Бюджет!Q443</f>
        <v>3</v>
      </c>
      <c r="R177" s="70">
        <f>Бюджет!R443</f>
        <v>0</v>
      </c>
      <c r="S177" s="70">
        <f>Бюджет!S443</f>
        <v>0</v>
      </c>
      <c r="T177" s="70">
        <f>Бюджет!T443</f>
        <v>0</v>
      </c>
      <c r="U177" s="70">
        <f>Бюджет!U443</f>
        <v>0</v>
      </c>
      <c r="V177" s="70">
        <f>Бюджет!V443</f>
        <v>0</v>
      </c>
      <c r="W177" s="70">
        <f>Бюджет!W443</f>
        <v>0</v>
      </c>
      <c r="X177" s="70">
        <f>Бюджет!X443</f>
        <v>0</v>
      </c>
      <c r="Y177" s="70">
        <f>Бюджет!Y443</f>
        <v>0</v>
      </c>
      <c r="Z177" s="70">
        <f>Бюджет!Z443</f>
        <v>0</v>
      </c>
      <c r="AA177" s="70">
        <f>Бюджет!AA443</f>
        <v>0</v>
      </c>
      <c r="AB177" s="70">
        <f>Бюджет!AB443</f>
        <v>0</v>
      </c>
      <c r="AC177" s="70">
        <f>Бюджет!AC443</f>
        <v>0</v>
      </c>
      <c r="AD177" s="70">
        <f>Бюджет!AD443</f>
        <v>0</v>
      </c>
      <c r="AE177" s="70">
        <f>Бюджет!AE443</f>
        <v>0</v>
      </c>
      <c r="AF177" s="70">
        <f>Бюджет!AF443</f>
        <v>0</v>
      </c>
      <c r="AG177" s="70">
        <f>Бюджет!AG443</f>
        <v>0</v>
      </c>
      <c r="AH177" s="70">
        <f>Бюджет!AH443</f>
        <v>0</v>
      </c>
      <c r="AI177" s="70">
        <f>Бюджет!AI443</f>
        <v>0</v>
      </c>
      <c r="AJ177" s="66">
        <f t="shared" si="23"/>
        <v>85</v>
      </c>
      <c r="AK177" s="74"/>
    </row>
    <row r="178" spans="1:37" s="109" customFormat="1" ht="30" x14ac:dyDescent="0.2">
      <c r="A178" s="90" t="str">
        <f>Бюджет!A445</f>
        <v>Б1.В.03</v>
      </c>
      <c r="B178" s="60" t="str">
        <f>Бюджет!B445</f>
        <v>Методы исследования материалов и структур электроники</v>
      </c>
      <c r="C178" s="74" t="str">
        <f>Бюджет!C445</f>
        <v>1\1</v>
      </c>
      <c r="D178" s="74">
        <f>Бюджет!D445</f>
        <v>5</v>
      </c>
      <c r="E178" s="74">
        <f>Бюджет!E445</f>
        <v>1</v>
      </c>
      <c r="F178" s="70">
        <f>Бюджет!F445</f>
        <v>36</v>
      </c>
      <c r="G178" s="70">
        <f>Бюджет!G445</f>
        <v>36</v>
      </c>
      <c r="H178" s="70">
        <f>Бюджет!H445</f>
        <v>36</v>
      </c>
      <c r="I178" s="70">
        <f>Бюджет!I445</f>
        <v>36</v>
      </c>
      <c r="J178" s="70">
        <f>Бюджет!J445</f>
        <v>0</v>
      </c>
      <c r="K178" s="70">
        <f>Бюджет!K445</f>
        <v>1.5</v>
      </c>
      <c r="L178" s="70">
        <f>Бюджет!L445</f>
        <v>0</v>
      </c>
      <c r="M178" s="70">
        <f>Бюджет!M445</f>
        <v>0</v>
      </c>
      <c r="N178" s="70">
        <f>Бюджет!N445</f>
        <v>0</v>
      </c>
      <c r="O178" s="70">
        <f>Бюджет!O445</f>
        <v>0</v>
      </c>
      <c r="P178" s="70">
        <f>Бюджет!P445</f>
        <v>0</v>
      </c>
      <c r="Q178" s="70">
        <f>Бюджет!Q445</f>
        <v>1.8</v>
      </c>
      <c r="R178" s="70">
        <f>Бюджет!R445</f>
        <v>0</v>
      </c>
      <c r="S178" s="70">
        <f>Бюджет!S445</f>
        <v>0</v>
      </c>
      <c r="T178" s="70">
        <f>Бюджет!T445</f>
        <v>0</v>
      </c>
      <c r="U178" s="70">
        <f>Бюджет!U445</f>
        <v>0</v>
      </c>
      <c r="V178" s="70">
        <f>Бюджет!V445</f>
        <v>0</v>
      </c>
      <c r="W178" s="70">
        <f>Бюджет!W445</f>
        <v>0</v>
      </c>
      <c r="X178" s="70">
        <f>Бюджет!X445</f>
        <v>0</v>
      </c>
      <c r="Y178" s="70">
        <f>Бюджет!Y445</f>
        <v>0</v>
      </c>
      <c r="Z178" s="70">
        <f>Бюджет!Z445</f>
        <v>0</v>
      </c>
      <c r="AA178" s="70">
        <f>Бюджет!AA445</f>
        <v>0</v>
      </c>
      <c r="AB178" s="70">
        <f>Бюджет!AB445</f>
        <v>0</v>
      </c>
      <c r="AC178" s="70">
        <f>Бюджет!AC445</f>
        <v>0</v>
      </c>
      <c r="AD178" s="70">
        <f>Бюджет!AD445</f>
        <v>0</v>
      </c>
      <c r="AE178" s="70">
        <f>Бюджет!AE445</f>
        <v>0</v>
      </c>
      <c r="AF178" s="70">
        <f>Бюджет!AF445</f>
        <v>0</v>
      </c>
      <c r="AG178" s="70">
        <f>Бюджет!AG445</f>
        <v>0</v>
      </c>
      <c r="AH178" s="70">
        <f>Бюджет!AH445</f>
        <v>0</v>
      </c>
      <c r="AI178" s="70">
        <f>Бюджет!AI445</f>
        <v>0</v>
      </c>
      <c r="AJ178" s="66">
        <f t="shared" si="23"/>
        <v>75.3</v>
      </c>
      <c r="AK178" s="74"/>
    </row>
    <row r="179" spans="1:37" s="109" customFormat="1" ht="15" x14ac:dyDescent="0.2">
      <c r="A179" s="90" t="str">
        <f>Бюджет!A446</f>
        <v>Б1.В.04</v>
      </c>
      <c r="B179" s="60" t="str">
        <f>Бюджет!B446</f>
        <v>Введение в нанотехнологии</v>
      </c>
      <c r="C179" s="74" t="str">
        <f>Бюджет!C446</f>
        <v>1\1</v>
      </c>
      <c r="D179" s="74">
        <f>Бюджет!D446</f>
        <v>5</v>
      </c>
      <c r="E179" s="74">
        <f>Бюджет!E446</f>
        <v>1</v>
      </c>
      <c r="F179" s="70">
        <f>Бюджет!F446</f>
        <v>18</v>
      </c>
      <c r="G179" s="70">
        <f>Бюджет!G446</f>
        <v>18</v>
      </c>
      <c r="H179" s="70">
        <f>Бюджет!H446</f>
        <v>18</v>
      </c>
      <c r="I179" s="70">
        <f>Бюджет!I446</f>
        <v>18</v>
      </c>
      <c r="J179" s="70">
        <f>Бюджет!J446</f>
        <v>0</v>
      </c>
      <c r="K179" s="70">
        <f>Бюджет!K446</f>
        <v>1.5</v>
      </c>
      <c r="L179" s="70">
        <f>Бюджет!L446</f>
        <v>0</v>
      </c>
      <c r="M179" s="70">
        <f>Бюджет!M446</f>
        <v>0</v>
      </c>
      <c r="N179" s="70">
        <f>Бюджет!N446</f>
        <v>0</v>
      </c>
      <c r="O179" s="70">
        <f>Бюджет!O446</f>
        <v>0</v>
      </c>
      <c r="P179" s="70">
        <f>Бюджет!P446</f>
        <v>0</v>
      </c>
      <c r="Q179" s="70">
        <f>Бюджет!Q446</f>
        <v>0.9</v>
      </c>
      <c r="R179" s="70">
        <f>Бюджет!R446</f>
        <v>0</v>
      </c>
      <c r="S179" s="70">
        <f>Бюджет!S446</f>
        <v>0</v>
      </c>
      <c r="T179" s="70">
        <f>Бюджет!T446</f>
        <v>0</v>
      </c>
      <c r="U179" s="70">
        <f>Бюджет!U446</f>
        <v>0</v>
      </c>
      <c r="V179" s="70">
        <f>Бюджет!V446</f>
        <v>0</v>
      </c>
      <c r="W179" s="70">
        <f>Бюджет!W446</f>
        <v>0</v>
      </c>
      <c r="X179" s="70">
        <f>Бюджет!X446</f>
        <v>0</v>
      </c>
      <c r="Y179" s="70">
        <f>Бюджет!Y446</f>
        <v>0</v>
      </c>
      <c r="Z179" s="70">
        <f>Бюджет!Z446</f>
        <v>0</v>
      </c>
      <c r="AA179" s="70">
        <f>Бюджет!AA446</f>
        <v>0</v>
      </c>
      <c r="AB179" s="70">
        <f>Бюджет!AB446</f>
        <v>0</v>
      </c>
      <c r="AC179" s="70">
        <f>Бюджет!AC446</f>
        <v>0</v>
      </c>
      <c r="AD179" s="70">
        <f>Бюджет!AD446</f>
        <v>0</v>
      </c>
      <c r="AE179" s="70">
        <f>Бюджет!AE446</f>
        <v>0</v>
      </c>
      <c r="AF179" s="70">
        <f>Бюджет!AF446</f>
        <v>0</v>
      </c>
      <c r="AG179" s="70">
        <f>Бюджет!AG446</f>
        <v>0</v>
      </c>
      <c r="AH179" s="70">
        <f>Бюджет!AH446</f>
        <v>0</v>
      </c>
      <c r="AI179" s="70">
        <f>Бюджет!AI446</f>
        <v>0</v>
      </c>
      <c r="AJ179" s="66">
        <f t="shared" si="23"/>
        <v>38.4</v>
      </c>
      <c r="AK179" s="74"/>
    </row>
    <row r="180" spans="1:37" s="109" customFormat="1" ht="60" x14ac:dyDescent="0.2">
      <c r="A180" s="90" t="str">
        <f>Бюджет!A448</f>
        <v>Б1.В.06</v>
      </c>
      <c r="B180" s="60" t="str">
        <f>Бюджет!B448</f>
        <v>Организация и контроль процессов измерений параметров и модификации свойств наноматериалов  и наноструктур</v>
      </c>
      <c r="C180" s="74" t="str">
        <f>Бюджет!C448</f>
        <v>1\2</v>
      </c>
      <c r="D180" s="74">
        <f>Бюджет!D448</f>
        <v>5</v>
      </c>
      <c r="E180" s="74">
        <f>Бюджет!E448</f>
        <v>1</v>
      </c>
      <c r="F180" s="70">
        <f>Бюджет!F448</f>
        <v>40</v>
      </c>
      <c r="G180" s="70">
        <f>Бюджет!G448</f>
        <v>40</v>
      </c>
      <c r="H180" s="70">
        <f>Бюджет!H448</f>
        <v>0</v>
      </c>
      <c r="I180" s="70">
        <f>Бюджет!I448</f>
        <v>0</v>
      </c>
      <c r="J180" s="70">
        <f>Бюджет!J448</f>
        <v>40</v>
      </c>
      <c r="K180" s="70">
        <f>Бюджет!K448</f>
        <v>1.5</v>
      </c>
      <c r="L180" s="70">
        <f>Бюджет!L448</f>
        <v>0</v>
      </c>
      <c r="M180" s="70">
        <f>Бюджет!M448</f>
        <v>0</v>
      </c>
      <c r="N180" s="70">
        <f>Бюджет!N448</f>
        <v>0</v>
      </c>
      <c r="O180" s="70">
        <f>Бюджет!O448</f>
        <v>0</v>
      </c>
      <c r="P180" s="70">
        <f>Бюджет!P448</f>
        <v>0</v>
      </c>
      <c r="Q180" s="70">
        <f>Бюджет!Q448</f>
        <v>2</v>
      </c>
      <c r="R180" s="70">
        <f>Бюджет!R448</f>
        <v>0</v>
      </c>
      <c r="S180" s="70">
        <f>Бюджет!S448</f>
        <v>0</v>
      </c>
      <c r="T180" s="70">
        <f>Бюджет!T448</f>
        <v>0</v>
      </c>
      <c r="U180" s="70">
        <f>Бюджет!U448</f>
        <v>0</v>
      </c>
      <c r="V180" s="70">
        <f>Бюджет!V448</f>
        <v>0</v>
      </c>
      <c r="W180" s="70">
        <f>Бюджет!W448</f>
        <v>0</v>
      </c>
      <c r="X180" s="70">
        <f>Бюджет!X448</f>
        <v>0</v>
      </c>
      <c r="Y180" s="70">
        <f>Бюджет!Y448</f>
        <v>0</v>
      </c>
      <c r="Z180" s="70">
        <f>Бюджет!Z448</f>
        <v>0</v>
      </c>
      <c r="AA180" s="70">
        <f>Бюджет!AA448</f>
        <v>0</v>
      </c>
      <c r="AB180" s="70">
        <f>Бюджет!AB448</f>
        <v>0</v>
      </c>
      <c r="AC180" s="70">
        <f>Бюджет!AC448</f>
        <v>0</v>
      </c>
      <c r="AD180" s="70">
        <f>Бюджет!AD448</f>
        <v>0</v>
      </c>
      <c r="AE180" s="70">
        <f>Бюджет!AE448</f>
        <v>0</v>
      </c>
      <c r="AF180" s="70">
        <f>Бюджет!AF448</f>
        <v>0</v>
      </c>
      <c r="AG180" s="70">
        <f>Бюджет!AG448</f>
        <v>0</v>
      </c>
      <c r="AH180" s="70">
        <f>Бюджет!AH448</f>
        <v>0</v>
      </c>
      <c r="AI180" s="70">
        <f>Бюджет!AI448</f>
        <v>0</v>
      </c>
      <c r="AJ180" s="66">
        <f t="shared" si="23"/>
        <v>83.5</v>
      </c>
      <c r="AK180" s="74"/>
    </row>
    <row r="181" spans="1:37" s="109" customFormat="1" ht="45" x14ac:dyDescent="0.2">
      <c r="A181" s="90" t="str">
        <f>Бюджет!A449</f>
        <v>Б2.О.01(У)</v>
      </c>
      <c r="B181" s="60" t="str">
        <f>Бюджет!B449</f>
        <v>Научно-исследовательская работа (получение первичных навыков научно-исследовательской работы)</v>
      </c>
      <c r="C181" s="74" t="str">
        <f>Бюджет!C449</f>
        <v>1\2</v>
      </c>
      <c r="D181" s="74">
        <f>Бюджет!D449</f>
        <v>5</v>
      </c>
      <c r="E181" s="74">
        <f>Бюджет!E449</f>
        <v>1</v>
      </c>
      <c r="F181" s="70">
        <f>Бюджет!F449</f>
        <v>0</v>
      </c>
      <c r="G181" s="70">
        <f>Бюджет!G449</f>
        <v>0</v>
      </c>
      <c r="H181" s="70">
        <f>Бюджет!H449</f>
        <v>20</v>
      </c>
      <c r="I181" s="70">
        <f>Бюджет!I449</f>
        <v>20</v>
      </c>
      <c r="J181" s="70">
        <f>Бюджет!J449</f>
        <v>0</v>
      </c>
      <c r="K181" s="70">
        <f>Бюджет!K449</f>
        <v>1.5</v>
      </c>
      <c r="L181" s="70">
        <f>Бюджет!L449</f>
        <v>0</v>
      </c>
      <c r="M181" s="70">
        <f>Бюджет!M449</f>
        <v>0</v>
      </c>
      <c r="N181" s="70">
        <f>Бюджет!N449</f>
        <v>0</v>
      </c>
      <c r="O181" s="70">
        <f>Бюджет!O449</f>
        <v>0</v>
      </c>
      <c r="P181" s="70">
        <f>Бюджет!P449</f>
        <v>0</v>
      </c>
      <c r="Q181" s="70">
        <f>Бюджет!Q449</f>
        <v>0</v>
      </c>
      <c r="R181" s="70">
        <f>Бюджет!R449</f>
        <v>0</v>
      </c>
      <c r="S181" s="70">
        <f>Бюджет!S449</f>
        <v>0</v>
      </c>
      <c r="T181" s="70">
        <f>Бюджет!T449</f>
        <v>0</v>
      </c>
      <c r="U181" s="70">
        <f>Бюджет!U449</f>
        <v>0</v>
      </c>
      <c r="V181" s="70">
        <f>Бюджет!V449</f>
        <v>0</v>
      </c>
      <c r="W181" s="70">
        <f>Бюджет!W449</f>
        <v>0</v>
      </c>
      <c r="X181" s="70">
        <f>Бюджет!X449</f>
        <v>0</v>
      </c>
      <c r="Y181" s="70">
        <f>Бюджет!Y449</f>
        <v>0</v>
      </c>
      <c r="Z181" s="70">
        <f>Бюджет!Z449</f>
        <v>0</v>
      </c>
      <c r="AA181" s="70">
        <f>Бюджет!AA449</f>
        <v>0</v>
      </c>
      <c r="AB181" s="70">
        <f>Бюджет!AB449</f>
        <v>0</v>
      </c>
      <c r="AC181" s="70">
        <f>Бюджет!AC449</f>
        <v>0</v>
      </c>
      <c r="AD181" s="70">
        <f>Бюджет!AD449</f>
        <v>0</v>
      </c>
      <c r="AE181" s="70">
        <f>Бюджет!AE449</f>
        <v>0</v>
      </c>
      <c r="AF181" s="70">
        <f>Бюджет!AF449</f>
        <v>0</v>
      </c>
      <c r="AG181" s="70">
        <f>Бюджет!AG449</f>
        <v>0</v>
      </c>
      <c r="AH181" s="70">
        <f>Бюджет!AH449</f>
        <v>0</v>
      </c>
      <c r="AI181" s="70">
        <f>Бюджет!AI449</f>
        <v>0</v>
      </c>
      <c r="AJ181" s="66">
        <f t="shared" si="23"/>
        <v>21.5</v>
      </c>
      <c r="AK181" s="74"/>
    </row>
    <row r="182" spans="1:37" s="109" customFormat="1" ht="15.75" x14ac:dyDescent="0.2">
      <c r="A182" s="67"/>
      <c r="B182" s="94" t="s">
        <v>347</v>
      </c>
      <c r="C182" s="95"/>
      <c r="D182" s="95"/>
      <c r="E182" s="95"/>
      <c r="F182" s="88">
        <f>SUM(F168:F181)</f>
        <v>338</v>
      </c>
      <c r="G182" s="88">
        <f t="shared" ref="G182:AJ182" si="24">SUM(G168:G181)</f>
        <v>318</v>
      </c>
      <c r="H182" s="88">
        <f t="shared" si="24"/>
        <v>266</v>
      </c>
      <c r="I182" s="88">
        <f t="shared" si="24"/>
        <v>246</v>
      </c>
      <c r="J182" s="88">
        <f t="shared" si="24"/>
        <v>170</v>
      </c>
      <c r="K182" s="88">
        <f t="shared" si="24"/>
        <v>10.5</v>
      </c>
      <c r="L182" s="88">
        <f t="shared" si="24"/>
        <v>0</v>
      </c>
      <c r="M182" s="88">
        <f t="shared" si="24"/>
        <v>10</v>
      </c>
      <c r="N182" s="88">
        <f t="shared" si="24"/>
        <v>0</v>
      </c>
      <c r="O182" s="88">
        <f t="shared" si="24"/>
        <v>0</v>
      </c>
      <c r="P182" s="88">
        <f t="shared" si="24"/>
        <v>0</v>
      </c>
      <c r="Q182" s="88">
        <f t="shared" si="24"/>
        <v>20.9</v>
      </c>
      <c r="R182" s="88">
        <f t="shared" si="24"/>
        <v>0</v>
      </c>
      <c r="S182" s="88">
        <f t="shared" si="24"/>
        <v>0</v>
      </c>
      <c r="T182" s="88">
        <f t="shared" si="24"/>
        <v>0</v>
      </c>
      <c r="U182" s="88">
        <f t="shared" si="24"/>
        <v>0</v>
      </c>
      <c r="V182" s="88">
        <f t="shared" si="24"/>
        <v>0</v>
      </c>
      <c r="W182" s="88">
        <f t="shared" si="24"/>
        <v>0</v>
      </c>
      <c r="X182" s="88">
        <f t="shared" si="24"/>
        <v>0</v>
      </c>
      <c r="Y182" s="88">
        <f t="shared" si="24"/>
        <v>0</v>
      </c>
      <c r="Z182" s="88">
        <f t="shared" si="24"/>
        <v>0</v>
      </c>
      <c r="AA182" s="88">
        <f t="shared" si="24"/>
        <v>0</v>
      </c>
      <c r="AB182" s="88">
        <f t="shared" si="24"/>
        <v>0</v>
      </c>
      <c r="AC182" s="88">
        <f t="shared" si="24"/>
        <v>0</v>
      </c>
      <c r="AD182" s="88">
        <f t="shared" si="24"/>
        <v>0</v>
      </c>
      <c r="AE182" s="88">
        <f t="shared" si="24"/>
        <v>30</v>
      </c>
      <c r="AF182" s="88">
        <f t="shared" si="24"/>
        <v>0</v>
      </c>
      <c r="AG182" s="88">
        <f t="shared" si="24"/>
        <v>0</v>
      </c>
      <c r="AH182" s="88">
        <f t="shared" si="24"/>
        <v>0</v>
      </c>
      <c r="AI182" s="88">
        <f t="shared" si="24"/>
        <v>0</v>
      </c>
      <c r="AJ182" s="88">
        <f t="shared" si="24"/>
        <v>805.4</v>
      </c>
      <c r="AK182" s="70"/>
    </row>
    <row r="183" spans="1:37" s="110" customFormat="1" ht="15" x14ac:dyDescent="0.2">
      <c r="A183" s="74"/>
      <c r="B183" s="74"/>
      <c r="C183" s="74"/>
      <c r="D183" s="74"/>
      <c r="E183" s="74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4"/>
    </row>
    <row r="184" spans="1:37" s="110" customFormat="1" ht="15.75" x14ac:dyDescent="0.2">
      <c r="A184" s="201"/>
      <c r="B184" s="210" t="s">
        <v>239</v>
      </c>
      <c r="C184" s="210"/>
      <c r="D184" s="210"/>
      <c r="E184" s="210"/>
      <c r="F184" s="98">
        <f t="shared" ref="F184:AJ184" si="25">SUM(F32,F67,F103,F123,F139,F164,F113,F182,F131)</f>
        <v>2624</v>
      </c>
      <c r="G184" s="98">
        <f t="shared" si="25"/>
        <v>1980</v>
      </c>
      <c r="H184" s="98">
        <f t="shared" si="25"/>
        <v>2348</v>
      </c>
      <c r="I184" s="98">
        <f t="shared" si="25"/>
        <v>2216</v>
      </c>
      <c r="J184" s="98">
        <f t="shared" si="25"/>
        <v>2112</v>
      </c>
      <c r="K184" s="98">
        <f t="shared" si="25"/>
        <v>225.30000000000007</v>
      </c>
      <c r="L184" s="98">
        <f t="shared" si="25"/>
        <v>0</v>
      </c>
      <c r="M184" s="98">
        <f t="shared" si="25"/>
        <v>242.80000000000004</v>
      </c>
      <c r="N184" s="98">
        <f t="shared" si="25"/>
        <v>0</v>
      </c>
      <c r="O184" s="98">
        <f t="shared" si="25"/>
        <v>0</v>
      </c>
      <c r="P184" s="98">
        <f t="shared" si="25"/>
        <v>0</v>
      </c>
      <c r="Q184" s="98">
        <f t="shared" si="25"/>
        <v>124</v>
      </c>
      <c r="R184" s="98">
        <f t="shared" si="25"/>
        <v>0</v>
      </c>
      <c r="S184" s="98">
        <f t="shared" si="25"/>
        <v>102</v>
      </c>
      <c r="T184" s="98">
        <f t="shared" si="25"/>
        <v>458</v>
      </c>
      <c r="U184" s="98">
        <f t="shared" si="25"/>
        <v>6.8999999999999995</v>
      </c>
      <c r="V184" s="98">
        <f t="shared" si="25"/>
        <v>24</v>
      </c>
      <c r="W184" s="98">
        <f t="shared" si="25"/>
        <v>654</v>
      </c>
      <c r="X184" s="98">
        <f t="shared" si="25"/>
        <v>45</v>
      </c>
      <c r="Y184" s="98">
        <f t="shared" si="25"/>
        <v>0</v>
      </c>
      <c r="Z184" s="98">
        <f t="shared" si="25"/>
        <v>0</v>
      </c>
      <c r="AA184" s="98">
        <f t="shared" si="25"/>
        <v>0</v>
      </c>
      <c r="AB184" s="98">
        <f t="shared" si="25"/>
        <v>172.5</v>
      </c>
      <c r="AC184" s="98">
        <f t="shared" si="25"/>
        <v>0</v>
      </c>
      <c r="AD184" s="98">
        <f t="shared" si="25"/>
        <v>0</v>
      </c>
      <c r="AE184" s="98">
        <f t="shared" si="25"/>
        <v>90</v>
      </c>
      <c r="AF184" s="98">
        <f t="shared" si="25"/>
        <v>0</v>
      </c>
      <c r="AG184" s="98">
        <f t="shared" si="25"/>
        <v>0</v>
      </c>
      <c r="AH184" s="98">
        <f t="shared" si="25"/>
        <v>0</v>
      </c>
      <c r="AI184" s="98">
        <f t="shared" si="25"/>
        <v>158</v>
      </c>
      <c r="AJ184" s="98">
        <f t="shared" si="25"/>
        <v>8610.5</v>
      </c>
      <c r="AK184" s="200"/>
    </row>
    <row r="185" spans="1:37" s="110" customFormat="1" ht="15.75" x14ac:dyDescent="0.2">
      <c r="A185" s="201"/>
      <c r="B185" s="211"/>
      <c r="C185" s="211"/>
      <c r="D185" s="211"/>
      <c r="E185" s="211"/>
      <c r="F185" s="212"/>
      <c r="G185" s="212"/>
      <c r="H185" s="212"/>
      <c r="I185" s="212"/>
      <c r="J185" s="212"/>
      <c r="K185" s="212"/>
      <c r="L185" s="212"/>
      <c r="M185" s="212"/>
      <c r="N185" s="212"/>
      <c r="O185" s="212"/>
      <c r="P185" s="212"/>
      <c r="Q185" s="212"/>
      <c r="R185" s="212"/>
      <c r="S185" s="212"/>
      <c r="T185" s="212"/>
      <c r="U185" s="212"/>
      <c r="V185" s="212"/>
      <c r="W185" s="212"/>
      <c r="X185" s="212"/>
      <c r="Y185" s="212"/>
      <c r="Z185" s="212"/>
      <c r="AA185" s="212"/>
      <c r="AB185" s="212"/>
      <c r="AC185" s="212"/>
      <c r="AD185" s="212"/>
      <c r="AE185" s="212"/>
      <c r="AF185" s="212"/>
      <c r="AG185" s="212"/>
      <c r="AH185" s="212"/>
      <c r="AI185" s="212"/>
      <c r="AJ185" s="212"/>
      <c r="AK185" s="200"/>
    </row>
    <row r="186" spans="1:37" s="110" customFormat="1" ht="15.75" x14ac:dyDescent="0.2">
      <c r="A186" s="201"/>
      <c r="B186" s="201"/>
      <c r="C186" s="201"/>
      <c r="D186" s="201"/>
      <c r="E186" s="201"/>
      <c r="F186" s="200"/>
      <c r="G186" s="200"/>
      <c r="H186" s="200"/>
      <c r="I186" s="200"/>
      <c r="J186" s="200"/>
      <c r="K186" s="200"/>
      <c r="L186" s="200"/>
      <c r="M186" s="200"/>
      <c r="N186" s="391" t="s">
        <v>58</v>
      </c>
      <c r="O186" s="391"/>
      <c r="P186" s="391"/>
      <c r="Q186" s="391"/>
      <c r="R186" s="391"/>
      <c r="S186" s="391"/>
      <c r="T186" s="391"/>
      <c r="U186" s="391"/>
      <c r="V186" s="391"/>
      <c r="W186" s="391"/>
      <c r="X186" s="391"/>
      <c r="Y186" s="391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00"/>
      <c r="AK186" s="201"/>
    </row>
    <row r="187" spans="1:37" s="110" customFormat="1" ht="15" x14ac:dyDescent="0.2">
      <c r="A187" s="201"/>
      <c r="B187" s="74"/>
      <c r="C187" s="74"/>
      <c r="D187" s="74"/>
      <c r="E187" s="74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201"/>
    </row>
    <row r="188" spans="1:37" s="110" customFormat="1" ht="15.75" x14ac:dyDescent="0.2">
      <c r="A188" s="201"/>
      <c r="B188" s="199" t="s">
        <v>240</v>
      </c>
      <c r="C188" s="199"/>
      <c r="D188" s="199"/>
      <c r="E188" s="199"/>
      <c r="F188" s="98">
        <f t="shared" ref="F188:AJ188" si="26">SUM(F187)</f>
        <v>0</v>
      </c>
      <c r="G188" s="98">
        <f t="shared" si="26"/>
        <v>0</v>
      </c>
      <c r="H188" s="98">
        <f t="shared" si="26"/>
        <v>0</v>
      </c>
      <c r="I188" s="98">
        <f t="shared" si="26"/>
        <v>0</v>
      </c>
      <c r="J188" s="98">
        <f t="shared" si="26"/>
        <v>0</v>
      </c>
      <c r="K188" s="98">
        <f t="shared" si="26"/>
        <v>0</v>
      </c>
      <c r="L188" s="98">
        <f t="shared" si="26"/>
        <v>0</v>
      </c>
      <c r="M188" s="98">
        <f t="shared" si="26"/>
        <v>0</v>
      </c>
      <c r="N188" s="98">
        <f t="shared" si="26"/>
        <v>0</v>
      </c>
      <c r="O188" s="98">
        <f t="shared" si="26"/>
        <v>0</v>
      </c>
      <c r="P188" s="98">
        <f t="shared" si="26"/>
        <v>0</v>
      </c>
      <c r="Q188" s="98">
        <f t="shared" si="26"/>
        <v>0</v>
      </c>
      <c r="R188" s="98">
        <f t="shared" si="26"/>
        <v>0</v>
      </c>
      <c r="S188" s="98">
        <f t="shared" si="26"/>
        <v>0</v>
      </c>
      <c r="T188" s="98">
        <f t="shared" si="26"/>
        <v>0</v>
      </c>
      <c r="U188" s="98">
        <f t="shared" si="26"/>
        <v>0</v>
      </c>
      <c r="V188" s="98">
        <f t="shared" si="26"/>
        <v>0</v>
      </c>
      <c r="W188" s="98">
        <f t="shared" si="26"/>
        <v>0</v>
      </c>
      <c r="X188" s="98">
        <f t="shared" si="26"/>
        <v>0</v>
      </c>
      <c r="Y188" s="98">
        <f t="shared" si="26"/>
        <v>0</v>
      </c>
      <c r="Z188" s="98">
        <f t="shared" si="26"/>
        <v>0</v>
      </c>
      <c r="AA188" s="98">
        <f t="shared" si="26"/>
        <v>0</v>
      </c>
      <c r="AB188" s="98">
        <f t="shared" si="26"/>
        <v>0</v>
      </c>
      <c r="AC188" s="98">
        <f t="shared" si="26"/>
        <v>0</v>
      </c>
      <c r="AD188" s="98">
        <f t="shared" si="26"/>
        <v>0</v>
      </c>
      <c r="AE188" s="98">
        <f t="shared" si="26"/>
        <v>0</v>
      </c>
      <c r="AF188" s="98">
        <f t="shared" si="26"/>
        <v>0</v>
      </c>
      <c r="AG188" s="98">
        <f t="shared" si="26"/>
        <v>0</v>
      </c>
      <c r="AH188" s="98">
        <f t="shared" si="26"/>
        <v>0</v>
      </c>
      <c r="AI188" s="98">
        <f t="shared" si="26"/>
        <v>0</v>
      </c>
      <c r="AJ188" s="98">
        <f t="shared" si="26"/>
        <v>0</v>
      </c>
      <c r="AK188" s="201"/>
    </row>
    <row r="189" spans="1:37" s="110" customFormat="1" ht="15.75" x14ac:dyDescent="0.2">
      <c r="A189" s="201"/>
      <c r="B189" s="120"/>
      <c r="C189" s="120"/>
      <c r="D189" s="120"/>
      <c r="E189" s="120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201"/>
    </row>
    <row r="190" spans="1:37" s="110" customFormat="1" ht="15.75" x14ac:dyDescent="0.2">
      <c r="A190" s="213"/>
      <c r="B190" s="206" t="s">
        <v>181</v>
      </c>
      <c r="C190" s="206"/>
      <c r="D190" s="206"/>
      <c r="E190" s="206"/>
      <c r="F190" s="99">
        <f t="shared" ref="F190:AI190" si="27">SUM(F188,F184)</f>
        <v>2624</v>
      </c>
      <c r="G190" s="99">
        <f t="shared" si="27"/>
        <v>1980</v>
      </c>
      <c r="H190" s="99">
        <f t="shared" si="27"/>
        <v>2348</v>
      </c>
      <c r="I190" s="99">
        <f t="shared" si="27"/>
        <v>2216</v>
      </c>
      <c r="J190" s="99">
        <f t="shared" si="27"/>
        <v>2112</v>
      </c>
      <c r="K190" s="99">
        <f t="shared" si="27"/>
        <v>225.30000000000007</v>
      </c>
      <c r="L190" s="99">
        <f t="shared" si="27"/>
        <v>0</v>
      </c>
      <c r="M190" s="99">
        <f t="shared" si="27"/>
        <v>242.80000000000004</v>
      </c>
      <c r="N190" s="99">
        <f t="shared" si="27"/>
        <v>0</v>
      </c>
      <c r="O190" s="99">
        <f t="shared" si="27"/>
        <v>0</v>
      </c>
      <c r="P190" s="99">
        <f t="shared" si="27"/>
        <v>0</v>
      </c>
      <c r="Q190" s="99">
        <f t="shared" si="27"/>
        <v>124</v>
      </c>
      <c r="R190" s="99">
        <f t="shared" si="27"/>
        <v>0</v>
      </c>
      <c r="S190" s="99">
        <f t="shared" si="27"/>
        <v>102</v>
      </c>
      <c r="T190" s="99">
        <f t="shared" si="27"/>
        <v>458</v>
      </c>
      <c r="U190" s="99">
        <f t="shared" si="27"/>
        <v>6.8999999999999995</v>
      </c>
      <c r="V190" s="99">
        <f t="shared" si="27"/>
        <v>24</v>
      </c>
      <c r="W190" s="99">
        <f t="shared" si="27"/>
        <v>654</v>
      </c>
      <c r="X190" s="99">
        <f t="shared" si="27"/>
        <v>45</v>
      </c>
      <c r="Y190" s="99">
        <f t="shared" si="27"/>
        <v>0</v>
      </c>
      <c r="Z190" s="99">
        <f t="shared" si="27"/>
        <v>0</v>
      </c>
      <c r="AA190" s="99">
        <f t="shared" si="27"/>
        <v>0</v>
      </c>
      <c r="AB190" s="99">
        <f t="shared" si="27"/>
        <v>172.5</v>
      </c>
      <c r="AC190" s="99">
        <f t="shared" si="27"/>
        <v>0</v>
      </c>
      <c r="AD190" s="99">
        <f t="shared" si="27"/>
        <v>0</v>
      </c>
      <c r="AE190" s="99">
        <f t="shared" si="27"/>
        <v>90</v>
      </c>
      <c r="AF190" s="99">
        <f t="shared" si="27"/>
        <v>0</v>
      </c>
      <c r="AG190" s="99">
        <f t="shared" si="27"/>
        <v>0</v>
      </c>
      <c r="AH190" s="99">
        <f t="shared" si="27"/>
        <v>0</v>
      </c>
      <c r="AI190" s="99">
        <f t="shared" si="27"/>
        <v>158</v>
      </c>
      <c r="AJ190" s="99">
        <f>SUM(AJ188,AJ184)</f>
        <v>8610.5</v>
      </c>
      <c r="AK190" s="213"/>
    </row>
    <row r="191" spans="1:37" s="110" customFormat="1" ht="15" x14ac:dyDescent="0.2">
      <c r="A191" s="201"/>
      <c r="B191" s="201"/>
      <c r="C191" s="201"/>
      <c r="D191" s="201"/>
      <c r="E191" s="201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70">
        <f>SUM(G190,I190:AI190)-AJ190</f>
        <v>0</v>
      </c>
      <c r="AK191" s="201"/>
    </row>
    <row r="193" spans="1:28" ht="15" x14ac:dyDescent="0.2">
      <c r="A193" s="205" t="s">
        <v>393</v>
      </c>
      <c r="B193" s="205"/>
      <c r="C193" s="205"/>
      <c r="D193" s="205"/>
      <c r="E193" s="205"/>
      <c r="F193" s="205"/>
      <c r="G193" s="205"/>
      <c r="H193" s="205"/>
      <c r="I193" s="205"/>
      <c r="J193" s="205"/>
      <c r="K193" s="205"/>
      <c r="L193" s="205"/>
      <c r="M193" s="205"/>
      <c r="N193" s="205"/>
      <c r="O193" s="205"/>
      <c r="P193" s="205"/>
      <c r="Q193" s="205"/>
      <c r="R193" s="205"/>
      <c r="S193" s="205"/>
      <c r="T193" s="205"/>
      <c r="U193" s="205"/>
      <c r="V193" s="205"/>
      <c r="W193" s="205"/>
      <c r="X193" s="205"/>
      <c r="Y193" s="205"/>
      <c r="Z193" s="205"/>
      <c r="AA193" s="205"/>
      <c r="AB193" s="205"/>
    </row>
  </sheetData>
  <protectedRanges>
    <protectedRange sqref="N1:AK11 I9 L1:M9 A1:H11 I1:K8 I10:L11 M34:AI34 A34:K34 M69:AI69 A69:K69 AD115:AI116 A15:AK20 J21:L21 N22 B164 A165:AK165 B115:I116 A115 AC166:AK167 B182 A166:J167 A133:K133 AB133:AI133 A134:J134 AC134:AI134 AK140 A140:AI140 AD125:AI126 B125:I126 A125 A183:AK212 A113:AK113 A131:AJ132 A123:AK123 A67:AK67 A103:AK103 AJ140:AJ141 AK168:AK181 A124:AI124 AK124:AK138 A114:AI114 A104:AI104 AK104 A68:AI68 N23:AI23 AK23:AK25 A24:AI25 A32:AK33 AK68:AK102 A127:AI130 A168:AI181 A139:AK139 A135:AI138 A70:AI102 A28:AI31 A26:K27 O26:AK26 M26:N27 O27:AI27 AK27:AK31 O21:AK22 M21:M23 A21:I23 J22:K23 AK34:AK66 A35:AI66 A117:AI122 AK114:AK122" name="Диапазон1"/>
    <protectedRange sqref="J116 L116:AC116 J126 L126:AC126" name="Диапазон1_1"/>
    <protectedRange sqref="M115:AC115 J115:K115 M125:AC125 J125:K125" name="Диапазон1_1_1"/>
    <protectedRange sqref="AK164 AK182" name="Диапазон1_2"/>
    <protectedRange sqref="A164 C164:E164 A182 C182:E182" name="Диапазон1_3"/>
    <protectedRange sqref="F182:AJ182 F164:AJ164" name="Диапазон1_1_1_1"/>
  </protectedRanges>
  <mergeCells count="74">
    <mergeCell ref="AC6:AK6"/>
    <mergeCell ref="AK12:AK13"/>
    <mergeCell ref="V12:V13"/>
    <mergeCell ref="W12:X12"/>
    <mergeCell ref="AG12:AH12"/>
    <mergeCell ref="AI12:AI13"/>
    <mergeCell ref="AB12:AB13"/>
    <mergeCell ref="AJ12:AJ13"/>
    <mergeCell ref="Z12:Z13"/>
    <mergeCell ref="AA12:AA13"/>
    <mergeCell ref="AE12:AF12"/>
    <mergeCell ref="AC7:AK7"/>
    <mergeCell ref="K10:X10"/>
    <mergeCell ref="K11:X11"/>
    <mergeCell ref="I9:Z9"/>
    <mergeCell ref="J39:AC39"/>
    <mergeCell ref="J26:AC26"/>
    <mergeCell ref="J27:AC27"/>
    <mergeCell ref="A12:A13"/>
    <mergeCell ref="B12:B13"/>
    <mergeCell ref="C12:C13"/>
    <mergeCell ref="L105:AA105"/>
    <mergeCell ref="K106:AB106"/>
    <mergeCell ref="Y12:Y13"/>
    <mergeCell ref="J23:AC23"/>
    <mergeCell ref="J12:J13"/>
    <mergeCell ref="L12:O12"/>
    <mergeCell ref="AC12:AD12"/>
    <mergeCell ref="P12:P13"/>
    <mergeCell ref="Q12:R12"/>
    <mergeCell ref="S12:T12"/>
    <mergeCell ref="U12:U13"/>
    <mergeCell ref="J40:AC40"/>
    <mergeCell ref="J41:AC41"/>
    <mergeCell ref="J44:AC44"/>
    <mergeCell ref="J45:AC45"/>
    <mergeCell ref="J46:AC46"/>
    <mergeCell ref="N186:Y186"/>
    <mergeCell ref="D12:D13"/>
    <mergeCell ref="H12:I12"/>
    <mergeCell ref="J21:AC21"/>
    <mergeCell ref="K107:AB107"/>
    <mergeCell ref="K12:K13"/>
    <mergeCell ref="L133:AA133"/>
    <mergeCell ref="K134:AB134"/>
    <mergeCell ref="J125:AC125"/>
    <mergeCell ref="J126:AC126"/>
    <mergeCell ref="K143:AB143"/>
    <mergeCell ref="J116:AC116"/>
    <mergeCell ref="L141:AA141"/>
    <mergeCell ref="L166:AA166"/>
    <mergeCell ref="K167:AB167"/>
    <mergeCell ref="K162:AB162"/>
    <mergeCell ref="AF1:AK1"/>
    <mergeCell ref="B2:G2"/>
    <mergeCell ref="AF2:AK2"/>
    <mergeCell ref="B3:G3"/>
    <mergeCell ref="AC3:AK3"/>
    <mergeCell ref="B4:F4"/>
    <mergeCell ref="B5:G5"/>
    <mergeCell ref="AC5:AK5"/>
    <mergeCell ref="B6:G6"/>
    <mergeCell ref="K152:AB152"/>
    <mergeCell ref="E12:E13"/>
    <mergeCell ref="F12:G12"/>
    <mergeCell ref="J22:AC22"/>
    <mergeCell ref="J34:AC34"/>
    <mergeCell ref="J35:AC35"/>
    <mergeCell ref="J36:AC36"/>
    <mergeCell ref="J50:AC50"/>
    <mergeCell ref="J69:AC69"/>
    <mergeCell ref="J70:AC70"/>
    <mergeCell ref="J115:AC115"/>
    <mergeCell ref="B7:G7"/>
  </mergeCells>
  <conditionalFormatting sqref="A114:AI115 AK114:XFD115 A123:XFD123 AK124:XFD138 A127:AI130 A139:XFD139 A117:AI122 AK117:XFD122 AJ114:AJ122">
    <cfRule type="cellIs" dxfId="108" priority="26" stopIfTrue="1" operator="equal">
      <formula>0</formula>
    </cfRule>
  </conditionalFormatting>
  <conditionalFormatting sqref="A124:AI125 AK140:XFD152 AK153:IV161">
    <cfRule type="cellIs" dxfId="107" priority="19" stopIfTrue="1" operator="equal">
      <formula>0</formula>
    </cfRule>
  </conditionalFormatting>
  <conditionalFormatting sqref="A131:AJ138">
    <cfRule type="cellIs" dxfId="106" priority="15" stopIfTrue="1" operator="equal">
      <formula>0</formula>
    </cfRule>
  </conditionalFormatting>
  <conditionalFormatting sqref="A140:AJ163 AK162:XFD162 AK163:IV163">
    <cfRule type="cellIs" dxfId="105" priority="18" stopIfTrue="1" operator="equal">
      <formula>0</formula>
    </cfRule>
  </conditionalFormatting>
  <conditionalFormatting sqref="A1:XFD113">
    <cfRule type="cellIs" dxfId="104" priority="1" stopIfTrue="1" operator="equal">
      <formula>0</formula>
    </cfRule>
  </conditionalFormatting>
  <conditionalFormatting sqref="A164:XFD65577">
    <cfRule type="cellIs" dxfId="103" priority="17" stopIfTrue="1" operator="equal">
      <formula>0</formula>
    </cfRule>
  </conditionalFormatting>
  <conditionalFormatting sqref="B116:AI116 AK116:IV116">
    <cfRule type="cellIs" dxfId="102" priority="30" stopIfTrue="1" operator="equal">
      <formula>0</formula>
    </cfRule>
  </conditionalFormatting>
  <conditionalFormatting sqref="B126:AI126">
    <cfRule type="cellIs" dxfId="101" priority="20" stopIfTrue="1" operator="equal">
      <formula>0</formula>
    </cfRule>
  </conditionalFormatting>
  <conditionalFormatting sqref="AJ124:AJ130">
    <cfRule type="cellIs" dxfId="100" priority="14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208"/>
  <sheetViews>
    <sheetView view="pageBreakPreview" topLeftCell="A62" zoomScale="70" zoomScaleNormal="70" zoomScaleSheetLayoutView="70" workbookViewId="0">
      <selection activeCell="D100" sqref="D100"/>
    </sheetView>
  </sheetViews>
  <sheetFormatPr defaultColWidth="9.140625" defaultRowHeight="12.75" x14ac:dyDescent="0.2"/>
  <cols>
    <col min="1" max="1" width="20.42578125" style="20" customWidth="1"/>
    <col min="2" max="2" width="48.42578125" style="20" customWidth="1"/>
    <col min="3" max="3" width="5.5703125" style="20" customWidth="1"/>
    <col min="4" max="4" width="8.42578125" style="20" customWidth="1"/>
    <col min="5" max="5" width="5.5703125" style="20" customWidth="1"/>
    <col min="6" max="6" width="12.140625" style="20" customWidth="1"/>
    <col min="7" max="7" width="11.140625" style="20" customWidth="1"/>
    <col min="8" max="8" width="13.140625" style="20" customWidth="1"/>
    <col min="9" max="9" width="11.42578125" style="20" customWidth="1"/>
    <col min="10" max="10" width="13.140625" style="20" bestFit="1" customWidth="1"/>
    <col min="11" max="11" width="13.42578125" style="20" bestFit="1" customWidth="1"/>
    <col min="12" max="12" width="7.5703125" style="20" customWidth="1"/>
    <col min="13" max="13" width="10.140625" style="20" customWidth="1"/>
    <col min="14" max="14" width="10" style="20" customWidth="1"/>
    <col min="15" max="15" width="7.5703125" style="20" customWidth="1"/>
    <col min="16" max="16" width="8.5703125" style="20" customWidth="1"/>
    <col min="17" max="17" width="10.42578125" style="20" customWidth="1"/>
    <col min="18" max="18" width="6.5703125" style="20" customWidth="1"/>
    <col min="19" max="19" width="9" style="20" bestFit="1" customWidth="1"/>
    <col min="20" max="20" width="9.42578125" style="20" bestFit="1" customWidth="1"/>
    <col min="21" max="21" width="6.85546875" style="20" customWidth="1"/>
    <col min="22" max="22" width="7.5703125" style="20" customWidth="1"/>
    <col min="23" max="23" width="9.42578125" style="20" customWidth="1"/>
    <col min="24" max="24" width="8.140625" style="20" customWidth="1"/>
    <col min="25" max="26" width="6.42578125" style="20" customWidth="1"/>
    <col min="27" max="27" width="7.42578125" style="20" customWidth="1"/>
    <col min="28" max="28" width="8.42578125" style="20" customWidth="1"/>
    <col min="29" max="30" width="6.140625" style="20" customWidth="1"/>
    <col min="31" max="31" width="8" style="20" bestFit="1" customWidth="1"/>
    <col min="32" max="32" width="6.42578125" style="20" customWidth="1"/>
    <col min="33" max="33" width="7.5703125" style="20" customWidth="1"/>
    <col min="34" max="34" width="8.5703125" style="20" bestFit="1" customWidth="1"/>
    <col min="35" max="35" width="11.85546875" style="20" customWidth="1"/>
    <col min="36" max="36" width="12.140625" style="20" customWidth="1"/>
    <col min="37" max="37" width="24" style="20" customWidth="1"/>
    <col min="38" max="38" width="16.140625" style="20" customWidth="1"/>
    <col min="39" max="16384" width="9.140625" style="20"/>
  </cols>
  <sheetData>
    <row r="1" spans="1:37" s="277" customFormat="1" ht="15" x14ac:dyDescent="0.2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378" t="s">
        <v>153</v>
      </c>
      <c r="AG1" s="378"/>
      <c r="AH1" s="378"/>
      <c r="AI1" s="378"/>
      <c r="AJ1" s="378"/>
      <c r="AK1" s="378"/>
    </row>
    <row r="2" spans="1:37" s="277" customFormat="1" ht="15" x14ac:dyDescent="0.2">
      <c r="A2" s="205"/>
      <c r="B2" s="378" t="s">
        <v>1</v>
      </c>
      <c r="C2" s="378"/>
      <c r="D2" s="378"/>
      <c r="E2" s="378"/>
      <c r="F2" s="378"/>
      <c r="G2" s="37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377"/>
      <c r="AG2" s="377"/>
      <c r="AH2" s="377"/>
      <c r="AI2" s="377"/>
      <c r="AJ2" s="377"/>
      <c r="AK2" s="377"/>
    </row>
    <row r="3" spans="1:37" s="277" customFormat="1" ht="15" x14ac:dyDescent="0.2">
      <c r="A3" s="205"/>
      <c r="B3" s="378" t="s">
        <v>2</v>
      </c>
      <c r="C3" s="378"/>
      <c r="D3" s="378"/>
      <c r="E3" s="378"/>
      <c r="F3" s="378"/>
      <c r="G3" s="3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377" t="s">
        <v>3</v>
      </c>
      <c r="AD3" s="377"/>
      <c r="AE3" s="377"/>
      <c r="AF3" s="377"/>
      <c r="AG3" s="377"/>
      <c r="AH3" s="377"/>
      <c r="AI3" s="377"/>
      <c r="AJ3" s="377"/>
      <c r="AK3" s="377"/>
    </row>
    <row r="4" spans="1:37" s="277" customFormat="1" ht="15" x14ac:dyDescent="0.2">
      <c r="A4" s="205"/>
      <c r="B4" s="378" t="s">
        <v>154</v>
      </c>
      <c r="C4" s="378"/>
      <c r="D4" s="378"/>
      <c r="E4" s="378"/>
      <c r="F4" s="3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</row>
    <row r="5" spans="1:37" s="277" customFormat="1" ht="15" x14ac:dyDescent="0.2">
      <c r="A5" s="205"/>
      <c r="B5" s="378" t="s">
        <v>6</v>
      </c>
      <c r="C5" s="378"/>
      <c r="D5" s="378"/>
      <c r="E5" s="378"/>
      <c r="F5" s="378"/>
      <c r="G5" s="37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77" t="s">
        <v>155</v>
      </c>
      <c r="AD5" s="377"/>
      <c r="AE5" s="377"/>
      <c r="AF5" s="377"/>
      <c r="AG5" s="377"/>
      <c r="AH5" s="377"/>
      <c r="AI5" s="377"/>
      <c r="AJ5" s="377"/>
      <c r="AK5" s="377"/>
    </row>
    <row r="6" spans="1:37" s="277" customFormat="1" ht="15" x14ac:dyDescent="0.2">
      <c r="A6" s="205"/>
      <c r="B6" s="378" t="s">
        <v>7</v>
      </c>
      <c r="C6" s="378"/>
      <c r="D6" s="378"/>
      <c r="E6" s="378"/>
      <c r="F6" s="378"/>
      <c r="G6" s="3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377" t="s">
        <v>168</v>
      </c>
      <c r="AD6" s="377"/>
      <c r="AE6" s="377"/>
      <c r="AF6" s="377"/>
      <c r="AG6" s="377"/>
      <c r="AH6" s="377"/>
      <c r="AI6" s="377"/>
      <c r="AJ6" s="377"/>
      <c r="AK6" s="377"/>
    </row>
    <row r="7" spans="1:37" s="277" customFormat="1" ht="15" x14ac:dyDescent="0.2">
      <c r="A7" s="205"/>
      <c r="B7" s="378" t="s">
        <v>9</v>
      </c>
      <c r="C7" s="378"/>
      <c r="D7" s="378"/>
      <c r="E7" s="378"/>
      <c r="F7" s="378"/>
      <c r="G7" s="3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377" t="s">
        <v>590</v>
      </c>
      <c r="AD7" s="377"/>
      <c r="AE7" s="377"/>
      <c r="AF7" s="377"/>
      <c r="AG7" s="377"/>
      <c r="AH7" s="377"/>
      <c r="AI7" s="377"/>
      <c r="AJ7" s="377"/>
      <c r="AK7" s="377"/>
    </row>
    <row r="8" spans="1:37" s="277" customFormat="1" ht="15" x14ac:dyDescent="0.2">
      <c r="A8" s="205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</row>
    <row r="9" spans="1:37" s="277" customFormat="1" ht="15.75" x14ac:dyDescent="0.2">
      <c r="A9" s="205"/>
      <c r="B9" s="290" t="s">
        <v>10</v>
      </c>
      <c r="I9" s="403" t="s">
        <v>159</v>
      </c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3"/>
      <c r="AB9" s="278"/>
      <c r="AC9" s="278"/>
      <c r="AD9" s="278"/>
      <c r="AE9" s="278"/>
      <c r="AF9" s="278"/>
      <c r="AG9" s="278"/>
      <c r="AH9" s="278"/>
      <c r="AI9" s="278"/>
      <c r="AJ9" s="278"/>
      <c r="AK9" s="278"/>
    </row>
    <row r="10" spans="1:37" s="277" customFormat="1" ht="15.75" x14ac:dyDescent="0.2">
      <c r="A10" s="205"/>
      <c r="J10" s="278"/>
      <c r="K10" s="403" t="str">
        <f>Бюджет!K10</f>
        <v>на 2025 - 2026 учебный год</v>
      </c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"/>
      <c r="Z10" s="4"/>
      <c r="AA10" s="4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</row>
    <row r="11" spans="1:37" s="277" customFormat="1" ht="15" x14ac:dyDescent="0.2">
      <c r="A11" s="205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4"/>
      <c r="Z11" s="4"/>
      <c r="AA11" s="4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</row>
    <row r="12" spans="1:37" s="277" customFormat="1" ht="15" x14ac:dyDescent="0.2">
      <c r="A12" s="205"/>
      <c r="J12" s="278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291"/>
      <c r="Z12" s="291"/>
      <c r="AA12" s="291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</row>
    <row r="13" spans="1:37" s="109" customFormat="1" ht="15" x14ac:dyDescent="0.2">
      <c r="A13" s="394" t="s">
        <v>12</v>
      </c>
      <c r="B13" s="402" t="s">
        <v>13</v>
      </c>
      <c r="C13" s="387" t="s">
        <v>14</v>
      </c>
      <c r="D13" s="392" t="s">
        <v>15</v>
      </c>
      <c r="E13" s="387" t="s">
        <v>16</v>
      </c>
      <c r="F13" s="388" t="s">
        <v>17</v>
      </c>
      <c r="G13" s="388"/>
      <c r="H13" s="388" t="s">
        <v>18</v>
      </c>
      <c r="I13" s="388"/>
      <c r="J13" s="394" t="s">
        <v>19</v>
      </c>
      <c r="K13" s="394" t="s">
        <v>20</v>
      </c>
      <c r="L13" s="388" t="s">
        <v>21</v>
      </c>
      <c r="M13" s="388"/>
      <c r="N13" s="388"/>
      <c r="O13" s="388"/>
      <c r="P13" s="394" t="s">
        <v>22</v>
      </c>
      <c r="Q13" s="388" t="s">
        <v>23</v>
      </c>
      <c r="R13" s="388"/>
      <c r="S13" s="388" t="s">
        <v>24</v>
      </c>
      <c r="T13" s="388"/>
      <c r="U13" s="394" t="s">
        <v>25</v>
      </c>
      <c r="V13" s="394" t="s">
        <v>26</v>
      </c>
      <c r="W13" s="388" t="s">
        <v>27</v>
      </c>
      <c r="X13" s="388"/>
      <c r="Y13" s="394" t="s">
        <v>28</v>
      </c>
      <c r="Z13" s="394" t="s">
        <v>29</v>
      </c>
      <c r="AA13" s="394" t="s">
        <v>30</v>
      </c>
      <c r="AB13" s="394" t="s">
        <v>31</v>
      </c>
      <c r="AC13" s="388" t="s">
        <v>32</v>
      </c>
      <c r="AD13" s="388"/>
      <c r="AE13" s="388" t="s">
        <v>33</v>
      </c>
      <c r="AF13" s="388"/>
      <c r="AG13" s="388" t="s">
        <v>34</v>
      </c>
      <c r="AH13" s="388"/>
      <c r="AI13" s="394" t="s">
        <v>35</v>
      </c>
      <c r="AJ13" s="394" t="s">
        <v>36</v>
      </c>
      <c r="AK13" s="394" t="s">
        <v>156</v>
      </c>
    </row>
    <row r="14" spans="1:37" s="109" customFormat="1" ht="122.25" x14ac:dyDescent="0.2">
      <c r="A14" s="394"/>
      <c r="B14" s="402"/>
      <c r="C14" s="387"/>
      <c r="D14" s="392"/>
      <c r="E14" s="387"/>
      <c r="F14" s="192" t="s">
        <v>38</v>
      </c>
      <c r="G14" s="193" t="s">
        <v>39</v>
      </c>
      <c r="H14" s="193" t="s">
        <v>38</v>
      </c>
      <c r="I14" s="193" t="s">
        <v>39</v>
      </c>
      <c r="J14" s="394"/>
      <c r="K14" s="394"/>
      <c r="L14" s="191" t="s">
        <v>40</v>
      </c>
      <c r="M14" s="191" t="s">
        <v>41</v>
      </c>
      <c r="N14" s="191" t="s">
        <v>42</v>
      </c>
      <c r="O14" s="191" t="s">
        <v>43</v>
      </c>
      <c r="P14" s="394"/>
      <c r="Q14" s="191" t="s">
        <v>44</v>
      </c>
      <c r="R14" s="191" t="s">
        <v>45</v>
      </c>
      <c r="S14" s="191" t="s">
        <v>46</v>
      </c>
      <c r="T14" s="191" t="s">
        <v>47</v>
      </c>
      <c r="U14" s="394"/>
      <c r="V14" s="394"/>
      <c r="W14" s="191" t="s">
        <v>33</v>
      </c>
      <c r="X14" s="191" t="s">
        <v>48</v>
      </c>
      <c r="Y14" s="394"/>
      <c r="Z14" s="394"/>
      <c r="AA14" s="394"/>
      <c r="AB14" s="394"/>
      <c r="AC14" s="191" t="s">
        <v>49</v>
      </c>
      <c r="AD14" s="191" t="s">
        <v>50</v>
      </c>
      <c r="AE14" s="191" t="s">
        <v>51</v>
      </c>
      <c r="AF14" s="191" t="s">
        <v>52</v>
      </c>
      <c r="AG14" s="191" t="s">
        <v>53</v>
      </c>
      <c r="AH14" s="191" t="s">
        <v>157</v>
      </c>
      <c r="AI14" s="394"/>
      <c r="AJ14" s="394"/>
      <c r="AK14" s="394"/>
    </row>
    <row r="15" spans="1:37" s="109" customFormat="1" ht="15" x14ac:dyDescent="0.2">
      <c r="A15" s="41">
        <v>1</v>
      </c>
      <c r="B15" s="41">
        <v>2</v>
      </c>
      <c r="C15" s="41">
        <v>3</v>
      </c>
      <c r="D15" s="41">
        <v>4</v>
      </c>
      <c r="E15" s="41">
        <v>5</v>
      </c>
      <c r="F15" s="41">
        <v>6</v>
      </c>
      <c r="G15" s="41">
        <v>7</v>
      </c>
      <c r="H15" s="41">
        <v>8</v>
      </c>
      <c r="I15" s="41">
        <v>9</v>
      </c>
      <c r="J15" s="41">
        <v>10</v>
      </c>
      <c r="K15" s="41">
        <v>11</v>
      </c>
      <c r="L15" s="41">
        <v>12</v>
      </c>
      <c r="M15" s="41">
        <v>13</v>
      </c>
      <c r="N15" s="41">
        <v>14</v>
      </c>
      <c r="O15" s="41">
        <v>15</v>
      </c>
      <c r="P15" s="41">
        <v>16</v>
      </c>
      <c r="Q15" s="41">
        <v>17</v>
      </c>
      <c r="R15" s="41">
        <v>18</v>
      </c>
      <c r="S15" s="41">
        <v>19</v>
      </c>
      <c r="T15" s="41">
        <v>20</v>
      </c>
      <c r="U15" s="41">
        <v>21</v>
      </c>
      <c r="V15" s="41">
        <v>22</v>
      </c>
      <c r="W15" s="41">
        <v>23</v>
      </c>
      <c r="X15" s="41">
        <v>24</v>
      </c>
      <c r="Y15" s="41">
        <v>25</v>
      </c>
      <c r="Z15" s="41">
        <v>26</v>
      </c>
      <c r="AA15" s="41">
        <v>27</v>
      </c>
      <c r="AB15" s="41">
        <v>28</v>
      </c>
      <c r="AC15" s="41">
        <v>29</v>
      </c>
      <c r="AD15" s="41">
        <v>30</v>
      </c>
      <c r="AE15" s="41">
        <v>31</v>
      </c>
      <c r="AF15" s="41">
        <v>32</v>
      </c>
      <c r="AG15" s="41">
        <v>33</v>
      </c>
      <c r="AH15" s="41">
        <v>34</v>
      </c>
      <c r="AI15" s="41">
        <v>35</v>
      </c>
      <c r="AJ15" s="41">
        <v>36</v>
      </c>
      <c r="AK15" s="41">
        <v>37</v>
      </c>
    </row>
    <row r="16" spans="1:37" s="109" customFormat="1" ht="15" x14ac:dyDescent="0.2">
      <c r="A16" s="194"/>
      <c r="B16" s="195" t="s">
        <v>55</v>
      </c>
      <c r="C16" s="195"/>
      <c r="D16" s="195"/>
      <c r="E16" s="195"/>
      <c r="F16" s="112">
        <f>F162</f>
        <v>1094</v>
      </c>
      <c r="G16" s="112">
        <f t="shared" ref="G16:AJ16" si="0">G162</f>
        <v>904</v>
      </c>
      <c r="H16" s="112">
        <f t="shared" si="0"/>
        <v>692</v>
      </c>
      <c r="I16" s="112">
        <f t="shared" si="0"/>
        <v>658</v>
      </c>
      <c r="J16" s="112">
        <f t="shared" si="0"/>
        <v>2702</v>
      </c>
      <c r="K16" s="112">
        <f t="shared" si="0"/>
        <v>217.2</v>
      </c>
      <c r="L16" s="112">
        <f t="shared" si="0"/>
        <v>0</v>
      </c>
      <c r="M16" s="112">
        <f t="shared" si="0"/>
        <v>44.800000000000004</v>
      </c>
      <c r="N16" s="112">
        <f t="shared" si="0"/>
        <v>0</v>
      </c>
      <c r="O16" s="112">
        <f t="shared" si="0"/>
        <v>0</v>
      </c>
      <c r="P16" s="112">
        <f t="shared" si="0"/>
        <v>0</v>
      </c>
      <c r="Q16" s="112">
        <f t="shared" si="0"/>
        <v>53.2</v>
      </c>
      <c r="R16" s="112">
        <f t="shared" si="0"/>
        <v>0</v>
      </c>
      <c r="S16" s="112">
        <f t="shared" si="0"/>
        <v>56</v>
      </c>
      <c r="T16" s="112">
        <f t="shared" si="0"/>
        <v>252.66666666666666</v>
      </c>
      <c r="U16" s="112">
        <f t="shared" si="0"/>
        <v>0</v>
      </c>
      <c r="V16" s="112">
        <f t="shared" si="0"/>
        <v>24</v>
      </c>
      <c r="W16" s="112">
        <f t="shared" si="0"/>
        <v>358</v>
      </c>
      <c r="X16" s="112">
        <f t="shared" si="0"/>
        <v>25</v>
      </c>
      <c r="Y16" s="112">
        <f t="shared" si="0"/>
        <v>0</v>
      </c>
      <c r="Z16" s="112">
        <f t="shared" si="0"/>
        <v>0</v>
      </c>
      <c r="AA16" s="112">
        <f t="shared" si="0"/>
        <v>0</v>
      </c>
      <c r="AB16" s="112">
        <f t="shared" si="0"/>
        <v>13.5</v>
      </c>
      <c r="AC16" s="112">
        <f t="shared" si="0"/>
        <v>0</v>
      </c>
      <c r="AD16" s="112">
        <f t="shared" si="0"/>
        <v>0</v>
      </c>
      <c r="AE16" s="112">
        <f t="shared" si="0"/>
        <v>30</v>
      </c>
      <c r="AF16" s="112">
        <f t="shared" si="0"/>
        <v>0</v>
      </c>
      <c r="AG16" s="112">
        <f t="shared" si="0"/>
        <v>0</v>
      </c>
      <c r="AH16" s="112">
        <f t="shared" si="0"/>
        <v>0</v>
      </c>
      <c r="AI16" s="112">
        <f t="shared" si="0"/>
        <v>106</v>
      </c>
      <c r="AJ16" s="112">
        <f t="shared" si="0"/>
        <v>5444.3666666666659</v>
      </c>
      <c r="AK16" s="112"/>
    </row>
    <row r="17" spans="1:37" s="109" customFormat="1" ht="15" x14ac:dyDescent="0.2">
      <c r="A17" s="194"/>
      <c r="B17" s="195" t="s">
        <v>56</v>
      </c>
      <c r="C17" s="195"/>
      <c r="D17" s="195"/>
      <c r="E17" s="195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</row>
    <row r="18" spans="1:37" s="109" customFormat="1" ht="15" x14ac:dyDescent="0.2">
      <c r="A18" s="194"/>
      <c r="B18" s="195" t="s">
        <v>57</v>
      </c>
      <c r="C18" s="195"/>
      <c r="D18" s="195"/>
      <c r="E18" s="195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</row>
    <row r="19" spans="1:37" s="109" customFormat="1" ht="15" x14ac:dyDescent="0.2">
      <c r="A19" s="194"/>
      <c r="B19" s="195" t="s">
        <v>58</v>
      </c>
      <c r="C19" s="195"/>
      <c r="D19" s="195"/>
      <c r="E19" s="195"/>
      <c r="F19" s="112">
        <f>F203</f>
        <v>348</v>
      </c>
      <c r="G19" s="112">
        <f t="shared" ref="G19:AJ19" si="1">G203</f>
        <v>266</v>
      </c>
      <c r="H19" s="112">
        <f t="shared" si="1"/>
        <v>20</v>
      </c>
      <c r="I19" s="112">
        <f t="shared" si="1"/>
        <v>20</v>
      </c>
      <c r="J19" s="112">
        <f t="shared" si="1"/>
        <v>485</v>
      </c>
      <c r="K19" s="112">
        <f t="shared" si="1"/>
        <v>63.6</v>
      </c>
      <c r="L19" s="112">
        <f t="shared" si="1"/>
        <v>0</v>
      </c>
      <c r="M19" s="112">
        <f t="shared" si="1"/>
        <v>40</v>
      </c>
      <c r="N19" s="112">
        <f t="shared" si="1"/>
        <v>0</v>
      </c>
      <c r="O19" s="112">
        <f t="shared" si="1"/>
        <v>0</v>
      </c>
      <c r="P19" s="112">
        <f t="shared" si="1"/>
        <v>0</v>
      </c>
      <c r="Q19" s="112">
        <f t="shared" si="1"/>
        <v>18.3</v>
      </c>
      <c r="R19" s="112">
        <f t="shared" si="1"/>
        <v>0</v>
      </c>
      <c r="S19" s="112">
        <f t="shared" si="1"/>
        <v>0</v>
      </c>
      <c r="T19" s="112">
        <f t="shared" si="1"/>
        <v>0</v>
      </c>
      <c r="U19" s="112">
        <f t="shared" si="1"/>
        <v>0</v>
      </c>
      <c r="V19" s="112">
        <f t="shared" si="1"/>
        <v>0</v>
      </c>
      <c r="W19" s="112">
        <f t="shared" si="1"/>
        <v>0</v>
      </c>
      <c r="X19" s="112">
        <f t="shared" si="1"/>
        <v>0</v>
      </c>
      <c r="Y19" s="112">
        <f t="shared" si="1"/>
        <v>0</v>
      </c>
      <c r="Z19" s="112">
        <f t="shared" si="1"/>
        <v>0</v>
      </c>
      <c r="AA19" s="112">
        <f t="shared" si="1"/>
        <v>0</v>
      </c>
      <c r="AB19" s="112">
        <f t="shared" si="1"/>
        <v>0</v>
      </c>
      <c r="AC19" s="112">
        <f t="shared" si="1"/>
        <v>0</v>
      </c>
      <c r="AD19" s="112">
        <f t="shared" si="1"/>
        <v>0</v>
      </c>
      <c r="AE19" s="112">
        <f t="shared" si="1"/>
        <v>0</v>
      </c>
      <c r="AF19" s="112">
        <f t="shared" si="1"/>
        <v>0</v>
      </c>
      <c r="AG19" s="112">
        <f t="shared" si="1"/>
        <v>0</v>
      </c>
      <c r="AH19" s="112">
        <f t="shared" si="1"/>
        <v>0</v>
      </c>
      <c r="AI19" s="112">
        <f t="shared" si="1"/>
        <v>29</v>
      </c>
      <c r="AJ19" s="112">
        <f t="shared" si="1"/>
        <v>921.90000000000009</v>
      </c>
      <c r="AK19" s="112"/>
    </row>
    <row r="20" spans="1:37" s="109" customFormat="1" ht="15.75" x14ac:dyDescent="0.2">
      <c r="A20" s="196"/>
      <c r="B20" s="196" t="s">
        <v>59</v>
      </c>
      <c r="C20" s="196"/>
      <c r="D20" s="196"/>
      <c r="E20" s="196"/>
      <c r="F20" s="113">
        <f t="shared" ref="F20:AI20" si="2">SUM(F16:F19)</f>
        <v>1442</v>
      </c>
      <c r="G20" s="113">
        <f t="shared" si="2"/>
        <v>1170</v>
      </c>
      <c r="H20" s="113">
        <f t="shared" si="2"/>
        <v>712</v>
      </c>
      <c r="I20" s="113">
        <f t="shared" si="2"/>
        <v>678</v>
      </c>
      <c r="J20" s="113">
        <f t="shared" si="2"/>
        <v>3187</v>
      </c>
      <c r="K20" s="113">
        <f t="shared" si="2"/>
        <v>280.8</v>
      </c>
      <c r="L20" s="113">
        <f t="shared" si="2"/>
        <v>0</v>
      </c>
      <c r="M20" s="113">
        <f t="shared" si="2"/>
        <v>84.800000000000011</v>
      </c>
      <c r="N20" s="113">
        <f t="shared" si="2"/>
        <v>0</v>
      </c>
      <c r="O20" s="113">
        <f t="shared" si="2"/>
        <v>0</v>
      </c>
      <c r="P20" s="113">
        <f t="shared" si="2"/>
        <v>0</v>
      </c>
      <c r="Q20" s="113">
        <f t="shared" si="2"/>
        <v>71.5</v>
      </c>
      <c r="R20" s="113">
        <f t="shared" si="2"/>
        <v>0</v>
      </c>
      <c r="S20" s="113">
        <f t="shared" si="2"/>
        <v>56</v>
      </c>
      <c r="T20" s="113">
        <f t="shared" si="2"/>
        <v>252.66666666666666</v>
      </c>
      <c r="U20" s="113">
        <f t="shared" si="2"/>
        <v>0</v>
      </c>
      <c r="V20" s="113">
        <f t="shared" si="2"/>
        <v>24</v>
      </c>
      <c r="W20" s="113">
        <f t="shared" si="2"/>
        <v>358</v>
      </c>
      <c r="X20" s="113">
        <f t="shared" si="2"/>
        <v>25</v>
      </c>
      <c r="Y20" s="113">
        <f t="shared" si="2"/>
        <v>0</v>
      </c>
      <c r="Z20" s="113">
        <f t="shared" si="2"/>
        <v>0</v>
      </c>
      <c r="AA20" s="113">
        <f t="shared" si="2"/>
        <v>0</v>
      </c>
      <c r="AB20" s="113">
        <f t="shared" si="2"/>
        <v>13.5</v>
      </c>
      <c r="AC20" s="113">
        <f t="shared" si="2"/>
        <v>0</v>
      </c>
      <c r="AD20" s="113">
        <f t="shared" si="2"/>
        <v>0</v>
      </c>
      <c r="AE20" s="113">
        <f t="shared" si="2"/>
        <v>30</v>
      </c>
      <c r="AF20" s="113">
        <f t="shared" si="2"/>
        <v>0</v>
      </c>
      <c r="AG20" s="113">
        <f t="shared" si="2"/>
        <v>0</v>
      </c>
      <c r="AH20" s="113">
        <f t="shared" si="2"/>
        <v>0</v>
      </c>
      <c r="AI20" s="113">
        <f t="shared" si="2"/>
        <v>135</v>
      </c>
      <c r="AJ20" s="113">
        <f>SUM(AJ16:AJ19)</f>
        <v>6366.2666666666664</v>
      </c>
      <c r="AK20" s="113"/>
    </row>
    <row r="21" spans="1:37" s="109" customFormat="1" ht="15.75" x14ac:dyDescent="0.2">
      <c r="A21" s="74"/>
      <c r="B21" s="74"/>
      <c r="C21" s="74"/>
      <c r="D21" s="74"/>
      <c r="E21" s="74"/>
      <c r="F21" s="70"/>
      <c r="G21" s="70"/>
      <c r="H21" s="70"/>
      <c r="I21" s="70"/>
      <c r="J21" s="70"/>
      <c r="K21" s="70"/>
      <c r="L21" s="70"/>
      <c r="M21" s="70"/>
      <c r="N21" s="391" t="s">
        <v>55</v>
      </c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</row>
    <row r="22" spans="1:37" s="109" customFormat="1" ht="15.75" x14ac:dyDescent="0.2">
      <c r="A22" s="74"/>
      <c r="B22" s="74"/>
      <c r="C22" s="74"/>
      <c r="D22" s="74"/>
      <c r="E22" s="74"/>
      <c r="F22" s="70"/>
      <c r="G22" s="70"/>
      <c r="H22" s="70"/>
      <c r="I22" s="70"/>
      <c r="J22" s="70"/>
      <c r="K22" s="70"/>
      <c r="L22" s="70"/>
      <c r="M22" s="70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</row>
    <row r="23" spans="1:37" s="109" customFormat="1" ht="15.75" x14ac:dyDescent="0.2">
      <c r="A23" s="74"/>
      <c r="B23" s="74"/>
      <c r="C23" s="74"/>
      <c r="D23" s="74"/>
      <c r="E23" s="74"/>
      <c r="F23" s="70"/>
      <c r="G23" s="70"/>
      <c r="H23" s="70"/>
      <c r="I23" s="70"/>
      <c r="J23" s="70"/>
      <c r="K23" s="73"/>
      <c r="L23" s="401" t="str">
        <f>Бюджет!L23</f>
        <v>03.03.03 Радиофизика</v>
      </c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1"/>
      <c r="Y23" s="401"/>
      <c r="Z23" s="401"/>
      <c r="AA23" s="401"/>
      <c r="AB23" s="73"/>
      <c r="AC23" s="70"/>
      <c r="AD23" s="70"/>
      <c r="AE23" s="70"/>
      <c r="AF23" s="70"/>
      <c r="AG23" s="70"/>
      <c r="AH23" s="70"/>
      <c r="AI23" s="70"/>
      <c r="AJ23" s="70"/>
      <c r="AK23" s="74"/>
    </row>
    <row r="24" spans="1:37" s="109" customFormat="1" ht="15.75" x14ac:dyDescent="0.2">
      <c r="A24" s="74"/>
      <c r="B24" s="74"/>
      <c r="C24" s="74"/>
      <c r="D24" s="74"/>
      <c r="E24" s="74"/>
      <c r="F24" s="70"/>
      <c r="G24" s="70"/>
      <c r="H24" s="70"/>
      <c r="I24" s="70"/>
      <c r="J24" s="70"/>
      <c r="K24" s="386" t="str">
        <f>Бюджет!K24</f>
        <v xml:space="preserve">профиль "Радиоинжиниринг и телекоммуникации" </v>
      </c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  <c r="AC24" s="70"/>
      <c r="AD24" s="70"/>
      <c r="AE24" s="70"/>
      <c r="AF24" s="70"/>
      <c r="AG24" s="70"/>
      <c r="AH24" s="70"/>
      <c r="AI24" s="70"/>
      <c r="AJ24" s="70"/>
      <c r="AK24" s="74"/>
    </row>
    <row r="25" spans="1:37" s="109" customFormat="1" ht="15" x14ac:dyDescent="0.2">
      <c r="A25" s="90" t="str">
        <f>Бюджет!A25</f>
        <v>Б1.О.09</v>
      </c>
      <c r="B25" s="60" t="str">
        <f>Бюджет!B25</f>
        <v>Безопасность жизнедеятельности</v>
      </c>
      <c r="C25" s="74" t="str">
        <f>Бюджет!C25</f>
        <v>1\1</v>
      </c>
      <c r="D25" s="74">
        <f>Бюджет!D25</f>
        <v>21</v>
      </c>
      <c r="E25" s="74">
        <f>Бюджет!E25</f>
        <v>1</v>
      </c>
      <c r="F25" s="70">
        <f>Бюджет!F25</f>
        <v>0</v>
      </c>
      <c r="G25" s="70">
        <f>Бюджет!G25</f>
        <v>0</v>
      </c>
      <c r="H25" s="70">
        <f>Бюджет!H25</f>
        <v>16</v>
      </c>
      <c r="I25" s="70">
        <f>Бюджет!I25</f>
        <v>16</v>
      </c>
      <c r="J25" s="70">
        <f>Бюджет!J25</f>
        <v>0</v>
      </c>
      <c r="K25" s="70">
        <f>Бюджет!K25</f>
        <v>6.3</v>
      </c>
      <c r="L25" s="70">
        <f>Бюджет!L25</f>
        <v>0</v>
      </c>
      <c r="M25" s="70">
        <f>Бюджет!M25</f>
        <v>0</v>
      </c>
      <c r="N25" s="70">
        <f>Бюджет!N25</f>
        <v>0</v>
      </c>
      <c r="O25" s="70">
        <f>Бюджет!O25</f>
        <v>0</v>
      </c>
      <c r="P25" s="70">
        <f>Бюджет!P25</f>
        <v>0</v>
      </c>
      <c r="Q25" s="70">
        <f>Бюджет!Q25</f>
        <v>0</v>
      </c>
      <c r="R25" s="70">
        <f>Бюджет!R25</f>
        <v>0</v>
      </c>
      <c r="S25" s="70">
        <f>Бюджет!S25</f>
        <v>0</v>
      </c>
      <c r="T25" s="70">
        <f>Бюджет!T25</f>
        <v>0</v>
      </c>
      <c r="U25" s="70">
        <f>Бюджет!U25</f>
        <v>0</v>
      </c>
      <c r="V25" s="70">
        <f>Бюджет!V25</f>
        <v>0</v>
      </c>
      <c r="W25" s="70">
        <f>Бюджет!W25</f>
        <v>0</v>
      </c>
      <c r="X25" s="70">
        <f>Бюджет!X25</f>
        <v>0</v>
      </c>
      <c r="Y25" s="70">
        <f>Бюджет!Y25</f>
        <v>0</v>
      </c>
      <c r="Z25" s="70">
        <f>Бюджет!Z25</f>
        <v>0</v>
      </c>
      <c r="AA25" s="70">
        <f>Бюджет!AA25</f>
        <v>0</v>
      </c>
      <c r="AB25" s="70">
        <f>Бюджет!AB25</f>
        <v>0</v>
      </c>
      <c r="AC25" s="70">
        <f>Бюджет!AC25</f>
        <v>0</v>
      </c>
      <c r="AD25" s="70">
        <f>Бюджет!AD25</f>
        <v>0</v>
      </c>
      <c r="AE25" s="70">
        <f>Бюджет!AE25</f>
        <v>0</v>
      </c>
      <c r="AF25" s="70">
        <f>Бюджет!AF25</f>
        <v>0</v>
      </c>
      <c r="AG25" s="70">
        <f>Бюджет!AG25</f>
        <v>0</v>
      </c>
      <c r="AH25" s="70">
        <f>Бюджет!AH25</f>
        <v>0</v>
      </c>
      <c r="AI25" s="70">
        <f>Бюджет!AI25</f>
        <v>0</v>
      </c>
      <c r="AJ25" s="66">
        <f t="shared" ref="AJ25:AJ30" si="3">SUM(G25,I25:AI25)</f>
        <v>22.3</v>
      </c>
      <c r="AK25" s="74"/>
    </row>
    <row r="26" spans="1:37" s="109" customFormat="1" ht="15" x14ac:dyDescent="0.2">
      <c r="A26" s="90" t="str">
        <f>Бюджет!A26</f>
        <v>Б1.О.12.01</v>
      </c>
      <c r="B26" s="60" t="str">
        <f>Бюджет!B26</f>
        <v>Механика (поток РФ, ФИЗ)</v>
      </c>
      <c r="C26" s="74" t="str">
        <f>Бюджет!C26</f>
        <v>1\1</v>
      </c>
      <c r="D26" s="74">
        <f>Бюджет!D26</f>
        <v>21</v>
      </c>
      <c r="E26" s="74">
        <f>Бюджет!E26</f>
        <v>1</v>
      </c>
      <c r="F26" s="70"/>
      <c r="G26" s="70"/>
      <c r="H26" s="70">
        <f>Бюджет!H26</f>
        <v>44</v>
      </c>
      <c r="I26" s="70">
        <f>Бюджет!I26</f>
        <v>44</v>
      </c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66">
        <f t="shared" si="3"/>
        <v>44</v>
      </c>
      <c r="AK26" s="74"/>
    </row>
    <row r="27" spans="1:37" s="109" customFormat="1" ht="15.75" x14ac:dyDescent="0.2">
      <c r="A27" s="74"/>
      <c r="B27" s="74"/>
      <c r="C27" s="74"/>
      <c r="D27" s="74"/>
      <c r="E27" s="74"/>
      <c r="F27" s="70"/>
      <c r="G27" s="70"/>
      <c r="H27" s="70"/>
      <c r="I27" s="70"/>
      <c r="J27" s="70"/>
      <c r="K27" s="386" t="str">
        <f>Бюджет!K35</f>
        <v>профиль "Радиофизика в области связи, информационных и телекоммуникационных технологий"</v>
      </c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  <c r="AC27" s="70"/>
      <c r="AD27" s="70"/>
      <c r="AE27" s="70"/>
      <c r="AF27" s="70"/>
      <c r="AG27" s="70"/>
      <c r="AH27" s="70"/>
      <c r="AI27" s="70"/>
      <c r="AJ27" s="70"/>
      <c r="AK27" s="74"/>
    </row>
    <row r="28" spans="1:37" s="109" customFormat="1" ht="15.75" x14ac:dyDescent="0.2">
      <c r="A28" s="74"/>
      <c r="B28" s="74"/>
      <c r="C28" s="74"/>
      <c r="D28" s="74"/>
      <c r="E28" s="74"/>
      <c r="F28" s="70"/>
      <c r="G28" s="70"/>
      <c r="H28" s="70"/>
      <c r="I28" s="70"/>
      <c r="J28" s="70"/>
      <c r="K28" s="386" t="str">
        <f>Бюджет!K36</f>
        <v xml:space="preserve">профиль "Радиофизика: радиоэлектронные устройства, обработка сигналов и автоматизация" </v>
      </c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70"/>
      <c r="AD28" s="70"/>
      <c r="AE28" s="70"/>
      <c r="AF28" s="70"/>
      <c r="AG28" s="70"/>
      <c r="AH28" s="70"/>
      <c r="AI28" s="70"/>
      <c r="AJ28" s="70"/>
      <c r="AK28" s="74"/>
    </row>
    <row r="29" spans="1:37" s="109" customFormat="1" ht="30" x14ac:dyDescent="0.2">
      <c r="A29" s="90" t="str">
        <f>Бюджет!A71</f>
        <v>Б1.О.31</v>
      </c>
      <c r="B29" s="60" t="str">
        <f>Бюджет!B71</f>
        <v>Технологии искусственного интелекта (поток РФ, ФИЗ, НЭ, ИБ)</v>
      </c>
      <c r="C29" s="74" t="str">
        <f>Бюджет!C71</f>
        <v>4\8</v>
      </c>
      <c r="D29" s="74">
        <f>Бюджет!D71</f>
        <v>26</v>
      </c>
      <c r="E29" s="74">
        <f>Бюджет!E71</f>
        <v>1</v>
      </c>
      <c r="F29" s="70">
        <f>Бюджет!F71</f>
        <v>22</v>
      </c>
      <c r="G29" s="70">
        <f>Бюджет!G71</f>
        <v>22</v>
      </c>
      <c r="H29" s="70">
        <f>Бюджет!H71</f>
        <v>0</v>
      </c>
      <c r="I29" s="70">
        <f>Бюджет!I71</f>
        <v>0</v>
      </c>
      <c r="J29" s="70">
        <f>Бюджет!J71</f>
        <v>44</v>
      </c>
      <c r="K29" s="70">
        <f>Бюджет!K71</f>
        <v>7.8</v>
      </c>
      <c r="L29" s="70">
        <f>Бюджет!L71</f>
        <v>0</v>
      </c>
      <c r="M29" s="70">
        <f>Бюджет!M71</f>
        <v>0</v>
      </c>
      <c r="N29" s="70">
        <f>Бюджет!N71</f>
        <v>0</v>
      </c>
      <c r="O29" s="70">
        <f>Бюджет!O71</f>
        <v>0</v>
      </c>
      <c r="P29" s="70">
        <f>Бюджет!P71</f>
        <v>0</v>
      </c>
      <c r="Q29" s="70">
        <f>Бюджет!Q71</f>
        <v>1.1000000000000001</v>
      </c>
      <c r="R29" s="70">
        <f>Бюджет!R71</f>
        <v>0</v>
      </c>
      <c r="S29" s="70">
        <f>Бюджет!S71</f>
        <v>0</v>
      </c>
      <c r="T29" s="70">
        <f>Бюджет!T71</f>
        <v>0</v>
      </c>
      <c r="U29" s="70">
        <f>Бюджет!U71</f>
        <v>0</v>
      </c>
      <c r="V29" s="70">
        <f>Бюджет!V71</f>
        <v>0</v>
      </c>
      <c r="W29" s="70">
        <f>Бюджет!W71</f>
        <v>0</v>
      </c>
      <c r="X29" s="70">
        <f>Бюджет!X71</f>
        <v>0</v>
      </c>
      <c r="Y29" s="70">
        <f>Бюджет!Y71</f>
        <v>0</v>
      </c>
      <c r="Z29" s="70">
        <f>Бюджет!Z71</f>
        <v>0</v>
      </c>
      <c r="AA29" s="70">
        <f>Бюджет!AA71</f>
        <v>0</v>
      </c>
      <c r="AB29" s="70">
        <f>Бюджет!AB71</f>
        <v>0</v>
      </c>
      <c r="AC29" s="70">
        <f>Бюджет!AC71</f>
        <v>0</v>
      </c>
      <c r="AD29" s="70">
        <f>Бюджет!AD71</f>
        <v>0</v>
      </c>
      <c r="AE29" s="70">
        <f>Бюджет!AE71</f>
        <v>0</v>
      </c>
      <c r="AF29" s="70">
        <f>Бюджет!AF71</f>
        <v>0</v>
      </c>
      <c r="AG29" s="70">
        <f>Бюджет!AG71</f>
        <v>0</v>
      </c>
      <c r="AH29" s="70">
        <f>Бюджет!AH71</f>
        <v>0</v>
      </c>
      <c r="AI29" s="70">
        <f>Бюджет!AI71</f>
        <v>0</v>
      </c>
      <c r="AJ29" s="66">
        <f t="shared" si="3"/>
        <v>74.899999999999991</v>
      </c>
      <c r="AK29" s="74"/>
    </row>
    <row r="30" spans="1:37" s="109" customFormat="1" ht="15" x14ac:dyDescent="0.2">
      <c r="A30" s="90" t="str">
        <f>Бюджет!A78</f>
        <v>Б1.В.09</v>
      </c>
      <c r="B30" s="60" t="str">
        <f>Бюджет!B78</f>
        <v>Волоконно-оптические линии связи</v>
      </c>
      <c r="C30" s="74" t="str">
        <f>Бюджет!C78</f>
        <v>4\8</v>
      </c>
      <c r="D30" s="74">
        <f>Бюджет!D78</f>
        <v>26</v>
      </c>
      <c r="E30" s="74">
        <f>Бюджет!E78</f>
        <v>1</v>
      </c>
      <c r="F30" s="70"/>
      <c r="G30" s="70"/>
      <c r="H30" s="70"/>
      <c r="I30" s="70"/>
      <c r="J30" s="70">
        <f>Бюджет!J78/2</f>
        <v>24</v>
      </c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66">
        <f t="shared" si="3"/>
        <v>24</v>
      </c>
      <c r="AK30" s="74"/>
    </row>
    <row r="31" spans="1:37" s="109" customFormat="1" ht="15.75" x14ac:dyDescent="0.2">
      <c r="A31" s="90"/>
      <c r="B31" s="108" t="s">
        <v>228</v>
      </c>
      <c r="C31" s="91"/>
      <c r="D31" s="91"/>
      <c r="E31" s="91"/>
      <c r="F31" s="88">
        <f>SUM(F25:F30)</f>
        <v>22</v>
      </c>
      <c r="G31" s="88">
        <f t="shared" ref="G31:AJ31" si="4">SUM(G25:G30)</f>
        <v>22</v>
      </c>
      <c r="H31" s="88">
        <f t="shared" si="4"/>
        <v>60</v>
      </c>
      <c r="I31" s="88">
        <f t="shared" si="4"/>
        <v>60</v>
      </c>
      <c r="J31" s="88">
        <f t="shared" si="4"/>
        <v>68</v>
      </c>
      <c r="K31" s="88">
        <f t="shared" si="4"/>
        <v>14.1</v>
      </c>
      <c r="L31" s="88">
        <f t="shared" si="4"/>
        <v>0</v>
      </c>
      <c r="M31" s="88">
        <f t="shared" si="4"/>
        <v>0</v>
      </c>
      <c r="N31" s="88">
        <f t="shared" si="4"/>
        <v>0</v>
      </c>
      <c r="O31" s="88">
        <f t="shared" si="4"/>
        <v>0</v>
      </c>
      <c r="P31" s="88">
        <f t="shared" si="4"/>
        <v>0</v>
      </c>
      <c r="Q31" s="88">
        <f t="shared" si="4"/>
        <v>1.1000000000000001</v>
      </c>
      <c r="R31" s="88">
        <f t="shared" si="4"/>
        <v>0</v>
      </c>
      <c r="S31" s="88">
        <f t="shared" si="4"/>
        <v>0</v>
      </c>
      <c r="T31" s="88">
        <f t="shared" si="4"/>
        <v>0</v>
      </c>
      <c r="U31" s="88">
        <f t="shared" si="4"/>
        <v>0</v>
      </c>
      <c r="V31" s="88">
        <f t="shared" si="4"/>
        <v>0</v>
      </c>
      <c r="W31" s="88">
        <f t="shared" si="4"/>
        <v>0</v>
      </c>
      <c r="X31" s="88">
        <f t="shared" si="4"/>
        <v>0</v>
      </c>
      <c r="Y31" s="88">
        <f t="shared" si="4"/>
        <v>0</v>
      </c>
      <c r="Z31" s="88">
        <f t="shared" si="4"/>
        <v>0</v>
      </c>
      <c r="AA31" s="88">
        <f t="shared" si="4"/>
        <v>0</v>
      </c>
      <c r="AB31" s="88">
        <f t="shared" si="4"/>
        <v>0</v>
      </c>
      <c r="AC31" s="88">
        <f t="shared" si="4"/>
        <v>0</v>
      </c>
      <c r="AD31" s="88">
        <f t="shared" si="4"/>
        <v>0</v>
      </c>
      <c r="AE31" s="88">
        <f t="shared" si="4"/>
        <v>0</v>
      </c>
      <c r="AF31" s="88">
        <f t="shared" si="4"/>
        <v>0</v>
      </c>
      <c r="AG31" s="88">
        <f t="shared" si="4"/>
        <v>0</v>
      </c>
      <c r="AH31" s="88">
        <f t="shared" si="4"/>
        <v>0</v>
      </c>
      <c r="AI31" s="88">
        <f t="shared" si="4"/>
        <v>0</v>
      </c>
      <c r="AJ31" s="88">
        <f t="shared" si="4"/>
        <v>165.2</v>
      </c>
      <c r="AK31" s="74"/>
    </row>
    <row r="32" spans="1:37" s="109" customFormat="1" ht="15.75" x14ac:dyDescent="0.2">
      <c r="A32" s="90"/>
      <c r="B32" s="92"/>
      <c r="C32" s="74"/>
      <c r="D32" s="74"/>
      <c r="E32" s="74"/>
      <c r="F32" s="70"/>
      <c r="G32" s="70"/>
      <c r="H32" s="70"/>
      <c r="I32" s="70"/>
      <c r="J32" s="70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70"/>
      <c r="AD32" s="70"/>
      <c r="AE32" s="70"/>
      <c r="AF32" s="70"/>
      <c r="AG32" s="70"/>
      <c r="AH32" s="70"/>
      <c r="AI32" s="70"/>
      <c r="AJ32" s="70"/>
      <c r="AK32" s="74"/>
    </row>
    <row r="33" spans="1:37" s="109" customFormat="1" ht="15.75" x14ac:dyDescent="0.2">
      <c r="A33" s="90"/>
      <c r="B33" s="92"/>
      <c r="C33" s="70"/>
      <c r="D33" s="70"/>
      <c r="E33" s="70"/>
      <c r="F33" s="70"/>
      <c r="G33" s="70"/>
      <c r="H33" s="70"/>
      <c r="I33" s="70"/>
      <c r="J33" s="408" t="str">
        <f>Бюджет!L90</f>
        <v>03.03.02 Физика</v>
      </c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  <c r="X33" s="409"/>
      <c r="Y33" s="409"/>
      <c r="Z33" s="409"/>
      <c r="AA33" s="409"/>
      <c r="AB33" s="409"/>
      <c r="AC33" s="410"/>
      <c r="AD33" s="70"/>
      <c r="AE33" s="70"/>
      <c r="AF33" s="70"/>
      <c r="AG33" s="70"/>
      <c r="AH33" s="70"/>
      <c r="AI33" s="70"/>
      <c r="AJ33" s="70"/>
      <c r="AK33" s="70"/>
    </row>
    <row r="34" spans="1:37" s="109" customFormat="1" ht="15.75" x14ac:dyDescent="0.2">
      <c r="A34" s="90"/>
      <c r="B34" s="92"/>
      <c r="C34" s="70"/>
      <c r="D34" s="70"/>
      <c r="E34" s="70"/>
      <c r="F34" s="70"/>
      <c r="G34" s="70"/>
      <c r="H34" s="70"/>
      <c r="I34" s="70"/>
      <c r="J34" s="405" t="str">
        <f>Бюджет!K91</f>
        <v>профиль "Фундаментальная физика и физика Космоса"</v>
      </c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06"/>
      <c r="Y34" s="406"/>
      <c r="Z34" s="406"/>
      <c r="AA34" s="406"/>
      <c r="AB34" s="406"/>
      <c r="AC34" s="407"/>
      <c r="AD34" s="70"/>
      <c r="AE34" s="70"/>
      <c r="AF34" s="70"/>
      <c r="AG34" s="70"/>
      <c r="AH34" s="70"/>
      <c r="AI34" s="70"/>
      <c r="AJ34" s="70"/>
      <c r="AK34" s="70"/>
    </row>
    <row r="35" spans="1:37" s="109" customFormat="1" ht="15.75" x14ac:dyDescent="0.2">
      <c r="A35" s="90"/>
      <c r="B35" s="92"/>
      <c r="C35" s="70"/>
      <c r="D35" s="70"/>
      <c r="E35" s="70"/>
      <c r="F35" s="70"/>
      <c r="G35" s="70"/>
      <c r="H35" s="70"/>
      <c r="I35" s="70"/>
      <c r="J35" s="405" t="str">
        <f>Бюджет!K92</f>
        <v>профиль "Экспериментальная физика"</v>
      </c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7"/>
      <c r="AD35" s="70"/>
      <c r="AE35" s="70"/>
      <c r="AF35" s="70"/>
      <c r="AG35" s="70"/>
      <c r="AH35" s="70"/>
      <c r="AI35" s="70"/>
      <c r="AJ35" s="70"/>
      <c r="AK35" s="70"/>
    </row>
    <row r="36" spans="1:37" s="109" customFormat="1" ht="15" x14ac:dyDescent="0.2">
      <c r="A36" s="90" t="str">
        <f>Бюджет!A94</f>
        <v>Б1.О.09</v>
      </c>
      <c r="B36" s="90" t="str">
        <f>Бюджет!B94</f>
        <v>Безопасность жизнедеятельности</v>
      </c>
      <c r="C36" s="74" t="str">
        <f>Бюджет!C94</f>
        <v>1\1</v>
      </c>
      <c r="D36" s="74">
        <f>Бюджет!D94</f>
        <v>23</v>
      </c>
      <c r="E36" s="74">
        <f>Бюджет!E94</f>
        <v>1</v>
      </c>
      <c r="F36" s="70">
        <f>Бюджет!F94</f>
        <v>0</v>
      </c>
      <c r="G36" s="70">
        <f>Бюджет!G94</f>
        <v>0</v>
      </c>
      <c r="H36" s="70">
        <f>Бюджет!H94</f>
        <v>16</v>
      </c>
      <c r="I36" s="70">
        <f>Бюджет!I94</f>
        <v>16</v>
      </c>
      <c r="J36" s="70">
        <f>Бюджет!J94</f>
        <v>0</v>
      </c>
      <c r="K36" s="70">
        <f>Бюджет!K94</f>
        <v>6.8999999999999995</v>
      </c>
      <c r="L36" s="70">
        <f>Бюджет!L94</f>
        <v>0</v>
      </c>
      <c r="M36" s="70">
        <f>Бюджет!M94</f>
        <v>0</v>
      </c>
      <c r="N36" s="70">
        <f>Бюджет!N94</f>
        <v>0</v>
      </c>
      <c r="O36" s="70">
        <f>Бюджет!O94</f>
        <v>0</v>
      </c>
      <c r="P36" s="70">
        <f>Бюджет!P94</f>
        <v>0</v>
      </c>
      <c r="Q36" s="70">
        <f>Бюджет!Q94</f>
        <v>0</v>
      </c>
      <c r="R36" s="70">
        <f>Бюджет!R94</f>
        <v>0</v>
      </c>
      <c r="S36" s="70">
        <f>Бюджет!S94</f>
        <v>0</v>
      </c>
      <c r="T36" s="70">
        <f>Бюджет!T94</f>
        <v>0</v>
      </c>
      <c r="U36" s="70">
        <f>Бюджет!U94</f>
        <v>0</v>
      </c>
      <c r="V36" s="70">
        <f>Бюджет!V94</f>
        <v>0</v>
      </c>
      <c r="W36" s="70">
        <f>Бюджет!W94</f>
        <v>0</v>
      </c>
      <c r="X36" s="70">
        <f>Бюджет!X94</f>
        <v>0</v>
      </c>
      <c r="Y36" s="70">
        <f>Бюджет!Y94</f>
        <v>0</v>
      </c>
      <c r="Z36" s="70">
        <f>Бюджет!Z94</f>
        <v>0</v>
      </c>
      <c r="AA36" s="70">
        <f>Бюджет!AA94</f>
        <v>0</v>
      </c>
      <c r="AB36" s="70">
        <f>Бюджет!AB94</f>
        <v>0</v>
      </c>
      <c r="AC36" s="70">
        <f>Бюджет!AC94</f>
        <v>0</v>
      </c>
      <c r="AD36" s="70">
        <f>Бюджет!AD94</f>
        <v>0</v>
      </c>
      <c r="AE36" s="70">
        <f>Бюджет!AE94</f>
        <v>0</v>
      </c>
      <c r="AF36" s="70">
        <f>Бюджет!AF94</f>
        <v>0</v>
      </c>
      <c r="AG36" s="70">
        <f>Бюджет!AG94</f>
        <v>0</v>
      </c>
      <c r="AH36" s="70">
        <f>Бюджет!AH94</f>
        <v>0</v>
      </c>
      <c r="AI36" s="70">
        <f>Бюджет!AI94</f>
        <v>0</v>
      </c>
      <c r="AJ36" s="66">
        <f t="shared" ref="AJ36:AJ78" si="5">SUM(G36,I36:AI36)</f>
        <v>22.9</v>
      </c>
      <c r="AK36" s="70"/>
    </row>
    <row r="37" spans="1:37" s="109" customFormat="1" ht="15" x14ac:dyDescent="0.2">
      <c r="A37" s="60" t="str">
        <f>Бюджет!A101</f>
        <v>Б1.О.14.01</v>
      </c>
      <c r="B37" s="60" t="str">
        <f>Бюджет!B101</f>
        <v>Программирование (поток ФИЗ и НЭ)</v>
      </c>
      <c r="C37" s="67" t="str">
        <f>Бюджет!C101</f>
        <v>1\2</v>
      </c>
      <c r="D37" s="67">
        <f>Бюджет!D101</f>
        <v>23</v>
      </c>
      <c r="E37" s="67">
        <f>Бюджет!E101</f>
        <v>1</v>
      </c>
      <c r="F37" s="66">
        <f>Бюджет!F101</f>
        <v>20</v>
      </c>
      <c r="G37" s="66">
        <f>Бюджет!G101</f>
        <v>20</v>
      </c>
      <c r="H37" s="66">
        <f>Бюджет!H101</f>
        <v>0</v>
      </c>
      <c r="I37" s="66">
        <f>Бюджет!I101</f>
        <v>0</v>
      </c>
      <c r="J37" s="66">
        <f>Бюджет!J101</f>
        <v>120</v>
      </c>
      <c r="K37" s="66">
        <f>Бюджет!K101</f>
        <v>6.8999999999999995</v>
      </c>
      <c r="L37" s="66">
        <f>Бюджет!L101</f>
        <v>0</v>
      </c>
      <c r="M37" s="66">
        <f>Бюджет!M101</f>
        <v>0</v>
      </c>
      <c r="N37" s="66">
        <f>Бюджет!N101</f>
        <v>0</v>
      </c>
      <c r="O37" s="66">
        <f>Бюджет!O101</f>
        <v>0</v>
      </c>
      <c r="P37" s="66">
        <f>Бюджет!P101</f>
        <v>0</v>
      </c>
      <c r="Q37" s="66">
        <f>Бюджет!Q101</f>
        <v>1</v>
      </c>
      <c r="R37" s="66">
        <f>Бюджет!R101</f>
        <v>0</v>
      </c>
      <c r="S37" s="66">
        <f>Бюджет!S101</f>
        <v>0</v>
      </c>
      <c r="T37" s="66">
        <f>Бюджет!T101</f>
        <v>0</v>
      </c>
      <c r="U37" s="66">
        <f>Бюджет!U101</f>
        <v>0</v>
      </c>
      <c r="V37" s="66">
        <f>Бюджет!V101</f>
        <v>0</v>
      </c>
      <c r="W37" s="66">
        <f>Бюджет!W101</f>
        <v>0</v>
      </c>
      <c r="X37" s="66">
        <f>Бюджет!X101</f>
        <v>0</v>
      </c>
      <c r="Y37" s="66">
        <f>Бюджет!Y101</f>
        <v>0</v>
      </c>
      <c r="Z37" s="66">
        <f>Бюджет!Z101</f>
        <v>0</v>
      </c>
      <c r="AA37" s="66">
        <f>Бюджет!AA101</f>
        <v>0</v>
      </c>
      <c r="AB37" s="66">
        <f>Бюджет!AB101</f>
        <v>0</v>
      </c>
      <c r="AC37" s="66">
        <f>Бюджет!AC101</f>
        <v>0</v>
      </c>
      <c r="AD37" s="66">
        <f>Бюджет!AD101</f>
        <v>0</v>
      </c>
      <c r="AE37" s="66">
        <f>Бюджет!AE101</f>
        <v>0</v>
      </c>
      <c r="AF37" s="66">
        <f>Бюджет!AF101</f>
        <v>0</v>
      </c>
      <c r="AG37" s="66">
        <f>Бюджет!AG101</f>
        <v>0</v>
      </c>
      <c r="AH37" s="66">
        <f>Бюджет!AH101</f>
        <v>0</v>
      </c>
      <c r="AI37" s="66">
        <f>Бюджет!AI101</f>
        <v>0</v>
      </c>
      <c r="AJ37" s="66">
        <f t="shared" si="5"/>
        <v>147.9</v>
      </c>
      <c r="AK37" s="197"/>
    </row>
    <row r="38" spans="1:37" s="109" customFormat="1" ht="15" x14ac:dyDescent="0.2">
      <c r="A38" s="60" t="str">
        <f>Бюджет!A102</f>
        <v>Б1.О.16</v>
      </c>
      <c r="B38" s="60" t="str">
        <f>Бюджет!B102</f>
        <v>Астрономия</v>
      </c>
      <c r="C38" s="67" t="str">
        <f>Бюджет!C102</f>
        <v>1\2</v>
      </c>
      <c r="D38" s="67">
        <f>Бюджет!D102</f>
        <v>23</v>
      </c>
      <c r="E38" s="67">
        <f>Бюджет!E102</f>
        <v>1</v>
      </c>
      <c r="F38" s="66">
        <f>Бюджет!F102</f>
        <v>40</v>
      </c>
      <c r="G38" s="66">
        <f>Бюджет!G102</f>
        <v>40</v>
      </c>
      <c r="H38" s="66">
        <f>Бюджет!H102</f>
        <v>20</v>
      </c>
      <c r="I38" s="66">
        <f>Бюджет!I102</f>
        <v>20</v>
      </c>
      <c r="J38" s="66">
        <f>Бюджет!J102</f>
        <v>0</v>
      </c>
      <c r="K38" s="66">
        <f>Бюджет!K102</f>
        <v>6.8999999999999995</v>
      </c>
      <c r="L38" s="66">
        <f>Бюджет!L102</f>
        <v>0</v>
      </c>
      <c r="M38" s="66">
        <f>Бюджет!M102</f>
        <v>0</v>
      </c>
      <c r="N38" s="66">
        <f>Бюджет!N102</f>
        <v>0</v>
      </c>
      <c r="O38" s="66">
        <f>Бюджет!O102</f>
        <v>0</v>
      </c>
      <c r="P38" s="66">
        <f>Бюджет!P102</f>
        <v>0</v>
      </c>
      <c r="Q38" s="66">
        <f>Бюджет!Q102</f>
        <v>2</v>
      </c>
      <c r="R38" s="66">
        <f>Бюджет!R102</f>
        <v>0</v>
      </c>
      <c r="S38" s="66">
        <f>Бюджет!S102</f>
        <v>0</v>
      </c>
      <c r="T38" s="66">
        <f>Бюджет!T102</f>
        <v>0</v>
      </c>
      <c r="U38" s="66">
        <f>Бюджет!U102</f>
        <v>0</v>
      </c>
      <c r="V38" s="66">
        <f>Бюджет!V102</f>
        <v>0</v>
      </c>
      <c r="W38" s="66">
        <f>Бюджет!W102</f>
        <v>0</v>
      </c>
      <c r="X38" s="66">
        <f>Бюджет!X102</f>
        <v>0</v>
      </c>
      <c r="Y38" s="66">
        <f>Бюджет!Y102</f>
        <v>0</v>
      </c>
      <c r="Z38" s="66">
        <f>Бюджет!Z102</f>
        <v>0</v>
      </c>
      <c r="AA38" s="66">
        <f>Бюджет!AA102</f>
        <v>0</v>
      </c>
      <c r="AB38" s="66">
        <f>Бюджет!AB102</f>
        <v>0</v>
      </c>
      <c r="AC38" s="66">
        <f>Бюджет!AC102</f>
        <v>0</v>
      </c>
      <c r="AD38" s="66">
        <f>Бюджет!AD102</f>
        <v>0</v>
      </c>
      <c r="AE38" s="66">
        <f>Бюджет!AE102</f>
        <v>0</v>
      </c>
      <c r="AF38" s="66">
        <f>Бюджет!AF102</f>
        <v>0</v>
      </c>
      <c r="AG38" s="66">
        <f>Бюджет!AG102</f>
        <v>0</v>
      </c>
      <c r="AH38" s="66">
        <f>Бюджет!AH102</f>
        <v>0</v>
      </c>
      <c r="AI38" s="66">
        <f>Бюджет!AI102</f>
        <v>4</v>
      </c>
      <c r="AJ38" s="66">
        <f t="shared" si="5"/>
        <v>72.900000000000006</v>
      </c>
      <c r="AK38" s="197"/>
    </row>
    <row r="39" spans="1:37" s="109" customFormat="1" ht="15.75" x14ac:dyDescent="0.2">
      <c r="A39" s="90"/>
      <c r="B39" s="92"/>
      <c r="C39" s="70"/>
      <c r="D39" s="70"/>
      <c r="E39" s="70"/>
      <c r="F39" s="70"/>
      <c r="G39" s="70"/>
      <c r="H39" s="70"/>
      <c r="I39" s="70"/>
      <c r="J39" s="405" t="str">
        <f>Бюджет!K103</f>
        <v>профиль "Солнечно-земная физика"</v>
      </c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7"/>
      <c r="AD39" s="70"/>
      <c r="AE39" s="70"/>
      <c r="AF39" s="70"/>
      <c r="AG39" s="70"/>
      <c r="AH39" s="70"/>
      <c r="AI39" s="70"/>
      <c r="AJ39" s="70"/>
      <c r="AK39" s="70"/>
    </row>
    <row r="40" spans="1:37" s="109" customFormat="1" ht="15.75" x14ac:dyDescent="0.2">
      <c r="A40" s="90"/>
      <c r="B40" s="92"/>
      <c r="C40" s="70"/>
      <c r="D40" s="70"/>
      <c r="E40" s="70"/>
      <c r="F40" s="70"/>
      <c r="G40" s="70"/>
      <c r="H40" s="70"/>
      <c r="I40" s="70"/>
      <c r="J40" s="405" t="str">
        <f>Бюджет!K104</f>
        <v>профиль "Физика материалов твердотельной электроники и фотоники"</v>
      </c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6"/>
      <c r="AA40" s="406"/>
      <c r="AB40" s="406"/>
      <c r="AC40" s="407"/>
      <c r="AD40" s="70"/>
      <c r="AE40" s="70"/>
      <c r="AF40" s="70"/>
      <c r="AG40" s="70"/>
      <c r="AH40" s="70"/>
      <c r="AI40" s="70"/>
      <c r="AJ40" s="70"/>
      <c r="AK40" s="70"/>
    </row>
    <row r="41" spans="1:37" s="109" customFormat="1" ht="15.75" x14ac:dyDescent="0.2">
      <c r="A41" s="90"/>
      <c r="B41" s="92"/>
      <c r="C41" s="70"/>
      <c r="D41" s="70"/>
      <c r="E41" s="70"/>
      <c r="F41" s="70"/>
      <c r="G41" s="70"/>
      <c r="H41" s="70"/>
      <c r="I41" s="70"/>
      <c r="J41" s="405" t="str">
        <f>Бюджет!K105</f>
        <v>профиль "Фундаментальная физика"</v>
      </c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/>
      <c r="W41" s="406"/>
      <c r="X41" s="406"/>
      <c r="Y41" s="406"/>
      <c r="Z41" s="406"/>
      <c r="AA41" s="406"/>
      <c r="AB41" s="406"/>
      <c r="AC41" s="407"/>
      <c r="AD41" s="70"/>
      <c r="AE41" s="70"/>
      <c r="AF41" s="70"/>
      <c r="AG41" s="70"/>
      <c r="AH41" s="70"/>
      <c r="AI41" s="70"/>
      <c r="AJ41" s="70"/>
      <c r="AK41" s="70"/>
    </row>
    <row r="42" spans="1:37" s="109" customFormat="1" ht="30" x14ac:dyDescent="0.2">
      <c r="A42" s="60" t="str">
        <f>Бюджет!A106</f>
        <v>Б1.О.12.02</v>
      </c>
      <c r="B42" s="60" t="str">
        <f>Бюджет!B106</f>
        <v>Электричество и магнетизм (поток РФ, ФИЗ лекц+пз)</v>
      </c>
      <c r="C42" s="67" t="str">
        <f>Бюджет!C106</f>
        <v>2\3</v>
      </c>
      <c r="D42" s="67">
        <f>Бюджет!D106</f>
        <v>18</v>
      </c>
      <c r="E42" s="67">
        <f>Бюджет!E106</f>
        <v>1</v>
      </c>
      <c r="F42" s="66"/>
      <c r="G42" s="66"/>
      <c r="H42" s="66"/>
      <c r="I42" s="66"/>
      <c r="J42" s="66">
        <f>Бюджет!J106</f>
        <v>64</v>
      </c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>
        <f t="shared" si="5"/>
        <v>64</v>
      </c>
      <c r="AK42" s="197"/>
    </row>
    <row r="43" spans="1:37" s="109" customFormat="1" ht="30" x14ac:dyDescent="0.2">
      <c r="A43" s="60" t="str">
        <f>Бюджет!A111</f>
        <v>Б1.О.14.02</v>
      </c>
      <c r="B43" s="60" t="str">
        <f>Бюджет!B111</f>
        <v>Численные методы и математическое моделирование (поток ФИЗ, НЭ)</v>
      </c>
      <c r="C43" s="67" t="str">
        <f>Бюджет!C111</f>
        <v>2\3</v>
      </c>
      <c r="D43" s="67">
        <f>Бюджет!D111</f>
        <v>18</v>
      </c>
      <c r="E43" s="67">
        <f>Бюджет!E111</f>
        <v>1</v>
      </c>
      <c r="F43" s="66">
        <f>Бюджет!F111</f>
        <v>16</v>
      </c>
      <c r="G43" s="66">
        <f>Бюджет!G111</f>
        <v>16</v>
      </c>
      <c r="H43" s="66">
        <f>Бюджет!H111</f>
        <v>0</v>
      </c>
      <c r="I43" s="66">
        <f>Бюджет!I111</f>
        <v>0</v>
      </c>
      <c r="J43" s="66">
        <f>Бюджет!J111</f>
        <v>108</v>
      </c>
      <c r="K43" s="66">
        <f>Бюджет!K111</f>
        <v>5.3999999999999995</v>
      </c>
      <c r="L43" s="66">
        <f>Бюджет!L111</f>
        <v>0</v>
      </c>
      <c r="M43" s="66">
        <f>Бюджет!M111</f>
        <v>0</v>
      </c>
      <c r="N43" s="66">
        <f>Бюджет!N111</f>
        <v>0</v>
      </c>
      <c r="O43" s="66">
        <f>Бюджет!O111</f>
        <v>0</v>
      </c>
      <c r="P43" s="66">
        <f>Бюджет!P111</f>
        <v>0</v>
      </c>
      <c r="Q43" s="66">
        <f>Бюджет!Q111</f>
        <v>0.8</v>
      </c>
      <c r="R43" s="66">
        <f>Бюджет!R111</f>
        <v>0</v>
      </c>
      <c r="S43" s="66">
        <f>Бюджет!S111</f>
        <v>0</v>
      </c>
      <c r="T43" s="66">
        <f>Бюджет!T111</f>
        <v>0</v>
      </c>
      <c r="U43" s="66">
        <f>Бюджет!U111</f>
        <v>0</v>
      </c>
      <c r="V43" s="66">
        <f>Бюджет!V111</f>
        <v>0</v>
      </c>
      <c r="W43" s="66">
        <f>Бюджет!W111</f>
        <v>0</v>
      </c>
      <c r="X43" s="66">
        <f>Бюджет!X111</f>
        <v>0</v>
      </c>
      <c r="Y43" s="66">
        <f>Бюджет!Y111</f>
        <v>0</v>
      </c>
      <c r="Z43" s="66">
        <f>Бюджет!Z111</f>
        <v>0</v>
      </c>
      <c r="AA43" s="66">
        <f>Бюджет!AA111</f>
        <v>0</v>
      </c>
      <c r="AB43" s="66">
        <f>Бюджет!AB111</f>
        <v>0</v>
      </c>
      <c r="AC43" s="66">
        <f>Бюджет!AC111</f>
        <v>0</v>
      </c>
      <c r="AD43" s="66">
        <f>Бюджет!AD111</f>
        <v>0</v>
      </c>
      <c r="AE43" s="66">
        <f>Бюджет!AE111</f>
        <v>0</v>
      </c>
      <c r="AF43" s="66">
        <f>Бюджет!AF111</f>
        <v>0</v>
      </c>
      <c r="AG43" s="66">
        <f>Бюджет!AG111</f>
        <v>0</v>
      </c>
      <c r="AH43" s="66">
        <f>Бюджет!AH111</f>
        <v>0</v>
      </c>
      <c r="AI43" s="66">
        <f>Бюджет!AI111</f>
        <v>6</v>
      </c>
      <c r="AJ43" s="66">
        <f t="shared" si="5"/>
        <v>136.20000000000002</v>
      </c>
      <c r="AK43" s="70"/>
    </row>
    <row r="44" spans="1:37" s="109" customFormat="1" ht="30" x14ac:dyDescent="0.2">
      <c r="A44" s="60" t="str">
        <f>Бюджет!A112</f>
        <v>Б1.О.14.03</v>
      </c>
      <c r="B44" s="60" t="str">
        <f>Бюджет!B112</f>
        <v>Вычислительная физика (практикум на ЭВМ) (поток ФИЗ, НЭ)</v>
      </c>
      <c r="C44" s="67" t="str">
        <f>Бюджет!C112</f>
        <v>2\4</v>
      </c>
      <c r="D44" s="67">
        <f>Бюджет!D112</f>
        <v>18</v>
      </c>
      <c r="E44" s="67">
        <f>Бюджет!E112</f>
        <v>1</v>
      </c>
      <c r="F44" s="66">
        <f>Бюджет!F112</f>
        <v>20</v>
      </c>
      <c r="G44" s="66">
        <f>Бюджет!G112</f>
        <v>20</v>
      </c>
      <c r="H44" s="66">
        <f>Бюджет!H112</f>
        <v>0</v>
      </c>
      <c r="I44" s="66">
        <f>Бюджет!I112</f>
        <v>0</v>
      </c>
      <c r="J44" s="66">
        <f>Бюджет!J112</f>
        <v>120</v>
      </c>
      <c r="K44" s="66">
        <f>Бюджет!K112</f>
        <v>5.3999999999999995</v>
      </c>
      <c r="L44" s="66">
        <f>Бюджет!L112</f>
        <v>0</v>
      </c>
      <c r="M44" s="66">
        <f>Бюджет!M112</f>
        <v>0</v>
      </c>
      <c r="N44" s="66">
        <f>Бюджет!N112</f>
        <v>0</v>
      </c>
      <c r="O44" s="66">
        <f>Бюджет!O112</f>
        <v>0</v>
      </c>
      <c r="P44" s="66">
        <f>Бюджет!P112</f>
        <v>0</v>
      </c>
      <c r="Q44" s="66">
        <f>Бюджет!Q112</f>
        <v>1</v>
      </c>
      <c r="R44" s="66">
        <f>Бюджет!R112</f>
        <v>0</v>
      </c>
      <c r="S44" s="66">
        <f>Бюджет!S112</f>
        <v>0</v>
      </c>
      <c r="T44" s="66">
        <f>Бюджет!T112</f>
        <v>0</v>
      </c>
      <c r="U44" s="66">
        <f>Бюджет!U112</f>
        <v>0</v>
      </c>
      <c r="V44" s="66">
        <f>Бюджет!V112</f>
        <v>0</v>
      </c>
      <c r="W44" s="66">
        <f>Бюджет!W112</f>
        <v>0</v>
      </c>
      <c r="X44" s="66">
        <f>Бюджет!X112</f>
        <v>0</v>
      </c>
      <c r="Y44" s="66">
        <f>Бюджет!Y112</f>
        <v>0</v>
      </c>
      <c r="Z44" s="66">
        <f>Бюджет!Z112</f>
        <v>0</v>
      </c>
      <c r="AA44" s="66">
        <f>Бюджет!AA112</f>
        <v>0</v>
      </c>
      <c r="AB44" s="66">
        <f>Бюджет!AB112</f>
        <v>0</v>
      </c>
      <c r="AC44" s="66">
        <f>Бюджет!AC112</f>
        <v>0</v>
      </c>
      <c r="AD44" s="66">
        <f>Бюджет!AD112</f>
        <v>0</v>
      </c>
      <c r="AE44" s="66">
        <f>Бюджет!AE112</f>
        <v>0</v>
      </c>
      <c r="AF44" s="66">
        <f>Бюджет!AF112</f>
        <v>0</v>
      </c>
      <c r="AG44" s="66">
        <f>Бюджет!AG112</f>
        <v>0</v>
      </c>
      <c r="AH44" s="66">
        <f>Бюджет!AH112</f>
        <v>0</v>
      </c>
      <c r="AI44" s="66">
        <f>Бюджет!AI112</f>
        <v>16</v>
      </c>
      <c r="AJ44" s="66">
        <f t="shared" si="5"/>
        <v>162.4</v>
      </c>
      <c r="AK44" s="70"/>
    </row>
    <row r="45" spans="1:37" s="109" customFormat="1" ht="60" x14ac:dyDescent="0.2">
      <c r="A45" s="60" t="str">
        <f>Бюджет!A115</f>
        <v>Б2.О.01.01(У)</v>
      </c>
      <c r="B45" s="60" t="str">
        <f>Бюджет!B115</f>
        <v>Учебная практика. Научно-исследовательская работа (получение первичных навыков научно-исследовательской работы)</v>
      </c>
      <c r="C45" s="67" t="str">
        <f>Бюджет!C115</f>
        <v>2\3</v>
      </c>
      <c r="D45" s="67">
        <f>Бюджет!D115</f>
        <v>18</v>
      </c>
      <c r="E45" s="67">
        <f>Бюджет!E115</f>
        <v>1</v>
      </c>
      <c r="F45" s="66">
        <f>Бюджет!F115</f>
        <v>0</v>
      </c>
      <c r="G45" s="66">
        <f>Бюджет!G115</f>
        <v>0</v>
      </c>
      <c r="H45" s="66">
        <f>Бюджет!H115</f>
        <v>0</v>
      </c>
      <c r="I45" s="66">
        <f>Бюджет!I115</f>
        <v>0</v>
      </c>
      <c r="J45" s="66">
        <f>Бюджет!J115</f>
        <v>0</v>
      </c>
      <c r="K45" s="66">
        <f>Бюджет!K115</f>
        <v>0</v>
      </c>
      <c r="L45" s="66">
        <f>Бюджет!L115</f>
        <v>0</v>
      </c>
      <c r="M45" s="66">
        <f>Бюджет!M115</f>
        <v>0</v>
      </c>
      <c r="N45" s="66">
        <f>Бюджет!N115</f>
        <v>0</v>
      </c>
      <c r="O45" s="66">
        <f>Бюджет!O115</f>
        <v>0</v>
      </c>
      <c r="P45" s="66">
        <f>Бюджет!P115</f>
        <v>0</v>
      </c>
      <c r="Q45" s="66">
        <f>Бюджет!Q115</f>
        <v>0</v>
      </c>
      <c r="R45" s="66">
        <f>Бюджет!R115</f>
        <v>0</v>
      </c>
      <c r="S45" s="66">
        <f>Бюджет!S115</f>
        <v>36</v>
      </c>
      <c r="T45" s="66">
        <f>Бюджет!T115</f>
        <v>0</v>
      </c>
      <c r="U45" s="66">
        <f>Бюджет!U115</f>
        <v>0</v>
      </c>
      <c r="V45" s="66">
        <f>Бюджет!V115</f>
        <v>0</v>
      </c>
      <c r="W45" s="66">
        <f>Бюджет!W115</f>
        <v>0</v>
      </c>
      <c r="X45" s="66">
        <f>Бюджет!X115</f>
        <v>0</v>
      </c>
      <c r="Y45" s="66">
        <f>Бюджет!Y115</f>
        <v>0</v>
      </c>
      <c r="Z45" s="66">
        <f>Бюджет!Z115</f>
        <v>0</v>
      </c>
      <c r="AA45" s="66">
        <f>Бюджет!AA115</f>
        <v>0</v>
      </c>
      <c r="AB45" s="66">
        <f>Бюджет!AB115</f>
        <v>0</v>
      </c>
      <c r="AC45" s="66">
        <f>Бюджет!AC115</f>
        <v>0</v>
      </c>
      <c r="AD45" s="66">
        <f>Бюджет!AD115</f>
        <v>0</v>
      </c>
      <c r="AE45" s="66">
        <f>Бюджет!AE115</f>
        <v>0</v>
      </c>
      <c r="AF45" s="66">
        <f>Бюджет!AF115</f>
        <v>0</v>
      </c>
      <c r="AG45" s="66">
        <f>Бюджет!AG115</f>
        <v>0</v>
      </c>
      <c r="AH45" s="66">
        <f>Бюджет!AH115</f>
        <v>0</v>
      </c>
      <c r="AI45" s="66">
        <f>Бюджет!AI115</f>
        <v>0</v>
      </c>
      <c r="AJ45" s="66">
        <f t="shared" si="5"/>
        <v>36</v>
      </c>
      <c r="AK45" s="70"/>
    </row>
    <row r="46" spans="1:37" s="109" customFormat="1" ht="60" x14ac:dyDescent="0.2">
      <c r="A46" s="60" t="str">
        <f>Бюджет!A116</f>
        <v>Б2.О.01.02(У)</v>
      </c>
      <c r="B46" s="60" t="str">
        <f>Бюджет!B116</f>
        <v>Учебная практика. Научно-исследовательская работа (получение первичных навыков научно-исследовательской работы)</v>
      </c>
      <c r="C46" s="67" t="str">
        <f>Бюджет!C116</f>
        <v>2\4</v>
      </c>
      <c r="D46" s="67">
        <f>Бюджет!D116</f>
        <v>18</v>
      </c>
      <c r="E46" s="67">
        <f>Бюджет!E116</f>
        <v>1</v>
      </c>
      <c r="F46" s="66">
        <f>Бюджет!F116</f>
        <v>0</v>
      </c>
      <c r="G46" s="66">
        <f>Бюджет!G116</f>
        <v>0</v>
      </c>
      <c r="H46" s="66">
        <f>Бюджет!H116</f>
        <v>0</v>
      </c>
      <c r="I46" s="66">
        <f>Бюджет!I116</f>
        <v>0</v>
      </c>
      <c r="J46" s="66">
        <f>Бюджет!J116</f>
        <v>80</v>
      </c>
      <c r="K46" s="66">
        <f>Бюджет!K116</f>
        <v>5.3999999999999995</v>
      </c>
      <c r="L46" s="66">
        <f>Бюджет!L116</f>
        <v>0</v>
      </c>
      <c r="M46" s="66">
        <f>Бюджет!M116</f>
        <v>0</v>
      </c>
      <c r="N46" s="66">
        <f>Бюджет!N116</f>
        <v>0</v>
      </c>
      <c r="O46" s="66">
        <f>Бюджет!O116</f>
        <v>0</v>
      </c>
      <c r="P46" s="66">
        <f>Бюджет!P116</f>
        <v>0</v>
      </c>
      <c r="Q46" s="66">
        <f>Бюджет!Q116</f>
        <v>0</v>
      </c>
      <c r="R46" s="66">
        <f>Бюджет!R116</f>
        <v>0</v>
      </c>
      <c r="S46" s="66">
        <f>Бюджет!S116</f>
        <v>0</v>
      </c>
      <c r="T46" s="66">
        <f>Бюджет!T116</f>
        <v>0</v>
      </c>
      <c r="U46" s="66">
        <f>Бюджет!U116</f>
        <v>0</v>
      </c>
      <c r="V46" s="66">
        <f>Бюджет!V116</f>
        <v>0</v>
      </c>
      <c r="W46" s="66">
        <f>Бюджет!W116</f>
        <v>0</v>
      </c>
      <c r="X46" s="66">
        <f>Бюджет!X116</f>
        <v>0</v>
      </c>
      <c r="Y46" s="66">
        <f>Бюджет!Y116</f>
        <v>0</v>
      </c>
      <c r="Z46" s="66">
        <f>Бюджет!Z116</f>
        <v>0</v>
      </c>
      <c r="AA46" s="66">
        <f>Бюджет!AA116</f>
        <v>0</v>
      </c>
      <c r="AB46" s="66">
        <f>Бюджет!AB116</f>
        <v>0</v>
      </c>
      <c r="AC46" s="66">
        <f>Бюджет!AC116</f>
        <v>0</v>
      </c>
      <c r="AD46" s="66">
        <f>Бюджет!AD116</f>
        <v>0</v>
      </c>
      <c r="AE46" s="66">
        <f>Бюджет!AE116</f>
        <v>0</v>
      </c>
      <c r="AF46" s="66">
        <f>Бюджет!AF116</f>
        <v>0</v>
      </c>
      <c r="AG46" s="66">
        <f>Бюджет!AG116</f>
        <v>0</v>
      </c>
      <c r="AH46" s="66">
        <f>Бюджет!AH116</f>
        <v>0</v>
      </c>
      <c r="AI46" s="66">
        <f>Бюджет!AI116</f>
        <v>0</v>
      </c>
      <c r="AJ46" s="66">
        <f t="shared" si="5"/>
        <v>85.4</v>
      </c>
      <c r="AK46" s="70"/>
    </row>
    <row r="47" spans="1:37" s="109" customFormat="1" ht="15.75" x14ac:dyDescent="0.2">
      <c r="A47" s="90"/>
      <c r="B47" s="92"/>
      <c r="C47" s="70"/>
      <c r="D47" s="70"/>
      <c r="E47" s="70"/>
      <c r="F47" s="70"/>
      <c r="G47" s="70"/>
      <c r="H47" s="70"/>
      <c r="I47" s="70"/>
      <c r="J47" s="405" t="str">
        <f>Бюджет!K117</f>
        <v>профиль "Солнечно-земная физика"</v>
      </c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C47" s="407"/>
      <c r="AD47" s="70"/>
      <c r="AE47" s="70"/>
      <c r="AF47" s="70"/>
      <c r="AG47" s="70"/>
      <c r="AH47" s="70"/>
      <c r="AI47" s="70"/>
      <c r="AJ47" s="70"/>
      <c r="AK47" s="70"/>
    </row>
    <row r="48" spans="1:37" s="109" customFormat="1" ht="15.75" x14ac:dyDescent="0.2">
      <c r="A48" s="90"/>
      <c r="B48" s="92"/>
      <c r="C48" s="70"/>
      <c r="D48" s="70"/>
      <c r="E48" s="70"/>
      <c r="F48" s="70"/>
      <c r="G48" s="70"/>
      <c r="H48" s="70"/>
      <c r="I48" s="70"/>
      <c r="J48" s="405" t="str">
        <f>Бюджет!K118</f>
        <v>профиль "Физика конденсированного состояния"</v>
      </c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7"/>
      <c r="AD48" s="70"/>
      <c r="AE48" s="70"/>
      <c r="AF48" s="70"/>
      <c r="AG48" s="70"/>
      <c r="AH48" s="70"/>
      <c r="AI48" s="70"/>
      <c r="AJ48" s="70"/>
      <c r="AK48" s="70"/>
    </row>
    <row r="49" spans="1:37" s="109" customFormat="1" ht="15.75" x14ac:dyDescent="0.2">
      <c r="A49" s="90"/>
      <c r="B49" s="92"/>
      <c r="C49" s="70"/>
      <c r="D49" s="70"/>
      <c r="E49" s="70"/>
      <c r="F49" s="70"/>
      <c r="G49" s="70"/>
      <c r="H49" s="70"/>
      <c r="I49" s="70"/>
      <c r="J49" s="405" t="str">
        <f>Бюджет!K119</f>
        <v>профиль "Фундаментальная физика"</v>
      </c>
      <c r="K49" s="406"/>
      <c r="L49" s="406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406"/>
      <c r="AA49" s="406"/>
      <c r="AB49" s="406"/>
      <c r="AC49" s="407"/>
      <c r="AD49" s="70"/>
      <c r="AE49" s="70"/>
      <c r="AF49" s="70"/>
      <c r="AG49" s="70"/>
      <c r="AH49" s="70"/>
      <c r="AI49" s="70"/>
      <c r="AJ49" s="70"/>
      <c r="AK49" s="70"/>
    </row>
    <row r="50" spans="1:37" s="109" customFormat="1" ht="30" x14ac:dyDescent="0.2">
      <c r="A50" s="60" t="str">
        <f>Бюджет!A125</f>
        <v>Б1.В.02.02</v>
      </c>
      <c r="B50" s="60" t="str">
        <f>Бюджет!B125</f>
        <v>Специальный практикум по методам обработки сигналов (поток СЗФ и ФКС)</v>
      </c>
      <c r="C50" s="67" t="str">
        <f>Бюджет!C125</f>
        <v>3\6</v>
      </c>
      <c r="D50" s="67">
        <f>Бюджет!D125</f>
        <v>11</v>
      </c>
      <c r="E50" s="67">
        <f>Бюджет!E125</f>
        <v>1</v>
      </c>
      <c r="F50" s="66">
        <f>Бюджет!F125</f>
        <v>0</v>
      </c>
      <c r="G50" s="66">
        <f>Бюджет!G125</f>
        <v>0</v>
      </c>
      <c r="H50" s="66">
        <f>Бюджет!H125</f>
        <v>0</v>
      </c>
      <c r="I50" s="66">
        <f>Бюджет!I125</f>
        <v>0</v>
      </c>
      <c r="J50" s="66">
        <f>Бюджет!J125</f>
        <v>54</v>
      </c>
      <c r="K50" s="66">
        <f>Бюджет!K125</f>
        <v>3.3</v>
      </c>
      <c r="L50" s="66">
        <f>Бюджет!L125</f>
        <v>0</v>
      </c>
      <c r="M50" s="66">
        <f>Бюджет!M125</f>
        <v>0</v>
      </c>
      <c r="N50" s="66">
        <f>Бюджет!N125</f>
        <v>0</v>
      </c>
      <c r="O50" s="66">
        <f>Бюджет!O125</f>
        <v>0</v>
      </c>
      <c r="P50" s="66">
        <f>Бюджет!P125</f>
        <v>0</v>
      </c>
      <c r="Q50" s="66">
        <f>Бюджет!Q125</f>
        <v>0</v>
      </c>
      <c r="R50" s="66">
        <f>Бюджет!R125</f>
        <v>0</v>
      </c>
      <c r="S50" s="66">
        <f>Бюджет!S125</f>
        <v>0</v>
      </c>
      <c r="T50" s="66">
        <f>Бюджет!T125</f>
        <v>0</v>
      </c>
      <c r="U50" s="66">
        <f>Бюджет!U125</f>
        <v>0</v>
      </c>
      <c r="V50" s="66">
        <f>Бюджет!V125</f>
        <v>0</v>
      </c>
      <c r="W50" s="66">
        <f>Бюджет!W125</f>
        <v>0</v>
      </c>
      <c r="X50" s="66">
        <f>Бюджет!X125</f>
        <v>0</v>
      </c>
      <c r="Y50" s="66">
        <f>Бюджет!Y125</f>
        <v>0</v>
      </c>
      <c r="Z50" s="66">
        <f>Бюджет!Z125</f>
        <v>0</v>
      </c>
      <c r="AA50" s="66">
        <f>Бюджет!AA125</f>
        <v>0</v>
      </c>
      <c r="AB50" s="66">
        <f>Бюджет!AB125</f>
        <v>0</v>
      </c>
      <c r="AC50" s="66">
        <f>Бюджет!AC125</f>
        <v>0</v>
      </c>
      <c r="AD50" s="66">
        <f>Бюджет!AD125</f>
        <v>0</v>
      </c>
      <c r="AE50" s="66">
        <f>Бюджет!AE125</f>
        <v>0</v>
      </c>
      <c r="AF50" s="66">
        <f>Бюджет!AF125</f>
        <v>0</v>
      </c>
      <c r="AG50" s="66">
        <f>Бюджет!AG125</f>
        <v>0</v>
      </c>
      <c r="AH50" s="66">
        <f>Бюджет!AH125</f>
        <v>0</v>
      </c>
      <c r="AI50" s="66">
        <f>Бюджет!AI125</f>
        <v>0</v>
      </c>
      <c r="AJ50" s="66">
        <f t="shared" ref="AJ50:AJ52" si="6">SUM(G50,I50:AI50)</f>
        <v>57.3</v>
      </c>
      <c r="AK50" s="70"/>
    </row>
    <row r="51" spans="1:37" s="109" customFormat="1" ht="30" x14ac:dyDescent="0.2">
      <c r="A51" s="60" t="str">
        <f>Бюджет!A126</f>
        <v>Б1.В.06</v>
      </c>
      <c r="B51" s="60" t="str">
        <f>Бюджет!B126</f>
        <v>Основы сетевых технологий (поток СЗФ и ФКС)</v>
      </c>
      <c r="C51" s="67" t="str">
        <f>Бюджет!C126</f>
        <v>3\6</v>
      </c>
      <c r="D51" s="67">
        <f>Бюджет!D126</f>
        <v>11</v>
      </c>
      <c r="E51" s="67">
        <f>Бюджет!E126</f>
        <v>1</v>
      </c>
      <c r="F51" s="66">
        <f>Бюджет!F126</f>
        <v>18</v>
      </c>
      <c r="G51" s="66">
        <f>Бюджет!G126</f>
        <v>18</v>
      </c>
      <c r="H51" s="66">
        <f>Бюджет!H126</f>
        <v>18</v>
      </c>
      <c r="I51" s="66">
        <f>Бюджет!I126</f>
        <v>18</v>
      </c>
      <c r="J51" s="66">
        <f>Бюджет!J126</f>
        <v>0</v>
      </c>
      <c r="K51" s="66">
        <f>Бюджет!K126</f>
        <v>3.3</v>
      </c>
      <c r="L51" s="66">
        <f>Бюджет!L126</f>
        <v>0</v>
      </c>
      <c r="M51" s="66">
        <f>Бюджет!M126</f>
        <v>0</v>
      </c>
      <c r="N51" s="66">
        <f>Бюджет!N126</f>
        <v>0</v>
      </c>
      <c r="O51" s="66">
        <f>Бюджет!O126</f>
        <v>0</v>
      </c>
      <c r="P51" s="66">
        <f>Бюджет!P126</f>
        <v>0</v>
      </c>
      <c r="Q51" s="66">
        <f>Бюджет!Q126</f>
        <v>0.9</v>
      </c>
      <c r="R51" s="66">
        <f>Бюджет!R126</f>
        <v>0</v>
      </c>
      <c r="S51" s="66">
        <f>Бюджет!S126</f>
        <v>0</v>
      </c>
      <c r="T51" s="66">
        <f>Бюджет!T126</f>
        <v>0</v>
      </c>
      <c r="U51" s="66">
        <f>Бюджет!U126</f>
        <v>0</v>
      </c>
      <c r="V51" s="66">
        <f>Бюджет!V126</f>
        <v>0</v>
      </c>
      <c r="W51" s="66">
        <f>Бюджет!W126</f>
        <v>0</v>
      </c>
      <c r="X51" s="66">
        <f>Бюджет!X126</f>
        <v>0</v>
      </c>
      <c r="Y51" s="66">
        <f>Бюджет!Y126</f>
        <v>0</v>
      </c>
      <c r="Z51" s="66">
        <f>Бюджет!Z126</f>
        <v>0</v>
      </c>
      <c r="AA51" s="66">
        <f>Бюджет!AA126</f>
        <v>0</v>
      </c>
      <c r="AB51" s="66">
        <f>Бюджет!AB126</f>
        <v>0</v>
      </c>
      <c r="AC51" s="66">
        <f>Бюджет!AC126</f>
        <v>0</v>
      </c>
      <c r="AD51" s="66">
        <f>Бюджет!AD126</f>
        <v>0</v>
      </c>
      <c r="AE51" s="66">
        <f>Бюджет!AE126</f>
        <v>0</v>
      </c>
      <c r="AF51" s="66">
        <f>Бюджет!AF126</f>
        <v>0</v>
      </c>
      <c r="AG51" s="66">
        <f>Бюджет!AG126</f>
        <v>0</v>
      </c>
      <c r="AH51" s="66">
        <f>Бюджет!AH126</f>
        <v>0</v>
      </c>
      <c r="AI51" s="66">
        <f>Бюджет!AI126</f>
        <v>0</v>
      </c>
      <c r="AJ51" s="66">
        <f t="shared" si="6"/>
        <v>40.199999999999996</v>
      </c>
      <c r="AK51" s="70"/>
    </row>
    <row r="52" spans="1:37" s="109" customFormat="1" ht="30" x14ac:dyDescent="0.2">
      <c r="A52" s="60" t="str">
        <f>Бюджет!A127</f>
        <v>Б1.В.08</v>
      </c>
      <c r="B52" s="60" t="str">
        <f>Бюджет!B127</f>
        <v>Методы обработки сигналов (поток СЗФ и ФКС)</v>
      </c>
      <c r="C52" s="67" t="str">
        <f>Бюджет!C127</f>
        <v>3\6</v>
      </c>
      <c r="D52" s="67">
        <f>Бюджет!D127</f>
        <v>11</v>
      </c>
      <c r="E52" s="67">
        <f>Бюджет!E127</f>
        <v>1</v>
      </c>
      <c r="F52" s="66">
        <f>Бюджет!F127</f>
        <v>18</v>
      </c>
      <c r="G52" s="66">
        <f>Бюджет!G127</f>
        <v>18</v>
      </c>
      <c r="H52" s="66">
        <f>Бюджет!H127</f>
        <v>0</v>
      </c>
      <c r="I52" s="66">
        <f>Бюджет!I127</f>
        <v>0</v>
      </c>
      <c r="J52" s="66">
        <f>Бюджет!J127</f>
        <v>36</v>
      </c>
      <c r="K52" s="66">
        <f>Бюджет!K127</f>
        <v>0</v>
      </c>
      <c r="L52" s="66">
        <f>Бюджет!L127</f>
        <v>0</v>
      </c>
      <c r="M52" s="66">
        <f>Бюджет!M127</f>
        <v>4.4000000000000004</v>
      </c>
      <c r="N52" s="66">
        <f>Бюджет!N127</f>
        <v>0</v>
      </c>
      <c r="O52" s="66">
        <f>Бюджет!O127</f>
        <v>0</v>
      </c>
      <c r="P52" s="66">
        <f>Бюджет!P127</f>
        <v>0</v>
      </c>
      <c r="Q52" s="66">
        <f>Бюджет!Q127</f>
        <v>1.9</v>
      </c>
      <c r="R52" s="66">
        <f>Бюджет!R127</f>
        <v>0</v>
      </c>
      <c r="S52" s="66">
        <f>Бюджет!S127</f>
        <v>0</v>
      </c>
      <c r="T52" s="66">
        <f>Бюджет!T127</f>
        <v>0</v>
      </c>
      <c r="U52" s="66">
        <f>Бюджет!U127</f>
        <v>0</v>
      </c>
      <c r="V52" s="66">
        <f>Бюджет!V127</f>
        <v>0</v>
      </c>
      <c r="W52" s="66">
        <f>Бюджет!W127</f>
        <v>0</v>
      </c>
      <c r="X52" s="66">
        <f>Бюджет!X127</f>
        <v>0</v>
      </c>
      <c r="Y52" s="66">
        <f>Бюджет!Y127</f>
        <v>0</v>
      </c>
      <c r="Z52" s="66">
        <f>Бюджет!Z127</f>
        <v>0</v>
      </c>
      <c r="AA52" s="66">
        <f>Бюджет!AA127</f>
        <v>0</v>
      </c>
      <c r="AB52" s="66">
        <f>Бюджет!AB127</f>
        <v>0</v>
      </c>
      <c r="AC52" s="66">
        <f>Бюджет!AC127</f>
        <v>0</v>
      </c>
      <c r="AD52" s="66">
        <f>Бюджет!AD127</f>
        <v>0</v>
      </c>
      <c r="AE52" s="66">
        <f>Бюджет!AE127</f>
        <v>0</v>
      </c>
      <c r="AF52" s="66">
        <f>Бюджет!AF127</f>
        <v>0</v>
      </c>
      <c r="AG52" s="66">
        <f>Бюджет!AG127</f>
        <v>0</v>
      </c>
      <c r="AH52" s="66">
        <f>Бюджет!AH127</f>
        <v>0</v>
      </c>
      <c r="AI52" s="66">
        <f>Бюджет!AI127</f>
        <v>0</v>
      </c>
      <c r="AJ52" s="66">
        <f t="shared" si="6"/>
        <v>60.3</v>
      </c>
      <c r="AK52" s="70"/>
    </row>
    <row r="53" spans="1:37" s="109" customFormat="1" ht="15" x14ac:dyDescent="0.2">
      <c r="A53" s="60" t="str">
        <f>Бюджет!A128</f>
        <v>Б1.О.18</v>
      </c>
      <c r="B53" s="60" t="str">
        <f>Бюджет!B128</f>
        <v>Интернет-технологии обработки данных</v>
      </c>
      <c r="C53" s="67" t="str">
        <f>Бюджет!C128</f>
        <v>4\8</v>
      </c>
      <c r="D53" s="67">
        <f>Бюджет!D128</f>
        <v>14</v>
      </c>
      <c r="E53" s="67">
        <f>Бюджет!E128</f>
        <v>1</v>
      </c>
      <c r="F53" s="66">
        <f>Бюджет!F128</f>
        <v>24</v>
      </c>
      <c r="G53" s="66">
        <f>Бюджет!G128</f>
        <v>24</v>
      </c>
      <c r="H53" s="66">
        <f>Бюджет!H128</f>
        <v>48</v>
      </c>
      <c r="I53" s="66">
        <f>Бюджет!I128</f>
        <v>48</v>
      </c>
      <c r="J53" s="66">
        <f>Бюджет!J128</f>
        <v>0</v>
      </c>
      <c r="K53" s="66">
        <f>Бюджет!K128</f>
        <v>4.2</v>
      </c>
      <c r="L53" s="66">
        <f>Бюджет!L128</f>
        <v>0</v>
      </c>
      <c r="M53" s="66">
        <f>Бюджет!M128</f>
        <v>0</v>
      </c>
      <c r="N53" s="66">
        <f>Бюджет!N128</f>
        <v>0</v>
      </c>
      <c r="O53" s="66">
        <f>Бюджет!O128</f>
        <v>0</v>
      </c>
      <c r="P53" s="66">
        <f>Бюджет!P128</f>
        <v>0</v>
      </c>
      <c r="Q53" s="66">
        <f>Бюджет!Q128</f>
        <v>1.2000000000000002</v>
      </c>
      <c r="R53" s="66">
        <f>Бюджет!R128</f>
        <v>0</v>
      </c>
      <c r="S53" s="66">
        <f>Бюджет!S128</f>
        <v>0</v>
      </c>
      <c r="T53" s="66">
        <f>Бюджет!T128</f>
        <v>0</v>
      </c>
      <c r="U53" s="66">
        <f>Бюджет!U128</f>
        <v>0</v>
      </c>
      <c r="V53" s="66">
        <f>Бюджет!V128</f>
        <v>0</v>
      </c>
      <c r="W53" s="66">
        <f>Бюджет!W128</f>
        <v>0</v>
      </c>
      <c r="X53" s="66">
        <f>Бюджет!X128</f>
        <v>0</v>
      </c>
      <c r="Y53" s="66">
        <f>Бюджет!Y128</f>
        <v>0</v>
      </c>
      <c r="Z53" s="66">
        <f>Бюджет!Z128</f>
        <v>0</v>
      </c>
      <c r="AA53" s="66">
        <f>Бюджет!AA128</f>
        <v>0</v>
      </c>
      <c r="AB53" s="66">
        <f>Бюджет!AB128</f>
        <v>0</v>
      </c>
      <c r="AC53" s="66">
        <f>Бюджет!AC128</f>
        <v>0</v>
      </c>
      <c r="AD53" s="66">
        <f>Бюджет!AD128</f>
        <v>0</v>
      </c>
      <c r="AE53" s="66">
        <f>Бюджет!AE128</f>
        <v>0</v>
      </c>
      <c r="AF53" s="66">
        <f>Бюджет!AF128</f>
        <v>0</v>
      </c>
      <c r="AG53" s="66">
        <f>Бюджет!AG128</f>
        <v>0</v>
      </c>
      <c r="AH53" s="66">
        <f>Бюджет!AH128</f>
        <v>0</v>
      </c>
      <c r="AI53" s="66">
        <f>Бюджет!AI128</f>
        <v>2</v>
      </c>
      <c r="AJ53" s="66">
        <f t="shared" si="5"/>
        <v>79.400000000000006</v>
      </c>
      <c r="AK53" s="70"/>
    </row>
    <row r="54" spans="1:37" s="109" customFormat="1" ht="30" x14ac:dyDescent="0.2">
      <c r="A54" s="60" t="str">
        <f>Бюджет!A129</f>
        <v>Б1.О.19</v>
      </c>
      <c r="B54" s="60" t="str">
        <f>Бюджет!B129</f>
        <v>Технологии искусственного интелекта (поток РФ, ФИЗ, НЭ, ИБ)</v>
      </c>
      <c r="C54" s="67" t="str">
        <f>Бюджет!C129</f>
        <v>4\8</v>
      </c>
      <c r="D54" s="67">
        <f>Бюджет!D129</f>
        <v>14</v>
      </c>
      <c r="E54" s="67">
        <f>Бюджет!E129</f>
        <v>1</v>
      </c>
      <c r="F54" s="66">
        <f>Бюджет!F129</f>
        <v>22</v>
      </c>
      <c r="G54" s="66">
        <f>Бюджет!G129</f>
        <v>0</v>
      </c>
      <c r="H54" s="66">
        <f>Бюджет!H129</f>
        <v>0</v>
      </c>
      <c r="I54" s="66">
        <f>Бюджет!I129</f>
        <v>0</v>
      </c>
      <c r="J54" s="66">
        <f>Бюджет!J129</f>
        <v>22</v>
      </c>
      <c r="K54" s="66">
        <f>Бюджет!K129</f>
        <v>4.2</v>
      </c>
      <c r="L54" s="66">
        <f>Бюджет!L129</f>
        <v>0</v>
      </c>
      <c r="M54" s="66">
        <f>Бюджет!M129</f>
        <v>0</v>
      </c>
      <c r="N54" s="66">
        <f>Бюджет!N129</f>
        <v>0</v>
      </c>
      <c r="O54" s="66">
        <f>Бюджет!O129</f>
        <v>0</v>
      </c>
      <c r="P54" s="66">
        <f>Бюджет!P129</f>
        <v>0</v>
      </c>
      <c r="Q54" s="66">
        <f>Бюджет!Q129</f>
        <v>0</v>
      </c>
      <c r="R54" s="66">
        <f>Бюджет!R129</f>
        <v>0</v>
      </c>
      <c r="S54" s="66">
        <f>Бюджет!S129</f>
        <v>0</v>
      </c>
      <c r="T54" s="66">
        <f>Бюджет!T129</f>
        <v>0</v>
      </c>
      <c r="U54" s="66">
        <f>Бюджет!U129</f>
        <v>0</v>
      </c>
      <c r="V54" s="66">
        <f>Бюджет!V129</f>
        <v>0</v>
      </c>
      <c r="W54" s="66">
        <f>Бюджет!W129</f>
        <v>0</v>
      </c>
      <c r="X54" s="66">
        <f>Бюджет!X129</f>
        <v>0</v>
      </c>
      <c r="Y54" s="66">
        <f>Бюджет!Y129</f>
        <v>0</v>
      </c>
      <c r="Z54" s="66">
        <f>Бюджет!Z129</f>
        <v>0</v>
      </c>
      <c r="AA54" s="66">
        <f>Бюджет!AA129</f>
        <v>0</v>
      </c>
      <c r="AB54" s="66">
        <f>Бюджет!AB129</f>
        <v>0</v>
      </c>
      <c r="AC54" s="66">
        <f>Бюджет!AC129</f>
        <v>0</v>
      </c>
      <c r="AD54" s="66">
        <f>Бюджет!AD129</f>
        <v>0</v>
      </c>
      <c r="AE54" s="66">
        <f>Бюджет!AE129</f>
        <v>0</v>
      </c>
      <c r="AF54" s="66">
        <f>Бюджет!AF129</f>
        <v>0</v>
      </c>
      <c r="AG54" s="66">
        <f>Бюджет!AG129</f>
        <v>0</v>
      </c>
      <c r="AH54" s="66">
        <f>Бюджет!AH129</f>
        <v>0</v>
      </c>
      <c r="AI54" s="66">
        <f>Бюджет!AI129</f>
        <v>0</v>
      </c>
      <c r="AJ54" s="66">
        <f t="shared" si="5"/>
        <v>26.2</v>
      </c>
      <c r="AK54" s="70"/>
    </row>
    <row r="55" spans="1:37" s="109" customFormat="1" ht="45" x14ac:dyDescent="0.2">
      <c r="A55" s="60" t="str">
        <f>Бюджет!A130</f>
        <v>Б1.О.20</v>
      </c>
      <c r="B55" s="60" t="str">
        <f>Бюджет!B130</f>
        <v>Основы проектирования микроконтроллерных устройств (профили СЗФ и ФКС)</v>
      </c>
      <c r="C55" s="67" t="str">
        <f>Бюджет!C130</f>
        <v>4\8</v>
      </c>
      <c r="D55" s="67">
        <f>Бюджет!D130</f>
        <v>7</v>
      </c>
      <c r="E55" s="67">
        <f>Бюджет!E130</f>
        <v>1</v>
      </c>
      <c r="F55" s="66">
        <f>Бюджет!F130</f>
        <v>0</v>
      </c>
      <c r="G55" s="66">
        <f>Бюджет!G130</f>
        <v>0</v>
      </c>
      <c r="H55" s="66">
        <f>Бюджет!H130</f>
        <v>0</v>
      </c>
      <c r="I55" s="66">
        <f>Бюджет!I130</f>
        <v>0</v>
      </c>
      <c r="J55" s="66">
        <f>Бюджет!J130</f>
        <v>48</v>
      </c>
      <c r="K55" s="66">
        <f>Бюджет!K130</f>
        <v>2.1</v>
      </c>
      <c r="L55" s="66">
        <f>Бюджет!L130</f>
        <v>0</v>
      </c>
      <c r="M55" s="66">
        <f>Бюджет!M130</f>
        <v>0</v>
      </c>
      <c r="N55" s="66">
        <f>Бюджет!N130</f>
        <v>0</v>
      </c>
      <c r="O55" s="66">
        <f>Бюджет!O130</f>
        <v>0</v>
      </c>
      <c r="P55" s="66">
        <f>Бюджет!P130</f>
        <v>0</v>
      </c>
      <c r="Q55" s="66">
        <f>Бюджет!Q130</f>
        <v>0</v>
      </c>
      <c r="R55" s="66">
        <f>Бюджет!R130</f>
        <v>0</v>
      </c>
      <c r="S55" s="66">
        <f>Бюджет!S130</f>
        <v>0</v>
      </c>
      <c r="T55" s="66">
        <f>Бюджет!T130</f>
        <v>0</v>
      </c>
      <c r="U55" s="66">
        <f>Бюджет!U130</f>
        <v>0</v>
      </c>
      <c r="V55" s="66">
        <f>Бюджет!V130</f>
        <v>0</v>
      </c>
      <c r="W55" s="66">
        <f>Бюджет!W130</f>
        <v>0</v>
      </c>
      <c r="X55" s="66">
        <f>Бюджет!X130</f>
        <v>0</v>
      </c>
      <c r="Y55" s="66">
        <f>Бюджет!Y130</f>
        <v>0</v>
      </c>
      <c r="Z55" s="66">
        <f>Бюджет!Z130</f>
        <v>0</v>
      </c>
      <c r="AA55" s="66">
        <f>Бюджет!AA130</f>
        <v>0</v>
      </c>
      <c r="AB55" s="66">
        <f>Бюджет!AB130</f>
        <v>0</v>
      </c>
      <c r="AC55" s="66">
        <f>Бюджет!AC130</f>
        <v>0</v>
      </c>
      <c r="AD55" s="66">
        <f>Бюджет!AD130</f>
        <v>0</v>
      </c>
      <c r="AE55" s="66">
        <f>Бюджет!AE130</f>
        <v>0</v>
      </c>
      <c r="AF55" s="66">
        <f>Бюджет!AF130</f>
        <v>0</v>
      </c>
      <c r="AG55" s="66">
        <f>Бюджет!AG130</f>
        <v>0</v>
      </c>
      <c r="AH55" s="66">
        <f>Бюджет!AH130</f>
        <v>0</v>
      </c>
      <c r="AI55" s="66">
        <f>Бюджет!AI130</f>
        <v>2</v>
      </c>
      <c r="AJ55" s="66">
        <f t="shared" si="5"/>
        <v>52.1</v>
      </c>
      <c r="AK55" s="70"/>
    </row>
    <row r="56" spans="1:37" s="109" customFormat="1" ht="15" x14ac:dyDescent="0.2">
      <c r="A56" s="60" t="str">
        <f>Бюджет!A132</f>
        <v>Б1.В.14</v>
      </c>
      <c r="B56" s="60" t="str">
        <f>Бюджет!B132</f>
        <v>Базы данных (поток СЗФ и ФКС)</v>
      </c>
      <c r="C56" s="67" t="str">
        <f>Бюджет!C132</f>
        <v>4\7</v>
      </c>
      <c r="D56" s="67">
        <f>Бюджет!D132</f>
        <v>7</v>
      </c>
      <c r="E56" s="67">
        <f>Бюджет!E132</f>
        <v>1</v>
      </c>
      <c r="F56" s="66">
        <f>Бюджет!F132</f>
        <v>16</v>
      </c>
      <c r="G56" s="66">
        <f>Бюджет!G132</f>
        <v>16</v>
      </c>
      <c r="H56" s="66">
        <f>Бюджет!H132</f>
        <v>0</v>
      </c>
      <c r="I56" s="66">
        <f>Бюджет!I132</f>
        <v>0</v>
      </c>
      <c r="J56" s="66">
        <f>Бюджет!J132</f>
        <v>34</v>
      </c>
      <c r="K56" s="66">
        <f>Бюджет!K132</f>
        <v>2.1</v>
      </c>
      <c r="L56" s="66">
        <f>Бюджет!L132</f>
        <v>0</v>
      </c>
      <c r="M56" s="66">
        <f>Бюджет!M132</f>
        <v>0</v>
      </c>
      <c r="N56" s="66">
        <f>Бюджет!N132</f>
        <v>0</v>
      </c>
      <c r="O56" s="66">
        <f>Бюджет!O132</f>
        <v>0</v>
      </c>
      <c r="P56" s="66">
        <f>Бюджет!P132</f>
        <v>0</v>
      </c>
      <c r="Q56" s="66">
        <f>Бюджет!Q132</f>
        <v>0.8</v>
      </c>
      <c r="R56" s="66">
        <f>Бюджет!R132</f>
        <v>0</v>
      </c>
      <c r="S56" s="66">
        <f>Бюджет!S132</f>
        <v>0</v>
      </c>
      <c r="T56" s="66">
        <f>Бюджет!T132</f>
        <v>0</v>
      </c>
      <c r="U56" s="66">
        <f>Бюджет!U132</f>
        <v>0</v>
      </c>
      <c r="V56" s="66">
        <f>Бюджет!V132</f>
        <v>0</v>
      </c>
      <c r="W56" s="66">
        <f>Бюджет!W132</f>
        <v>0</v>
      </c>
      <c r="X56" s="66">
        <f>Бюджет!X132</f>
        <v>0</v>
      </c>
      <c r="Y56" s="66">
        <f>Бюджет!Y132</f>
        <v>0</v>
      </c>
      <c r="Z56" s="66">
        <f>Бюджет!Z132</f>
        <v>0</v>
      </c>
      <c r="AA56" s="66">
        <f>Бюджет!AA132</f>
        <v>0</v>
      </c>
      <c r="AB56" s="66">
        <f>Бюджет!AB132</f>
        <v>0</v>
      </c>
      <c r="AC56" s="66">
        <f>Бюджет!AC132</f>
        <v>0</v>
      </c>
      <c r="AD56" s="66">
        <f>Бюджет!AD132</f>
        <v>0</v>
      </c>
      <c r="AE56" s="66">
        <f>Бюджет!AE132</f>
        <v>0</v>
      </c>
      <c r="AF56" s="66">
        <f>Бюджет!AF132</f>
        <v>0</v>
      </c>
      <c r="AG56" s="66">
        <f>Бюджет!AG132</f>
        <v>0</v>
      </c>
      <c r="AH56" s="66">
        <f>Бюджет!AH132</f>
        <v>0</v>
      </c>
      <c r="AI56" s="66">
        <f>Бюджет!AI132</f>
        <v>0</v>
      </c>
      <c r="AJ56" s="66">
        <f t="shared" si="5"/>
        <v>52.9</v>
      </c>
      <c r="AK56" s="70"/>
    </row>
    <row r="57" spans="1:37" s="109" customFormat="1" ht="30" x14ac:dyDescent="0.2">
      <c r="A57" s="60" t="str">
        <f>Бюджет!A133</f>
        <v>Б1.В.15</v>
      </c>
      <c r="B57" s="60" t="str">
        <f>Бюджет!B133</f>
        <v>Введение в физику космических лучей (поток СЗФ и ФФ)</v>
      </c>
      <c r="C57" s="67" t="str">
        <f>Бюджет!C133</f>
        <v>4\8</v>
      </c>
      <c r="D57" s="67">
        <f>Бюджет!D133</f>
        <v>10</v>
      </c>
      <c r="E57" s="67">
        <f>Бюджет!E133</f>
        <v>1</v>
      </c>
      <c r="F57" s="66">
        <f>Бюджет!F133</f>
        <v>24</v>
      </c>
      <c r="G57" s="66">
        <f>Бюджет!G133</f>
        <v>24</v>
      </c>
      <c r="H57" s="66">
        <f>Бюджет!H133</f>
        <v>0</v>
      </c>
      <c r="I57" s="66">
        <f>Бюджет!I133</f>
        <v>0</v>
      </c>
      <c r="J57" s="66">
        <f>Бюджет!J133</f>
        <v>0</v>
      </c>
      <c r="K57" s="66">
        <f>Бюджет!K133</f>
        <v>3</v>
      </c>
      <c r="L57" s="66">
        <f>Бюджет!L133</f>
        <v>0</v>
      </c>
      <c r="M57" s="66">
        <f>Бюджет!M133</f>
        <v>0</v>
      </c>
      <c r="N57" s="66">
        <f>Бюджет!N133</f>
        <v>0</v>
      </c>
      <c r="O57" s="66">
        <f>Бюджет!O133</f>
        <v>0</v>
      </c>
      <c r="P57" s="66">
        <f>Бюджет!P133</f>
        <v>0</v>
      </c>
      <c r="Q57" s="66">
        <f>Бюджет!Q133</f>
        <v>1.2000000000000002</v>
      </c>
      <c r="R57" s="66">
        <f>Бюджет!R133</f>
        <v>0</v>
      </c>
      <c r="S57" s="66">
        <f>Бюджет!S133</f>
        <v>0</v>
      </c>
      <c r="T57" s="66">
        <f>Бюджет!T133</f>
        <v>0</v>
      </c>
      <c r="U57" s="66">
        <f>Бюджет!U133</f>
        <v>0</v>
      </c>
      <c r="V57" s="66">
        <f>Бюджет!V133</f>
        <v>0</v>
      </c>
      <c r="W57" s="66">
        <f>Бюджет!W133</f>
        <v>0</v>
      </c>
      <c r="X57" s="66">
        <f>Бюджет!X133</f>
        <v>0</v>
      </c>
      <c r="Y57" s="66">
        <f>Бюджет!Y133</f>
        <v>0</v>
      </c>
      <c r="Z57" s="66">
        <f>Бюджет!Z133</f>
        <v>0</v>
      </c>
      <c r="AA57" s="66">
        <f>Бюджет!AA133</f>
        <v>0</v>
      </c>
      <c r="AB57" s="66">
        <f>Бюджет!AB133</f>
        <v>0</v>
      </c>
      <c r="AC57" s="66">
        <f>Бюджет!AC133</f>
        <v>0</v>
      </c>
      <c r="AD57" s="66">
        <f>Бюджет!AD133</f>
        <v>0</v>
      </c>
      <c r="AE57" s="66">
        <f>Бюджет!AE133</f>
        <v>0</v>
      </c>
      <c r="AF57" s="66">
        <f>Бюджет!AF133</f>
        <v>0</v>
      </c>
      <c r="AG57" s="66">
        <f>Бюджет!AG133</f>
        <v>0</v>
      </c>
      <c r="AH57" s="66">
        <f>Бюджет!AH133</f>
        <v>0</v>
      </c>
      <c r="AI57" s="66">
        <f>Бюджет!AI133</f>
        <v>0</v>
      </c>
      <c r="AJ57" s="66">
        <f t="shared" si="5"/>
        <v>28.2</v>
      </c>
      <c r="AK57" s="70"/>
    </row>
    <row r="58" spans="1:37" s="109" customFormat="1" ht="45" x14ac:dyDescent="0.2">
      <c r="A58" s="60" t="str">
        <f>Бюджет!A134</f>
        <v>Б1.В.17</v>
      </c>
      <c r="B58" s="60" t="str">
        <f>Бюджет!B134</f>
        <v>Введение в экспериментальные методы астрофизики высоких энергий (поток СЗФ и ФФ)</v>
      </c>
      <c r="C58" s="67" t="str">
        <f>Бюджет!C134</f>
        <v>4\8</v>
      </c>
      <c r="D58" s="67">
        <f>Бюджет!D134</f>
        <v>10</v>
      </c>
      <c r="E58" s="67">
        <f>Бюджет!E134</f>
        <v>1</v>
      </c>
      <c r="F58" s="66">
        <f>Бюджет!F134</f>
        <v>0</v>
      </c>
      <c r="G58" s="66">
        <f>Бюджет!G134</f>
        <v>0</v>
      </c>
      <c r="H58" s="66">
        <f>Бюджет!H134</f>
        <v>0</v>
      </c>
      <c r="I58" s="66">
        <f>Бюджет!I134</f>
        <v>0</v>
      </c>
      <c r="J58" s="66">
        <f>Бюджет!J134</f>
        <v>48</v>
      </c>
      <c r="K58" s="66">
        <f>Бюджет!K134</f>
        <v>3</v>
      </c>
      <c r="L58" s="66">
        <f>Бюджет!L134</f>
        <v>0</v>
      </c>
      <c r="M58" s="66">
        <f>Бюджет!M134</f>
        <v>0</v>
      </c>
      <c r="N58" s="66">
        <f>Бюджет!N134</f>
        <v>0</v>
      </c>
      <c r="O58" s="66">
        <f>Бюджет!O134</f>
        <v>0</v>
      </c>
      <c r="P58" s="66">
        <f>Бюджет!P134</f>
        <v>0</v>
      </c>
      <c r="Q58" s="66">
        <f>Бюджет!Q134</f>
        <v>0</v>
      </c>
      <c r="R58" s="66">
        <f>Бюджет!R134</f>
        <v>0</v>
      </c>
      <c r="S58" s="66">
        <f>Бюджет!S134</f>
        <v>0</v>
      </c>
      <c r="T58" s="66">
        <f>Бюджет!T134</f>
        <v>0</v>
      </c>
      <c r="U58" s="66">
        <f>Бюджет!U134</f>
        <v>0</v>
      </c>
      <c r="V58" s="66">
        <f>Бюджет!V134</f>
        <v>0</v>
      </c>
      <c r="W58" s="66">
        <f>Бюджет!W134</f>
        <v>0</v>
      </c>
      <c r="X58" s="66">
        <f>Бюджет!X134</f>
        <v>0</v>
      </c>
      <c r="Y58" s="66">
        <f>Бюджет!Y134</f>
        <v>0</v>
      </c>
      <c r="Z58" s="66">
        <f>Бюджет!Z134</f>
        <v>0</v>
      </c>
      <c r="AA58" s="66">
        <f>Бюджет!AA134</f>
        <v>0</v>
      </c>
      <c r="AB58" s="66">
        <f>Бюджет!AB134</f>
        <v>0</v>
      </c>
      <c r="AC58" s="66">
        <f>Бюджет!AC134</f>
        <v>0</v>
      </c>
      <c r="AD58" s="66">
        <f>Бюджет!AD134</f>
        <v>0</v>
      </c>
      <c r="AE58" s="66">
        <f>Бюджет!AE134</f>
        <v>0</v>
      </c>
      <c r="AF58" s="66">
        <f>Бюджет!AF134</f>
        <v>0</v>
      </c>
      <c r="AG58" s="66">
        <f>Бюджет!AG134</f>
        <v>0</v>
      </c>
      <c r="AH58" s="66">
        <f>Бюджет!AH134</f>
        <v>0</v>
      </c>
      <c r="AI58" s="66">
        <f>Бюджет!AI134</f>
        <v>0</v>
      </c>
      <c r="AJ58" s="66">
        <f t="shared" si="5"/>
        <v>51</v>
      </c>
      <c r="AK58" s="70"/>
    </row>
    <row r="59" spans="1:37" s="109" customFormat="1" ht="30" x14ac:dyDescent="0.2">
      <c r="A59" s="60" t="str">
        <f>Бюджет!A135</f>
        <v>Б1.В.18</v>
      </c>
      <c r="B59" s="60" t="str">
        <f>Бюджет!B135</f>
        <v>Экспериментальные методы ядерной физике (поток СЗФ и ФФ)</v>
      </c>
      <c r="C59" s="67" t="str">
        <f>Бюджет!C135</f>
        <v>4\7</v>
      </c>
      <c r="D59" s="67">
        <f>Бюджет!D135</f>
        <v>10</v>
      </c>
      <c r="E59" s="67">
        <f>Бюджет!E135</f>
        <v>1</v>
      </c>
      <c r="F59" s="66">
        <f>Бюджет!F135</f>
        <v>16</v>
      </c>
      <c r="G59" s="66">
        <f>Бюджет!G135</f>
        <v>16</v>
      </c>
      <c r="H59" s="66">
        <f>Бюджет!H135</f>
        <v>0</v>
      </c>
      <c r="I59" s="66">
        <f>Бюджет!I135</f>
        <v>0</v>
      </c>
      <c r="J59" s="66">
        <f>Бюджет!J135</f>
        <v>0</v>
      </c>
      <c r="K59" s="66">
        <f>Бюджет!K135</f>
        <v>3</v>
      </c>
      <c r="L59" s="66">
        <f>Бюджет!L135</f>
        <v>0</v>
      </c>
      <c r="M59" s="66">
        <f>Бюджет!M135</f>
        <v>0</v>
      </c>
      <c r="N59" s="66">
        <f>Бюджет!N135</f>
        <v>0</v>
      </c>
      <c r="O59" s="66">
        <f>Бюджет!O135</f>
        <v>0</v>
      </c>
      <c r="P59" s="66">
        <f>Бюджет!P135</f>
        <v>0</v>
      </c>
      <c r="Q59" s="66">
        <f>Бюджет!Q135</f>
        <v>0.8</v>
      </c>
      <c r="R59" s="66">
        <f>Бюджет!R135</f>
        <v>0</v>
      </c>
      <c r="S59" s="66">
        <f>Бюджет!S135</f>
        <v>0</v>
      </c>
      <c r="T59" s="66">
        <f>Бюджет!T135</f>
        <v>0</v>
      </c>
      <c r="U59" s="66">
        <f>Бюджет!U135</f>
        <v>0</v>
      </c>
      <c r="V59" s="66">
        <f>Бюджет!V135</f>
        <v>0</v>
      </c>
      <c r="W59" s="66">
        <f>Бюджет!W135</f>
        <v>0</v>
      </c>
      <c r="X59" s="66">
        <f>Бюджет!X135</f>
        <v>0</v>
      </c>
      <c r="Y59" s="66">
        <f>Бюджет!Y135</f>
        <v>0</v>
      </c>
      <c r="Z59" s="66">
        <f>Бюджет!Z135</f>
        <v>0</v>
      </c>
      <c r="AA59" s="66">
        <f>Бюджет!AA135</f>
        <v>0</v>
      </c>
      <c r="AB59" s="66">
        <f>Бюджет!AB135</f>
        <v>0</v>
      </c>
      <c r="AC59" s="66">
        <f>Бюджет!AC135</f>
        <v>0</v>
      </c>
      <c r="AD59" s="66">
        <f>Бюджет!AD135</f>
        <v>0</v>
      </c>
      <c r="AE59" s="66">
        <f>Бюджет!AE135</f>
        <v>0</v>
      </c>
      <c r="AF59" s="66">
        <f>Бюджет!AF135</f>
        <v>0</v>
      </c>
      <c r="AG59" s="66">
        <f>Бюджет!AG135</f>
        <v>0</v>
      </c>
      <c r="AH59" s="66">
        <f>Бюджет!AH135</f>
        <v>0</v>
      </c>
      <c r="AI59" s="66">
        <f>Бюджет!AI135</f>
        <v>0</v>
      </c>
      <c r="AJ59" s="66">
        <f t="shared" si="5"/>
        <v>19.8</v>
      </c>
      <c r="AK59" s="70"/>
    </row>
    <row r="60" spans="1:37" s="109" customFormat="1" ht="15" x14ac:dyDescent="0.2">
      <c r="A60" s="60">
        <f>Бюджет!A136</f>
        <v>0</v>
      </c>
      <c r="B60" s="60" t="str">
        <f>Бюджет!B136</f>
        <v>ГЭК (Защита ВКР бакалавра) (7 чел)</v>
      </c>
      <c r="C60" s="67" t="str">
        <f>Бюджет!C136</f>
        <v>4\8</v>
      </c>
      <c r="D60" s="67">
        <f>Бюджет!D136</f>
        <v>14</v>
      </c>
      <c r="E60" s="67">
        <f>Бюджет!E136</f>
        <v>1</v>
      </c>
      <c r="F60" s="66">
        <f>Бюджет!F136</f>
        <v>0</v>
      </c>
      <c r="G60" s="66">
        <f>Бюджет!G136</f>
        <v>0</v>
      </c>
      <c r="H60" s="66">
        <f>Бюджет!H136</f>
        <v>0</v>
      </c>
      <c r="I60" s="66">
        <f>Бюджет!I136</f>
        <v>0</v>
      </c>
      <c r="J60" s="66">
        <f>Бюджет!J136</f>
        <v>0</v>
      </c>
      <c r="K60" s="66">
        <f>Бюджет!K136</f>
        <v>0</v>
      </c>
      <c r="L60" s="66">
        <f>Бюджет!L136</f>
        <v>0</v>
      </c>
      <c r="M60" s="66">
        <f>Бюджет!M136</f>
        <v>0</v>
      </c>
      <c r="N60" s="66">
        <f>Бюджет!N136</f>
        <v>0</v>
      </c>
      <c r="O60" s="66">
        <f>Бюджет!O136</f>
        <v>0</v>
      </c>
      <c r="P60" s="66">
        <f>Бюджет!P136</f>
        <v>0</v>
      </c>
      <c r="Q60" s="66">
        <f>Бюджет!Q136</f>
        <v>0</v>
      </c>
      <c r="R60" s="66">
        <f>Бюджет!R136</f>
        <v>0</v>
      </c>
      <c r="S60" s="66">
        <f>Бюджет!S136</f>
        <v>0</v>
      </c>
      <c r="T60" s="66">
        <f>Бюджет!T136</f>
        <v>0</v>
      </c>
      <c r="U60" s="66">
        <f>Бюджет!U136</f>
        <v>0</v>
      </c>
      <c r="V60" s="66">
        <f>Бюджет!V136</f>
        <v>0</v>
      </c>
      <c r="W60" s="66">
        <f>Бюджет!W136</f>
        <v>0</v>
      </c>
      <c r="X60" s="66">
        <f>Бюджет!X136</f>
        <v>0</v>
      </c>
      <c r="Y60" s="66">
        <f>Бюджет!Y136</f>
        <v>0</v>
      </c>
      <c r="Z60" s="66">
        <f>Бюджет!Z136</f>
        <v>0</v>
      </c>
      <c r="AA60" s="66">
        <f>Бюджет!AA136</f>
        <v>0</v>
      </c>
      <c r="AB60" s="66">
        <f>Бюджет!AB136/7*1</f>
        <v>7</v>
      </c>
      <c r="AC60" s="66">
        <f>Бюджет!AC136</f>
        <v>0</v>
      </c>
      <c r="AD60" s="66">
        <f>Бюджет!AD136</f>
        <v>0</v>
      </c>
      <c r="AE60" s="66">
        <f>Бюджет!AE136</f>
        <v>0</v>
      </c>
      <c r="AF60" s="66">
        <f>Бюджет!AF136</f>
        <v>0</v>
      </c>
      <c r="AG60" s="66">
        <f>Бюджет!AG136</f>
        <v>0</v>
      </c>
      <c r="AH60" s="66">
        <f>Бюджет!AH136</f>
        <v>0</v>
      </c>
      <c r="AI60" s="66">
        <f>Бюджет!AI136</f>
        <v>0</v>
      </c>
      <c r="AJ60" s="66">
        <f t="shared" si="5"/>
        <v>7</v>
      </c>
      <c r="AK60" s="70"/>
    </row>
    <row r="61" spans="1:37" s="109" customFormat="1" ht="15.75" x14ac:dyDescent="0.2">
      <c r="A61" s="90"/>
      <c r="B61" s="92"/>
      <c r="C61" s="74"/>
      <c r="D61" s="74"/>
      <c r="E61" s="74"/>
      <c r="F61" s="70"/>
      <c r="G61" s="70"/>
      <c r="H61" s="70"/>
      <c r="I61" s="70"/>
      <c r="J61" s="390" t="str">
        <f>Бюджет!K137</f>
        <v>профиль "Солнечно-земная физика"</v>
      </c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0"/>
      <c r="AA61" s="390"/>
      <c r="AB61" s="390"/>
      <c r="AC61" s="390"/>
      <c r="AD61" s="70"/>
      <c r="AE61" s="70"/>
      <c r="AF61" s="70"/>
      <c r="AG61" s="70"/>
      <c r="AH61" s="70"/>
      <c r="AI61" s="70"/>
      <c r="AJ61" s="66">
        <f t="shared" si="5"/>
        <v>0</v>
      </c>
      <c r="AK61" s="70"/>
    </row>
    <row r="62" spans="1:37" s="109" customFormat="1" ht="15" x14ac:dyDescent="0.2">
      <c r="A62" s="90" t="str">
        <f>Бюджет!A138</f>
        <v>Б1.В.03</v>
      </c>
      <c r="B62" s="60" t="str">
        <f>Бюджет!B138</f>
        <v>Курсовая работа (по профилю)</v>
      </c>
      <c r="C62" s="74" t="str">
        <f>Бюджет!C138</f>
        <v>2\4</v>
      </c>
      <c r="D62" s="74">
        <f>Бюджет!D138</f>
        <v>6</v>
      </c>
      <c r="E62" s="74">
        <f>Бюджет!E138</f>
        <v>1</v>
      </c>
      <c r="F62" s="70">
        <f>Бюджет!F138</f>
        <v>0</v>
      </c>
      <c r="G62" s="70">
        <f>Бюджет!G138</f>
        <v>0</v>
      </c>
      <c r="H62" s="70">
        <f>Бюджет!H138</f>
        <v>0</v>
      </c>
      <c r="I62" s="70">
        <f>Бюджет!I138</f>
        <v>0</v>
      </c>
      <c r="J62" s="70">
        <f>Бюджет!J138</f>
        <v>0</v>
      </c>
      <c r="K62" s="70">
        <f>Бюджет!K138</f>
        <v>0</v>
      </c>
      <c r="L62" s="70">
        <f>Бюджет!L138</f>
        <v>0</v>
      </c>
      <c r="M62" s="70">
        <f>Бюджет!M138</f>
        <v>0</v>
      </c>
      <c r="N62" s="70">
        <f>Бюджет!N138</f>
        <v>0</v>
      </c>
      <c r="O62" s="70">
        <f>Бюджет!O138</f>
        <v>0</v>
      </c>
      <c r="P62" s="70">
        <f>Бюджет!P138</f>
        <v>0</v>
      </c>
      <c r="Q62" s="70">
        <f>Бюджет!Q138</f>
        <v>0</v>
      </c>
      <c r="R62" s="70">
        <f>Бюджет!R138</f>
        <v>0</v>
      </c>
      <c r="S62" s="70">
        <f>Бюджет!S138</f>
        <v>0</v>
      </c>
      <c r="T62" s="70">
        <f>Бюджет!T138</f>
        <v>0</v>
      </c>
      <c r="U62" s="70">
        <f>Бюджет!U138</f>
        <v>0</v>
      </c>
      <c r="V62" s="70">
        <f>Бюджет!V138</f>
        <v>24</v>
      </c>
      <c r="W62" s="70">
        <f>Бюджет!W138</f>
        <v>0</v>
      </c>
      <c r="X62" s="70">
        <f>Бюджет!X138</f>
        <v>0</v>
      </c>
      <c r="Y62" s="70">
        <f>Бюджет!Y138</f>
        <v>0</v>
      </c>
      <c r="Z62" s="70">
        <f>Бюджет!Z138</f>
        <v>0</v>
      </c>
      <c r="AA62" s="70">
        <f>Бюджет!AA138</f>
        <v>0</v>
      </c>
      <c r="AB62" s="70">
        <f>Бюджет!AB138</f>
        <v>0</v>
      </c>
      <c r="AC62" s="70">
        <f>Бюджет!AC138</f>
        <v>0</v>
      </c>
      <c r="AD62" s="70">
        <f>Бюджет!AD138</f>
        <v>0</v>
      </c>
      <c r="AE62" s="70">
        <f>Бюджет!AE138</f>
        <v>0</v>
      </c>
      <c r="AF62" s="70">
        <f>Бюджет!AF138</f>
        <v>0</v>
      </c>
      <c r="AG62" s="70">
        <f>Бюджет!AG138</f>
        <v>0</v>
      </c>
      <c r="AH62" s="70">
        <f>Бюджет!AH138</f>
        <v>0</v>
      </c>
      <c r="AI62" s="70">
        <f>Бюджет!AI138</f>
        <v>0</v>
      </c>
      <c r="AJ62" s="66">
        <f t="shared" si="5"/>
        <v>24</v>
      </c>
      <c r="AK62" s="70"/>
    </row>
    <row r="63" spans="1:37" s="109" customFormat="1" ht="15" x14ac:dyDescent="0.2">
      <c r="A63" s="90" t="str">
        <f>Бюджет!A139</f>
        <v>Б1.В.04</v>
      </c>
      <c r="B63" s="60" t="str">
        <f>Бюджет!B139</f>
        <v>Физика солнечной системы</v>
      </c>
      <c r="C63" s="74" t="str">
        <f>Бюджет!C139</f>
        <v>2\4</v>
      </c>
      <c r="D63" s="74">
        <f>Бюджет!D139</f>
        <v>6</v>
      </c>
      <c r="E63" s="74">
        <f>Бюджет!E139</f>
        <v>1</v>
      </c>
      <c r="F63" s="70">
        <f>Бюджет!F139</f>
        <v>20</v>
      </c>
      <c r="G63" s="70">
        <f>Бюджет!G139</f>
        <v>20</v>
      </c>
      <c r="H63" s="70">
        <f>Бюджет!H139</f>
        <v>20</v>
      </c>
      <c r="I63" s="70">
        <f>Бюджет!I139</f>
        <v>20</v>
      </c>
      <c r="J63" s="70">
        <f>Бюджет!J139</f>
        <v>0</v>
      </c>
      <c r="K63" s="70">
        <f>Бюджет!K139</f>
        <v>1.7999999999999998</v>
      </c>
      <c r="L63" s="70">
        <f>Бюджет!L139</f>
        <v>0</v>
      </c>
      <c r="M63" s="70">
        <f>Бюджет!M139</f>
        <v>0</v>
      </c>
      <c r="N63" s="70">
        <f>Бюджет!N139</f>
        <v>0</v>
      </c>
      <c r="O63" s="70">
        <f>Бюджет!O139</f>
        <v>0</v>
      </c>
      <c r="P63" s="70">
        <f>Бюджет!P139</f>
        <v>0</v>
      </c>
      <c r="Q63" s="70">
        <f>Бюджет!Q139</f>
        <v>1</v>
      </c>
      <c r="R63" s="70">
        <f>Бюджет!R139</f>
        <v>0</v>
      </c>
      <c r="S63" s="70">
        <f>Бюджет!S139</f>
        <v>0</v>
      </c>
      <c r="T63" s="70">
        <f>Бюджет!T139</f>
        <v>0</v>
      </c>
      <c r="U63" s="70">
        <f>Бюджет!U139</f>
        <v>0</v>
      </c>
      <c r="V63" s="70">
        <f>Бюджет!V139</f>
        <v>0</v>
      </c>
      <c r="W63" s="70">
        <f>Бюджет!W139</f>
        <v>0</v>
      </c>
      <c r="X63" s="70">
        <f>Бюджет!X139</f>
        <v>0</v>
      </c>
      <c r="Y63" s="70">
        <f>Бюджет!Y139</f>
        <v>0</v>
      </c>
      <c r="Z63" s="70">
        <f>Бюджет!Z139</f>
        <v>0</v>
      </c>
      <c r="AA63" s="70">
        <f>Бюджет!AA139</f>
        <v>0</v>
      </c>
      <c r="AB63" s="70">
        <f>Бюджет!AB139</f>
        <v>0</v>
      </c>
      <c r="AC63" s="70">
        <f>Бюджет!AC139</f>
        <v>0</v>
      </c>
      <c r="AD63" s="70">
        <f>Бюджет!AD139</f>
        <v>0</v>
      </c>
      <c r="AE63" s="70">
        <f>Бюджет!AE139</f>
        <v>0</v>
      </c>
      <c r="AF63" s="70">
        <f>Бюджет!AF139</f>
        <v>0</v>
      </c>
      <c r="AG63" s="70">
        <f>Бюджет!AG139</f>
        <v>0</v>
      </c>
      <c r="AH63" s="70">
        <f>Бюджет!AH139</f>
        <v>0</v>
      </c>
      <c r="AI63" s="70">
        <f>Бюджет!AI139</f>
        <v>0</v>
      </c>
      <c r="AJ63" s="66">
        <f t="shared" si="5"/>
        <v>42.8</v>
      </c>
      <c r="AK63" s="70"/>
    </row>
    <row r="64" spans="1:37" s="109" customFormat="1" ht="15" x14ac:dyDescent="0.2">
      <c r="A64" s="90" t="str">
        <f>Бюджет!A140</f>
        <v>Б1.В.02.01</v>
      </c>
      <c r="B64" s="60" t="str">
        <f>Бюджет!B140</f>
        <v>Специальный практикум по астрофизике</v>
      </c>
      <c r="C64" s="74" t="str">
        <f>Бюджет!C140</f>
        <v>3\5</v>
      </c>
      <c r="D64" s="74">
        <f>Бюджет!D140</f>
        <v>6</v>
      </c>
      <c r="E64" s="74">
        <f>Бюджет!E140</f>
        <v>1</v>
      </c>
      <c r="F64" s="70">
        <f>Бюджет!F140</f>
        <v>0</v>
      </c>
      <c r="G64" s="70">
        <f>Бюджет!G140</f>
        <v>0</v>
      </c>
      <c r="H64" s="70">
        <f>Бюджет!H140</f>
        <v>0</v>
      </c>
      <c r="I64" s="70">
        <f>Бюджет!I140</f>
        <v>0</v>
      </c>
      <c r="J64" s="70">
        <f>Бюджет!J140</f>
        <v>68</v>
      </c>
      <c r="K64" s="70">
        <f>Бюджет!K140</f>
        <v>1.7999999999999998</v>
      </c>
      <c r="L64" s="70">
        <f>Бюджет!L140</f>
        <v>0</v>
      </c>
      <c r="M64" s="70">
        <f>Бюджет!M140</f>
        <v>0</v>
      </c>
      <c r="N64" s="70">
        <f>Бюджет!N140</f>
        <v>0</v>
      </c>
      <c r="O64" s="70">
        <f>Бюджет!O140</f>
        <v>0</v>
      </c>
      <c r="P64" s="70">
        <f>Бюджет!P140</f>
        <v>0</v>
      </c>
      <c r="Q64" s="70">
        <f>Бюджет!Q140</f>
        <v>0</v>
      </c>
      <c r="R64" s="70">
        <f>Бюджет!R140</f>
        <v>0</v>
      </c>
      <c r="S64" s="70">
        <f>Бюджет!S140</f>
        <v>0</v>
      </c>
      <c r="T64" s="70">
        <f>Бюджет!T140</f>
        <v>0</v>
      </c>
      <c r="U64" s="70">
        <f>Бюджет!U140</f>
        <v>0</v>
      </c>
      <c r="V64" s="70">
        <f>Бюджет!V140</f>
        <v>0</v>
      </c>
      <c r="W64" s="70">
        <f>Бюджет!W140</f>
        <v>0</v>
      </c>
      <c r="X64" s="70">
        <f>Бюджет!X140</f>
        <v>0</v>
      </c>
      <c r="Y64" s="70">
        <f>Бюджет!Y140</f>
        <v>0</v>
      </c>
      <c r="Z64" s="70">
        <f>Бюджет!Z140</f>
        <v>0</v>
      </c>
      <c r="AA64" s="70">
        <f>Бюджет!AA140</f>
        <v>0</v>
      </c>
      <c r="AB64" s="70">
        <f>Бюджет!AB140</f>
        <v>0</v>
      </c>
      <c r="AC64" s="70">
        <f>Бюджет!AC140</f>
        <v>0</v>
      </c>
      <c r="AD64" s="70">
        <f>Бюджет!AD140</f>
        <v>0</v>
      </c>
      <c r="AE64" s="70">
        <f>Бюджет!AE140</f>
        <v>0</v>
      </c>
      <c r="AF64" s="70">
        <f>Бюджет!AF140</f>
        <v>0</v>
      </c>
      <c r="AG64" s="70">
        <f>Бюджет!AG140</f>
        <v>0</v>
      </c>
      <c r="AH64" s="70">
        <f>Бюджет!AH140</f>
        <v>0</v>
      </c>
      <c r="AI64" s="70">
        <f>Бюджет!AI140</f>
        <v>0</v>
      </c>
      <c r="AJ64" s="66">
        <f t="shared" si="5"/>
        <v>69.8</v>
      </c>
      <c r="AK64" s="70"/>
    </row>
    <row r="65" spans="1:37" s="109" customFormat="1" ht="15" x14ac:dyDescent="0.2">
      <c r="A65" s="90" t="str">
        <f>Бюджет!A141</f>
        <v>Б1.В.05</v>
      </c>
      <c r="B65" s="60" t="str">
        <f>Бюджет!B141</f>
        <v>Астрофизика</v>
      </c>
      <c r="C65" s="74" t="str">
        <f>Бюджет!C141</f>
        <v>3\5</v>
      </c>
      <c r="D65" s="74">
        <f>Бюджет!D141</f>
        <v>6</v>
      </c>
      <c r="E65" s="74">
        <f>Бюджет!E141</f>
        <v>1</v>
      </c>
      <c r="F65" s="70">
        <f>Бюджет!F141</f>
        <v>34</v>
      </c>
      <c r="G65" s="70">
        <f>Бюджет!G141</f>
        <v>34</v>
      </c>
      <c r="H65" s="70">
        <f>Бюджет!H141</f>
        <v>0</v>
      </c>
      <c r="I65" s="70">
        <f>Бюджет!I141</f>
        <v>0</v>
      </c>
      <c r="J65" s="70">
        <f>Бюджет!J141</f>
        <v>0</v>
      </c>
      <c r="K65" s="70">
        <f>Бюджет!K141</f>
        <v>1.7999999999999998</v>
      </c>
      <c r="L65" s="70">
        <f>Бюджет!L141</f>
        <v>0</v>
      </c>
      <c r="M65" s="70">
        <f>Бюджет!M141</f>
        <v>0</v>
      </c>
      <c r="N65" s="70">
        <f>Бюджет!N141</f>
        <v>0</v>
      </c>
      <c r="O65" s="70">
        <f>Бюджет!O141</f>
        <v>0</v>
      </c>
      <c r="P65" s="70">
        <f>Бюджет!P141</f>
        <v>0</v>
      </c>
      <c r="Q65" s="70">
        <f>Бюджет!Q141</f>
        <v>1.7000000000000002</v>
      </c>
      <c r="R65" s="70">
        <f>Бюджет!R141</f>
        <v>0</v>
      </c>
      <c r="S65" s="70">
        <f>Бюджет!S141</f>
        <v>0</v>
      </c>
      <c r="T65" s="70">
        <f>Бюджет!T141</f>
        <v>0</v>
      </c>
      <c r="U65" s="70">
        <f>Бюджет!U141</f>
        <v>0</v>
      </c>
      <c r="V65" s="70">
        <f>Бюджет!V141</f>
        <v>0</v>
      </c>
      <c r="W65" s="70">
        <f>Бюджет!W141</f>
        <v>0</v>
      </c>
      <c r="X65" s="70">
        <f>Бюджет!X141</f>
        <v>0</v>
      </c>
      <c r="Y65" s="70">
        <f>Бюджет!Y141</f>
        <v>0</v>
      </c>
      <c r="Z65" s="70">
        <f>Бюджет!Z141</f>
        <v>0</v>
      </c>
      <c r="AA65" s="70">
        <f>Бюджет!AA141</f>
        <v>0</v>
      </c>
      <c r="AB65" s="70">
        <f>Бюджет!AB141</f>
        <v>0</v>
      </c>
      <c r="AC65" s="70">
        <f>Бюджет!AC141</f>
        <v>0</v>
      </c>
      <c r="AD65" s="70">
        <f>Бюджет!AD141</f>
        <v>0</v>
      </c>
      <c r="AE65" s="70">
        <f>Бюджет!AE141</f>
        <v>0</v>
      </c>
      <c r="AF65" s="70">
        <f>Бюджет!AF141</f>
        <v>0</v>
      </c>
      <c r="AG65" s="70">
        <f>Бюджет!AG141</f>
        <v>0</v>
      </c>
      <c r="AH65" s="70">
        <f>Бюджет!AH141</f>
        <v>0</v>
      </c>
      <c r="AI65" s="70">
        <f>Бюджет!AI141</f>
        <v>6</v>
      </c>
      <c r="AJ65" s="66">
        <f t="shared" ref="AJ65:AJ66" si="7">SUM(G65,I65:AI65)</f>
        <v>43.5</v>
      </c>
      <c r="AK65" s="70"/>
    </row>
    <row r="66" spans="1:37" s="109" customFormat="1" ht="15" x14ac:dyDescent="0.2">
      <c r="A66" s="90" t="str">
        <f>Бюджет!A142</f>
        <v>Б1.В.07</v>
      </c>
      <c r="B66" s="60" t="str">
        <f>Бюджет!B142</f>
        <v>Методы физического эксперимента</v>
      </c>
      <c r="C66" s="74" t="str">
        <f>Бюджет!C142</f>
        <v>3\6</v>
      </c>
      <c r="D66" s="74">
        <f>Бюджет!D142</f>
        <v>6</v>
      </c>
      <c r="E66" s="74">
        <f>Бюджет!E142</f>
        <v>1</v>
      </c>
      <c r="F66" s="70">
        <f>Бюджет!F142</f>
        <v>0</v>
      </c>
      <c r="G66" s="70">
        <f>Бюджет!G142</f>
        <v>0</v>
      </c>
      <c r="H66" s="70">
        <f>Бюджет!H142</f>
        <v>0</v>
      </c>
      <c r="I66" s="70">
        <f>Бюджет!I142</f>
        <v>0</v>
      </c>
      <c r="J66" s="70">
        <f>Бюджет!J142</f>
        <v>36</v>
      </c>
      <c r="K66" s="70">
        <f>Бюджет!K142</f>
        <v>1.7999999999999998</v>
      </c>
      <c r="L66" s="70">
        <f>Бюджет!L142</f>
        <v>0</v>
      </c>
      <c r="M66" s="70">
        <f>Бюджет!M142</f>
        <v>0</v>
      </c>
      <c r="N66" s="70">
        <f>Бюджет!N142</f>
        <v>0</v>
      </c>
      <c r="O66" s="70">
        <f>Бюджет!O142</f>
        <v>0</v>
      </c>
      <c r="P66" s="70">
        <f>Бюджет!P142</f>
        <v>0</v>
      </c>
      <c r="Q66" s="70">
        <f>Бюджет!Q142</f>
        <v>0</v>
      </c>
      <c r="R66" s="70">
        <f>Бюджет!R142</f>
        <v>0</v>
      </c>
      <c r="S66" s="70">
        <f>Бюджет!S142</f>
        <v>0</v>
      </c>
      <c r="T66" s="70">
        <f>Бюджет!T142</f>
        <v>0</v>
      </c>
      <c r="U66" s="70">
        <f>Бюджет!U142</f>
        <v>0</v>
      </c>
      <c r="V66" s="70">
        <f>Бюджет!V142</f>
        <v>0</v>
      </c>
      <c r="W66" s="70">
        <f>Бюджет!W142</f>
        <v>0</v>
      </c>
      <c r="X66" s="70">
        <f>Бюджет!X142</f>
        <v>0</v>
      </c>
      <c r="Y66" s="70">
        <f>Бюджет!Y142</f>
        <v>0</v>
      </c>
      <c r="Z66" s="70">
        <f>Бюджет!Z142</f>
        <v>0</v>
      </c>
      <c r="AA66" s="70">
        <f>Бюджет!AA142</f>
        <v>0</v>
      </c>
      <c r="AB66" s="70">
        <f>Бюджет!AB142</f>
        <v>0</v>
      </c>
      <c r="AC66" s="70">
        <f>Бюджет!AC142</f>
        <v>0</v>
      </c>
      <c r="AD66" s="70">
        <f>Бюджет!AD142</f>
        <v>0</v>
      </c>
      <c r="AE66" s="70">
        <f>Бюджет!AE142</f>
        <v>0</v>
      </c>
      <c r="AF66" s="70">
        <f>Бюджет!AF142</f>
        <v>0</v>
      </c>
      <c r="AG66" s="70">
        <f>Бюджет!AG142</f>
        <v>0</v>
      </c>
      <c r="AH66" s="70">
        <f>Бюджет!AH142</f>
        <v>0</v>
      </c>
      <c r="AI66" s="70">
        <f>Бюджет!AI142</f>
        <v>0</v>
      </c>
      <c r="AJ66" s="66">
        <f t="shared" si="7"/>
        <v>37.799999999999997</v>
      </c>
      <c r="AK66" s="70"/>
    </row>
    <row r="67" spans="1:37" s="109" customFormat="1" ht="15" x14ac:dyDescent="0.2">
      <c r="A67" s="90" t="str">
        <f>Бюджет!A144</f>
        <v>Б1.В.10</v>
      </c>
      <c r="B67" s="60" t="str">
        <f>Бюджет!B144</f>
        <v>Физика плазмы</v>
      </c>
      <c r="C67" s="74" t="str">
        <f>Бюджет!C144</f>
        <v>3\6</v>
      </c>
      <c r="D67" s="74">
        <f>Бюджет!D144</f>
        <v>6</v>
      </c>
      <c r="E67" s="74">
        <f>Бюджет!E144</f>
        <v>1</v>
      </c>
      <c r="F67" s="70">
        <f>Бюджет!F144</f>
        <v>18</v>
      </c>
      <c r="G67" s="70">
        <f>Бюджет!G144</f>
        <v>18</v>
      </c>
      <c r="H67" s="70">
        <f>Бюджет!H144</f>
        <v>18</v>
      </c>
      <c r="I67" s="70">
        <f>Бюджет!I144</f>
        <v>18</v>
      </c>
      <c r="J67" s="70">
        <f>Бюджет!J144</f>
        <v>0</v>
      </c>
      <c r="K67" s="70">
        <f>Бюджет!K144</f>
        <v>1.7999999999999998</v>
      </c>
      <c r="L67" s="70">
        <f>Бюджет!L144</f>
        <v>0</v>
      </c>
      <c r="M67" s="70">
        <f>Бюджет!M144</f>
        <v>0</v>
      </c>
      <c r="N67" s="70">
        <f>Бюджет!N144</f>
        <v>0</v>
      </c>
      <c r="O67" s="70">
        <f>Бюджет!O144</f>
        <v>0</v>
      </c>
      <c r="P67" s="70">
        <f>Бюджет!P144</f>
        <v>0</v>
      </c>
      <c r="Q67" s="70">
        <f>Бюджет!Q144</f>
        <v>0.9</v>
      </c>
      <c r="R67" s="70">
        <f>Бюджет!R144</f>
        <v>0</v>
      </c>
      <c r="S67" s="70">
        <f>Бюджет!S144</f>
        <v>0</v>
      </c>
      <c r="T67" s="70">
        <f>Бюджет!T144</f>
        <v>0</v>
      </c>
      <c r="U67" s="70">
        <f>Бюджет!U144</f>
        <v>0</v>
      </c>
      <c r="V67" s="70">
        <f>Бюджет!V144</f>
        <v>0</v>
      </c>
      <c r="W67" s="70">
        <f>Бюджет!W144</f>
        <v>0</v>
      </c>
      <c r="X67" s="70">
        <f>Бюджет!X144</f>
        <v>0</v>
      </c>
      <c r="Y67" s="70">
        <f>Бюджет!Y144</f>
        <v>0</v>
      </c>
      <c r="Z67" s="70">
        <f>Бюджет!Z144</f>
        <v>0</v>
      </c>
      <c r="AA67" s="70">
        <f>Бюджет!AA144</f>
        <v>0</v>
      </c>
      <c r="AB67" s="70">
        <f>Бюджет!AB144</f>
        <v>0</v>
      </c>
      <c r="AC67" s="70">
        <f>Бюджет!AC144</f>
        <v>0</v>
      </c>
      <c r="AD67" s="70">
        <f>Бюджет!AD144</f>
        <v>0</v>
      </c>
      <c r="AE67" s="70">
        <f>Бюджет!AE144</f>
        <v>0</v>
      </c>
      <c r="AF67" s="70">
        <f>Бюджет!AF144</f>
        <v>0</v>
      </c>
      <c r="AG67" s="70">
        <f>Бюджет!AG144</f>
        <v>0</v>
      </c>
      <c r="AH67" s="70">
        <f>Бюджет!AH144</f>
        <v>0</v>
      </c>
      <c r="AI67" s="70">
        <f>Бюджет!AI144</f>
        <v>0</v>
      </c>
      <c r="AJ67" s="66">
        <f t="shared" ref="AJ67" si="8">SUM(G67,I67:AI67)</f>
        <v>38.699999999999996</v>
      </c>
      <c r="AK67" s="70"/>
    </row>
    <row r="68" spans="1:37" s="109" customFormat="1" ht="45" x14ac:dyDescent="0.2">
      <c r="A68" s="90" t="str">
        <f>Бюджет!A145</f>
        <v>Б2.В.01(Н)</v>
      </c>
      <c r="B68" s="60" t="str">
        <f>Бюджет!B145</f>
        <v>Производственная практика. (Научно-исследовательская работа) (расср., 1 1/3 нед.)</v>
      </c>
      <c r="C68" s="74" t="str">
        <f>Бюджет!C145</f>
        <v>3\5</v>
      </c>
      <c r="D68" s="74">
        <f>Бюджет!D145</f>
        <v>6</v>
      </c>
      <c r="E68" s="74">
        <f>Бюджет!E145</f>
        <v>1</v>
      </c>
      <c r="F68" s="70">
        <f>Бюджет!F145</f>
        <v>0</v>
      </c>
      <c r="G68" s="70">
        <f>Бюджет!G145</f>
        <v>0</v>
      </c>
      <c r="H68" s="70">
        <f>Бюджет!H145</f>
        <v>0</v>
      </c>
      <c r="I68" s="70">
        <f>Бюджет!I145</f>
        <v>0</v>
      </c>
      <c r="J68" s="70">
        <f>Бюджет!J145</f>
        <v>0</v>
      </c>
      <c r="K68" s="70">
        <f>Бюджет!K145</f>
        <v>0</v>
      </c>
      <c r="L68" s="70">
        <f>Бюджет!L145</f>
        <v>0</v>
      </c>
      <c r="M68" s="70">
        <f>Бюджет!M145</f>
        <v>0</v>
      </c>
      <c r="N68" s="70">
        <f>Бюджет!N145</f>
        <v>0</v>
      </c>
      <c r="O68" s="70">
        <f>Бюджет!O145</f>
        <v>0</v>
      </c>
      <c r="P68" s="70">
        <f>Бюджет!P145</f>
        <v>0</v>
      </c>
      <c r="Q68" s="70">
        <f>Бюджет!Q145</f>
        <v>0</v>
      </c>
      <c r="R68" s="70">
        <f>Бюджет!R145</f>
        <v>0</v>
      </c>
      <c r="S68" s="70">
        <f>Бюджет!S145</f>
        <v>0</v>
      </c>
      <c r="T68" s="70">
        <f>Бюджет!T145</f>
        <v>8</v>
      </c>
      <c r="U68" s="70">
        <f>Бюджет!U145</f>
        <v>0</v>
      </c>
      <c r="V68" s="70">
        <f>Бюджет!V145</f>
        <v>0</v>
      </c>
      <c r="W68" s="70">
        <f>Бюджет!W145</f>
        <v>0</v>
      </c>
      <c r="X68" s="70">
        <f>Бюджет!X145</f>
        <v>0</v>
      </c>
      <c r="Y68" s="70">
        <f>Бюджет!Y145</f>
        <v>0</v>
      </c>
      <c r="Z68" s="70">
        <f>Бюджет!Z145</f>
        <v>0</v>
      </c>
      <c r="AA68" s="70">
        <f>Бюджет!AA145</f>
        <v>0</v>
      </c>
      <c r="AB68" s="70">
        <f>Бюджет!AB145</f>
        <v>0</v>
      </c>
      <c r="AC68" s="70">
        <f>Бюджет!AC145</f>
        <v>0</v>
      </c>
      <c r="AD68" s="70">
        <f>Бюджет!AD145</f>
        <v>0</v>
      </c>
      <c r="AE68" s="70">
        <f>Бюджет!AE145</f>
        <v>0</v>
      </c>
      <c r="AF68" s="70">
        <f>Бюджет!AF145</f>
        <v>0</v>
      </c>
      <c r="AG68" s="70">
        <f>Бюджет!AG145</f>
        <v>0</v>
      </c>
      <c r="AH68" s="70">
        <f>Бюджет!AH145</f>
        <v>0</v>
      </c>
      <c r="AI68" s="70">
        <f>Бюджет!AI145</f>
        <v>0</v>
      </c>
      <c r="AJ68" s="66">
        <f t="shared" si="5"/>
        <v>8</v>
      </c>
      <c r="AK68" s="70"/>
    </row>
    <row r="69" spans="1:37" s="109" customFormat="1" ht="30" x14ac:dyDescent="0.2">
      <c r="A69" s="90" t="str">
        <f>Бюджет!A146</f>
        <v>Б2.В.02(Н)</v>
      </c>
      <c r="B69" s="60" t="str">
        <f>Бюджет!B146</f>
        <v>Производственная практика. (Научно-исследовательская работа) (расср., 2 нед.)</v>
      </c>
      <c r="C69" s="74" t="str">
        <f>Бюджет!C146</f>
        <v>3\6</v>
      </c>
      <c r="D69" s="74">
        <f>Бюджет!D146</f>
        <v>6</v>
      </c>
      <c r="E69" s="74">
        <f>Бюджет!E146</f>
        <v>1</v>
      </c>
      <c r="F69" s="70">
        <f>Бюджет!F146</f>
        <v>0</v>
      </c>
      <c r="G69" s="70">
        <f>Бюджет!G146</f>
        <v>0</v>
      </c>
      <c r="H69" s="70">
        <f>Бюджет!H146</f>
        <v>0</v>
      </c>
      <c r="I69" s="70">
        <f>Бюджет!I146</f>
        <v>0</v>
      </c>
      <c r="J69" s="70">
        <f>Бюджет!J146</f>
        <v>0</v>
      </c>
      <c r="K69" s="70">
        <f>Бюджет!K146</f>
        <v>0</v>
      </c>
      <c r="L69" s="70">
        <f>Бюджет!L146</f>
        <v>0</v>
      </c>
      <c r="M69" s="70">
        <f>Бюджет!M146</f>
        <v>0</v>
      </c>
      <c r="N69" s="70">
        <f>Бюджет!N146</f>
        <v>0</v>
      </c>
      <c r="O69" s="70">
        <f>Бюджет!O146</f>
        <v>0</v>
      </c>
      <c r="P69" s="70">
        <f>Бюджет!P146</f>
        <v>0</v>
      </c>
      <c r="Q69" s="70">
        <f>Бюджет!Q146</f>
        <v>0</v>
      </c>
      <c r="R69" s="70">
        <f>Бюджет!R146</f>
        <v>0</v>
      </c>
      <c r="S69" s="70">
        <f>Бюджет!S146</f>
        <v>0</v>
      </c>
      <c r="T69" s="70">
        <f>Бюджет!T146</f>
        <v>12</v>
      </c>
      <c r="U69" s="70">
        <f>Бюджет!U146</f>
        <v>0</v>
      </c>
      <c r="V69" s="70">
        <f>Бюджет!V146</f>
        <v>0</v>
      </c>
      <c r="W69" s="70">
        <f>Бюджет!W146</f>
        <v>0</v>
      </c>
      <c r="X69" s="70">
        <f>Бюджет!X146</f>
        <v>0</v>
      </c>
      <c r="Y69" s="70">
        <f>Бюджет!Y146</f>
        <v>0</v>
      </c>
      <c r="Z69" s="70">
        <f>Бюджет!Z146</f>
        <v>0</v>
      </c>
      <c r="AA69" s="70">
        <f>Бюджет!AA146</f>
        <v>0</v>
      </c>
      <c r="AB69" s="70">
        <f>Бюджет!AB146</f>
        <v>0</v>
      </c>
      <c r="AC69" s="70">
        <f>Бюджет!AC146</f>
        <v>0</v>
      </c>
      <c r="AD69" s="70">
        <f>Бюджет!AD146</f>
        <v>0</v>
      </c>
      <c r="AE69" s="70">
        <f>Бюджет!AE146</f>
        <v>0</v>
      </c>
      <c r="AF69" s="70">
        <f>Бюджет!AF146</f>
        <v>0</v>
      </c>
      <c r="AG69" s="70">
        <f>Бюджет!AG146</f>
        <v>0</v>
      </c>
      <c r="AH69" s="70">
        <f>Бюджет!AH146</f>
        <v>0</v>
      </c>
      <c r="AI69" s="70">
        <f>Бюджет!AI146</f>
        <v>0</v>
      </c>
      <c r="AJ69" s="66">
        <f t="shared" si="5"/>
        <v>12</v>
      </c>
      <c r="AK69" s="70"/>
    </row>
    <row r="70" spans="1:37" s="109" customFormat="1" ht="15" x14ac:dyDescent="0.2">
      <c r="A70" s="90" t="str">
        <f>Бюджет!A147</f>
        <v>Б1.В.11</v>
      </c>
      <c r="B70" s="60" t="str">
        <f>Бюджет!B147</f>
        <v>Методы обработки изображений</v>
      </c>
      <c r="C70" s="74" t="str">
        <f>Бюджет!C147</f>
        <v>4\7</v>
      </c>
      <c r="D70" s="74">
        <f>Бюджет!D147</f>
        <v>3</v>
      </c>
      <c r="E70" s="74">
        <f>Бюджет!E147</f>
        <v>1</v>
      </c>
      <c r="F70" s="70">
        <f>Бюджет!F147</f>
        <v>34</v>
      </c>
      <c r="G70" s="70">
        <f>Бюджет!G147</f>
        <v>34</v>
      </c>
      <c r="H70" s="70">
        <f>Бюджет!H147</f>
        <v>0</v>
      </c>
      <c r="I70" s="70">
        <f>Бюджет!I147</f>
        <v>0</v>
      </c>
      <c r="J70" s="70">
        <f>Бюджет!J147</f>
        <v>50</v>
      </c>
      <c r="K70" s="70">
        <f>Бюджет!K147</f>
        <v>0.89999999999999991</v>
      </c>
      <c r="L70" s="70">
        <f>Бюджет!L147</f>
        <v>0</v>
      </c>
      <c r="M70" s="70">
        <f>Бюджет!M147</f>
        <v>0</v>
      </c>
      <c r="N70" s="70">
        <f>Бюджет!N147</f>
        <v>0</v>
      </c>
      <c r="O70" s="70">
        <f>Бюджет!O147</f>
        <v>0</v>
      </c>
      <c r="P70" s="70">
        <f>Бюджет!P147</f>
        <v>0</v>
      </c>
      <c r="Q70" s="70">
        <f>Бюджет!Q147</f>
        <v>1.7000000000000002</v>
      </c>
      <c r="R70" s="70">
        <f>Бюджет!R147</f>
        <v>0</v>
      </c>
      <c r="S70" s="70">
        <f>Бюджет!S147</f>
        <v>0</v>
      </c>
      <c r="T70" s="70">
        <f>Бюджет!T147</f>
        <v>0</v>
      </c>
      <c r="U70" s="70">
        <f>Бюджет!U147</f>
        <v>0</v>
      </c>
      <c r="V70" s="70">
        <f>Бюджет!V147</f>
        <v>0</v>
      </c>
      <c r="W70" s="70">
        <f>Бюджет!W147</f>
        <v>0</v>
      </c>
      <c r="X70" s="70">
        <f>Бюджет!X147</f>
        <v>0</v>
      </c>
      <c r="Y70" s="70">
        <f>Бюджет!Y147</f>
        <v>0</v>
      </c>
      <c r="Z70" s="70">
        <f>Бюджет!Z147</f>
        <v>0</v>
      </c>
      <c r="AA70" s="70">
        <f>Бюджет!AA147</f>
        <v>0</v>
      </c>
      <c r="AB70" s="70">
        <f>Бюджет!AB147</f>
        <v>0</v>
      </c>
      <c r="AC70" s="70">
        <f>Бюджет!AC147</f>
        <v>0</v>
      </c>
      <c r="AD70" s="70">
        <f>Бюджет!AD147</f>
        <v>0</v>
      </c>
      <c r="AE70" s="70">
        <f>Бюджет!AE147</f>
        <v>0</v>
      </c>
      <c r="AF70" s="70">
        <f>Бюджет!AF147</f>
        <v>0</v>
      </c>
      <c r="AG70" s="70">
        <f>Бюджет!AG147</f>
        <v>0</v>
      </c>
      <c r="AH70" s="70">
        <f>Бюджет!AH147</f>
        <v>0</v>
      </c>
      <c r="AI70" s="70">
        <f>Бюджет!AI147</f>
        <v>0</v>
      </c>
      <c r="AJ70" s="66">
        <f t="shared" si="5"/>
        <v>86.600000000000009</v>
      </c>
      <c r="AK70" s="70"/>
    </row>
    <row r="71" spans="1:37" s="109" customFormat="1" ht="15" x14ac:dyDescent="0.2">
      <c r="A71" s="90" t="str">
        <f>Бюджет!A148</f>
        <v>Б1.В.12</v>
      </c>
      <c r="B71" s="60" t="str">
        <f>Бюджет!B148</f>
        <v>Физика ближнего космоса</v>
      </c>
      <c r="C71" s="74" t="str">
        <f>Бюджет!C148</f>
        <v>4\7</v>
      </c>
      <c r="D71" s="74">
        <f>Бюджет!D148</f>
        <v>3</v>
      </c>
      <c r="E71" s="74">
        <f>Бюджет!E148</f>
        <v>1</v>
      </c>
      <c r="F71" s="70">
        <f>Бюджет!F148</f>
        <v>34</v>
      </c>
      <c r="G71" s="70">
        <f>Бюджет!G148</f>
        <v>34</v>
      </c>
      <c r="H71" s="70">
        <f>Бюджет!H148</f>
        <v>34</v>
      </c>
      <c r="I71" s="70">
        <f>Бюджет!I148</f>
        <v>34</v>
      </c>
      <c r="J71" s="70">
        <f>Бюджет!J148</f>
        <v>0</v>
      </c>
      <c r="K71" s="70">
        <f>Бюджет!K148</f>
        <v>0.89999999999999991</v>
      </c>
      <c r="L71" s="70">
        <f>Бюджет!L148</f>
        <v>0</v>
      </c>
      <c r="M71" s="70">
        <f>Бюджет!M148</f>
        <v>0</v>
      </c>
      <c r="N71" s="70">
        <f>Бюджет!N148</f>
        <v>0</v>
      </c>
      <c r="O71" s="70">
        <f>Бюджет!O148</f>
        <v>0</v>
      </c>
      <c r="P71" s="70">
        <f>Бюджет!P148</f>
        <v>0</v>
      </c>
      <c r="Q71" s="70">
        <f>Бюджет!Q148</f>
        <v>1.7000000000000002</v>
      </c>
      <c r="R71" s="70">
        <f>Бюджет!R148</f>
        <v>0</v>
      </c>
      <c r="S71" s="70">
        <f>Бюджет!S148</f>
        <v>0</v>
      </c>
      <c r="T71" s="70">
        <f>Бюджет!T148</f>
        <v>0</v>
      </c>
      <c r="U71" s="70">
        <f>Бюджет!U148</f>
        <v>0</v>
      </c>
      <c r="V71" s="70">
        <f>Бюджет!V148</f>
        <v>0</v>
      </c>
      <c r="W71" s="70">
        <f>Бюджет!W148</f>
        <v>0</v>
      </c>
      <c r="X71" s="70">
        <f>Бюджет!X148</f>
        <v>0</v>
      </c>
      <c r="Y71" s="70">
        <f>Бюджет!Y148</f>
        <v>0</v>
      </c>
      <c r="Z71" s="70">
        <f>Бюджет!Z148</f>
        <v>0</v>
      </c>
      <c r="AA71" s="70">
        <f>Бюджет!AA148</f>
        <v>0</v>
      </c>
      <c r="AB71" s="70">
        <f>Бюджет!AB148</f>
        <v>0</v>
      </c>
      <c r="AC71" s="70">
        <f>Бюджет!AC148</f>
        <v>0</v>
      </c>
      <c r="AD71" s="70">
        <f>Бюджет!AD148</f>
        <v>0</v>
      </c>
      <c r="AE71" s="70">
        <f>Бюджет!AE148</f>
        <v>0</v>
      </c>
      <c r="AF71" s="70">
        <f>Бюджет!AF148</f>
        <v>0</v>
      </c>
      <c r="AG71" s="70">
        <f>Бюджет!AG148</f>
        <v>0</v>
      </c>
      <c r="AH71" s="70">
        <f>Бюджет!AH148</f>
        <v>0</v>
      </c>
      <c r="AI71" s="70">
        <f>Бюджет!AI148</f>
        <v>0</v>
      </c>
      <c r="AJ71" s="66">
        <f t="shared" si="5"/>
        <v>70.600000000000009</v>
      </c>
      <c r="AK71" s="70"/>
    </row>
    <row r="72" spans="1:37" s="109" customFormat="1" ht="15" x14ac:dyDescent="0.2">
      <c r="A72" s="90" t="str">
        <f>Бюджет!A149</f>
        <v>Б1.В.13</v>
      </c>
      <c r="B72" s="60" t="str">
        <f>Бюджет!B149</f>
        <v>Дополнительные главы физики плазмы</v>
      </c>
      <c r="C72" s="74" t="str">
        <f>Бюджет!C149</f>
        <v>4\7</v>
      </c>
      <c r="D72" s="74">
        <f>Бюджет!D149</f>
        <v>3</v>
      </c>
      <c r="E72" s="74">
        <f>Бюджет!E149</f>
        <v>1</v>
      </c>
      <c r="F72" s="70">
        <f>Бюджет!F149</f>
        <v>0</v>
      </c>
      <c r="G72" s="70">
        <f>Бюджет!G149</f>
        <v>0</v>
      </c>
      <c r="H72" s="70">
        <f>Бюджет!H149</f>
        <v>16</v>
      </c>
      <c r="I72" s="70">
        <f>Бюджет!I149</f>
        <v>16</v>
      </c>
      <c r="J72" s="70">
        <f>Бюджет!J149</f>
        <v>0</v>
      </c>
      <c r="K72" s="70">
        <f>Бюджет!K149</f>
        <v>0.89999999999999991</v>
      </c>
      <c r="L72" s="70">
        <f>Бюджет!L149</f>
        <v>0</v>
      </c>
      <c r="M72" s="70">
        <f>Бюджет!M149</f>
        <v>0</v>
      </c>
      <c r="N72" s="70">
        <f>Бюджет!N149</f>
        <v>0</v>
      </c>
      <c r="O72" s="70">
        <f>Бюджет!O149</f>
        <v>0</v>
      </c>
      <c r="P72" s="70">
        <f>Бюджет!P149</f>
        <v>0</v>
      </c>
      <c r="Q72" s="70">
        <f>Бюджет!Q149</f>
        <v>0</v>
      </c>
      <c r="R72" s="70">
        <f>Бюджет!R149</f>
        <v>0</v>
      </c>
      <c r="S72" s="70">
        <f>Бюджет!S149</f>
        <v>0</v>
      </c>
      <c r="T72" s="70">
        <f>Бюджет!T149</f>
        <v>0</v>
      </c>
      <c r="U72" s="70">
        <f>Бюджет!U149</f>
        <v>0</v>
      </c>
      <c r="V72" s="70">
        <f>Бюджет!V149</f>
        <v>0</v>
      </c>
      <c r="W72" s="70">
        <f>Бюджет!W149</f>
        <v>0</v>
      </c>
      <c r="X72" s="70">
        <f>Бюджет!X149</f>
        <v>0</v>
      </c>
      <c r="Y72" s="70">
        <f>Бюджет!Y149</f>
        <v>0</v>
      </c>
      <c r="Z72" s="70">
        <f>Бюджет!Z149</f>
        <v>0</v>
      </c>
      <c r="AA72" s="70">
        <f>Бюджет!AA149</f>
        <v>0</v>
      </c>
      <c r="AB72" s="70">
        <f>Бюджет!AB149</f>
        <v>0</v>
      </c>
      <c r="AC72" s="70">
        <f>Бюджет!AC149</f>
        <v>0</v>
      </c>
      <c r="AD72" s="70">
        <f>Бюджет!AD149</f>
        <v>0</v>
      </c>
      <c r="AE72" s="70">
        <f>Бюджет!AE149</f>
        <v>0</v>
      </c>
      <c r="AF72" s="70">
        <f>Бюджет!AF149</f>
        <v>0</v>
      </c>
      <c r="AG72" s="70">
        <f>Бюджет!AG149</f>
        <v>0</v>
      </c>
      <c r="AH72" s="70">
        <f>Бюджет!AH149</f>
        <v>0</v>
      </c>
      <c r="AI72" s="70">
        <f>Бюджет!AI149</f>
        <v>4</v>
      </c>
      <c r="AJ72" s="66">
        <f t="shared" si="5"/>
        <v>20.9</v>
      </c>
      <c r="AK72" s="70"/>
    </row>
    <row r="73" spans="1:37" s="109" customFormat="1" ht="30" x14ac:dyDescent="0.2">
      <c r="A73" s="90" t="str">
        <f>Бюджет!A150</f>
        <v>Б1.В.16</v>
      </c>
      <c r="B73" s="60" t="str">
        <f>Бюджет!B150</f>
        <v>Волоконно-оптические линии связи (поток ФИЗ СЗФ 4к и ПЕД)</v>
      </c>
      <c r="C73" s="74" t="str">
        <f>Бюджет!C150</f>
        <v>4\8</v>
      </c>
      <c r="D73" s="74">
        <f>Бюджет!D150</f>
        <v>3</v>
      </c>
      <c r="E73" s="74">
        <f>Бюджет!E150</f>
        <v>1</v>
      </c>
      <c r="F73" s="70">
        <f>Бюджет!F150</f>
        <v>18</v>
      </c>
      <c r="G73" s="70">
        <f>Бюджет!G150</f>
        <v>18</v>
      </c>
      <c r="H73" s="70">
        <f>Бюджет!H150</f>
        <v>0</v>
      </c>
      <c r="I73" s="70">
        <f>Бюджет!I150</f>
        <v>0</v>
      </c>
      <c r="J73" s="70">
        <f>Бюджет!J150</f>
        <v>36</v>
      </c>
      <c r="K73" s="70">
        <f>Бюджет!K150</f>
        <v>0.89999999999999991</v>
      </c>
      <c r="L73" s="70">
        <f>Бюджет!L150</f>
        <v>0</v>
      </c>
      <c r="M73" s="70">
        <f>Бюджет!M150</f>
        <v>0</v>
      </c>
      <c r="N73" s="70">
        <f>Бюджет!N150</f>
        <v>0</v>
      </c>
      <c r="O73" s="70">
        <f>Бюджет!O150</f>
        <v>0</v>
      </c>
      <c r="P73" s="70">
        <f>Бюджет!P150</f>
        <v>0</v>
      </c>
      <c r="Q73" s="70">
        <f>Бюджет!Q150</f>
        <v>0.9</v>
      </c>
      <c r="R73" s="70">
        <f>Бюджет!R150</f>
        <v>0</v>
      </c>
      <c r="S73" s="70">
        <f>Бюджет!S150</f>
        <v>0</v>
      </c>
      <c r="T73" s="70">
        <f>Бюджет!T150</f>
        <v>0</v>
      </c>
      <c r="U73" s="70">
        <f>Бюджет!U150</f>
        <v>0</v>
      </c>
      <c r="V73" s="70">
        <f>Бюджет!V150</f>
        <v>0</v>
      </c>
      <c r="W73" s="70">
        <f>Бюджет!W150</f>
        <v>0</v>
      </c>
      <c r="X73" s="70">
        <f>Бюджет!X150</f>
        <v>0</v>
      </c>
      <c r="Y73" s="70">
        <f>Бюджет!Y150</f>
        <v>0</v>
      </c>
      <c r="Z73" s="70">
        <f>Бюджет!Z150</f>
        <v>0</v>
      </c>
      <c r="AA73" s="70">
        <f>Бюджет!AA150</f>
        <v>0</v>
      </c>
      <c r="AB73" s="70">
        <f>Бюджет!AB150</f>
        <v>0</v>
      </c>
      <c r="AC73" s="70">
        <f>Бюджет!AC150</f>
        <v>0</v>
      </c>
      <c r="AD73" s="70">
        <f>Бюджет!AD150</f>
        <v>0</v>
      </c>
      <c r="AE73" s="70">
        <f>Бюджет!AE150</f>
        <v>0</v>
      </c>
      <c r="AF73" s="70">
        <f>Бюджет!AF150</f>
        <v>0</v>
      </c>
      <c r="AG73" s="70">
        <f>Бюджет!AG150</f>
        <v>0</v>
      </c>
      <c r="AH73" s="70">
        <f>Бюджет!AH150</f>
        <v>0</v>
      </c>
      <c r="AI73" s="70">
        <f>Бюджет!AI150</f>
        <v>0</v>
      </c>
      <c r="AJ73" s="66">
        <f t="shared" si="5"/>
        <v>55.8</v>
      </c>
      <c r="AK73" s="70"/>
    </row>
    <row r="74" spans="1:37" s="110" customFormat="1" ht="15" x14ac:dyDescent="0.2">
      <c r="A74" s="90" t="str">
        <f>Бюджет!A153</f>
        <v>Б1.В.ДВ.01.01</v>
      </c>
      <c r="B74" s="60" t="str">
        <f>Бюджет!B153</f>
        <v>Физика Солнца</v>
      </c>
      <c r="C74" s="74" t="str">
        <f>Бюджет!C153</f>
        <v>4\7</v>
      </c>
      <c r="D74" s="74">
        <f>Бюджет!D153</f>
        <v>3</v>
      </c>
      <c r="E74" s="74">
        <f>Бюджет!E153</f>
        <v>1</v>
      </c>
      <c r="F74" s="70">
        <f>Бюджет!F153</f>
        <v>34</v>
      </c>
      <c r="G74" s="70">
        <f>Бюджет!G153</f>
        <v>34</v>
      </c>
      <c r="H74" s="70">
        <f>Бюджет!H153</f>
        <v>50</v>
      </c>
      <c r="I74" s="70">
        <f>Бюджет!I153</f>
        <v>50</v>
      </c>
      <c r="J74" s="70">
        <f>Бюджет!J153</f>
        <v>0</v>
      </c>
      <c r="K74" s="70">
        <f>Бюджет!K153</f>
        <v>0</v>
      </c>
      <c r="L74" s="70">
        <f>Бюджет!L153</f>
        <v>0</v>
      </c>
      <c r="M74" s="70">
        <f>Бюджет!M153</f>
        <v>1.2000000000000002</v>
      </c>
      <c r="N74" s="70">
        <f>Бюджет!N153</f>
        <v>0</v>
      </c>
      <c r="O74" s="70">
        <f>Бюджет!O153</f>
        <v>0</v>
      </c>
      <c r="P74" s="70">
        <f>Бюджет!P153</f>
        <v>0</v>
      </c>
      <c r="Q74" s="70">
        <f>Бюджет!Q153</f>
        <v>2.7</v>
      </c>
      <c r="R74" s="70">
        <f>Бюджет!R153</f>
        <v>0</v>
      </c>
      <c r="S74" s="70">
        <f>Бюджет!S153</f>
        <v>0</v>
      </c>
      <c r="T74" s="70">
        <f>Бюджет!T153</f>
        <v>0</v>
      </c>
      <c r="U74" s="70">
        <f>Бюджет!U153</f>
        <v>0</v>
      </c>
      <c r="V74" s="70">
        <f>Бюджет!V153</f>
        <v>0</v>
      </c>
      <c r="W74" s="70">
        <f>Бюджет!W153</f>
        <v>0</v>
      </c>
      <c r="X74" s="70">
        <f>Бюджет!X153</f>
        <v>0</v>
      </c>
      <c r="Y74" s="70">
        <f>Бюджет!Y153</f>
        <v>0</v>
      </c>
      <c r="Z74" s="70">
        <f>Бюджет!Z153</f>
        <v>0</v>
      </c>
      <c r="AA74" s="70">
        <f>Бюджет!AA153</f>
        <v>0</v>
      </c>
      <c r="AB74" s="70">
        <f>Бюджет!AB153</f>
        <v>0</v>
      </c>
      <c r="AC74" s="70">
        <f>Бюджет!AC153</f>
        <v>0</v>
      </c>
      <c r="AD74" s="70">
        <f>Бюджет!AD153</f>
        <v>0</v>
      </c>
      <c r="AE74" s="70">
        <f>Бюджет!AE153</f>
        <v>0</v>
      </c>
      <c r="AF74" s="70">
        <f>Бюджет!AF153</f>
        <v>0</v>
      </c>
      <c r="AG74" s="70">
        <f>Бюджет!AG153</f>
        <v>0</v>
      </c>
      <c r="AH74" s="70">
        <f>Бюджет!AH153</f>
        <v>0</v>
      </c>
      <c r="AI74" s="70">
        <f>Бюджет!AI153</f>
        <v>4</v>
      </c>
      <c r="AJ74" s="66">
        <f t="shared" si="5"/>
        <v>91.9</v>
      </c>
      <c r="AK74" s="70"/>
    </row>
    <row r="75" spans="1:37" s="110" customFormat="1" ht="15" x14ac:dyDescent="0.2">
      <c r="A75" s="90" t="str">
        <f>Бюджет!A154</f>
        <v>Б1.В.ДВ.02.01</v>
      </c>
      <c r="B75" s="60" t="str">
        <f>Бюджет!B154</f>
        <v>Экспериментальные методы в гелиофизике</v>
      </c>
      <c r="C75" s="74" t="str">
        <f>Бюджет!C154</f>
        <v>4\7</v>
      </c>
      <c r="D75" s="74">
        <f>Бюджет!D154</f>
        <v>3</v>
      </c>
      <c r="E75" s="74">
        <f>Бюджет!E154</f>
        <v>1</v>
      </c>
      <c r="F75" s="70">
        <f>Бюджет!F154</f>
        <v>0</v>
      </c>
      <c r="G75" s="70">
        <f>Бюджет!G154</f>
        <v>0</v>
      </c>
      <c r="H75" s="70">
        <f>Бюджет!H154</f>
        <v>0</v>
      </c>
      <c r="I75" s="70">
        <f>Бюджет!I154</f>
        <v>0</v>
      </c>
      <c r="J75" s="70">
        <f>Бюджет!J154</f>
        <v>68</v>
      </c>
      <c r="K75" s="70">
        <f>Бюджет!K154</f>
        <v>0.89999999999999991</v>
      </c>
      <c r="L75" s="70">
        <f>Бюджет!L154</f>
        <v>0</v>
      </c>
      <c r="M75" s="70">
        <f>Бюджет!M154</f>
        <v>0</v>
      </c>
      <c r="N75" s="70">
        <f>Бюджет!N154</f>
        <v>0</v>
      </c>
      <c r="O75" s="70">
        <f>Бюджет!O154</f>
        <v>0</v>
      </c>
      <c r="P75" s="70">
        <f>Бюджет!P154</f>
        <v>0</v>
      </c>
      <c r="Q75" s="70">
        <f>Бюджет!Q154</f>
        <v>0</v>
      </c>
      <c r="R75" s="70">
        <f>Бюджет!R154</f>
        <v>0</v>
      </c>
      <c r="S75" s="70">
        <f>Бюджет!S154</f>
        <v>0</v>
      </c>
      <c r="T75" s="70">
        <f>Бюджет!T154</f>
        <v>0</v>
      </c>
      <c r="U75" s="70">
        <f>Бюджет!U154</f>
        <v>0</v>
      </c>
      <c r="V75" s="70">
        <f>Бюджет!V154</f>
        <v>0</v>
      </c>
      <c r="W75" s="70">
        <f>Бюджет!W154</f>
        <v>0</v>
      </c>
      <c r="X75" s="70">
        <f>Бюджет!X154</f>
        <v>0</v>
      </c>
      <c r="Y75" s="70">
        <f>Бюджет!Y154</f>
        <v>0</v>
      </c>
      <c r="Z75" s="70">
        <f>Бюджет!Z154</f>
        <v>0</v>
      </c>
      <c r="AA75" s="70">
        <f>Бюджет!AA154</f>
        <v>0</v>
      </c>
      <c r="AB75" s="70">
        <f>Бюджет!AB154</f>
        <v>0</v>
      </c>
      <c r="AC75" s="70">
        <f>Бюджет!AC154</f>
        <v>0</v>
      </c>
      <c r="AD75" s="70">
        <f>Бюджет!AD154</f>
        <v>0</v>
      </c>
      <c r="AE75" s="70">
        <f>Бюджет!AE154</f>
        <v>0</v>
      </c>
      <c r="AF75" s="70">
        <f>Бюджет!AF154</f>
        <v>0</v>
      </c>
      <c r="AG75" s="70">
        <f>Бюджет!AG154</f>
        <v>0</v>
      </c>
      <c r="AH75" s="70">
        <f>Бюджет!AH154</f>
        <v>0</v>
      </c>
      <c r="AI75" s="70">
        <f>Бюджет!AI154</f>
        <v>16</v>
      </c>
      <c r="AJ75" s="66">
        <f t="shared" si="5"/>
        <v>84.9</v>
      </c>
      <c r="AK75" s="70"/>
    </row>
    <row r="76" spans="1:37" s="110" customFormat="1" ht="15" x14ac:dyDescent="0.2">
      <c r="A76" s="90" t="str">
        <f>Бюджет!A155</f>
        <v>Б1.В.03(Пд)</v>
      </c>
      <c r="B76" s="60" t="str">
        <f>Бюджет!B155</f>
        <v>Преддипломная практика (5 1/3 нед.)</v>
      </c>
      <c r="C76" s="74" t="str">
        <f>Бюджет!C155</f>
        <v>4\8</v>
      </c>
      <c r="D76" s="74">
        <f>Бюджет!D155</f>
        <v>3</v>
      </c>
      <c r="E76" s="74">
        <f>Бюджет!E155</f>
        <v>1</v>
      </c>
      <c r="F76" s="70">
        <f>Бюджет!F155</f>
        <v>0</v>
      </c>
      <c r="G76" s="70">
        <f>Бюджет!G155</f>
        <v>0</v>
      </c>
      <c r="H76" s="70">
        <f>Бюджет!H155</f>
        <v>0</v>
      </c>
      <c r="I76" s="70">
        <f>Бюджет!I155</f>
        <v>0</v>
      </c>
      <c r="J76" s="70">
        <f>Бюджет!J155</f>
        <v>0</v>
      </c>
      <c r="K76" s="70">
        <f>Бюджет!K155</f>
        <v>0</v>
      </c>
      <c r="L76" s="70">
        <f>Бюджет!L155</f>
        <v>0</v>
      </c>
      <c r="M76" s="70">
        <f>Бюджет!M155</f>
        <v>0</v>
      </c>
      <c r="N76" s="70">
        <f>Бюджет!N155</f>
        <v>0</v>
      </c>
      <c r="O76" s="70">
        <f>Бюджет!O155</f>
        <v>0</v>
      </c>
      <c r="P76" s="70">
        <f>Бюджет!P155</f>
        <v>0</v>
      </c>
      <c r="Q76" s="70">
        <f>Бюджет!Q155</f>
        <v>0</v>
      </c>
      <c r="R76" s="70">
        <f>Бюджет!R155</f>
        <v>0</v>
      </c>
      <c r="S76" s="70">
        <f>Бюджет!S155</f>
        <v>0</v>
      </c>
      <c r="T76" s="70">
        <f>Бюджет!T155</f>
        <v>16</v>
      </c>
      <c r="U76" s="70">
        <f>Бюджет!U155</f>
        <v>0</v>
      </c>
      <c r="V76" s="70">
        <f>Бюджет!V155</f>
        <v>0</v>
      </c>
      <c r="W76" s="70">
        <f>Бюджет!W155</f>
        <v>0</v>
      </c>
      <c r="X76" s="70">
        <f>Бюджет!X155</f>
        <v>0</v>
      </c>
      <c r="Y76" s="70">
        <f>Бюджет!Y155</f>
        <v>0</v>
      </c>
      <c r="Z76" s="70">
        <f>Бюджет!Z155</f>
        <v>0</v>
      </c>
      <c r="AA76" s="70">
        <f>Бюджет!AA155</f>
        <v>0</v>
      </c>
      <c r="AB76" s="70">
        <f>Бюджет!AB155</f>
        <v>0</v>
      </c>
      <c r="AC76" s="70">
        <f>Бюджет!AC155</f>
        <v>0</v>
      </c>
      <c r="AD76" s="70">
        <f>Бюджет!AD155</f>
        <v>0</v>
      </c>
      <c r="AE76" s="70">
        <f>Бюджет!AE155</f>
        <v>0</v>
      </c>
      <c r="AF76" s="70">
        <f>Бюджет!AF155</f>
        <v>0</v>
      </c>
      <c r="AG76" s="70">
        <f>Бюджет!AG155</f>
        <v>0</v>
      </c>
      <c r="AH76" s="70">
        <f>Бюджет!AH155</f>
        <v>0</v>
      </c>
      <c r="AI76" s="70">
        <f>Бюджет!AI155</f>
        <v>0</v>
      </c>
      <c r="AJ76" s="66">
        <f t="shared" si="5"/>
        <v>16</v>
      </c>
      <c r="AK76" s="74"/>
    </row>
    <row r="77" spans="1:37" s="110" customFormat="1" ht="15" x14ac:dyDescent="0.2">
      <c r="A77" s="90">
        <f>Бюджет!A156</f>
        <v>0</v>
      </c>
      <c r="B77" s="60" t="str">
        <f>Бюджет!B156</f>
        <v>Руководство ВКР</v>
      </c>
      <c r="C77" s="74" t="str">
        <f>Бюджет!C156</f>
        <v>4\8</v>
      </c>
      <c r="D77" s="74">
        <f>Бюджет!D156</f>
        <v>3</v>
      </c>
      <c r="E77" s="74">
        <f>Бюджет!E156</f>
        <v>1</v>
      </c>
      <c r="F77" s="70">
        <f>Бюджет!F156</f>
        <v>0</v>
      </c>
      <c r="G77" s="70" t="str">
        <f>Бюджет!G156</f>
        <v xml:space="preserve"> </v>
      </c>
      <c r="H77" s="70">
        <f>Бюджет!H156</f>
        <v>0</v>
      </c>
      <c r="I77" s="70">
        <f>Бюджет!I156</f>
        <v>0</v>
      </c>
      <c r="J77" s="70">
        <f>Бюджет!J156</f>
        <v>0</v>
      </c>
      <c r="K77" s="70">
        <f>Бюджет!K156</f>
        <v>0</v>
      </c>
      <c r="L77" s="70">
        <f>Бюджет!L156</f>
        <v>0</v>
      </c>
      <c r="M77" s="70">
        <f>Бюджет!M156</f>
        <v>0</v>
      </c>
      <c r="N77" s="70">
        <f>Бюджет!N156</f>
        <v>0</v>
      </c>
      <c r="O77" s="70">
        <f>Бюджет!O156</f>
        <v>0</v>
      </c>
      <c r="P77" s="70">
        <f>Бюджет!P156</f>
        <v>0</v>
      </c>
      <c r="Q77" s="70">
        <f>Бюджет!Q156</f>
        <v>0</v>
      </c>
      <c r="R77" s="70">
        <f>Бюджет!R156</f>
        <v>0</v>
      </c>
      <c r="S77" s="70">
        <f>Бюджет!S156</f>
        <v>0</v>
      </c>
      <c r="T77" s="70">
        <f>Бюджет!T156</f>
        <v>0</v>
      </c>
      <c r="U77" s="70">
        <f>Бюджет!U156</f>
        <v>0</v>
      </c>
      <c r="V77" s="70">
        <f>Бюджет!V156</f>
        <v>0</v>
      </c>
      <c r="W77" s="70">
        <f>Бюджет!W156</f>
        <v>48</v>
      </c>
      <c r="X77" s="70">
        <f>Бюджет!X156</f>
        <v>0</v>
      </c>
      <c r="Y77" s="70">
        <f>Бюджет!Y156</f>
        <v>0</v>
      </c>
      <c r="Z77" s="70">
        <f>Бюджет!Z156</f>
        <v>0</v>
      </c>
      <c r="AA77" s="70">
        <f>Бюджет!AA156</f>
        <v>0</v>
      </c>
      <c r="AB77" s="70">
        <f>Бюджет!AB156</f>
        <v>0</v>
      </c>
      <c r="AC77" s="70">
        <f>Бюджет!AC156</f>
        <v>0</v>
      </c>
      <c r="AD77" s="70">
        <f>Бюджет!AD156</f>
        <v>0</v>
      </c>
      <c r="AE77" s="70">
        <f>Бюджет!AE156</f>
        <v>0</v>
      </c>
      <c r="AF77" s="70">
        <f>Бюджет!AF156</f>
        <v>0</v>
      </c>
      <c r="AG77" s="70">
        <f>Бюджет!AG156</f>
        <v>0</v>
      </c>
      <c r="AH77" s="70">
        <f>Бюджет!AH156</f>
        <v>0</v>
      </c>
      <c r="AI77" s="70">
        <f>Бюджет!AI156</f>
        <v>0</v>
      </c>
      <c r="AJ77" s="66">
        <f t="shared" si="5"/>
        <v>48</v>
      </c>
      <c r="AK77" s="70">
        <f>SUM(AJ62:AJ77)</f>
        <v>751.3</v>
      </c>
    </row>
    <row r="78" spans="1:37" s="110" customFormat="1" ht="15.75" x14ac:dyDescent="0.2">
      <c r="A78" s="90"/>
      <c r="B78" s="60"/>
      <c r="C78" s="74"/>
      <c r="D78" s="74"/>
      <c r="E78" s="74"/>
      <c r="F78" s="70"/>
      <c r="G78" s="70"/>
      <c r="H78" s="70"/>
      <c r="I78" s="70"/>
      <c r="J78" s="390" t="str">
        <f>Бюджет!K159</f>
        <v>профиль "Физика конденсированного состояния"</v>
      </c>
      <c r="K78" s="390"/>
      <c r="L78" s="390"/>
      <c r="M78" s="390"/>
      <c r="N78" s="390"/>
      <c r="O78" s="390"/>
      <c r="P78" s="390"/>
      <c r="Q78" s="390"/>
      <c r="R78" s="390"/>
      <c r="S78" s="390"/>
      <c r="T78" s="390"/>
      <c r="U78" s="390"/>
      <c r="V78" s="390"/>
      <c r="W78" s="390"/>
      <c r="X78" s="390"/>
      <c r="Y78" s="390"/>
      <c r="Z78" s="390"/>
      <c r="AA78" s="390"/>
      <c r="AB78" s="390"/>
      <c r="AC78" s="390"/>
      <c r="AD78" s="70"/>
      <c r="AE78" s="70"/>
      <c r="AF78" s="70"/>
      <c r="AG78" s="70"/>
      <c r="AH78" s="70"/>
      <c r="AI78" s="70"/>
      <c r="AJ78" s="66">
        <f t="shared" si="5"/>
        <v>0</v>
      </c>
      <c r="AK78" s="70"/>
    </row>
    <row r="79" spans="1:37" s="110" customFormat="1" ht="15.75" x14ac:dyDescent="0.2">
      <c r="A79" s="90"/>
      <c r="B79" s="60"/>
      <c r="C79" s="74"/>
      <c r="D79" s="74"/>
      <c r="E79" s="74"/>
      <c r="F79" s="70"/>
      <c r="G79" s="70"/>
      <c r="H79" s="70"/>
      <c r="I79" s="70"/>
      <c r="J79" s="390" t="str">
        <f>Бюджет!K176</f>
        <v>профиль "Фундаментальная физика"</v>
      </c>
      <c r="K79" s="390"/>
      <c r="L79" s="390"/>
      <c r="M79" s="390"/>
      <c r="N79" s="390"/>
      <c r="O79" s="390"/>
      <c r="P79" s="390"/>
      <c r="Q79" s="390"/>
      <c r="R79" s="390"/>
      <c r="S79" s="390"/>
      <c r="T79" s="390"/>
      <c r="U79" s="390"/>
      <c r="V79" s="390"/>
      <c r="W79" s="390"/>
      <c r="X79" s="390"/>
      <c r="Y79" s="390"/>
      <c r="Z79" s="390"/>
      <c r="AA79" s="390"/>
      <c r="AB79" s="390"/>
      <c r="AC79" s="390"/>
      <c r="AD79" s="70"/>
      <c r="AE79" s="70"/>
      <c r="AF79" s="70"/>
      <c r="AG79" s="70"/>
      <c r="AH79" s="70"/>
      <c r="AI79" s="70"/>
      <c r="AJ79" s="66">
        <f t="shared" ref="AJ79:AJ80" si="9">SUM(G79,I79:AI79)</f>
        <v>0</v>
      </c>
      <c r="AK79" s="70"/>
    </row>
    <row r="80" spans="1:37" s="110" customFormat="1" ht="30" x14ac:dyDescent="0.2">
      <c r="A80" s="90" t="str">
        <f>Бюджет!A166</f>
        <v>Б1.В.02.03</v>
      </c>
      <c r="B80" s="60" t="str">
        <f>Бюджет!B166</f>
        <v>Специальный практикум по методам модификации поверхности</v>
      </c>
      <c r="C80" s="74" t="str">
        <f>Бюджет!C166</f>
        <v>4\8</v>
      </c>
      <c r="D80" s="74">
        <f>Бюджет!D166</f>
        <v>4</v>
      </c>
      <c r="E80" s="74">
        <f>Бюджет!E166</f>
        <v>1</v>
      </c>
      <c r="F80" s="70">
        <f>Бюджет!F166</f>
        <v>0</v>
      </c>
      <c r="G80" s="70">
        <f>Бюджет!G166</f>
        <v>0</v>
      </c>
      <c r="H80" s="70">
        <f>Бюджет!H166</f>
        <v>0</v>
      </c>
      <c r="I80" s="70">
        <f>Бюджет!I166</f>
        <v>0</v>
      </c>
      <c r="J80" s="70">
        <f>Бюджет!J166</f>
        <v>48</v>
      </c>
      <c r="K80" s="70">
        <f>Бюджет!K166</f>
        <v>1.2</v>
      </c>
      <c r="L80" s="70">
        <f>Бюджет!L166</f>
        <v>0</v>
      </c>
      <c r="M80" s="70">
        <f>Бюджет!M166</f>
        <v>0</v>
      </c>
      <c r="N80" s="70">
        <f>Бюджет!N166</f>
        <v>0</v>
      </c>
      <c r="O80" s="70">
        <f>Бюджет!O166</f>
        <v>0</v>
      </c>
      <c r="P80" s="70">
        <f>Бюджет!P166</f>
        <v>0</v>
      </c>
      <c r="Q80" s="70">
        <f>Бюджет!Q166</f>
        <v>0</v>
      </c>
      <c r="R80" s="70">
        <f>Бюджет!R166</f>
        <v>0</v>
      </c>
      <c r="S80" s="70">
        <f>Бюджет!S166</f>
        <v>0</v>
      </c>
      <c r="T80" s="70">
        <f>Бюджет!T166</f>
        <v>0</v>
      </c>
      <c r="U80" s="70">
        <f>Бюджет!U166</f>
        <v>0</v>
      </c>
      <c r="V80" s="70">
        <f>Бюджет!V166</f>
        <v>0</v>
      </c>
      <c r="W80" s="70">
        <f>Бюджет!W166</f>
        <v>0</v>
      </c>
      <c r="X80" s="70">
        <f>Бюджет!X166</f>
        <v>0</v>
      </c>
      <c r="Y80" s="70">
        <f>Бюджет!Y166</f>
        <v>0</v>
      </c>
      <c r="Z80" s="70">
        <f>Бюджет!Z166</f>
        <v>0</v>
      </c>
      <c r="AA80" s="70">
        <f>Бюджет!AA166</f>
        <v>0</v>
      </c>
      <c r="AB80" s="70">
        <f>Бюджет!AB166</f>
        <v>0</v>
      </c>
      <c r="AC80" s="70">
        <f>Бюджет!AC166</f>
        <v>0</v>
      </c>
      <c r="AD80" s="70">
        <f>Бюджет!AD166</f>
        <v>0</v>
      </c>
      <c r="AE80" s="70">
        <f>Бюджет!AE166</f>
        <v>0</v>
      </c>
      <c r="AF80" s="70">
        <f>Бюджет!AF166</f>
        <v>0</v>
      </c>
      <c r="AG80" s="70">
        <f>Бюджет!AG166</f>
        <v>0</v>
      </c>
      <c r="AH80" s="70">
        <f>Бюджет!AH166</f>
        <v>0</v>
      </c>
      <c r="AI80" s="70">
        <f>Бюджет!AI166</f>
        <v>0</v>
      </c>
      <c r="AJ80" s="66">
        <f t="shared" si="9"/>
        <v>49.2</v>
      </c>
      <c r="AK80" s="70"/>
    </row>
    <row r="81" spans="1:37" s="110" customFormat="1" ht="15.75" x14ac:dyDescent="0.2">
      <c r="A81" s="90"/>
      <c r="B81" s="108" t="s">
        <v>229</v>
      </c>
      <c r="C81" s="91"/>
      <c r="D81" s="91"/>
      <c r="E81" s="91"/>
      <c r="F81" s="88">
        <f t="shared" ref="F81:AJ81" si="10">SUM(F36:F80)</f>
        <v>426</v>
      </c>
      <c r="G81" s="88">
        <f t="shared" si="10"/>
        <v>404</v>
      </c>
      <c r="H81" s="88">
        <f t="shared" si="10"/>
        <v>240</v>
      </c>
      <c r="I81" s="88">
        <f t="shared" si="10"/>
        <v>240</v>
      </c>
      <c r="J81" s="88">
        <f t="shared" si="10"/>
        <v>1040</v>
      </c>
      <c r="K81" s="88">
        <f t="shared" si="10"/>
        <v>79.800000000000011</v>
      </c>
      <c r="L81" s="88">
        <f t="shared" si="10"/>
        <v>0</v>
      </c>
      <c r="M81" s="88">
        <f t="shared" si="10"/>
        <v>5.6000000000000005</v>
      </c>
      <c r="N81" s="88">
        <f t="shared" si="10"/>
        <v>0</v>
      </c>
      <c r="O81" s="88">
        <f t="shared" si="10"/>
        <v>0</v>
      </c>
      <c r="P81" s="88">
        <f t="shared" si="10"/>
        <v>0</v>
      </c>
      <c r="Q81" s="88">
        <f t="shared" si="10"/>
        <v>22.2</v>
      </c>
      <c r="R81" s="88">
        <f t="shared" si="10"/>
        <v>0</v>
      </c>
      <c r="S81" s="88">
        <f t="shared" si="10"/>
        <v>36</v>
      </c>
      <c r="T81" s="88">
        <f t="shared" si="10"/>
        <v>36</v>
      </c>
      <c r="U81" s="88">
        <f t="shared" si="10"/>
        <v>0</v>
      </c>
      <c r="V81" s="88">
        <f t="shared" si="10"/>
        <v>24</v>
      </c>
      <c r="W81" s="88">
        <f t="shared" si="10"/>
        <v>48</v>
      </c>
      <c r="X81" s="88">
        <f t="shared" si="10"/>
        <v>0</v>
      </c>
      <c r="Y81" s="88">
        <f t="shared" si="10"/>
        <v>0</v>
      </c>
      <c r="Z81" s="88">
        <f t="shared" si="10"/>
        <v>0</v>
      </c>
      <c r="AA81" s="88">
        <f t="shared" si="10"/>
        <v>0</v>
      </c>
      <c r="AB81" s="88">
        <f t="shared" si="10"/>
        <v>7</v>
      </c>
      <c r="AC81" s="88">
        <f t="shared" si="10"/>
        <v>0</v>
      </c>
      <c r="AD81" s="88">
        <f t="shared" si="10"/>
        <v>0</v>
      </c>
      <c r="AE81" s="88">
        <f t="shared" si="10"/>
        <v>0</v>
      </c>
      <c r="AF81" s="88">
        <f t="shared" si="10"/>
        <v>0</v>
      </c>
      <c r="AG81" s="88">
        <f t="shared" si="10"/>
        <v>0</v>
      </c>
      <c r="AH81" s="88">
        <f t="shared" si="10"/>
        <v>0</v>
      </c>
      <c r="AI81" s="88">
        <f t="shared" si="10"/>
        <v>60</v>
      </c>
      <c r="AJ81" s="88">
        <f t="shared" si="10"/>
        <v>2002.6000000000001</v>
      </c>
      <c r="AK81" s="70"/>
    </row>
    <row r="82" spans="1:37" s="110" customFormat="1" ht="15.75" x14ac:dyDescent="0.2">
      <c r="A82" s="90"/>
      <c r="B82" s="100"/>
      <c r="C82" s="275"/>
      <c r="D82" s="275"/>
      <c r="E82" s="275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0">
        <f t="shared" ref="AJ82:AJ96" si="11">SUM(G82,I82:AI82)</f>
        <v>0</v>
      </c>
      <c r="AK82" s="70"/>
    </row>
    <row r="83" spans="1:37" s="110" customFormat="1" ht="15.75" x14ac:dyDescent="0.2">
      <c r="A83" s="90"/>
      <c r="B83" s="92"/>
      <c r="C83" s="74"/>
      <c r="D83" s="74"/>
      <c r="E83" s="74"/>
      <c r="F83" s="70"/>
      <c r="G83" s="70"/>
      <c r="H83" s="70"/>
      <c r="I83" s="70"/>
      <c r="J83" s="389" t="str">
        <f>Бюджет!L203</f>
        <v>11.03.04  Электроника и наноэлектроника</v>
      </c>
      <c r="K83" s="389"/>
      <c r="L83" s="389"/>
      <c r="M83" s="389"/>
      <c r="N83" s="389"/>
      <c r="O83" s="389"/>
      <c r="P83" s="389"/>
      <c r="Q83" s="389"/>
      <c r="R83" s="389"/>
      <c r="S83" s="389"/>
      <c r="T83" s="389"/>
      <c r="U83" s="389"/>
      <c r="V83" s="389"/>
      <c r="W83" s="389"/>
      <c r="X83" s="389"/>
      <c r="Y83" s="389"/>
      <c r="Z83" s="389"/>
      <c r="AA83" s="389"/>
      <c r="AB83" s="389"/>
      <c r="AC83" s="389"/>
      <c r="AD83" s="70"/>
      <c r="AE83" s="70"/>
      <c r="AF83" s="70"/>
      <c r="AG83" s="70"/>
      <c r="AH83" s="70"/>
      <c r="AI83" s="70"/>
      <c r="AJ83" s="70">
        <f t="shared" si="11"/>
        <v>0</v>
      </c>
      <c r="AK83" s="70"/>
    </row>
    <row r="84" spans="1:37" s="110" customFormat="1" ht="15.75" x14ac:dyDescent="0.2">
      <c r="A84" s="90"/>
      <c r="B84" s="92"/>
      <c r="C84" s="74"/>
      <c r="D84" s="74"/>
      <c r="E84" s="74"/>
      <c r="F84" s="70"/>
      <c r="G84" s="70"/>
      <c r="H84" s="70"/>
      <c r="I84" s="70"/>
      <c r="J84" s="390" t="str">
        <f>Бюджет!K204</f>
        <v>профиль "Электроника и наноэлектроника"</v>
      </c>
      <c r="K84" s="390"/>
      <c r="L84" s="390"/>
      <c r="M84" s="390"/>
      <c r="N84" s="390"/>
      <c r="O84" s="390"/>
      <c r="P84" s="390"/>
      <c r="Q84" s="390"/>
      <c r="R84" s="390"/>
      <c r="S84" s="390"/>
      <c r="T84" s="390"/>
      <c r="U84" s="390"/>
      <c r="V84" s="390"/>
      <c r="W84" s="390"/>
      <c r="X84" s="390"/>
      <c r="Y84" s="390"/>
      <c r="Z84" s="390"/>
      <c r="AA84" s="390"/>
      <c r="AB84" s="390"/>
      <c r="AC84" s="390"/>
      <c r="AD84" s="70"/>
      <c r="AE84" s="70"/>
      <c r="AF84" s="70"/>
      <c r="AG84" s="70"/>
      <c r="AH84" s="70"/>
      <c r="AI84" s="70"/>
      <c r="AJ84" s="70">
        <f t="shared" si="11"/>
        <v>0</v>
      </c>
      <c r="AK84" s="70"/>
    </row>
    <row r="85" spans="1:37" s="110" customFormat="1" ht="15" x14ac:dyDescent="0.2">
      <c r="A85" s="90" t="str">
        <f>Бюджет!A205</f>
        <v>Б1.О.09</v>
      </c>
      <c r="B85" s="90" t="str">
        <f>Бюджет!B205</f>
        <v>Безопасность жизнедеятельности</v>
      </c>
      <c r="C85" s="74" t="str">
        <f>Бюджет!C205</f>
        <v>1\1</v>
      </c>
      <c r="D85" s="74">
        <f>Бюджет!D205</f>
        <v>32</v>
      </c>
      <c r="E85" s="74">
        <f>Бюджет!E205</f>
        <v>1</v>
      </c>
      <c r="F85" s="70">
        <f>Бюджет!F205</f>
        <v>0</v>
      </c>
      <c r="G85" s="70">
        <f>Бюджет!G205</f>
        <v>0</v>
      </c>
      <c r="H85" s="70">
        <f>Бюджет!H205</f>
        <v>16</v>
      </c>
      <c r="I85" s="70">
        <f>Бюджет!I205</f>
        <v>16</v>
      </c>
      <c r="J85" s="70">
        <f>Бюджет!J205</f>
        <v>0</v>
      </c>
      <c r="K85" s="70">
        <f>Бюджет!K205</f>
        <v>9.6</v>
      </c>
      <c r="L85" s="70">
        <f>Бюджет!L205</f>
        <v>0</v>
      </c>
      <c r="M85" s="70">
        <f>Бюджет!M205</f>
        <v>0</v>
      </c>
      <c r="N85" s="70">
        <f>Бюджет!N205</f>
        <v>0</v>
      </c>
      <c r="O85" s="70">
        <f>Бюджет!O205</f>
        <v>0</v>
      </c>
      <c r="P85" s="70">
        <f>Бюджет!P205</f>
        <v>0</v>
      </c>
      <c r="Q85" s="70">
        <f>Бюджет!Q205</f>
        <v>0</v>
      </c>
      <c r="R85" s="70">
        <f>Бюджет!R205</f>
        <v>0</v>
      </c>
      <c r="S85" s="70">
        <f>Бюджет!S205</f>
        <v>0</v>
      </c>
      <c r="T85" s="70">
        <f>Бюджет!T205</f>
        <v>0</v>
      </c>
      <c r="U85" s="70">
        <f>Бюджет!U205</f>
        <v>0</v>
      </c>
      <c r="V85" s="70">
        <f>Бюджет!V205</f>
        <v>0</v>
      </c>
      <c r="W85" s="70">
        <f>Бюджет!W205</f>
        <v>0</v>
      </c>
      <c r="X85" s="70">
        <f>Бюджет!X205</f>
        <v>0</v>
      </c>
      <c r="Y85" s="70">
        <f>Бюджет!Y205</f>
        <v>0</v>
      </c>
      <c r="Z85" s="70">
        <f>Бюджет!Z205</f>
        <v>0</v>
      </c>
      <c r="AA85" s="70">
        <f>Бюджет!AA205</f>
        <v>0</v>
      </c>
      <c r="AB85" s="70">
        <f>Бюджет!AB205</f>
        <v>0</v>
      </c>
      <c r="AC85" s="70">
        <f>Бюджет!AC205</f>
        <v>0</v>
      </c>
      <c r="AD85" s="70">
        <f>Бюджет!AD205</f>
        <v>0</v>
      </c>
      <c r="AE85" s="70">
        <f>Бюджет!AE205</f>
        <v>0</v>
      </c>
      <c r="AF85" s="70">
        <f>Бюджет!AF205</f>
        <v>0</v>
      </c>
      <c r="AG85" s="70">
        <f>Бюджет!AG205</f>
        <v>0</v>
      </c>
      <c r="AH85" s="70">
        <f>Бюджет!AH205</f>
        <v>0</v>
      </c>
      <c r="AI85" s="70">
        <f>Бюджет!AI205</f>
        <v>0</v>
      </c>
      <c r="AJ85" s="66">
        <f t="shared" si="11"/>
        <v>25.6</v>
      </c>
      <c r="AK85" s="70"/>
    </row>
    <row r="86" spans="1:37" s="110" customFormat="1" ht="30" x14ac:dyDescent="0.2">
      <c r="A86" s="60" t="str">
        <f>Бюджет!A210</f>
        <v>Б1.О.14.01</v>
      </c>
      <c r="B86" s="60" t="str">
        <f>Бюджет!B210</f>
        <v>Механика и молекулярная физика (поток НЭ, ИБ, ИСТ)</v>
      </c>
      <c r="C86" s="67" t="str">
        <f>Бюджет!C210</f>
        <v>1\2</v>
      </c>
      <c r="D86" s="67">
        <f>Бюджет!D210</f>
        <v>32</v>
      </c>
      <c r="E86" s="67">
        <f>Бюджет!E210</f>
        <v>1</v>
      </c>
      <c r="F86" s="66"/>
      <c r="G86" s="66"/>
      <c r="H86" s="66">
        <f>Бюджет!H210</f>
        <v>60</v>
      </c>
      <c r="I86" s="66">
        <f>Бюджет!I210</f>
        <v>60</v>
      </c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>
        <f t="shared" si="11"/>
        <v>60</v>
      </c>
      <c r="AK86" s="70"/>
    </row>
    <row r="87" spans="1:37" s="110" customFormat="1" ht="15" x14ac:dyDescent="0.2">
      <c r="A87" s="60" t="str">
        <f>Бюджет!A212</f>
        <v>Б1.О.15.01</v>
      </c>
      <c r="B87" s="60" t="str">
        <f>Бюджет!B212</f>
        <v>Алгоритмы и основы программирования</v>
      </c>
      <c r="C87" s="67" t="str">
        <f>Бюджет!C212</f>
        <v>1\1</v>
      </c>
      <c r="D87" s="67">
        <f>Бюджет!D212</f>
        <v>32</v>
      </c>
      <c r="E87" s="67">
        <f>Бюджет!E212</f>
        <v>1</v>
      </c>
      <c r="F87" s="66">
        <f>Бюджет!F212</f>
        <v>16</v>
      </c>
      <c r="G87" s="66">
        <f>Бюджет!G212</f>
        <v>16</v>
      </c>
      <c r="H87" s="66">
        <f>Бюджет!H212</f>
        <v>0</v>
      </c>
      <c r="I87" s="66">
        <f>Бюджет!I212</f>
        <v>0</v>
      </c>
      <c r="J87" s="66">
        <f>Бюджет!J212</f>
        <v>136</v>
      </c>
      <c r="K87" s="66">
        <f>Бюджет!K212</f>
        <v>9.6</v>
      </c>
      <c r="L87" s="66">
        <f>Бюджет!L212</f>
        <v>0</v>
      </c>
      <c r="M87" s="66">
        <f>Бюджет!M212</f>
        <v>0</v>
      </c>
      <c r="N87" s="66">
        <f>Бюджет!N212</f>
        <v>0</v>
      </c>
      <c r="O87" s="66">
        <f>Бюджет!O212</f>
        <v>0</v>
      </c>
      <c r="P87" s="66">
        <f>Бюджет!P212</f>
        <v>0</v>
      </c>
      <c r="Q87" s="66">
        <f>Бюджет!Q212</f>
        <v>0.8</v>
      </c>
      <c r="R87" s="66">
        <f>Бюджет!R212</f>
        <v>0</v>
      </c>
      <c r="S87" s="66">
        <f>Бюджет!S212</f>
        <v>0</v>
      </c>
      <c r="T87" s="66">
        <f>Бюджет!T212</f>
        <v>0</v>
      </c>
      <c r="U87" s="66">
        <f>Бюджет!U212</f>
        <v>0</v>
      </c>
      <c r="V87" s="66">
        <f>Бюджет!V212</f>
        <v>0</v>
      </c>
      <c r="W87" s="66">
        <f>Бюджет!W212</f>
        <v>0</v>
      </c>
      <c r="X87" s="66">
        <f>Бюджет!X212</f>
        <v>0</v>
      </c>
      <c r="Y87" s="66">
        <f>Бюджет!Y212</f>
        <v>0</v>
      </c>
      <c r="Z87" s="66">
        <f>Бюджет!Z212</f>
        <v>0</v>
      </c>
      <c r="AA87" s="66">
        <f>Бюджет!AA212</f>
        <v>0</v>
      </c>
      <c r="AB87" s="66">
        <f>Бюджет!AB212</f>
        <v>0</v>
      </c>
      <c r="AC87" s="66">
        <f>Бюджет!AC212</f>
        <v>0</v>
      </c>
      <c r="AD87" s="66">
        <f>Бюджет!AD212</f>
        <v>0</v>
      </c>
      <c r="AE87" s="66">
        <f>Бюджет!AE212</f>
        <v>0</v>
      </c>
      <c r="AF87" s="66">
        <f>Бюджет!AF212</f>
        <v>0</v>
      </c>
      <c r="AG87" s="66">
        <f>Бюджет!AG212</f>
        <v>0</v>
      </c>
      <c r="AH87" s="66">
        <f>Бюджет!AH212</f>
        <v>0</v>
      </c>
      <c r="AI87" s="66">
        <f>Бюджет!AI212</f>
        <v>0</v>
      </c>
      <c r="AJ87" s="66">
        <f t="shared" si="11"/>
        <v>162.4</v>
      </c>
      <c r="AK87" s="197"/>
    </row>
    <row r="88" spans="1:37" s="110" customFormat="1" ht="15" x14ac:dyDescent="0.2">
      <c r="A88" s="60" t="str">
        <f>Бюджет!A213</f>
        <v>Б1.О.15.02</v>
      </c>
      <c r="B88" s="60" t="str">
        <f>Бюджет!B213</f>
        <v>Программирование (поток ФИЗ и НЭ)</v>
      </c>
      <c r="C88" s="67" t="str">
        <f>Бюджет!C213</f>
        <v>1\2</v>
      </c>
      <c r="D88" s="67">
        <f>Бюджет!D213</f>
        <v>32</v>
      </c>
      <c r="E88" s="67">
        <f>Бюджет!E213</f>
        <v>1</v>
      </c>
      <c r="F88" s="66">
        <f>Бюджет!F213</f>
        <v>20</v>
      </c>
      <c r="G88" s="66">
        <f>Бюджет!G213</f>
        <v>0</v>
      </c>
      <c r="H88" s="66">
        <f>Бюджет!H213</f>
        <v>0</v>
      </c>
      <c r="I88" s="66">
        <f>Бюджет!I213</f>
        <v>0</v>
      </c>
      <c r="J88" s="66">
        <f>Бюджет!J213</f>
        <v>120</v>
      </c>
      <c r="K88" s="66">
        <f>Бюджет!K213</f>
        <v>9.6</v>
      </c>
      <c r="L88" s="66">
        <f>Бюджет!L213</f>
        <v>0</v>
      </c>
      <c r="M88" s="66">
        <f>Бюджет!M213</f>
        <v>0</v>
      </c>
      <c r="N88" s="66">
        <f>Бюджет!N213</f>
        <v>0</v>
      </c>
      <c r="O88" s="66">
        <f>Бюджет!O213</f>
        <v>0</v>
      </c>
      <c r="P88" s="66">
        <f>Бюджет!P213</f>
        <v>0</v>
      </c>
      <c r="Q88" s="66">
        <f>Бюджет!Q213</f>
        <v>0</v>
      </c>
      <c r="R88" s="66">
        <f>Бюджет!R213</f>
        <v>0</v>
      </c>
      <c r="S88" s="66">
        <f>Бюджет!S213</f>
        <v>0</v>
      </c>
      <c r="T88" s="66">
        <f>Бюджет!T213</f>
        <v>0</v>
      </c>
      <c r="U88" s="66">
        <f>Бюджет!U213</f>
        <v>0</v>
      </c>
      <c r="V88" s="66">
        <f>Бюджет!V213</f>
        <v>0</v>
      </c>
      <c r="W88" s="66">
        <f>Бюджет!W213</f>
        <v>0</v>
      </c>
      <c r="X88" s="66">
        <f>Бюджет!X213</f>
        <v>0</v>
      </c>
      <c r="Y88" s="66">
        <f>Бюджет!Y213</f>
        <v>0</v>
      </c>
      <c r="Z88" s="66">
        <f>Бюджет!Z213</f>
        <v>0</v>
      </c>
      <c r="AA88" s="66">
        <f>Бюджет!AA213</f>
        <v>0</v>
      </c>
      <c r="AB88" s="66">
        <f>Бюджет!AB213</f>
        <v>0</v>
      </c>
      <c r="AC88" s="66">
        <f>Бюджет!AC213</f>
        <v>0</v>
      </c>
      <c r="AD88" s="66">
        <f>Бюджет!AD213</f>
        <v>0</v>
      </c>
      <c r="AE88" s="66">
        <f>Бюджет!AE213</f>
        <v>0</v>
      </c>
      <c r="AF88" s="66">
        <f>Бюджет!AF213</f>
        <v>0</v>
      </c>
      <c r="AG88" s="66">
        <f>Бюджет!AG213</f>
        <v>0</v>
      </c>
      <c r="AH88" s="66">
        <f>Бюджет!AH213</f>
        <v>0</v>
      </c>
      <c r="AI88" s="66">
        <f>Бюджет!AI213</f>
        <v>0</v>
      </c>
      <c r="AJ88" s="66">
        <f t="shared" si="11"/>
        <v>129.6</v>
      </c>
      <c r="AK88" s="197"/>
    </row>
    <row r="89" spans="1:37" s="110" customFormat="1" ht="30" x14ac:dyDescent="0.2">
      <c r="A89" s="60" t="str">
        <f>Бюджет!A223</f>
        <v>Б1.О.15.03</v>
      </c>
      <c r="B89" s="60" t="str">
        <f>Бюджет!B223</f>
        <v>Численные методы и математическое моделирование (поток ФИЗ, НЭ)</v>
      </c>
      <c r="C89" s="67" t="str">
        <f>Бюджет!C223</f>
        <v>2\3</v>
      </c>
      <c r="D89" s="67">
        <f>Бюджет!D223</f>
        <v>23</v>
      </c>
      <c r="E89" s="67">
        <f>Бюджет!E223</f>
        <v>1</v>
      </c>
      <c r="F89" s="66">
        <f>Бюджет!F223</f>
        <v>16</v>
      </c>
      <c r="G89" s="66">
        <f>Бюджет!G223</f>
        <v>0</v>
      </c>
      <c r="H89" s="66">
        <f>Бюджет!H223</f>
        <v>0</v>
      </c>
      <c r="I89" s="66">
        <f>Бюджет!I223</f>
        <v>0</v>
      </c>
      <c r="J89" s="66">
        <f>Бюджет!J223</f>
        <v>100</v>
      </c>
      <c r="K89" s="66">
        <f>Бюджет!K223</f>
        <v>6.8999999999999995</v>
      </c>
      <c r="L89" s="66">
        <f>Бюджет!L223</f>
        <v>0</v>
      </c>
      <c r="M89" s="66">
        <f>Бюджет!M223</f>
        <v>0</v>
      </c>
      <c r="N89" s="66">
        <f>Бюджет!N223</f>
        <v>0</v>
      </c>
      <c r="O89" s="66">
        <f>Бюджет!O223</f>
        <v>0</v>
      </c>
      <c r="P89" s="66">
        <f>Бюджет!P223</f>
        <v>0</v>
      </c>
      <c r="Q89" s="66">
        <f>Бюджет!Q223</f>
        <v>0</v>
      </c>
      <c r="R89" s="66">
        <f>Бюджет!R223</f>
        <v>0</v>
      </c>
      <c r="S89" s="66">
        <f>Бюджет!S223</f>
        <v>0</v>
      </c>
      <c r="T89" s="66">
        <f>Бюджет!T223</f>
        <v>0</v>
      </c>
      <c r="U89" s="66">
        <f>Бюджет!U223</f>
        <v>0</v>
      </c>
      <c r="V89" s="66">
        <f>Бюджет!V223</f>
        <v>0</v>
      </c>
      <c r="W89" s="66">
        <f>Бюджет!W223</f>
        <v>0</v>
      </c>
      <c r="X89" s="66">
        <f>Бюджет!X223</f>
        <v>0</v>
      </c>
      <c r="Y89" s="66">
        <f>Бюджет!Y223</f>
        <v>0</v>
      </c>
      <c r="Z89" s="66">
        <f>Бюджет!Z223</f>
        <v>0</v>
      </c>
      <c r="AA89" s="66">
        <f>Бюджет!AA223</f>
        <v>0</v>
      </c>
      <c r="AB89" s="66">
        <f>Бюджет!AB223</f>
        <v>0</v>
      </c>
      <c r="AC89" s="66">
        <f>Бюджет!AC223</f>
        <v>0</v>
      </c>
      <c r="AD89" s="66">
        <f>Бюджет!AD223</f>
        <v>0</v>
      </c>
      <c r="AE89" s="66">
        <f>Бюджет!AE223</f>
        <v>0</v>
      </c>
      <c r="AF89" s="66">
        <f>Бюджет!AF223</f>
        <v>0</v>
      </c>
      <c r="AG89" s="66">
        <f>Бюджет!AG223</f>
        <v>0</v>
      </c>
      <c r="AH89" s="66">
        <f>Бюджет!AH223</f>
        <v>0</v>
      </c>
      <c r="AI89" s="66">
        <f>Бюджет!AI223</f>
        <v>0</v>
      </c>
      <c r="AJ89" s="66">
        <f t="shared" si="11"/>
        <v>106.9</v>
      </c>
      <c r="AK89" s="197"/>
    </row>
    <row r="90" spans="1:37" s="110" customFormat="1" ht="30" x14ac:dyDescent="0.2">
      <c r="A90" s="60" t="str">
        <f>Бюджет!A225</f>
        <v>Б1.О.15.05</v>
      </c>
      <c r="B90" s="60" t="str">
        <f>Бюджет!B225</f>
        <v>Вычислительная физика (практикум на ЭВМ) (поток ФИЗ, НЭ)</v>
      </c>
      <c r="C90" s="67" t="str">
        <f>Бюджет!C225</f>
        <v>2\4</v>
      </c>
      <c r="D90" s="67">
        <f>Бюджет!D225</f>
        <v>23</v>
      </c>
      <c r="E90" s="67">
        <f>Бюджет!E225</f>
        <v>1</v>
      </c>
      <c r="F90" s="66">
        <f>Бюджет!F225</f>
        <v>20</v>
      </c>
      <c r="G90" s="66">
        <f>Бюджет!G225</f>
        <v>0</v>
      </c>
      <c r="H90" s="66">
        <f>Бюджет!H225</f>
        <v>0</v>
      </c>
      <c r="I90" s="66">
        <f>Бюджет!I225</f>
        <v>0</v>
      </c>
      <c r="J90" s="66">
        <f>Бюджет!J225</f>
        <v>120</v>
      </c>
      <c r="K90" s="66">
        <f>Бюджет!K225</f>
        <v>0</v>
      </c>
      <c r="L90" s="66">
        <f>Бюджет!L225</f>
        <v>0</v>
      </c>
      <c r="M90" s="66">
        <f>Бюджет!M225</f>
        <v>9.2000000000000011</v>
      </c>
      <c r="N90" s="66">
        <f>Бюджет!N225</f>
        <v>0</v>
      </c>
      <c r="O90" s="66">
        <f>Бюджет!O225</f>
        <v>0</v>
      </c>
      <c r="P90" s="66">
        <f>Бюджет!P225</f>
        <v>0</v>
      </c>
      <c r="Q90" s="66">
        <f>Бюджет!Q225</f>
        <v>0</v>
      </c>
      <c r="R90" s="66">
        <f>Бюджет!R225</f>
        <v>0</v>
      </c>
      <c r="S90" s="66">
        <f>Бюджет!S225</f>
        <v>0</v>
      </c>
      <c r="T90" s="66">
        <f>Бюджет!T225</f>
        <v>0</v>
      </c>
      <c r="U90" s="66">
        <f>Бюджет!U225</f>
        <v>0</v>
      </c>
      <c r="V90" s="66">
        <f>Бюджет!V225</f>
        <v>0</v>
      </c>
      <c r="W90" s="66">
        <f>Бюджет!W225</f>
        <v>0</v>
      </c>
      <c r="X90" s="66">
        <f>Бюджет!X225</f>
        <v>0</v>
      </c>
      <c r="Y90" s="66">
        <f>Бюджет!Y225</f>
        <v>0</v>
      </c>
      <c r="Z90" s="66">
        <f>Бюджет!Z225</f>
        <v>0</v>
      </c>
      <c r="AA90" s="66">
        <f>Бюджет!AA225</f>
        <v>0</v>
      </c>
      <c r="AB90" s="66">
        <f>Бюджет!AB225</f>
        <v>0</v>
      </c>
      <c r="AC90" s="66">
        <f>Бюджет!AC225</f>
        <v>0</v>
      </c>
      <c r="AD90" s="66">
        <f>Бюджет!AD225</f>
        <v>0</v>
      </c>
      <c r="AE90" s="66">
        <f>Бюджет!AE225</f>
        <v>0</v>
      </c>
      <c r="AF90" s="66">
        <f>Бюджет!AF225</f>
        <v>0</v>
      </c>
      <c r="AG90" s="66">
        <f>Бюджет!AG225</f>
        <v>0</v>
      </c>
      <c r="AH90" s="66">
        <f>Бюджет!AH225</f>
        <v>0</v>
      </c>
      <c r="AI90" s="66">
        <f>Бюджет!AI225</f>
        <v>0</v>
      </c>
      <c r="AJ90" s="66">
        <f t="shared" si="11"/>
        <v>129.19999999999999</v>
      </c>
      <c r="AK90" s="197"/>
    </row>
    <row r="91" spans="1:37" s="110" customFormat="1" ht="15" x14ac:dyDescent="0.2">
      <c r="A91" s="60" t="str">
        <f>Бюджет!A230</f>
        <v>Б1.О.19</v>
      </c>
      <c r="B91" s="60" t="str">
        <f>Бюджет!B230</f>
        <v>Практикум по твердотельной электронике</v>
      </c>
      <c r="C91" s="67" t="str">
        <f>Бюджет!C230</f>
        <v>3\6</v>
      </c>
      <c r="D91" s="67">
        <f>Бюджет!D230</f>
        <v>23</v>
      </c>
      <c r="E91" s="67">
        <f>Бюджет!E230</f>
        <v>1</v>
      </c>
      <c r="F91" s="66">
        <f>Бюджет!F230</f>
        <v>0</v>
      </c>
      <c r="G91" s="66">
        <f>Бюджет!G230</f>
        <v>0</v>
      </c>
      <c r="H91" s="66">
        <f>Бюджет!H230</f>
        <v>0</v>
      </c>
      <c r="I91" s="66">
        <f>Бюджет!I230</f>
        <v>0</v>
      </c>
      <c r="J91" s="66">
        <f>Бюджет!J230</f>
        <v>76</v>
      </c>
      <c r="K91" s="66">
        <f>Бюджет!K230</f>
        <v>6.8999999999999995</v>
      </c>
      <c r="L91" s="66">
        <f>Бюджет!L230</f>
        <v>0</v>
      </c>
      <c r="M91" s="66">
        <f>Бюджет!M230</f>
        <v>0</v>
      </c>
      <c r="N91" s="66">
        <f>Бюджет!N230</f>
        <v>0</v>
      </c>
      <c r="O91" s="66">
        <f>Бюджет!O230</f>
        <v>0</v>
      </c>
      <c r="P91" s="66">
        <f>Бюджет!P230</f>
        <v>0</v>
      </c>
      <c r="Q91" s="66">
        <f>Бюджет!Q230</f>
        <v>0</v>
      </c>
      <c r="R91" s="66">
        <f>Бюджет!R230</f>
        <v>0</v>
      </c>
      <c r="S91" s="66">
        <f>Бюджет!S230</f>
        <v>0</v>
      </c>
      <c r="T91" s="66">
        <f>Бюджет!T230</f>
        <v>0</v>
      </c>
      <c r="U91" s="66">
        <f>Бюджет!U230</f>
        <v>0</v>
      </c>
      <c r="V91" s="66">
        <f>Бюджет!V230</f>
        <v>0</v>
      </c>
      <c r="W91" s="66">
        <f>Бюджет!W230</f>
        <v>0</v>
      </c>
      <c r="X91" s="66">
        <f>Бюджет!X230</f>
        <v>0</v>
      </c>
      <c r="Y91" s="66">
        <f>Бюджет!Y230</f>
        <v>0</v>
      </c>
      <c r="Z91" s="66">
        <f>Бюджет!Z230</f>
        <v>0</v>
      </c>
      <c r="AA91" s="66">
        <f>Бюджет!AA230</f>
        <v>0</v>
      </c>
      <c r="AB91" s="66">
        <f>Бюджет!AB230</f>
        <v>0</v>
      </c>
      <c r="AC91" s="66">
        <f>Бюджет!AC230</f>
        <v>0</v>
      </c>
      <c r="AD91" s="66">
        <f>Бюджет!AD230</f>
        <v>0</v>
      </c>
      <c r="AE91" s="66">
        <f>Бюджет!AE230</f>
        <v>0</v>
      </c>
      <c r="AF91" s="66">
        <f>Бюджет!AF230</f>
        <v>0</v>
      </c>
      <c r="AG91" s="66">
        <f>Бюджет!AG230</f>
        <v>0</v>
      </c>
      <c r="AH91" s="66">
        <f>Бюджет!AH230</f>
        <v>0</v>
      </c>
      <c r="AI91" s="66">
        <f>Бюджет!AI230</f>
        <v>0</v>
      </c>
      <c r="AJ91" s="66">
        <f t="shared" si="11"/>
        <v>82.9</v>
      </c>
      <c r="AK91" s="197"/>
    </row>
    <row r="92" spans="1:37" s="110" customFormat="1" ht="15" x14ac:dyDescent="0.2">
      <c r="A92" s="60" t="str">
        <f>Бюджет!A241</f>
        <v>Б1.О.15.06</v>
      </c>
      <c r="B92" s="60" t="str">
        <f>Бюджет!B241</f>
        <v>Информационные технологии</v>
      </c>
      <c r="C92" s="67" t="str">
        <f>Бюджет!C241</f>
        <v>4\7</v>
      </c>
      <c r="D92" s="67">
        <f>Бюджет!D241</f>
        <v>23</v>
      </c>
      <c r="E92" s="67">
        <f>Бюджет!E241</f>
        <v>1</v>
      </c>
      <c r="F92" s="66">
        <f>Бюджет!F241</f>
        <v>34</v>
      </c>
      <c r="G92" s="66">
        <f>Бюджет!G241</f>
        <v>34</v>
      </c>
      <c r="H92" s="66">
        <f>Бюджет!H241</f>
        <v>0</v>
      </c>
      <c r="I92" s="66">
        <f>Бюджет!I241</f>
        <v>0</v>
      </c>
      <c r="J92" s="66">
        <f>Бюджет!J241</f>
        <v>68</v>
      </c>
      <c r="K92" s="66">
        <f>Бюджет!K241</f>
        <v>6.8999999999999995</v>
      </c>
      <c r="L92" s="66">
        <f>Бюджет!L241</f>
        <v>0</v>
      </c>
      <c r="M92" s="66">
        <f>Бюджет!M241</f>
        <v>0</v>
      </c>
      <c r="N92" s="66">
        <f>Бюджет!N241</f>
        <v>0</v>
      </c>
      <c r="O92" s="66">
        <f>Бюджет!O241</f>
        <v>0</v>
      </c>
      <c r="P92" s="66">
        <f>Бюджет!P241</f>
        <v>0</v>
      </c>
      <c r="Q92" s="66">
        <f>Бюджет!Q241</f>
        <v>1.7000000000000002</v>
      </c>
      <c r="R92" s="66">
        <f>Бюджет!R241</f>
        <v>0</v>
      </c>
      <c r="S92" s="66">
        <f>Бюджет!S241</f>
        <v>0</v>
      </c>
      <c r="T92" s="66">
        <f>Бюджет!T241</f>
        <v>0</v>
      </c>
      <c r="U92" s="66">
        <f>Бюджет!U241</f>
        <v>0</v>
      </c>
      <c r="V92" s="66">
        <f>Бюджет!V241</f>
        <v>0</v>
      </c>
      <c r="W92" s="66">
        <f>Бюджет!W241</f>
        <v>0</v>
      </c>
      <c r="X92" s="66">
        <f>Бюджет!X241</f>
        <v>0</v>
      </c>
      <c r="Y92" s="66">
        <f>Бюджет!Y241</f>
        <v>0</v>
      </c>
      <c r="Z92" s="66">
        <f>Бюджет!Z241</f>
        <v>0</v>
      </c>
      <c r="AA92" s="66">
        <f>Бюджет!AA241</f>
        <v>0</v>
      </c>
      <c r="AB92" s="66">
        <f>Бюджет!AB241</f>
        <v>0</v>
      </c>
      <c r="AC92" s="66">
        <f>Бюджет!AC241</f>
        <v>0</v>
      </c>
      <c r="AD92" s="66">
        <f>Бюджет!AD241</f>
        <v>0</v>
      </c>
      <c r="AE92" s="66">
        <f>Бюджет!AE241</f>
        <v>0</v>
      </c>
      <c r="AF92" s="66">
        <f>Бюджет!AF241</f>
        <v>0</v>
      </c>
      <c r="AG92" s="66">
        <f>Бюджет!AG241</f>
        <v>0</v>
      </c>
      <c r="AH92" s="66">
        <f>Бюджет!AH241</f>
        <v>0</v>
      </c>
      <c r="AI92" s="66">
        <f>Бюджет!AI241</f>
        <v>0</v>
      </c>
      <c r="AJ92" s="66">
        <f t="shared" si="11"/>
        <v>110.60000000000001</v>
      </c>
      <c r="AK92" s="197"/>
    </row>
    <row r="93" spans="1:37" s="110" customFormat="1" ht="30" x14ac:dyDescent="0.2">
      <c r="A93" s="60" t="str">
        <f>Бюджет!A244</f>
        <v>Б1.О.26.03</v>
      </c>
      <c r="B93" s="60" t="str">
        <f>Бюджет!B244</f>
        <v>Методы обработки поверхности твердого тела</v>
      </c>
      <c r="C93" s="67" t="str">
        <f>Бюджет!C244</f>
        <v>4\7</v>
      </c>
      <c r="D93" s="67">
        <f>Бюджет!D244</f>
        <v>23</v>
      </c>
      <c r="E93" s="67">
        <f>Бюджет!E244</f>
        <v>1</v>
      </c>
      <c r="F93" s="66">
        <f>Бюджет!F244</f>
        <v>0</v>
      </c>
      <c r="G93" s="66">
        <f>Бюджет!G244</f>
        <v>0</v>
      </c>
      <c r="H93" s="66">
        <f>Бюджет!H244</f>
        <v>0</v>
      </c>
      <c r="I93" s="66">
        <f>Бюджет!I244</f>
        <v>0</v>
      </c>
      <c r="J93" s="66">
        <f>Бюджет!J244</f>
        <v>100</v>
      </c>
      <c r="K93" s="66">
        <f>Бюджет!K244</f>
        <v>6.8999999999999995</v>
      </c>
      <c r="L93" s="66">
        <f>Бюджет!L244</f>
        <v>0</v>
      </c>
      <c r="M93" s="66">
        <f>Бюджет!M244</f>
        <v>0</v>
      </c>
      <c r="N93" s="66">
        <f>Бюджет!N244</f>
        <v>0</v>
      </c>
      <c r="O93" s="66">
        <f>Бюджет!O244</f>
        <v>0</v>
      </c>
      <c r="P93" s="66">
        <f>Бюджет!P244</f>
        <v>0</v>
      </c>
      <c r="Q93" s="66">
        <f>Бюджет!Q244</f>
        <v>0</v>
      </c>
      <c r="R93" s="66">
        <f>Бюджет!R244</f>
        <v>0</v>
      </c>
      <c r="S93" s="66">
        <f>Бюджет!S244</f>
        <v>0</v>
      </c>
      <c r="T93" s="66">
        <f>Бюджет!T244</f>
        <v>0</v>
      </c>
      <c r="U93" s="66">
        <f>Бюджет!U244</f>
        <v>0</v>
      </c>
      <c r="V93" s="66">
        <f>Бюджет!V244</f>
        <v>0</v>
      </c>
      <c r="W93" s="66">
        <f>Бюджет!W244</f>
        <v>0</v>
      </c>
      <c r="X93" s="66">
        <f>Бюджет!X244</f>
        <v>0</v>
      </c>
      <c r="Y93" s="66">
        <f>Бюджет!Y244</f>
        <v>0</v>
      </c>
      <c r="Z93" s="66">
        <f>Бюджет!Z244</f>
        <v>0</v>
      </c>
      <c r="AA93" s="66">
        <f>Бюджет!AA244</f>
        <v>0</v>
      </c>
      <c r="AB93" s="66">
        <f>Бюджет!AB244</f>
        <v>0</v>
      </c>
      <c r="AC93" s="66">
        <f>Бюджет!AC244</f>
        <v>0</v>
      </c>
      <c r="AD93" s="66">
        <f>Бюджет!AD244</f>
        <v>0</v>
      </c>
      <c r="AE93" s="66">
        <f>Бюджет!AE244</f>
        <v>0</v>
      </c>
      <c r="AF93" s="66">
        <f>Бюджет!AF244</f>
        <v>0</v>
      </c>
      <c r="AG93" s="66">
        <f>Бюджет!AG244</f>
        <v>0</v>
      </c>
      <c r="AH93" s="66">
        <f>Бюджет!AH244</f>
        <v>0</v>
      </c>
      <c r="AI93" s="66">
        <f>Бюджет!AI244</f>
        <v>0</v>
      </c>
      <c r="AJ93" s="66">
        <f t="shared" si="11"/>
        <v>106.9</v>
      </c>
      <c r="AK93" s="70"/>
    </row>
    <row r="94" spans="1:37" s="110" customFormat="1" ht="30" x14ac:dyDescent="0.2">
      <c r="A94" s="60" t="str">
        <f>Бюджет!A245</f>
        <v>Б1.О.29</v>
      </c>
      <c r="B94" s="60" t="str">
        <f>Бюджет!B245</f>
        <v>Технологии искусственного интелекта (поток РФ, ФИЗ, НЭ, ИБ)</v>
      </c>
      <c r="C94" s="67" t="str">
        <f>Бюджет!C245</f>
        <v>4\8</v>
      </c>
      <c r="D94" s="67">
        <f>Бюджет!D245</f>
        <v>23</v>
      </c>
      <c r="E94" s="67">
        <f>Бюджет!E245</f>
        <v>1</v>
      </c>
      <c r="F94" s="66">
        <f>Бюджет!F245</f>
        <v>22</v>
      </c>
      <c r="G94" s="66">
        <f>Бюджет!G245</f>
        <v>0</v>
      </c>
      <c r="H94" s="66">
        <f>Бюджет!H245</f>
        <v>0</v>
      </c>
      <c r="I94" s="66">
        <f>Бюджет!I245</f>
        <v>0</v>
      </c>
      <c r="J94" s="66">
        <f>Бюджет!J245</f>
        <v>44</v>
      </c>
      <c r="K94" s="66">
        <f>Бюджет!K245</f>
        <v>6.8999999999999995</v>
      </c>
      <c r="L94" s="66">
        <f>Бюджет!L245</f>
        <v>0</v>
      </c>
      <c r="M94" s="66">
        <f>Бюджет!M245</f>
        <v>0</v>
      </c>
      <c r="N94" s="66">
        <f>Бюджет!N245</f>
        <v>0</v>
      </c>
      <c r="O94" s="66">
        <f>Бюджет!O245</f>
        <v>0</v>
      </c>
      <c r="P94" s="66">
        <f>Бюджет!P245</f>
        <v>0</v>
      </c>
      <c r="Q94" s="66">
        <f>Бюджет!Q245</f>
        <v>0</v>
      </c>
      <c r="R94" s="66">
        <f>Бюджет!R245</f>
        <v>0</v>
      </c>
      <c r="S94" s="66">
        <f>Бюджет!S245</f>
        <v>0</v>
      </c>
      <c r="T94" s="66">
        <f>Бюджет!T245</f>
        <v>0</v>
      </c>
      <c r="U94" s="66">
        <f>Бюджет!U245</f>
        <v>0</v>
      </c>
      <c r="V94" s="66">
        <f>Бюджет!V245</f>
        <v>0</v>
      </c>
      <c r="W94" s="66">
        <f>Бюджет!W245</f>
        <v>0</v>
      </c>
      <c r="X94" s="66">
        <f>Бюджет!X245</f>
        <v>0</v>
      </c>
      <c r="Y94" s="66">
        <f>Бюджет!Y245</f>
        <v>0</v>
      </c>
      <c r="Z94" s="66">
        <f>Бюджет!Z245</f>
        <v>0</v>
      </c>
      <c r="AA94" s="66">
        <f>Бюджет!AA245</f>
        <v>0</v>
      </c>
      <c r="AB94" s="66">
        <f>Бюджет!AB245</f>
        <v>0</v>
      </c>
      <c r="AC94" s="66">
        <f>Бюджет!AC245</f>
        <v>0</v>
      </c>
      <c r="AD94" s="66">
        <f>Бюджет!AD245</f>
        <v>0</v>
      </c>
      <c r="AE94" s="66">
        <f>Бюджет!AE245</f>
        <v>0</v>
      </c>
      <c r="AF94" s="66">
        <f>Бюджет!AF245</f>
        <v>0</v>
      </c>
      <c r="AG94" s="66">
        <f>Бюджет!AG245</f>
        <v>0</v>
      </c>
      <c r="AH94" s="66">
        <f>Бюджет!AH245</f>
        <v>0</v>
      </c>
      <c r="AI94" s="66">
        <f>Бюджет!AI245</f>
        <v>0</v>
      </c>
      <c r="AJ94" s="66">
        <f t="shared" si="11"/>
        <v>50.9</v>
      </c>
      <c r="AK94" s="70"/>
    </row>
    <row r="95" spans="1:37" s="110" customFormat="1" ht="30" x14ac:dyDescent="0.2">
      <c r="A95" s="60" t="str">
        <f>Бюджет!A246</f>
        <v>Б1.В.02</v>
      </c>
      <c r="B95" s="60" t="str">
        <f>Бюджет!B246</f>
        <v>Локальные вычислительные сети и информационная безопасность</v>
      </c>
      <c r="C95" s="67" t="str">
        <f>Бюджет!C246</f>
        <v>4\7</v>
      </c>
      <c r="D95" s="67">
        <f>Бюджет!D246</f>
        <v>23</v>
      </c>
      <c r="E95" s="67">
        <f>Бюджет!E246</f>
        <v>1</v>
      </c>
      <c r="F95" s="66">
        <f>Бюджет!F246</f>
        <v>34</v>
      </c>
      <c r="G95" s="66">
        <f>Бюджет!G246</f>
        <v>34</v>
      </c>
      <c r="H95" s="66">
        <f>Бюджет!H246</f>
        <v>34</v>
      </c>
      <c r="I95" s="66">
        <f>Бюджет!I246</f>
        <v>34</v>
      </c>
      <c r="J95" s="66">
        <f>Бюджет!J246</f>
        <v>100</v>
      </c>
      <c r="K95" s="66">
        <f>Бюджет!K246</f>
        <v>0</v>
      </c>
      <c r="L95" s="66">
        <f>Бюджет!L246</f>
        <v>0</v>
      </c>
      <c r="M95" s="66">
        <f>Бюджет!M246</f>
        <v>9.2000000000000011</v>
      </c>
      <c r="N95" s="66">
        <f>Бюджет!N246</f>
        <v>0</v>
      </c>
      <c r="O95" s="66">
        <f>Бюджет!O246</f>
        <v>0</v>
      </c>
      <c r="P95" s="66">
        <f>Бюджет!P246</f>
        <v>0</v>
      </c>
      <c r="Q95" s="66">
        <f>Бюджет!Q246</f>
        <v>2.7</v>
      </c>
      <c r="R95" s="66">
        <f>Бюджет!R246</f>
        <v>0</v>
      </c>
      <c r="S95" s="66">
        <f>Бюджет!S246</f>
        <v>0</v>
      </c>
      <c r="T95" s="66">
        <f>Бюджет!T246</f>
        <v>0</v>
      </c>
      <c r="U95" s="66">
        <f>Бюджет!U246</f>
        <v>0</v>
      </c>
      <c r="V95" s="66">
        <f>Бюджет!V246</f>
        <v>0</v>
      </c>
      <c r="W95" s="66">
        <f>Бюджет!W246</f>
        <v>0</v>
      </c>
      <c r="X95" s="66">
        <f>Бюджет!X246</f>
        <v>0</v>
      </c>
      <c r="Y95" s="66">
        <f>Бюджет!Y246</f>
        <v>0</v>
      </c>
      <c r="Z95" s="66">
        <f>Бюджет!Z246</f>
        <v>0</v>
      </c>
      <c r="AA95" s="66">
        <f>Бюджет!AA246</f>
        <v>0</v>
      </c>
      <c r="AB95" s="66">
        <f>Бюджет!AB246</f>
        <v>0</v>
      </c>
      <c r="AC95" s="66">
        <f>Бюджет!AC246</f>
        <v>0</v>
      </c>
      <c r="AD95" s="66">
        <f>Бюджет!AD246</f>
        <v>0</v>
      </c>
      <c r="AE95" s="66">
        <f>Бюджет!AE246</f>
        <v>0</v>
      </c>
      <c r="AF95" s="66">
        <f>Бюджет!AF246</f>
        <v>0</v>
      </c>
      <c r="AG95" s="66">
        <f>Бюджет!AG246</f>
        <v>0</v>
      </c>
      <c r="AH95" s="66">
        <f>Бюджет!AH246</f>
        <v>0</v>
      </c>
      <c r="AI95" s="66">
        <f>Бюджет!AI246</f>
        <v>0</v>
      </c>
      <c r="AJ95" s="66">
        <f t="shared" si="11"/>
        <v>179.89999999999998</v>
      </c>
      <c r="AK95" s="70"/>
    </row>
    <row r="96" spans="1:37" s="110" customFormat="1" ht="15" x14ac:dyDescent="0.2">
      <c r="A96" s="60" t="str">
        <f>Бюджет!A251</f>
        <v>Б1.В.ДВ.01.01</v>
      </c>
      <c r="B96" s="60" t="str">
        <f>Бюджет!B251</f>
        <v>Квантовая и оптическая электроника</v>
      </c>
      <c r="C96" s="67" t="str">
        <f>Бюджет!C251</f>
        <v>4\7</v>
      </c>
      <c r="D96" s="67">
        <f>Бюджет!D251</f>
        <v>23</v>
      </c>
      <c r="E96" s="67">
        <f>Бюджет!E251</f>
        <v>1</v>
      </c>
      <c r="F96" s="66"/>
      <c r="G96" s="66"/>
      <c r="H96" s="66"/>
      <c r="I96" s="66">
        <f>Бюджет!I251</f>
        <v>0</v>
      </c>
      <c r="J96" s="66">
        <f>Бюджет!J251</f>
        <v>68</v>
      </c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>
        <f t="shared" si="11"/>
        <v>68</v>
      </c>
      <c r="AK96" s="70"/>
    </row>
    <row r="97" spans="1:37" s="110" customFormat="1" ht="30" x14ac:dyDescent="0.2">
      <c r="A97" s="90" t="str">
        <f>Бюджет!A253</f>
        <v>Б2.В.01(П)</v>
      </c>
      <c r="B97" s="60" t="str">
        <f>Бюджет!B253</f>
        <v>Технологическая (проектно-технологическая) практика 2 (4 нед.)</v>
      </c>
      <c r="C97" s="74" t="str">
        <f>Бюджет!C253</f>
        <v>4\7</v>
      </c>
      <c r="D97" s="74">
        <v>10</v>
      </c>
      <c r="E97" s="74"/>
      <c r="F97" s="70">
        <f>Бюджет!F253</f>
        <v>0</v>
      </c>
      <c r="G97" s="70">
        <f>Бюджет!G253</f>
        <v>0</v>
      </c>
      <c r="H97" s="70">
        <f>Бюджет!H253</f>
        <v>0</v>
      </c>
      <c r="I97" s="70">
        <f>Бюджет!I253</f>
        <v>0</v>
      </c>
      <c r="J97" s="70">
        <f>Бюджет!J253</f>
        <v>0</v>
      </c>
      <c r="K97" s="70">
        <f>Бюджет!K253</f>
        <v>0</v>
      </c>
      <c r="L97" s="70">
        <f>Бюджет!L253</f>
        <v>0</v>
      </c>
      <c r="M97" s="70">
        <f>Бюджет!M253</f>
        <v>0</v>
      </c>
      <c r="N97" s="70">
        <f>Бюджет!N253</f>
        <v>0</v>
      </c>
      <c r="O97" s="70">
        <f>Бюджет!O253</f>
        <v>0</v>
      </c>
      <c r="P97" s="70">
        <f>Бюджет!P253</f>
        <v>0</v>
      </c>
      <c r="Q97" s="70">
        <f>Бюджет!Q253</f>
        <v>0</v>
      </c>
      <c r="R97" s="70">
        <f>Бюджет!R253</f>
        <v>0</v>
      </c>
      <c r="S97" s="70">
        <f>Бюджет!S253</f>
        <v>0</v>
      </c>
      <c r="T97" s="70">
        <f>1*(4)*D97</f>
        <v>40</v>
      </c>
      <c r="U97" s="70">
        <f>Бюджет!U253</f>
        <v>0</v>
      </c>
      <c r="V97" s="70">
        <f>Бюджет!V253</f>
        <v>0</v>
      </c>
      <c r="W97" s="70">
        <f>Бюджет!W253</f>
        <v>0</v>
      </c>
      <c r="X97" s="70">
        <f>Бюджет!X253</f>
        <v>0</v>
      </c>
      <c r="Y97" s="70">
        <f>Бюджет!Y253</f>
        <v>0</v>
      </c>
      <c r="Z97" s="70">
        <f>Бюджет!Z253</f>
        <v>0</v>
      </c>
      <c r="AA97" s="70">
        <f>Бюджет!AA253</f>
        <v>0</v>
      </c>
      <c r="AB97" s="70">
        <f>Бюджет!AB253</f>
        <v>0</v>
      </c>
      <c r="AC97" s="70">
        <f>Бюджет!AC253</f>
        <v>0</v>
      </c>
      <c r="AD97" s="70">
        <f>Бюджет!AD253</f>
        <v>0</v>
      </c>
      <c r="AE97" s="70">
        <f>Бюджет!AE253</f>
        <v>0</v>
      </c>
      <c r="AF97" s="70">
        <f>Бюджет!AF253</f>
        <v>0</v>
      </c>
      <c r="AG97" s="70">
        <f>Бюджет!AG253</f>
        <v>0</v>
      </c>
      <c r="AH97" s="70">
        <f>Бюджет!AH253</f>
        <v>0</v>
      </c>
      <c r="AI97" s="70">
        <f>Бюджет!AI253</f>
        <v>0</v>
      </c>
      <c r="AJ97" s="66">
        <f t="shared" ref="AJ97" si="12">SUM(G97,I97:AI97)</f>
        <v>40</v>
      </c>
      <c r="AK97" s="74"/>
    </row>
    <row r="98" spans="1:37" s="110" customFormat="1" ht="15" x14ac:dyDescent="0.2">
      <c r="A98" s="90" t="str">
        <f>Бюджет!A254</f>
        <v>Б2.В.02(Пд)</v>
      </c>
      <c r="B98" s="60" t="str">
        <f>Бюджет!B254</f>
        <v>Преддипломная практика (4 нед)</v>
      </c>
      <c r="C98" s="74" t="str">
        <f>Бюджет!C254</f>
        <v>4\8</v>
      </c>
      <c r="D98" s="74">
        <v>10</v>
      </c>
      <c r="E98" s="74"/>
      <c r="F98" s="70">
        <f>Бюджет!F254</f>
        <v>0</v>
      </c>
      <c r="G98" s="70">
        <f>Бюджет!G254</f>
        <v>0</v>
      </c>
      <c r="H98" s="70">
        <f>Бюджет!H254</f>
        <v>0</v>
      </c>
      <c r="I98" s="70">
        <f>Бюджет!I254</f>
        <v>0</v>
      </c>
      <c r="J98" s="70">
        <f>Бюджет!J254</f>
        <v>0</v>
      </c>
      <c r="K98" s="70">
        <f>Бюджет!K254</f>
        <v>0</v>
      </c>
      <c r="L98" s="70">
        <f>Бюджет!L254</f>
        <v>0</v>
      </c>
      <c r="M98" s="70">
        <f>Бюджет!M254</f>
        <v>0</v>
      </c>
      <c r="N98" s="70">
        <f>Бюджет!N254</f>
        <v>0</v>
      </c>
      <c r="O98" s="70">
        <f>Бюджет!O254</f>
        <v>0</v>
      </c>
      <c r="P98" s="70">
        <f>Бюджет!P254</f>
        <v>0</v>
      </c>
      <c r="Q98" s="70">
        <f>Бюджет!Q254</f>
        <v>0</v>
      </c>
      <c r="R98" s="70">
        <f>Бюджет!R254</f>
        <v>0</v>
      </c>
      <c r="S98" s="70">
        <f>Бюджет!S254</f>
        <v>0</v>
      </c>
      <c r="T98" s="70">
        <f>1*(4)*D98</f>
        <v>40</v>
      </c>
      <c r="U98" s="70">
        <f>Бюджет!U254</f>
        <v>0</v>
      </c>
      <c r="V98" s="70">
        <f>Бюджет!V254</f>
        <v>0</v>
      </c>
      <c r="W98" s="70">
        <f>Бюджет!W254</f>
        <v>0</v>
      </c>
      <c r="X98" s="70">
        <f>Бюджет!X254</f>
        <v>0</v>
      </c>
      <c r="Y98" s="70">
        <f>Бюджет!Y254</f>
        <v>0</v>
      </c>
      <c r="Z98" s="70">
        <f>Бюджет!Z254</f>
        <v>0</v>
      </c>
      <c r="AA98" s="70">
        <f>Бюджет!AA254</f>
        <v>0</v>
      </c>
      <c r="AB98" s="70">
        <f>Бюджет!AB254</f>
        <v>0</v>
      </c>
      <c r="AC98" s="70">
        <f>Бюджет!AC254</f>
        <v>0</v>
      </c>
      <c r="AD98" s="70">
        <f>Бюджет!AD254</f>
        <v>0</v>
      </c>
      <c r="AE98" s="70">
        <f>Бюджет!AE254</f>
        <v>0</v>
      </c>
      <c r="AF98" s="70">
        <f>Бюджет!AF254</f>
        <v>0</v>
      </c>
      <c r="AG98" s="70">
        <f>Бюджет!AG254</f>
        <v>0</v>
      </c>
      <c r="AH98" s="70">
        <f>Бюджет!AH254</f>
        <v>0</v>
      </c>
      <c r="AI98" s="70">
        <f>Бюджет!AI254</f>
        <v>0</v>
      </c>
      <c r="AJ98" s="66">
        <f>SUM(G98,I98:AI98)</f>
        <v>40</v>
      </c>
      <c r="AK98" s="74"/>
    </row>
    <row r="99" spans="1:37" s="110" customFormat="1" ht="15" x14ac:dyDescent="0.2">
      <c r="A99" s="90">
        <f>Бюджет!A255</f>
        <v>0</v>
      </c>
      <c r="B99" s="60" t="str">
        <f>Бюджет!B255</f>
        <v>Руководство и рецензирование ВКР</v>
      </c>
      <c r="C99" s="74" t="str">
        <f>Бюджет!C255</f>
        <v>4\8</v>
      </c>
      <c r="D99" s="74">
        <v>10</v>
      </c>
      <c r="E99" s="74"/>
      <c r="F99" s="70">
        <f>Бюджет!F255</f>
        <v>0</v>
      </c>
      <c r="G99" s="70">
        <f>Бюджет!G255</f>
        <v>0</v>
      </c>
      <c r="H99" s="70">
        <f>Бюджет!H255</f>
        <v>0</v>
      </c>
      <c r="I99" s="70">
        <f>Бюджет!I255</f>
        <v>0</v>
      </c>
      <c r="J99" s="70">
        <f>Бюджет!J255</f>
        <v>0</v>
      </c>
      <c r="K99" s="70">
        <f>Бюджет!K255</f>
        <v>0</v>
      </c>
      <c r="L99" s="70">
        <f>Бюджет!L255</f>
        <v>0</v>
      </c>
      <c r="M99" s="70">
        <f>Бюджет!M255</f>
        <v>0</v>
      </c>
      <c r="N99" s="70">
        <f>Бюджет!N255</f>
        <v>0</v>
      </c>
      <c r="O99" s="70">
        <f>Бюджет!O255</f>
        <v>0</v>
      </c>
      <c r="P99" s="70">
        <f>Бюджет!P255</f>
        <v>0</v>
      </c>
      <c r="Q99" s="70">
        <f>Бюджет!Q255</f>
        <v>0</v>
      </c>
      <c r="R99" s="70">
        <f>Бюджет!R255</f>
        <v>0</v>
      </c>
      <c r="S99" s="70">
        <f>Бюджет!S255</f>
        <v>0</v>
      </c>
      <c r="T99" s="70">
        <f>Бюджет!T255</f>
        <v>0</v>
      </c>
      <c r="U99" s="70">
        <f>Бюджет!U255</f>
        <v>0</v>
      </c>
      <c r="V99" s="70">
        <f>Бюджет!V255</f>
        <v>0</v>
      </c>
      <c r="W99" s="70">
        <f>16*D99</f>
        <v>160</v>
      </c>
      <c r="X99" s="70">
        <f>Бюджет!X255</f>
        <v>0</v>
      </c>
      <c r="Y99" s="70">
        <f>Бюджет!Y255</f>
        <v>0</v>
      </c>
      <c r="Z99" s="70">
        <f>Бюджет!Z255</f>
        <v>0</v>
      </c>
      <c r="AA99" s="70">
        <f>Бюджет!AA255</f>
        <v>0</v>
      </c>
      <c r="AB99" s="70">
        <f>Бюджет!AB255</f>
        <v>0</v>
      </c>
      <c r="AC99" s="70">
        <f>Бюджет!AC255</f>
        <v>0</v>
      </c>
      <c r="AD99" s="70">
        <f>Бюджет!AD255</f>
        <v>0</v>
      </c>
      <c r="AE99" s="70">
        <f>Бюджет!AE255</f>
        <v>0</v>
      </c>
      <c r="AF99" s="70">
        <f>Бюджет!AF255</f>
        <v>0</v>
      </c>
      <c r="AG99" s="70">
        <f>Бюджет!AG255</f>
        <v>0</v>
      </c>
      <c r="AH99" s="70">
        <f>Бюджет!AH255</f>
        <v>0</v>
      </c>
      <c r="AI99" s="70">
        <f>Бюджет!AI255</f>
        <v>0</v>
      </c>
      <c r="AJ99" s="66">
        <f>SUM(G99,I99:AI99)</f>
        <v>160</v>
      </c>
      <c r="AK99" s="74"/>
    </row>
    <row r="100" spans="1:37" s="110" customFormat="1" ht="15.75" x14ac:dyDescent="0.2">
      <c r="A100" s="90"/>
      <c r="B100" s="108" t="s">
        <v>236</v>
      </c>
      <c r="C100" s="91"/>
      <c r="D100" s="91"/>
      <c r="E100" s="91"/>
      <c r="F100" s="88">
        <f>SUM(F85:F99)</f>
        <v>162</v>
      </c>
      <c r="G100" s="88">
        <f t="shared" ref="G100:AJ100" si="13">SUM(G85:G99)</f>
        <v>84</v>
      </c>
      <c r="H100" s="88">
        <f t="shared" si="13"/>
        <v>110</v>
      </c>
      <c r="I100" s="88">
        <f t="shared" si="13"/>
        <v>110</v>
      </c>
      <c r="J100" s="88">
        <f t="shared" si="13"/>
        <v>932</v>
      </c>
      <c r="K100" s="88">
        <f t="shared" si="13"/>
        <v>63.29999999999999</v>
      </c>
      <c r="L100" s="88">
        <f t="shared" si="13"/>
        <v>0</v>
      </c>
      <c r="M100" s="88">
        <f t="shared" si="13"/>
        <v>18.400000000000002</v>
      </c>
      <c r="N100" s="88">
        <f t="shared" si="13"/>
        <v>0</v>
      </c>
      <c r="O100" s="88">
        <f t="shared" si="13"/>
        <v>0</v>
      </c>
      <c r="P100" s="88">
        <f t="shared" si="13"/>
        <v>0</v>
      </c>
      <c r="Q100" s="88">
        <f t="shared" si="13"/>
        <v>5.2</v>
      </c>
      <c r="R100" s="88">
        <f t="shared" si="13"/>
        <v>0</v>
      </c>
      <c r="S100" s="88">
        <f t="shared" si="13"/>
        <v>0</v>
      </c>
      <c r="T100" s="88">
        <f t="shared" si="13"/>
        <v>80</v>
      </c>
      <c r="U100" s="88">
        <f t="shared" si="13"/>
        <v>0</v>
      </c>
      <c r="V100" s="88">
        <f t="shared" si="13"/>
        <v>0</v>
      </c>
      <c r="W100" s="88">
        <f t="shared" si="13"/>
        <v>160</v>
      </c>
      <c r="X100" s="88">
        <f t="shared" si="13"/>
        <v>0</v>
      </c>
      <c r="Y100" s="88">
        <f t="shared" si="13"/>
        <v>0</v>
      </c>
      <c r="Z100" s="88">
        <f t="shared" si="13"/>
        <v>0</v>
      </c>
      <c r="AA100" s="88">
        <f t="shared" si="13"/>
        <v>0</v>
      </c>
      <c r="AB100" s="88">
        <f t="shared" si="13"/>
        <v>0</v>
      </c>
      <c r="AC100" s="88">
        <f t="shared" si="13"/>
        <v>0</v>
      </c>
      <c r="AD100" s="88">
        <f t="shared" si="13"/>
        <v>0</v>
      </c>
      <c r="AE100" s="88">
        <f t="shared" si="13"/>
        <v>0</v>
      </c>
      <c r="AF100" s="88">
        <f t="shared" si="13"/>
        <v>0</v>
      </c>
      <c r="AG100" s="88">
        <f t="shared" si="13"/>
        <v>0</v>
      </c>
      <c r="AH100" s="88">
        <f t="shared" si="13"/>
        <v>0</v>
      </c>
      <c r="AI100" s="88">
        <f t="shared" si="13"/>
        <v>0</v>
      </c>
      <c r="AJ100" s="88">
        <f t="shared" si="13"/>
        <v>1452.9</v>
      </c>
      <c r="AK100" s="70"/>
    </row>
    <row r="101" spans="1:37" s="110" customFormat="1" ht="15.75" x14ac:dyDescent="0.2">
      <c r="A101" s="90"/>
      <c r="B101" s="100"/>
      <c r="C101" s="275"/>
      <c r="D101" s="275"/>
      <c r="E101" s="275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0"/>
    </row>
    <row r="102" spans="1:37" s="110" customFormat="1" ht="15.75" x14ac:dyDescent="0.2">
      <c r="A102" s="90"/>
      <c r="B102" s="92"/>
      <c r="C102" s="74"/>
      <c r="D102" s="74"/>
      <c r="E102" s="74"/>
      <c r="F102" s="70"/>
      <c r="G102" s="70"/>
      <c r="H102" s="70"/>
      <c r="I102" s="70"/>
      <c r="J102" s="408" t="str">
        <f>Бюджет!L259</f>
        <v>10.03.01 Информационная безопасность</v>
      </c>
      <c r="K102" s="409"/>
      <c r="L102" s="409"/>
      <c r="M102" s="409"/>
      <c r="N102" s="409"/>
      <c r="O102" s="409"/>
      <c r="P102" s="409"/>
      <c r="Q102" s="409"/>
      <c r="R102" s="409"/>
      <c r="S102" s="409"/>
      <c r="T102" s="409"/>
      <c r="U102" s="409"/>
      <c r="V102" s="409"/>
      <c r="W102" s="409"/>
      <c r="X102" s="409"/>
      <c r="Y102" s="409"/>
      <c r="Z102" s="409"/>
      <c r="AA102" s="409"/>
      <c r="AB102" s="409"/>
      <c r="AC102" s="410"/>
      <c r="AD102" s="70"/>
      <c r="AE102" s="70"/>
      <c r="AF102" s="70"/>
      <c r="AG102" s="70"/>
      <c r="AH102" s="70"/>
      <c r="AI102" s="70"/>
      <c r="AJ102" s="70"/>
      <c r="AK102" s="70"/>
    </row>
    <row r="103" spans="1:37" s="110" customFormat="1" ht="15.75" x14ac:dyDescent="0.2">
      <c r="A103" s="90"/>
      <c r="B103" s="92"/>
      <c r="C103" s="74"/>
      <c r="D103" s="74"/>
      <c r="E103" s="74"/>
      <c r="F103" s="70"/>
      <c r="G103" s="70"/>
      <c r="H103" s="70"/>
      <c r="I103" s="70"/>
      <c r="J103" s="390" t="str">
        <f>Бюджет!K260</f>
        <v>профиль "Техническая защита информации"</v>
      </c>
      <c r="K103" s="390"/>
      <c r="L103" s="390"/>
      <c r="M103" s="390"/>
      <c r="N103" s="390"/>
      <c r="O103" s="390"/>
      <c r="P103" s="390"/>
      <c r="Q103" s="390"/>
      <c r="R103" s="390"/>
      <c r="S103" s="390"/>
      <c r="T103" s="390"/>
      <c r="U103" s="390"/>
      <c r="V103" s="390"/>
      <c r="W103" s="390"/>
      <c r="X103" s="390"/>
      <c r="Y103" s="390"/>
      <c r="Z103" s="390"/>
      <c r="AA103" s="390"/>
      <c r="AB103" s="390"/>
      <c r="AC103" s="390"/>
      <c r="AD103" s="70"/>
      <c r="AE103" s="70"/>
      <c r="AF103" s="70"/>
      <c r="AG103" s="70"/>
      <c r="AH103" s="70"/>
      <c r="AI103" s="70"/>
      <c r="AJ103" s="70"/>
      <c r="AK103" s="70"/>
    </row>
    <row r="104" spans="1:37" s="110" customFormat="1" ht="15.75" x14ac:dyDescent="0.2">
      <c r="A104" s="90"/>
      <c r="B104" s="92"/>
      <c r="C104" s="74"/>
      <c r="D104" s="74"/>
      <c r="E104" s="74"/>
      <c r="F104" s="70"/>
      <c r="G104" s="70"/>
      <c r="H104" s="70"/>
      <c r="I104" s="70"/>
      <c r="J104" s="390" t="str">
        <f>Бюджет!K261</f>
        <v>профиль "Безопасность автоматизированных систем (по отрасли или в сфере профессиональной деятельности)"</v>
      </c>
      <c r="K104" s="390"/>
      <c r="L104" s="390"/>
      <c r="M104" s="390"/>
      <c r="N104" s="390"/>
      <c r="O104" s="390"/>
      <c r="P104" s="390"/>
      <c r="Q104" s="390"/>
      <c r="R104" s="390"/>
      <c r="S104" s="390"/>
      <c r="T104" s="390"/>
      <c r="U104" s="390"/>
      <c r="V104" s="390"/>
      <c r="W104" s="390"/>
      <c r="X104" s="390"/>
      <c r="Y104" s="390"/>
      <c r="Z104" s="390"/>
      <c r="AA104" s="390"/>
      <c r="AB104" s="390"/>
      <c r="AC104" s="390"/>
      <c r="AD104" s="70"/>
      <c r="AE104" s="70"/>
      <c r="AF104" s="70"/>
      <c r="AG104" s="70"/>
      <c r="AH104" s="70"/>
      <c r="AI104" s="70"/>
      <c r="AJ104" s="70"/>
      <c r="AK104" s="70"/>
    </row>
    <row r="105" spans="1:37" s="110" customFormat="1" ht="15" x14ac:dyDescent="0.2">
      <c r="A105" s="90" t="str">
        <f>Бюджет!A262</f>
        <v>Б1.О.09</v>
      </c>
      <c r="B105" s="90" t="str">
        <f>Бюджет!B262</f>
        <v>Безопасность жизнедеятельности</v>
      </c>
      <c r="C105" s="74" t="str">
        <f>Бюджет!C262</f>
        <v>1\1</v>
      </c>
      <c r="D105" s="74">
        <f>Бюджет!D262</f>
        <v>27</v>
      </c>
      <c r="E105" s="74">
        <f>Бюджет!E262</f>
        <v>1</v>
      </c>
      <c r="F105" s="70">
        <f>Бюджет!F262</f>
        <v>0</v>
      </c>
      <c r="G105" s="70">
        <f>Бюджет!G262</f>
        <v>0</v>
      </c>
      <c r="H105" s="70">
        <f>Бюджет!H262</f>
        <v>16</v>
      </c>
      <c r="I105" s="70">
        <f>Бюджет!I262</f>
        <v>16</v>
      </c>
      <c r="J105" s="70">
        <f>Бюджет!J262</f>
        <v>0</v>
      </c>
      <c r="K105" s="70">
        <f>Бюджет!K262</f>
        <v>8.1</v>
      </c>
      <c r="L105" s="70">
        <f>Бюджет!L262</f>
        <v>0</v>
      </c>
      <c r="M105" s="70">
        <f>Бюджет!M262</f>
        <v>0</v>
      </c>
      <c r="N105" s="70">
        <f>Бюджет!N262</f>
        <v>0</v>
      </c>
      <c r="O105" s="70">
        <f>Бюджет!O262</f>
        <v>0</v>
      </c>
      <c r="P105" s="70">
        <f>Бюджет!P262</f>
        <v>0</v>
      </c>
      <c r="Q105" s="70">
        <f>Бюджет!Q262</f>
        <v>0</v>
      </c>
      <c r="R105" s="70">
        <f>Бюджет!R262</f>
        <v>0</v>
      </c>
      <c r="S105" s="70">
        <f>Бюджет!S262</f>
        <v>0</v>
      </c>
      <c r="T105" s="70">
        <f>Бюджет!T262</f>
        <v>0</v>
      </c>
      <c r="U105" s="70">
        <f>Бюджет!U262</f>
        <v>0</v>
      </c>
      <c r="V105" s="70">
        <f>Бюджет!V262</f>
        <v>0</v>
      </c>
      <c r="W105" s="70">
        <f>Бюджет!W262</f>
        <v>0</v>
      </c>
      <c r="X105" s="70">
        <f>Бюджет!X262</f>
        <v>0</v>
      </c>
      <c r="Y105" s="70">
        <f>Бюджет!Y262</f>
        <v>0</v>
      </c>
      <c r="Z105" s="70">
        <f>Бюджет!Z262</f>
        <v>0</v>
      </c>
      <c r="AA105" s="70">
        <f>Бюджет!AA262</f>
        <v>0</v>
      </c>
      <c r="AB105" s="70">
        <f>Бюджет!AB262</f>
        <v>0</v>
      </c>
      <c r="AC105" s="70">
        <f>Бюджет!AC262</f>
        <v>0</v>
      </c>
      <c r="AD105" s="70">
        <f>Бюджет!AD262</f>
        <v>0</v>
      </c>
      <c r="AE105" s="70">
        <f>Бюджет!AE262</f>
        <v>0</v>
      </c>
      <c r="AF105" s="70">
        <f>Бюджет!AF262</f>
        <v>0</v>
      </c>
      <c r="AG105" s="70">
        <f>Бюджет!AG262</f>
        <v>0</v>
      </c>
      <c r="AH105" s="70">
        <f>Бюджет!AH262</f>
        <v>0</v>
      </c>
      <c r="AI105" s="70">
        <f>Бюджет!AI262</f>
        <v>0</v>
      </c>
      <c r="AJ105" s="66">
        <f t="shared" ref="AJ105:AJ110" si="14">SUM(G105,I105:AI105)</f>
        <v>24.1</v>
      </c>
      <c r="AK105" s="70"/>
    </row>
    <row r="106" spans="1:37" s="110" customFormat="1" ht="15" x14ac:dyDescent="0.2">
      <c r="A106" s="90" t="str">
        <f>Бюджет!A271</f>
        <v>Б1.О.28</v>
      </c>
      <c r="B106" s="90" t="str">
        <f>Бюджет!B271</f>
        <v>Прикладное программирование</v>
      </c>
      <c r="C106" s="74" t="str">
        <f>Бюджет!C271</f>
        <v>1\2</v>
      </c>
      <c r="D106" s="74">
        <f>Бюджет!D271</f>
        <v>27</v>
      </c>
      <c r="E106" s="74">
        <f>Бюджет!E271</f>
        <v>1</v>
      </c>
      <c r="F106" s="70">
        <f>Бюджет!F271</f>
        <v>20</v>
      </c>
      <c r="G106" s="70">
        <f>Бюджет!G271</f>
        <v>20</v>
      </c>
      <c r="H106" s="70">
        <f>Бюджет!H271</f>
        <v>0</v>
      </c>
      <c r="I106" s="70">
        <f>Бюджет!I271</f>
        <v>0</v>
      </c>
      <c r="J106" s="70">
        <f>Бюджет!J271</f>
        <v>160</v>
      </c>
      <c r="K106" s="70">
        <f>Бюджет!K271</f>
        <v>8.1</v>
      </c>
      <c r="L106" s="70">
        <f>Бюджет!L271</f>
        <v>0</v>
      </c>
      <c r="M106" s="70">
        <f>Бюджет!M271</f>
        <v>0</v>
      </c>
      <c r="N106" s="70">
        <f>Бюджет!N271</f>
        <v>0</v>
      </c>
      <c r="O106" s="70">
        <f>Бюджет!O271</f>
        <v>0</v>
      </c>
      <c r="P106" s="70">
        <f>Бюджет!P271</f>
        <v>0</v>
      </c>
      <c r="Q106" s="70">
        <f>Бюджет!Q271</f>
        <v>1</v>
      </c>
      <c r="R106" s="70">
        <f>Бюджет!R271</f>
        <v>0</v>
      </c>
      <c r="S106" s="70">
        <f>Бюджет!S271</f>
        <v>0</v>
      </c>
      <c r="T106" s="70">
        <f>Бюджет!T271</f>
        <v>0</v>
      </c>
      <c r="U106" s="70">
        <f>Бюджет!U271</f>
        <v>0</v>
      </c>
      <c r="V106" s="70">
        <f>Бюджет!V271</f>
        <v>0</v>
      </c>
      <c r="W106" s="70">
        <f>Бюджет!W271</f>
        <v>0</v>
      </c>
      <c r="X106" s="70">
        <f>Бюджет!X271</f>
        <v>0</v>
      </c>
      <c r="Y106" s="70">
        <f>Бюджет!Y271</f>
        <v>0</v>
      </c>
      <c r="Z106" s="70">
        <f>Бюджет!Z271</f>
        <v>0</v>
      </c>
      <c r="AA106" s="70">
        <f>Бюджет!AA271</f>
        <v>0</v>
      </c>
      <c r="AB106" s="70">
        <f>Бюджет!AB271</f>
        <v>0</v>
      </c>
      <c r="AC106" s="70">
        <f>Бюджет!AC271</f>
        <v>0</v>
      </c>
      <c r="AD106" s="70">
        <f>Бюджет!AD271</f>
        <v>0</v>
      </c>
      <c r="AE106" s="70">
        <f>Бюджет!AE271</f>
        <v>0</v>
      </c>
      <c r="AF106" s="70">
        <f>Бюджет!AF271</f>
        <v>0</v>
      </c>
      <c r="AG106" s="70">
        <f>Бюджет!AG271</f>
        <v>0</v>
      </c>
      <c r="AH106" s="70">
        <f>Бюджет!AH271</f>
        <v>0</v>
      </c>
      <c r="AI106" s="70">
        <f>Бюджет!AI271</f>
        <v>2</v>
      </c>
      <c r="AJ106" s="66">
        <f t="shared" si="14"/>
        <v>191.1</v>
      </c>
      <c r="AK106" s="70"/>
    </row>
    <row r="107" spans="1:37" s="110" customFormat="1" ht="15" x14ac:dyDescent="0.2">
      <c r="A107" s="69" t="str">
        <f>Бюджет!A277</f>
        <v>Б1.О.23</v>
      </c>
      <c r="B107" s="69" t="str">
        <f>Бюджет!B277</f>
        <v>Электротехника</v>
      </c>
      <c r="C107" s="233" t="str">
        <f>Бюджет!C277</f>
        <v>2\4</v>
      </c>
      <c r="D107" s="233">
        <f>Бюджет!D277</f>
        <v>34</v>
      </c>
      <c r="E107" s="233">
        <f>Бюджет!E277</f>
        <v>1</v>
      </c>
      <c r="F107" s="234">
        <f>Бюджет!F277</f>
        <v>20</v>
      </c>
      <c r="G107" s="234">
        <f>Бюджет!G277</f>
        <v>20</v>
      </c>
      <c r="H107" s="234">
        <f>Бюджет!H277</f>
        <v>20</v>
      </c>
      <c r="I107" s="234">
        <f>Бюджет!I277</f>
        <v>20</v>
      </c>
      <c r="J107" s="234">
        <f>Бюджет!J277</f>
        <v>120</v>
      </c>
      <c r="K107" s="234">
        <f>Бюджет!K277</f>
        <v>0</v>
      </c>
      <c r="L107" s="234">
        <f>Бюджет!L277</f>
        <v>0</v>
      </c>
      <c r="M107" s="234">
        <f>Бюджет!M277</f>
        <v>13.600000000000001</v>
      </c>
      <c r="N107" s="234">
        <f>Бюджет!N277</f>
        <v>0</v>
      </c>
      <c r="O107" s="234">
        <f>Бюджет!O277</f>
        <v>0</v>
      </c>
      <c r="P107" s="234">
        <f>Бюджет!P277</f>
        <v>0</v>
      </c>
      <c r="Q107" s="234">
        <f>Бюджет!Q277</f>
        <v>2</v>
      </c>
      <c r="R107" s="234">
        <f>Бюджет!R277</f>
        <v>0</v>
      </c>
      <c r="S107" s="234">
        <f>Бюджет!S277</f>
        <v>0</v>
      </c>
      <c r="T107" s="234">
        <f>Бюджет!T277</f>
        <v>0</v>
      </c>
      <c r="U107" s="234">
        <f>Бюджет!U277</f>
        <v>0</v>
      </c>
      <c r="V107" s="234">
        <f>Бюджет!V277</f>
        <v>0</v>
      </c>
      <c r="W107" s="234">
        <f>Бюджет!W277</f>
        <v>0</v>
      </c>
      <c r="X107" s="234">
        <f>Бюджет!X277</f>
        <v>0</v>
      </c>
      <c r="Y107" s="234">
        <f>Бюджет!Y277</f>
        <v>0</v>
      </c>
      <c r="Z107" s="234">
        <f>Бюджет!Z277</f>
        <v>0</v>
      </c>
      <c r="AA107" s="234">
        <f>Бюджет!AA277</f>
        <v>0</v>
      </c>
      <c r="AB107" s="234">
        <f>Бюджет!AB277</f>
        <v>0</v>
      </c>
      <c r="AC107" s="234">
        <f>Бюджет!AC277</f>
        <v>0</v>
      </c>
      <c r="AD107" s="234">
        <f>Бюджет!AD277</f>
        <v>0</v>
      </c>
      <c r="AE107" s="234">
        <f>Бюджет!AE277</f>
        <v>0</v>
      </c>
      <c r="AF107" s="234">
        <f>Бюджет!AF277</f>
        <v>0</v>
      </c>
      <c r="AG107" s="234">
        <f>Бюджет!AG277</f>
        <v>0</v>
      </c>
      <c r="AH107" s="234">
        <f>Бюджет!AH277</f>
        <v>0</v>
      </c>
      <c r="AI107" s="234">
        <f>Бюджет!AI277</f>
        <v>0</v>
      </c>
      <c r="AJ107" s="66">
        <f t="shared" si="14"/>
        <v>175.6</v>
      </c>
      <c r="AK107" s="69"/>
    </row>
    <row r="108" spans="1:37" s="110" customFormat="1" ht="30" x14ac:dyDescent="0.2">
      <c r="A108" s="69" t="str">
        <f>Бюджет!A295</f>
        <v>Б1.О.35</v>
      </c>
      <c r="B108" s="69" t="str">
        <f>Бюджет!B295</f>
        <v>Технологии искусственного интелекта (поток РФ, ФИЗ, НЭ, ИБ)</v>
      </c>
      <c r="C108" s="233" t="str">
        <f>Бюджет!C295</f>
        <v>4\8</v>
      </c>
      <c r="D108" s="233">
        <f>Бюджет!D295</f>
        <v>15</v>
      </c>
      <c r="E108" s="233">
        <f>Бюджет!E295</f>
        <v>1</v>
      </c>
      <c r="F108" s="234">
        <f>Бюджет!F295</f>
        <v>22</v>
      </c>
      <c r="G108" s="234">
        <f>Бюджет!G295</f>
        <v>0</v>
      </c>
      <c r="H108" s="234">
        <f>Бюджет!H295</f>
        <v>0</v>
      </c>
      <c r="I108" s="234">
        <f>Бюджет!I295</f>
        <v>0</v>
      </c>
      <c r="J108" s="234">
        <f>Бюджет!J295</f>
        <v>22</v>
      </c>
      <c r="K108" s="234">
        <f>Бюджет!K295</f>
        <v>4.5</v>
      </c>
      <c r="L108" s="234">
        <f>Бюджет!L295</f>
        <v>0</v>
      </c>
      <c r="M108" s="234">
        <f>Бюджет!M295</f>
        <v>0</v>
      </c>
      <c r="N108" s="234">
        <f>Бюджет!N295</f>
        <v>0</v>
      </c>
      <c r="O108" s="234">
        <f>Бюджет!O295</f>
        <v>0</v>
      </c>
      <c r="P108" s="234">
        <f>Бюджет!P295</f>
        <v>0</v>
      </c>
      <c r="Q108" s="234">
        <f>Бюджет!Q295</f>
        <v>0</v>
      </c>
      <c r="R108" s="234">
        <f>Бюджет!R295</f>
        <v>0</v>
      </c>
      <c r="S108" s="234">
        <f>Бюджет!S295</f>
        <v>0</v>
      </c>
      <c r="T108" s="234">
        <f>Бюджет!T295</f>
        <v>0</v>
      </c>
      <c r="U108" s="234">
        <f>Бюджет!U295</f>
        <v>0</v>
      </c>
      <c r="V108" s="234">
        <f>Бюджет!V295</f>
        <v>0</v>
      </c>
      <c r="W108" s="234">
        <f>Бюджет!W295</f>
        <v>0</v>
      </c>
      <c r="X108" s="234">
        <f>Бюджет!X295</f>
        <v>0</v>
      </c>
      <c r="Y108" s="234">
        <f>Бюджет!Y295</f>
        <v>0</v>
      </c>
      <c r="Z108" s="234">
        <f>Бюджет!Z295</f>
        <v>0</v>
      </c>
      <c r="AA108" s="234">
        <f>Бюджет!AA295</f>
        <v>0</v>
      </c>
      <c r="AB108" s="234">
        <f>Бюджет!AB295</f>
        <v>0</v>
      </c>
      <c r="AC108" s="234">
        <f>Бюджет!AC295</f>
        <v>0</v>
      </c>
      <c r="AD108" s="234">
        <f>Бюджет!AD295</f>
        <v>0</v>
      </c>
      <c r="AE108" s="234">
        <f>Бюджет!AE295</f>
        <v>0</v>
      </c>
      <c r="AF108" s="234">
        <f>Бюджет!AF295</f>
        <v>0</v>
      </c>
      <c r="AG108" s="234">
        <f>Бюджет!AG295</f>
        <v>0</v>
      </c>
      <c r="AH108" s="234">
        <f>Бюджет!AH295</f>
        <v>0</v>
      </c>
      <c r="AI108" s="234">
        <f>Бюджет!AI295</f>
        <v>0</v>
      </c>
      <c r="AJ108" s="66">
        <f t="shared" si="14"/>
        <v>26.5</v>
      </c>
      <c r="AK108" s="69"/>
    </row>
    <row r="109" spans="1:37" s="110" customFormat="1" ht="15.75" x14ac:dyDescent="0.2">
      <c r="A109" s="69"/>
      <c r="B109" s="69"/>
      <c r="C109" s="82"/>
      <c r="D109" s="82"/>
      <c r="E109" s="82"/>
      <c r="F109" s="64"/>
      <c r="G109" s="64"/>
      <c r="H109" s="64"/>
      <c r="I109" s="64"/>
      <c r="J109" s="390" t="str">
        <f>Бюджет!K261</f>
        <v>профиль "Безопасность автоматизированных систем (по отрасли или в сфере профессиональной деятельности)"</v>
      </c>
      <c r="K109" s="390"/>
      <c r="L109" s="390"/>
      <c r="M109" s="390"/>
      <c r="N109" s="390"/>
      <c r="O109" s="390"/>
      <c r="P109" s="390"/>
      <c r="Q109" s="390"/>
      <c r="R109" s="390"/>
      <c r="S109" s="390"/>
      <c r="T109" s="390"/>
      <c r="U109" s="390"/>
      <c r="V109" s="390"/>
      <c r="W109" s="390"/>
      <c r="X109" s="390"/>
      <c r="Y109" s="390"/>
      <c r="Z109" s="390"/>
      <c r="AA109" s="390"/>
      <c r="AB109" s="390"/>
      <c r="AC109" s="390"/>
      <c r="AD109" s="64"/>
      <c r="AE109" s="64"/>
      <c r="AF109" s="64"/>
      <c r="AG109" s="64"/>
      <c r="AH109" s="64"/>
      <c r="AI109" s="64"/>
      <c r="AJ109" s="66"/>
      <c r="AK109" s="69"/>
    </row>
    <row r="110" spans="1:37" s="110" customFormat="1" ht="15" x14ac:dyDescent="0.2">
      <c r="A110" s="69" t="str">
        <f>Бюджет!A315</f>
        <v>Б1.В.02</v>
      </c>
      <c r="B110" s="69" t="str">
        <f>Бюджет!B315</f>
        <v>Распределенные базы данных. Блокчейн</v>
      </c>
      <c r="C110" s="233" t="str">
        <f>Бюджет!C315</f>
        <v>3\6</v>
      </c>
      <c r="D110" s="233">
        <f>Бюджет!D315</f>
        <v>23</v>
      </c>
      <c r="E110" s="233">
        <f>Бюджет!E315</f>
        <v>1</v>
      </c>
      <c r="F110" s="234">
        <f>Бюджет!F315</f>
        <v>34</v>
      </c>
      <c r="G110" s="234">
        <f>Бюджет!G315</f>
        <v>34</v>
      </c>
      <c r="H110" s="234">
        <f>Бюджет!H315</f>
        <v>0</v>
      </c>
      <c r="I110" s="234">
        <f>Бюджет!I315</f>
        <v>0</v>
      </c>
      <c r="J110" s="234">
        <f>Бюджет!J315</f>
        <v>68</v>
      </c>
      <c r="K110" s="234">
        <f>Бюджет!K315</f>
        <v>6.8999999999999995</v>
      </c>
      <c r="L110" s="234">
        <f>Бюджет!L315</f>
        <v>0</v>
      </c>
      <c r="M110" s="234">
        <f>Бюджет!M315</f>
        <v>0</v>
      </c>
      <c r="N110" s="234">
        <f>Бюджет!N315</f>
        <v>0</v>
      </c>
      <c r="O110" s="234">
        <f>Бюджет!O315</f>
        <v>0</v>
      </c>
      <c r="P110" s="234">
        <f>Бюджет!P315</f>
        <v>0</v>
      </c>
      <c r="Q110" s="234">
        <f>Бюджет!Q315</f>
        <v>1.7000000000000002</v>
      </c>
      <c r="R110" s="234">
        <f>Бюджет!R315</f>
        <v>0</v>
      </c>
      <c r="S110" s="234">
        <f>Бюджет!S315</f>
        <v>0</v>
      </c>
      <c r="T110" s="234">
        <f>Бюджет!T315</f>
        <v>0</v>
      </c>
      <c r="U110" s="234">
        <f>Бюджет!U315</f>
        <v>0</v>
      </c>
      <c r="V110" s="234">
        <f>Бюджет!V315</f>
        <v>0</v>
      </c>
      <c r="W110" s="234">
        <f>Бюджет!W315</f>
        <v>0</v>
      </c>
      <c r="X110" s="234">
        <f>Бюджет!X315</f>
        <v>0</v>
      </c>
      <c r="Y110" s="234">
        <f>Бюджет!Y315</f>
        <v>0</v>
      </c>
      <c r="Z110" s="234">
        <f>Бюджет!Z315</f>
        <v>0</v>
      </c>
      <c r="AA110" s="234">
        <f>Бюджет!AA315</f>
        <v>0</v>
      </c>
      <c r="AB110" s="234">
        <f>Бюджет!AB315</f>
        <v>0</v>
      </c>
      <c r="AC110" s="234">
        <f>Бюджет!AC315</f>
        <v>0</v>
      </c>
      <c r="AD110" s="234">
        <f>Бюджет!AD315</f>
        <v>0</v>
      </c>
      <c r="AE110" s="234">
        <f>Бюджет!AE315</f>
        <v>0</v>
      </c>
      <c r="AF110" s="234">
        <f>Бюджет!AF315</f>
        <v>0</v>
      </c>
      <c r="AG110" s="234">
        <f>Бюджет!AG315</f>
        <v>0</v>
      </c>
      <c r="AH110" s="234">
        <f>Бюджет!AH315</f>
        <v>0</v>
      </c>
      <c r="AI110" s="234">
        <f>Бюджет!AI315</f>
        <v>0</v>
      </c>
      <c r="AJ110" s="66">
        <f t="shared" si="14"/>
        <v>110.60000000000001</v>
      </c>
      <c r="AK110" s="69"/>
    </row>
    <row r="111" spans="1:37" s="110" customFormat="1" ht="15.75" x14ac:dyDescent="0.2">
      <c r="A111" s="90"/>
      <c r="B111" s="108" t="s">
        <v>238</v>
      </c>
      <c r="C111" s="91"/>
      <c r="D111" s="91"/>
      <c r="E111" s="91"/>
      <c r="F111" s="88">
        <f>SUM(F105:F110)</f>
        <v>96</v>
      </c>
      <c r="G111" s="88">
        <f t="shared" ref="G111:AJ111" si="15">SUM(G105:G110)</f>
        <v>74</v>
      </c>
      <c r="H111" s="88">
        <f t="shared" si="15"/>
        <v>36</v>
      </c>
      <c r="I111" s="88">
        <f t="shared" si="15"/>
        <v>36</v>
      </c>
      <c r="J111" s="88">
        <f>SUM(J105:J110)</f>
        <v>370</v>
      </c>
      <c r="K111" s="88">
        <f t="shared" si="15"/>
        <v>27.599999999999998</v>
      </c>
      <c r="L111" s="88">
        <f t="shared" si="15"/>
        <v>0</v>
      </c>
      <c r="M111" s="88">
        <f t="shared" si="15"/>
        <v>13.600000000000001</v>
      </c>
      <c r="N111" s="88">
        <f t="shared" si="15"/>
        <v>0</v>
      </c>
      <c r="O111" s="88">
        <f t="shared" si="15"/>
        <v>0</v>
      </c>
      <c r="P111" s="88">
        <f t="shared" si="15"/>
        <v>0</v>
      </c>
      <c r="Q111" s="88">
        <f t="shared" si="15"/>
        <v>4.7</v>
      </c>
      <c r="R111" s="88">
        <f t="shared" si="15"/>
        <v>0</v>
      </c>
      <c r="S111" s="88">
        <f t="shared" si="15"/>
        <v>0</v>
      </c>
      <c r="T111" s="88">
        <f t="shared" si="15"/>
        <v>0</v>
      </c>
      <c r="U111" s="88">
        <f t="shared" si="15"/>
        <v>0</v>
      </c>
      <c r="V111" s="88">
        <f t="shared" si="15"/>
        <v>0</v>
      </c>
      <c r="W111" s="88">
        <f t="shared" si="15"/>
        <v>0</v>
      </c>
      <c r="X111" s="88">
        <f t="shared" si="15"/>
        <v>0</v>
      </c>
      <c r="Y111" s="88">
        <f t="shared" si="15"/>
        <v>0</v>
      </c>
      <c r="Z111" s="88">
        <f t="shared" si="15"/>
        <v>0</v>
      </c>
      <c r="AA111" s="88">
        <f t="shared" si="15"/>
        <v>0</v>
      </c>
      <c r="AB111" s="88">
        <f t="shared" si="15"/>
        <v>0</v>
      </c>
      <c r="AC111" s="88">
        <f t="shared" si="15"/>
        <v>0</v>
      </c>
      <c r="AD111" s="88">
        <f t="shared" si="15"/>
        <v>0</v>
      </c>
      <c r="AE111" s="88">
        <f t="shared" si="15"/>
        <v>0</v>
      </c>
      <c r="AF111" s="88">
        <f t="shared" si="15"/>
        <v>0</v>
      </c>
      <c r="AG111" s="88">
        <f t="shared" si="15"/>
        <v>0</v>
      </c>
      <c r="AH111" s="88">
        <f t="shared" si="15"/>
        <v>0</v>
      </c>
      <c r="AI111" s="88">
        <f t="shared" si="15"/>
        <v>2</v>
      </c>
      <c r="AJ111" s="88">
        <f t="shared" si="15"/>
        <v>527.9</v>
      </c>
      <c r="AK111" s="74"/>
    </row>
    <row r="112" spans="1:37" s="110" customFormat="1" ht="15.75" x14ac:dyDescent="0.2">
      <c r="A112" s="90"/>
      <c r="B112" s="100"/>
      <c r="C112" s="275"/>
      <c r="D112" s="275"/>
      <c r="E112" s="275"/>
      <c r="F112" s="73"/>
      <c r="G112" s="73"/>
      <c r="H112" s="73"/>
      <c r="I112" s="73"/>
      <c r="J112" s="117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9"/>
      <c r="AD112" s="73"/>
      <c r="AE112" s="73"/>
      <c r="AF112" s="73"/>
      <c r="AG112" s="73"/>
      <c r="AH112" s="73"/>
      <c r="AI112" s="73"/>
      <c r="AJ112" s="73"/>
      <c r="AK112" s="74"/>
    </row>
    <row r="113" spans="1:37" s="110" customFormat="1" ht="15.75" x14ac:dyDescent="0.2">
      <c r="A113" s="90"/>
      <c r="B113" s="92"/>
      <c r="C113" s="74"/>
      <c r="D113" s="74"/>
      <c r="E113" s="74"/>
      <c r="F113" s="70"/>
      <c r="G113" s="70"/>
      <c r="H113" s="70"/>
      <c r="I113" s="70"/>
      <c r="J113" s="408" t="str">
        <f>Бюджет!L323</f>
        <v>44.03.05 Педагогическое образование (с двумя профилями подготовки)</v>
      </c>
      <c r="K113" s="409"/>
      <c r="L113" s="409"/>
      <c r="M113" s="409"/>
      <c r="N113" s="409"/>
      <c r="O113" s="409"/>
      <c r="P113" s="409"/>
      <c r="Q113" s="409"/>
      <c r="R113" s="409"/>
      <c r="S113" s="409"/>
      <c r="T113" s="409"/>
      <c r="U113" s="409"/>
      <c r="V113" s="409"/>
      <c r="W113" s="409"/>
      <c r="X113" s="409"/>
      <c r="Y113" s="409"/>
      <c r="Z113" s="409"/>
      <c r="AA113" s="409"/>
      <c r="AB113" s="409"/>
      <c r="AC113" s="410"/>
      <c r="AD113" s="70"/>
      <c r="AE113" s="70"/>
      <c r="AF113" s="70"/>
      <c r="AG113" s="70"/>
      <c r="AH113" s="70"/>
      <c r="AI113" s="70"/>
      <c r="AJ113" s="70"/>
      <c r="AK113" s="74"/>
    </row>
    <row r="114" spans="1:37" s="110" customFormat="1" ht="15.75" x14ac:dyDescent="0.2">
      <c r="A114" s="90"/>
      <c r="B114" s="92"/>
      <c r="C114" s="74"/>
      <c r="D114" s="74"/>
      <c r="E114" s="74"/>
      <c r="F114" s="70"/>
      <c r="G114" s="70"/>
      <c r="H114" s="70"/>
      <c r="I114" s="70"/>
      <c r="J114" s="390" t="str">
        <f>Бюджет!K324</f>
        <v>профиль "Физика-Информатика: углубленная подготовка"</v>
      </c>
      <c r="K114" s="390"/>
      <c r="L114" s="390"/>
      <c r="M114" s="390"/>
      <c r="N114" s="390"/>
      <c r="O114" s="390"/>
      <c r="P114" s="390"/>
      <c r="Q114" s="390"/>
      <c r="R114" s="390"/>
      <c r="S114" s="390"/>
      <c r="T114" s="390"/>
      <c r="U114" s="390"/>
      <c r="V114" s="390"/>
      <c r="W114" s="390"/>
      <c r="X114" s="390"/>
      <c r="Y114" s="390"/>
      <c r="Z114" s="390"/>
      <c r="AA114" s="390"/>
      <c r="AB114" s="390"/>
      <c r="AC114" s="390"/>
      <c r="AD114" s="70"/>
      <c r="AE114" s="70"/>
      <c r="AF114" s="70"/>
      <c r="AG114" s="70"/>
      <c r="AH114" s="70"/>
      <c r="AI114" s="70"/>
      <c r="AJ114" s="66">
        <f t="shared" ref="AJ114:AJ118" si="16">SUM(G114,I114:AI114)</f>
        <v>0</v>
      </c>
      <c r="AK114" s="74"/>
    </row>
    <row r="115" spans="1:37" s="110" customFormat="1" ht="15" x14ac:dyDescent="0.2">
      <c r="A115" s="90" t="str">
        <f>Бюджет!A327</f>
        <v>Б1.О.31</v>
      </c>
      <c r="B115" s="90" t="str">
        <f>Бюджет!B327</f>
        <v>История физики</v>
      </c>
      <c r="C115" s="74" t="str">
        <f>Бюджет!C327</f>
        <v>5\А</v>
      </c>
      <c r="D115" s="74">
        <f>Бюджет!D327</f>
        <v>7</v>
      </c>
      <c r="E115" s="74">
        <f>Бюджет!E327</f>
        <v>1</v>
      </c>
      <c r="F115" s="70">
        <f>Бюджет!F327</f>
        <v>18</v>
      </c>
      <c r="G115" s="70">
        <f>Бюджет!G327</f>
        <v>18</v>
      </c>
      <c r="H115" s="70">
        <f>Бюджет!H327</f>
        <v>18</v>
      </c>
      <c r="I115" s="70">
        <f>Бюджет!I327</f>
        <v>18</v>
      </c>
      <c r="J115" s="70">
        <f>Бюджет!J327</f>
        <v>0</v>
      </c>
      <c r="K115" s="70">
        <f>Бюджет!K327</f>
        <v>2.1</v>
      </c>
      <c r="L115" s="70">
        <f>Бюджет!L327</f>
        <v>0</v>
      </c>
      <c r="M115" s="70">
        <f>Бюджет!M327</f>
        <v>0</v>
      </c>
      <c r="N115" s="70">
        <f>Бюджет!N327</f>
        <v>0</v>
      </c>
      <c r="O115" s="70">
        <f>Бюджет!O327</f>
        <v>0</v>
      </c>
      <c r="P115" s="70">
        <f>Бюджет!P327</f>
        <v>0</v>
      </c>
      <c r="Q115" s="70">
        <f>Бюджет!Q327</f>
        <v>0.9</v>
      </c>
      <c r="R115" s="70">
        <f>Бюджет!R327</f>
        <v>0</v>
      </c>
      <c r="S115" s="70">
        <f>Бюджет!S327</f>
        <v>0</v>
      </c>
      <c r="T115" s="70">
        <f>Бюджет!T327</f>
        <v>0</v>
      </c>
      <c r="U115" s="70">
        <f>Бюджет!U327</f>
        <v>0</v>
      </c>
      <c r="V115" s="70">
        <f>Бюджет!V327</f>
        <v>0</v>
      </c>
      <c r="W115" s="70">
        <f>Бюджет!W327</f>
        <v>0</v>
      </c>
      <c r="X115" s="70">
        <f>Бюджет!X327</f>
        <v>0</v>
      </c>
      <c r="Y115" s="70">
        <f>Бюджет!Y327</f>
        <v>0</v>
      </c>
      <c r="Z115" s="70">
        <f>Бюджет!Z327</f>
        <v>0</v>
      </c>
      <c r="AA115" s="70">
        <f>Бюджет!AA327</f>
        <v>0</v>
      </c>
      <c r="AB115" s="70">
        <f>Бюджет!AB327</f>
        <v>0</v>
      </c>
      <c r="AC115" s="70">
        <f>Бюджет!AC327</f>
        <v>0</v>
      </c>
      <c r="AD115" s="70">
        <f>Бюджет!AD327</f>
        <v>0</v>
      </c>
      <c r="AE115" s="70">
        <f>Бюджет!AE327</f>
        <v>0</v>
      </c>
      <c r="AF115" s="70">
        <f>Бюджет!AF327</f>
        <v>0</v>
      </c>
      <c r="AG115" s="70">
        <f>Бюджет!AG327</f>
        <v>0</v>
      </c>
      <c r="AH115" s="70">
        <f>Бюджет!AH327</f>
        <v>0</v>
      </c>
      <c r="AI115" s="70">
        <f>Бюджет!AI327</f>
        <v>0</v>
      </c>
      <c r="AJ115" s="66">
        <f t="shared" si="16"/>
        <v>39</v>
      </c>
      <c r="AK115" s="74"/>
    </row>
    <row r="116" spans="1:37" s="110" customFormat="1" ht="30" x14ac:dyDescent="0.2">
      <c r="A116" s="69" t="str">
        <f>Бюджет!A329</f>
        <v>Б1.О.38</v>
      </c>
      <c r="B116" s="69" t="str">
        <f>Бюджет!B329</f>
        <v>Волоконно-оптические линии связи (поток лекции и лабы ФИЗ СЗФ 4к и ПЕД)</v>
      </c>
      <c r="C116" s="233" t="str">
        <f>Бюджет!C329</f>
        <v>5\А</v>
      </c>
      <c r="D116" s="233">
        <f>Бюджет!D329</f>
        <v>7</v>
      </c>
      <c r="E116" s="233">
        <f>Бюджет!E329</f>
        <v>1</v>
      </c>
      <c r="F116" s="234">
        <f>Бюджет!F329</f>
        <v>18</v>
      </c>
      <c r="G116" s="234">
        <f>Бюджет!G329</f>
        <v>0</v>
      </c>
      <c r="H116" s="234">
        <f>Бюджет!H329</f>
        <v>0</v>
      </c>
      <c r="I116" s="234">
        <f>Бюджет!I329</f>
        <v>0</v>
      </c>
      <c r="J116" s="234">
        <f>Бюджет!J329</f>
        <v>0</v>
      </c>
      <c r="K116" s="234">
        <f>Бюджет!K329</f>
        <v>2.1</v>
      </c>
      <c r="L116" s="234">
        <f>Бюджет!L329</f>
        <v>0</v>
      </c>
      <c r="M116" s="234">
        <f>Бюджет!M329</f>
        <v>0</v>
      </c>
      <c r="N116" s="234">
        <f>Бюджет!N329</f>
        <v>0</v>
      </c>
      <c r="O116" s="234">
        <f>Бюджет!O329</f>
        <v>0</v>
      </c>
      <c r="P116" s="234">
        <f>Бюджет!P329</f>
        <v>0</v>
      </c>
      <c r="Q116" s="234">
        <f>Бюджет!Q329</f>
        <v>0</v>
      </c>
      <c r="R116" s="234">
        <f>Бюджет!R329</f>
        <v>0</v>
      </c>
      <c r="S116" s="234">
        <f>Бюджет!S329</f>
        <v>0</v>
      </c>
      <c r="T116" s="234">
        <f>Бюджет!T329</f>
        <v>0</v>
      </c>
      <c r="U116" s="234">
        <f>Бюджет!U329</f>
        <v>0</v>
      </c>
      <c r="V116" s="234">
        <f>Бюджет!V329</f>
        <v>0</v>
      </c>
      <c r="W116" s="234">
        <f>Бюджет!W329</f>
        <v>0</v>
      </c>
      <c r="X116" s="234">
        <f>Бюджет!X329</f>
        <v>0</v>
      </c>
      <c r="Y116" s="234">
        <f>Бюджет!Y329</f>
        <v>0</v>
      </c>
      <c r="Z116" s="234">
        <f>Бюджет!Z329</f>
        <v>0</v>
      </c>
      <c r="AA116" s="234">
        <f>Бюджет!AA329</f>
        <v>0</v>
      </c>
      <c r="AB116" s="234">
        <f>Бюджет!AB329</f>
        <v>0</v>
      </c>
      <c r="AC116" s="234">
        <f>Бюджет!AC329</f>
        <v>0</v>
      </c>
      <c r="AD116" s="234">
        <f>Бюджет!AD329</f>
        <v>0</v>
      </c>
      <c r="AE116" s="234">
        <f>Бюджет!AE329</f>
        <v>0</v>
      </c>
      <c r="AF116" s="234">
        <f>Бюджет!AF329</f>
        <v>0</v>
      </c>
      <c r="AG116" s="234">
        <f>Бюджет!AG329</f>
        <v>0</v>
      </c>
      <c r="AH116" s="234">
        <f>Бюджет!AH329</f>
        <v>0</v>
      </c>
      <c r="AI116" s="234">
        <f>Бюджет!AI329</f>
        <v>0</v>
      </c>
      <c r="AJ116" s="66">
        <f t="shared" si="16"/>
        <v>2.1</v>
      </c>
      <c r="AK116" s="74"/>
    </row>
    <row r="117" spans="1:37" s="110" customFormat="1" ht="15" x14ac:dyDescent="0.2">
      <c r="A117" s="69" t="str">
        <f>Бюджет!A330</f>
        <v>Б1.В.07</v>
      </c>
      <c r="B117" s="69" t="str">
        <f>Бюджет!B330</f>
        <v>Избранные главы элементарной физики</v>
      </c>
      <c r="C117" s="233" t="str">
        <f>Бюджет!C330</f>
        <v>5\9</v>
      </c>
      <c r="D117" s="233">
        <f>Бюджет!D330</f>
        <v>7</v>
      </c>
      <c r="E117" s="233">
        <f>Бюджет!E330</f>
        <v>1</v>
      </c>
      <c r="F117" s="234">
        <f>Бюджет!F330</f>
        <v>34</v>
      </c>
      <c r="G117" s="234">
        <f>Бюджет!G330</f>
        <v>34</v>
      </c>
      <c r="H117" s="234">
        <f>Бюджет!H330</f>
        <v>34</v>
      </c>
      <c r="I117" s="234">
        <f>Бюджет!I330</f>
        <v>34</v>
      </c>
      <c r="J117" s="234">
        <f>Бюджет!J330</f>
        <v>0</v>
      </c>
      <c r="K117" s="234">
        <f>Бюджет!K330</f>
        <v>0</v>
      </c>
      <c r="L117" s="234">
        <f>Бюджет!L330</f>
        <v>0</v>
      </c>
      <c r="M117" s="234">
        <f>Бюджет!M330</f>
        <v>2.8000000000000003</v>
      </c>
      <c r="N117" s="234">
        <f>Бюджет!N330</f>
        <v>0</v>
      </c>
      <c r="O117" s="234">
        <f>Бюджет!O330</f>
        <v>0</v>
      </c>
      <c r="P117" s="234">
        <f>Бюджет!P330</f>
        <v>0</v>
      </c>
      <c r="Q117" s="234">
        <f>Бюджет!Q330</f>
        <v>2.7</v>
      </c>
      <c r="R117" s="234">
        <f>Бюджет!R330</f>
        <v>0</v>
      </c>
      <c r="S117" s="234">
        <f>Бюджет!S330</f>
        <v>0</v>
      </c>
      <c r="T117" s="234">
        <f>Бюджет!T330</f>
        <v>0</v>
      </c>
      <c r="U117" s="234">
        <f>Бюджет!U330</f>
        <v>0</v>
      </c>
      <c r="V117" s="234">
        <f>Бюджет!V330</f>
        <v>0</v>
      </c>
      <c r="W117" s="234">
        <f>Бюджет!W330</f>
        <v>0</v>
      </c>
      <c r="X117" s="234">
        <f>Бюджет!X330</f>
        <v>0</v>
      </c>
      <c r="Y117" s="234">
        <f>Бюджет!Y330</f>
        <v>0</v>
      </c>
      <c r="Z117" s="234">
        <f>Бюджет!Z330</f>
        <v>0</v>
      </c>
      <c r="AA117" s="234">
        <f>Бюджет!AA330</f>
        <v>0</v>
      </c>
      <c r="AB117" s="234">
        <f>Бюджет!AB330</f>
        <v>0</v>
      </c>
      <c r="AC117" s="234">
        <f>Бюджет!AC330</f>
        <v>0</v>
      </c>
      <c r="AD117" s="234">
        <f>Бюджет!AD330</f>
        <v>0</v>
      </c>
      <c r="AE117" s="234">
        <f>Бюджет!AE330</f>
        <v>0</v>
      </c>
      <c r="AF117" s="234">
        <f>Бюджет!AF330</f>
        <v>0</v>
      </c>
      <c r="AG117" s="234">
        <f>Бюджет!AG330</f>
        <v>0</v>
      </c>
      <c r="AH117" s="234">
        <f>Бюджет!AH330</f>
        <v>0</v>
      </c>
      <c r="AI117" s="234">
        <f>Бюджет!AI330</f>
        <v>0</v>
      </c>
      <c r="AJ117" s="66">
        <f t="shared" ref="AJ117" si="17">SUM(G117,I117:AI117)</f>
        <v>73.5</v>
      </c>
      <c r="AK117" s="74"/>
    </row>
    <row r="118" spans="1:37" s="110" customFormat="1" ht="30" x14ac:dyDescent="0.2">
      <c r="A118" s="69" t="str">
        <f>Бюджет!A331</f>
        <v>Б1.В.08</v>
      </c>
      <c r="B118" s="69" t="str">
        <f>Бюджет!B331</f>
        <v>Решение олимпиадных задач по информатике</v>
      </c>
      <c r="C118" s="233" t="str">
        <f>Бюджет!C331</f>
        <v>5\9</v>
      </c>
      <c r="D118" s="233">
        <f>Бюджет!D331</f>
        <v>7</v>
      </c>
      <c r="E118" s="233">
        <f>Бюджет!E331</f>
        <v>1</v>
      </c>
      <c r="F118" s="234">
        <f>Бюджет!F331</f>
        <v>0</v>
      </c>
      <c r="G118" s="234">
        <f>Бюджет!G331</f>
        <v>0</v>
      </c>
      <c r="H118" s="234">
        <f>Бюджет!H331</f>
        <v>34</v>
      </c>
      <c r="I118" s="234">
        <f>Бюджет!I331</f>
        <v>34</v>
      </c>
      <c r="J118" s="234">
        <f>Бюджет!J331</f>
        <v>0</v>
      </c>
      <c r="K118" s="234">
        <f>Бюджет!K331</f>
        <v>2.1</v>
      </c>
      <c r="L118" s="234">
        <f>Бюджет!L331</f>
        <v>0</v>
      </c>
      <c r="M118" s="234">
        <f>Бюджет!M331</f>
        <v>0</v>
      </c>
      <c r="N118" s="234">
        <f>Бюджет!N331</f>
        <v>0</v>
      </c>
      <c r="O118" s="234">
        <f>Бюджет!O331</f>
        <v>0</v>
      </c>
      <c r="P118" s="234">
        <f>Бюджет!P331</f>
        <v>0</v>
      </c>
      <c r="Q118" s="234">
        <f>Бюджет!Q331</f>
        <v>0</v>
      </c>
      <c r="R118" s="234">
        <f>Бюджет!R331</f>
        <v>0</v>
      </c>
      <c r="S118" s="234">
        <f>Бюджет!S331</f>
        <v>0</v>
      </c>
      <c r="T118" s="234">
        <f>Бюджет!T331</f>
        <v>0</v>
      </c>
      <c r="U118" s="234">
        <f>Бюджет!U331</f>
        <v>0</v>
      </c>
      <c r="V118" s="234">
        <f>Бюджет!V331</f>
        <v>0</v>
      </c>
      <c r="W118" s="234">
        <f>Бюджет!W331</f>
        <v>0</v>
      </c>
      <c r="X118" s="234">
        <f>Бюджет!X331</f>
        <v>0</v>
      </c>
      <c r="Y118" s="234">
        <f>Бюджет!Y331</f>
        <v>0</v>
      </c>
      <c r="Z118" s="234">
        <f>Бюджет!Z331</f>
        <v>0</v>
      </c>
      <c r="AA118" s="234">
        <f>Бюджет!AA331</f>
        <v>0</v>
      </c>
      <c r="AB118" s="234">
        <f>Бюджет!AB331</f>
        <v>0</v>
      </c>
      <c r="AC118" s="234">
        <f>Бюджет!AC331</f>
        <v>0</v>
      </c>
      <c r="AD118" s="234">
        <f>Бюджет!AD331</f>
        <v>0</v>
      </c>
      <c r="AE118" s="234">
        <f>Бюджет!AE331</f>
        <v>0</v>
      </c>
      <c r="AF118" s="234">
        <f>Бюджет!AF331</f>
        <v>0</v>
      </c>
      <c r="AG118" s="234">
        <f>Бюджет!AG331</f>
        <v>0</v>
      </c>
      <c r="AH118" s="234">
        <f>Бюджет!AH331</f>
        <v>0</v>
      </c>
      <c r="AI118" s="234">
        <f>Бюджет!AI331</f>
        <v>0</v>
      </c>
      <c r="AJ118" s="66">
        <f t="shared" si="16"/>
        <v>36.1</v>
      </c>
      <c r="AK118" s="74"/>
    </row>
    <row r="119" spans="1:37" s="110" customFormat="1" ht="15.75" x14ac:dyDescent="0.2">
      <c r="A119" s="90"/>
      <c r="B119" s="108" t="s">
        <v>238</v>
      </c>
      <c r="C119" s="91"/>
      <c r="D119" s="91"/>
      <c r="E119" s="91"/>
      <c r="F119" s="88">
        <f>SUM(F115:F118)</f>
        <v>70</v>
      </c>
      <c r="G119" s="88">
        <f t="shared" ref="G119:AJ119" si="18">SUM(G115:G118)</f>
        <v>52</v>
      </c>
      <c r="H119" s="88">
        <f t="shared" si="18"/>
        <v>86</v>
      </c>
      <c r="I119" s="88">
        <f t="shared" si="18"/>
        <v>86</v>
      </c>
      <c r="J119" s="88">
        <f t="shared" si="18"/>
        <v>0</v>
      </c>
      <c r="K119" s="88">
        <f t="shared" si="18"/>
        <v>6.3000000000000007</v>
      </c>
      <c r="L119" s="88">
        <f t="shared" si="18"/>
        <v>0</v>
      </c>
      <c r="M119" s="88">
        <f t="shared" si="18"/>
        <v>2.8000000000000003</v>
      </c>
      <c r="N119" s="88">
        <f t="shared" si="18"/>
        <v>0</v>
      </c>
      <c r="O119" s="88">
        <f t="shared" si="18"/>
        <v>0</v>
      </c>
      <c r="P119" s="88">
        <f t="shared" si="18"/>
        <v>0</v>
      </c>
      <c r="Q119" s="88">
        <f t="shared" si="18"/>
        <v>3.6</v>
      </c>
      <c r="R119" s="88">
        <f t="shared" si="18"/>
        <v>0</v>
      </c>
      <c r="S119" s="88">
        <f t="shared" si="18"/>
        <v>0</v>
      </c>
      <c r="T119" s="88">
        <f t="shared" si="18"/>
        <v>0</v>
      </c>
      <c r="U119" s="88">
        <f t="shared" si="18"/>
        <v>0</v>
      </c>
      <c r="V119" s="88">
        <f t="shared" si="18"/>
        <v>0</v>
      </c>
      <c r="W119" s="88">
        <f t="shared" si="18"/>
        <v>0</v>
      </c>
      <c r="X119" s="88">
        <f t="shared" si="18"/>
        <v>0</v>
      </c>
      <c r="Y119" s="88">
        <f t="shared" si="18"/>
        <v>0</v>
      </c>
      <c r="Z119" s="88">
        <f t="shared" si="18"/>
        <v>0</v>
      </c>
      <c r="AA119" s="88">
        <f t="shared" si="18"/>
        <v>0</v>
      </c>
      <c r="AB119" s="88">
        <f t="shared" si="18"/>
        <v>0</v>
      </c>
      <c r="AC119" s="88">
        <f t="shared" si="18"/>
        <v>0</v>
      </c>
      <c r="AD119" s="88">
        <f t="shared" si="18"/>
        <v>0</v>
      </c>
      <c r="AE119" s="88">
        <f t="shared" si="18"/>
        <v>0</v>
      </c>
      <c r="AF119" s="88">
        <f t="shared" si="18"/>
        <v>0</v>
      </c>
      <c r="AG119" s="88">
        <f t="shared" si="18"/>
        <v>0</v>
      </c>
      <c r="AH119" s="88">
        <f t="shared" si="18"/>
        <v>0</v>
      </c>
      <c r="AI119" s="88">
        <f t="shared" si="18"/>
        <v>0</v>
      </c>
      <c r="AJ119" s="88">
        <f t="shared" si="18"/>
        <v>150.69999999999999</v>
      </c>
      <c r="AK119" s="74"/>
    </row>
    <row r="120" spans="1:37" s="110" customFormat="1" ht="15.75" x14ac:dyDescent="0.2">
      <c r="A120" s="90"/>
      <c r="B120" s="100"/>
      <c r="C120" s="275"/>
      <c r="D120" s="275"/>
      <c r="E120" s="275"/>
      <c r="F120" s="73"/>
      <c r="G120" s="73"/>
      <c r="H120" s="73"/>
      <c r="I120" s="73"/>
      <c r="J120" s="117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9"/>
      <c r="AD120" s="73"/>
      <c r="AE120" s="73"/>
      <c r="AF120" s="73"/>
      <c r="AG120" s="73"/>
      <c r="AH120" s="73"/>
      <c r="AI120" s="73"/>
      <c r="AJ120" s="73"/>
      <c r="AK120" s="74"/>
    </row>
    <row r="121" spans="1:37" s="110" customFormat="1" ht="15.75" x14ac:dyDescent="0.2">
      <c r="A121" s="90"/>
      <c r="B121" s="92"/>
      <c r="C121" s="74"/>
      <c r="D121" s="74"/>
      <c r="E121" s="74"/>
      <c r="F121" s="70"/>
      <c r="G121" s="70"/>
      <c r="H121" s="70"/>
      <c r="I121" s="70"/>
      <c r="J121" s="408" t="str">
        <f>Бюджет!L339</f>
        <v>09.03.02 Информационные системы и технологии</v>
      </c>
      <c r="K121" s="409"/>
      <c r="L121" s="409"/>
      <c r="M121" s="409"/>
      <c r="N121" s="409"/>
      <c r="O121" s="409"/>
      <c r="P121" s="409"/>
      <c r="Q121" s="409"/>
      <c r="R121" s="409"/>
      <c r="S121" s="409"/>
      <c r="T121" s="409"/>
      <c r="U121" s="409"/>
      <c r="V121" s="409"/>
      <c r="W121" s="409"/>
      <c r="X121" s="409"/>
      <c r="Y121" s="409"/>
      <c r="Z121" s="409"/>
      <c r="AA121" s="409"/>
      <c r="AB121" s="409"/>
      <c r="AC121" s="410"/>
      <c r="AD121" s="70"/>
      <c r="AE121" s="70"/>
      <c r="AF121" s="70"/>
      <c r="AG121" s="70"/>
      <c r="AH121" s="70"/>
      <c r="AI121" s="70"/>
      <c r="AJ121" s="70"/>
      <c r="AK121" s="74"/>
    </row>
    <row r="122" spans="1:37" s="110" customFormat="1" ht="15.75" x14ac:dyDescent="0.2">
      <c r="A122" s="90"/>
      <c r="B122" s="92"/>
      <c r="C122" s="74"/>
      <c r="D122" s="74"/>
      <c r="E122" s="74"/>
      <c r="F122" s="70"/>
      <c r="G122" s="70"/>
      <c r="H122" s="70"/>
      <c r="I122" s="70"/>
      <c r="J122" s="390" t="str">
        <f>Бюджет!K340</f>
        <v>профиль "Электронный инжиниринг"</v>
      </c>
      <c r="K122" s="390"/>
      <c r="L122" s="390"/>
      <c r="M122" s="390"/>
      <c r="N122" s="390"/>
      <c r="O122" s="390"/>
      <c r="P122" s="390"/>
      <c r="Q122" s="390"/>
      <c r="R122" s="390"/>
      <c r="S122" s="390"/>
      <c r="T122" s="390"/>
      <c r="U122" s="390"/>
      <c r="V122" s="390"/>
      <c r="W122" s="390"/>
      <c r="X122" s="390"/>
      <c r="Y122" s="390"/>
      <c r="Z122" s="390"/>
      <c r="AA122" s="390"/>
      <c r="AB122" s="390"/>
      <c r="AC122" s="390"/>
      <c r="AD122" s="70"/>
      <c r="AE122" s="70"/>
      <c r="AF122" s="70"/>
      <c r="AG122" s="70"/>
      <c r="AH122" s="70"/>
      <c r="AI122" s="70"/>
      <c r="AJ122" s="70"/>
      <c r="AK122" s="74"/>
    </row>
    <row r="123" spans="1:37" s="110" customFormat="1" ht="15" x14ac:dyDescent="0.2">
      <c r="A123" s="90" t="str">
        <f>Бюджет!A342</f>
        <v>Б1.О.09</v>
      </c>
      <c r="B123" s="90" t="str">
        <f>Бюджет!B342</f>
        <v>Безопасность жизнедеятельности</v>
      </c>
      <c r="C123" s="74" t="str">
        <f>Бюджет!C342</f>
        <v>1\1</v>
      </c>
      <c r="D123" s="74">
        <f>Бюджет!D342</f>
        <v>25</v>
      </c>
      <c r="E123" s="74">
        <f>Бюджет!E342</f>
        <v>1</v>
      </c>
      <c r="F123" s="70">
        <f>Бюджет!F342</f>
        <v>0</v>
      </c>
      <c r="G123" s="70">
        <f>Бюджет!G342</f>
        <v>0</v>
      </c>
      <c r="H123" s="70">
        <f>Бюджет!H342</f>
        <v>16</v>
      </c>
      <c r="I123" s="70">
        <f>Бюджет!I342</f>
        <v>16</v>
      </c>
      <c r="J123" s="70">
        <f>Бюджет!J342</f>
        <v>0</v>
      </c>
      <c r="K123" s="70">
        <f>Бюджет!K342</f>
        <v>7.5</v>
      </c>
      <c r="L123" s="70">
        <f>Бюджет!L342</f>
        <v>0</v>
      </c>
      <c r="M123" s="70">
        <f>Бюджет!M342</f>
        <v>0</v>
      </c>
      <c r="N123" s="70">
        <f>Бюджет!N342</f>
        <v>0</v>
      </c>
      <c r="O123" s="70">
        <f>Бюджет!O342</f>
        <v>0</v>
      </c>
      <c r="P123" s="70">
        <f>Бюджет!P342</f>
        <v>0</v>
      </c>
      <c r="Q123" s="70">
        <f>Бюджет!Q342</f>
        <v>0</v>
      </c>
      <c r="R123" s="70">
        <f>Бюджет!R342</f>
        <v>0</v>
      </c>
      <c r="S123" s="70">
        <f>Бюджет!S342</f>
        <v>0</v>
      </c>
      <c r="T123" s="70">
        <f>Бюджет!T342</f>
        <v>0</v>
      </c>
      <c r="U123" s="70">
        <f>Бюджет!U342</f>
        <v>0</v>
      </c>
      <c r="V123" s="70">
        <f>Бюджет!V342</f>
        <v>0</v>
      </c>
      <c r="W123" s="70">
        <f>Бюджет!W342</f>
        <v>0</v>
      </c>
      <c r="X123" s="70">
        <f>Бюджет!X342</f>
        <v>0</v>
      </c>
      <c r="Y123" s="70">
        <f>Бюджет!Y342</f>
        <v>0</v>
      </c>
      <c r="Z123" s="70">
        <f>Бюджет!Z342</f>
        <v>0</v>
      </c>
      <c r="AA123" s="70">
        <f>Бюджет!AA342</f>
        <v>0</v>
      </c>
      <c r="AB123" s="70">
        <f>Бюджет!AB342</f>
        <v>0</v>
      </c>
      <c r="AC123" s="70">
        <f>Бюджет!AC342</f>
        <v>0</v>
      </c>
      <c r="AD123" s="70">
        <f>Бюджет!AD342</f>
        <v>0</v>
      </c>
      <c r="AE123" s="70">
        <f>Бюджет!AE342</f>
        <v>0</v>
      </c>
      <c r="AF123" s="70">
        <f>Бюджет!AF342</f>
        <v>0</v>
      </c>
      <c r="AG123" s="70">
        <f>Бюджет!AG342</f>
        <v>0</v>
      </c>
      <c r="AH123" s="70">
        <f>Бюджет!AH342</f>
        <v>0</v>
      </c>
      <c r="AI123" s="70">
        <f>Бюджет!AI342</f>
        <v>0</v>
      </c>
      <c r="AJ123" s="66">
        <f t="shared" ref="AJ123" si="19">SUM(G123,I123:AI123)</f>
        <v>23.5</v>
      </c>
      <c r="AK123" s="74"/>
    </row>
    <row r="124" spans="1:37" s="110" customFormat="1" ht="15.75" x14ac:dyDescent="0.2">
      <c r="A124" s="90"/>
      <c r="B124" s="108" t="s">
        <v>490</v>
      </c>
      <c r="C124" s="91"/>
      <c r="D124" s="91"/>
      <c r="E124" s="91"/>
      <c r="F124" s="88">
        <f>SUM(F123:F123)</f>
        <v>0</v>
      </c>
      <c r="G124" s="88">
        <f t="shared" ref="G124:AJ124" si="20">SUM(G123:G123)</f>
        <v>0</v>
      </c>
      <c r="H124" s="88">
        <f t="shared" si="20"/>
        <v>16</v>
      </c>
      <c r="I124" s="88">
        <f t="shared" si="20"/>
        <v>16</v>
      </c>
      <c r="J124" s="88">
        <f t="shared" si="20"/>
        <v>0</v>
      </c>
      <c r="K124" s="88">
        <f t="shared" si="20"/>
        <v>7.5</v>
      </c>
      <c r="L124" s="88">
        <f t="shared" si="20"/>
        <v>0</v>
      </c>
      <c r="M124" s="88">
        <f t="shared" si="20"/>
        <v>0</v>
      </c>
      <c r="N124" s="88">
        <f t="shared" si="20"/>
        <v>0</v>
      </c>
      <c r="O124" s="88">
        <f t="shared" si="20"/>
        <v>0</v>
      </c>
      <c r="P124" s="88">
        <f t="shared" si="20"/>
        <v>0</v>
      </c>
      <c r="Q124" s="88">
        <f t="shared" si="20"/>
        <v>0</v>
      </c>
      <c r="R124" s="88">
        <f t="shared" si="20"/>
        <v>0</v>
      </c>
      <c r="S124" s="88">
        <f t="shared" si="20"/>
        <v>0</v>
      </c>
      <c r="T124" s="88">
        <f t="shared" si="20"/>
        <v>0</v>
      </c>
      <c r="U124" s="88">
        <f t="shared" si="20"/>
        <v>0</v>
      </c>
      <c r="V124" s="88">
        <f t="shared" si="20"/>
        <v>0</v>
      </c>
      <c r="W124" s="88">
        <f t="shared" si="20"/>
        <v>0</v>
      </c>
      <c r="X124" s="88">
        <f t="shared" si="20"/>
        <v>0</v>
      </c>
      <c r="Y124" s="88">
        <f t="shared" si="20"/>
        <v>0</v>
      </c>
      <c r="Z124" s="88">
        <f t="shared" si="20"/>
        <v>0</v>
      </c>
      <c r="AA124" s="88">
        <f t="shared" si="20"/>
        <v>0</v>
      </c>
      <c r="AB124" s="88">
        <f t="shared" si="20"/>
        <v>0</v>
      </c>
      <c r="AC124" s="88">
        <f t="shared" si="20"/>
        <v>0</v>
      </c>
      <c r="AD124" s="88">
        <f t="shared" si="20"/>
        <v>0</v>
      </c>
      <c r="AE124" s="88">
        <f t="shared" si="20"/>
        <v>0</v>
      </c>
      <c r="AF124" s="88">
        <f t="shared" si="20"/>
        <v>0</v>
      </c>
      <c r="AG124" s="88">
        <f t="shared" si="20"/>
        <v>0</v>
      </c>
      <c r="AH124" s="88">
        <f t="shared" si="20"/>
        <v>0</v>
      </c>
      <c r="AI124" s="88">
        <f t="shared" si="20"/>
        <v>0</v>
      </c>
      <c r="AJ124" s="88">
        <f t="shared" si="20"/>
        <v>23.5</v>
      </c>
      <c r="AK124" s="74"/>
    </row>
    <row r="125" spans="1:37" s="110" customFormat="1" ht="15.75" x14ac:dyDescent="0.2">
      <c r="A125" s="90"/>
      <c r="B125" s="100"/>
      <c r="C125" s="275"/>
      <c r="D125" s="275"/>
      <c r="E125" s="275"/>
      <c r="F125" s="73"/>
      <c r="G125" s="73"/>
      <c r="H125" s="73"/>
      <c r="I125" s="73"/>
      <c r="J125" s="117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9"/>
      <c r="AD125" s="73"/>
      <c r="AE125" s="73"/>
      <c r="AF125" s="73"/>
      <c r="AG125" s="73"/>
      <c r="AH125" s="73"/>
      <c r="AI125" s="73"/>
      <c r="AJ125" s="73"/>
      <c r="AK125" s="74"/>
    </row>
    <row r="126" spans="1:37" s="110" customFormat="1" ht="15.75" x14ac:dyDescent="0.2">
      <c r="A126" s="90"/>
      <c r="B126" s="100"/>
      <c r="C126" s="275"/>
      <c r="D126" s="275"/>
      <c r="E126" s="275"/>
      <c r="F126" s="73"/>
      <c r="G126" s="73"/>
      <c r="H126" s="73"/>
      <c r="I126" s="73"/>
      <c r="J126" s="408" t="str">
        <f>Бюджет!L363</f>
        <v>03.04.03 Радиофизика</v>
      </c>
      <c r="K126" s="409"/>
      <c r="L126" s="409"/>
      <c r="M126" s="409"/>
      <c r="N126" s="409"/>
      <c r="O126" s="409"/>
      <c r="P126" s="409"/>
      <c r="Q126" s="409"/>
      <c r="R126" s="409"/>
      <c r="S126" s="409"/>
      <c r="T126" s="409"/>
      <c r="U126" s="409"/>
      <c r="V126" s="409"/>
      <c r="W126" s="409"/>
      <c r="X126" s="409"/>
      <c r="Y126" s="409"/>
      <c r="Z126" s="409"/>
      <c r="AA126" s="409"/>
      <c r="AB126" s="409"/>
      <c r="AC126" s="410"/>
      <c r="AD126" s="73"/>
      <c r="AE126" s="73"/>
      <c r="AF126" s="73"/>
      <c r="AG126" s="73"/>
      <c r="AH126" s="73"/>
      <c r="AI126" s="73"/>
      <c r="AJ126" s="73"/>
      <c r="AK126" s="74"/>
    </row>
    <row r="127" spans="1:37" s="110" customFormat="1" ht="15.75" x14ac:dyDescent="0.2">
      <c r="A127" s="90"/>
      <c r="B127" s="100"/>
      <c r="C127" s="275"/>
      <c r="D127" s="275"/>
      <c r="E127" s="275"/>
      <c r="F127" s="73"/>
      <c r="G127" s="73"/>
      <c r="H127" s="73"/>
      <c r="I127" s="73"/>
      <c r="J127" s="390" t="str">
        <f>Бюджет!K364</f>
        <v>профиль "Информационные процессы и системы"</v>
      </c>
      <c r="K127" s="390"/>
      <c r="L127" s="390"/>
      <c r="M127" s="390"/>
      <c r="N127" s="390"/>
      <c r="O127" s="390"/>
      <c r="P127" s="390"/>
      <c r="Q127" s="390"/>
      <c r="R127" s="390"/>
      <c r="S127" s="390"/>
      <c r="T127" s="390"/>
      <c r="U127" s="390"/>
      <c r="V127" s="390"/>
      <c r="W127" s="390"/>
      <c r="X127" s="390"/>
      <c r="Y127" s="390"/>
      <c r="Z127" s="390"/>
      <c r="AA127" s="390"/>
      <c r="AB127" s="390"/>
      <c r="AC127" s="390"/>
      <c r="AD127" s="73"/>
      <c r="AE127" s="73"/>
      <c r="AF127" s="73"/>
      <c r="AG127" s="73"/>
      <c r="AH127" s="73"/>
      <c r="AI127" s="73"/>
      <c r="AJ127" s="66">
        <f t="shared" ref="AJ127:AJ129" si="21">SUM(G127,I127:AI127)</f>
        <v>0</v>
      </c>
      <c r="AK127" s="74"/>
    </row>
    <row r="128" spans="1:37" s="110" customFormat="1" ht="30" x14ac:dyDescent="0.2">
      <c r="A128" s="90" t="str">
        <f>Бюджет!A379</f>
        <v>Б1.ДВ.02.01</v>
      </c>
      <c r="B128" s="60" t="str">
        <f>Бюджет!B379</f>
        <v>Компьютерное зрение в научных исследованиях</v>
      </c>
      <c r="C128" s="74" t="str">
        <f>Бюджет!C379</f>
        <v>2\3</v>
      </c>
      <c r="D128" s="74">
        <f>Бюджет!D379</f>
        <v>5</v>
      </c>
      <c r="E128" s="74">
        <f>Бюджет!E379</f>
        <v>1</v>
      </c>
      <c r="F128" s="70">
        <f>Бюджет!F379</f>
        <v>36</v>
      </c>
      <c r="G128" s="70">
        <f>Бюджет!G379</f>
        <v>36</v>
      </c>
      <c r="H128" s="70">
        <f>Бюджет!H379</f>
        <v>36</v>
      </c>
      <c r="I128" s="70">
        <f>Бюджет!I379</f>
        <v>36</v>
      </c>
      <c r="J128" s="70">
        <f>Бюджет!J379</f>
        <v>0</v>
      </c>
      <c r="K128" s="70">
        <f>Бюджет!K379</f>
        <v>0</v>
      </c>
      <c r="L128" s="70">
        <f>Бюджет!L379</f>
        <v>0</v>
      </c>
      <c r="M128" s="70">
        <f>Бюджет!M379</f>
        <v>2</v>
      </c>
      <c r="N128" s="70">
        <f>Бюджет!N379</f>
        <v>0</v>
      </c>
      <c r="O128" s="70">
        <f>Бюджет!O379</f>
        <v>0</v>
      </c>
      <c r="P128" s="70">
        <f>Бюджет!P379</f>
        <v>0</v>
      </c>
      <c r="Q128" s="70">
        <f>Бюджет!Q379</f>
        <v>2.8</v>
      </c>
      <c r="R128" s="70">
        <f>Бюджет!R379</f>
        <v>0</v>
      </c>
      <c r="S128" s="70">
        <f>Бюджет!S379</f>
        <v>0</v>
      </c>
      <c r="T128" s="70">
        <f>Бюджет!T379</f>
        <v>0</v>
      </c>
      <c r="U128" s="70">
        <f>Бюджет!U379</f>
        <v>0</v>
      </c>
      <c r="V128" s="70">
        <f>Бюджет!V379</f>
        <v>0</v>
      </c>
      <c r="W128" s="70">
        <f>Бюджет!W379</f>
        <v>0</v>
      </c>
      <c r="X128" s="70">
        <f>Бюджет!X379</f>
        <v>0</v>
      </c>
      <c r="Y128" s="70">
        <f>Бюджет!Y379</f>
        <v>0</v>
      </c>
      <c r="Z128" s="70">
        <f>Бюджет!Z379</f>
        <v>0</v>
      </c>
      <c r="AA128" s="70">
        <f>Бюджет!AA379</f>
        <v>0</v>
      </c>
      <c r="AB128" s="70">
        <f>Бюджет!AB379</f>
        <v>0</v>
      </c>
      <c r="AC128" s="70">
        <f>Бюджет!AC379</f>
        <v>0</v>
      </c>
      <c r="AD128" s="70">
        <f>Бюджет!AD379</f>
        <v>0</v>
      </c>
      <c r="AE128" s="70">
        <f>Бюджет!AE379</f>
        <v>0</v>
      </c>
      <c r="AF128" s="70">
        <f>Бюджет!AF379</f>
        <v>0</v>
      </c>
      <c r="AG128" s="70">
        <f>Бюджет!AG379</f>
        <v>0</v>
      </c>
      <c r="AH128" s="70">
        <f>Бюджет!AH379</f>
        <v>0</v>
      </c>
      <c r="AI128" s="70">
        <f>Бюджет!AI379</f>
        <v>6</v>
      </c>
      <c r="AJ128" s="66">
        <f t="shared" si="21"/>
        <v>82.8</v>
      </c>
      <c r="AK128" s="74"/>
    </row>
    <row r="129" spans="1:37" s="110" customFormat="1" ht="30" x14ac:dyDescent="0.2">
      <c r="A129" s="90" t="str">
        <f>Бюджет!A380</f>
        <v>Б1.ДВ.03.01</v>
      </c>
      <c r="B129" s="60" t="str">
        <f>Бюджет!B380</f>
        <v>Распределенные баз данных. Блокчейн (поток ФИЗ АВЭ, РФ маг)</v>
      </c>
      <c r="C129" s="74" t="str">
        <f>Бюджет!C380</f>
        <v>2\3</v>
      </c>
      <c r="D129" s="74">
        <f>Бюджет!D380</f>
        <v>5</v>
      </c>
      <c r="E129" s="74">
        <f>Бюджет!E380</f>
        <v>1</v>
      </c>
      <c r="F129" s="70">
        <f>Бюджет!F380</f>
        <v>34</v>
      </c>
      <c r="G129" s="70">
        <f>Бюджет!G380</f>
        <v>34</v>
      </c>
      <c r="H129" s="70">
        <f>Бюджет!H380</f>
        <v>34</v>
      </c>
      <c r="I129" s="70">
        <f>Бюджет!I380</f>
        <v>34</v>
      </c>
      <c r="J129" s="70">
        <f>Бюджет!J380</f>
        <v>0</v>
      </c>
      <c r="K129" s="70">
        <f>Бюджет!K380</f>
        <v>1.5</v>
      </c>
      <c r="L129" s="70">
        <f>Бюджет!L380</f>
        <v>0</v>
      </c>
      <c r="M129" s="70">
        <f>Бюджет!M380</f>
        <v>0</v>
      </c>
      <c r="N129" s="70">
        <f>Бюджет!N380</f>
        <v>0</v>
      </c>
      <c r="O129" s="70">
        <f>Бюджет!O380</f>
        <v>0</v>
      </c>
      <c r="P129" s="70">
        <f>Бюджет!P380</f>
        <v>0</v>
      </c>
      <c r="Q129" s="70">
        <f>Бюджет!Q380</f>
        <v>1.7000000000000002</v>
      </c>
      <c r="R129" s="70">
        <f>Бюджет!R380</f>
        <v>0</v>
      </c>
      <c r="S129" s="70">
        <f>Бюджет!S380</f>
        <v>0</v>
      </c>
      <c r="T129" s="70">
        <f>Бюджет!T380</f>
        <v>0</v>
      </c>
      <c r="U129" s="70">
        <f>Бюджет!U380</f>
        <v>0</v>
      </c>
      <c r="V129" s="70">
        <f>Бюджет!V380</f>
        <v>0</v>
      </c>
      <c r="W129" s="70">
        <f>Бюджет!W380</f>
        <v>0</v>
      </c>
      <c r="X129" s="70">
        <f>Бюджет!X380</f>
        <v>0</v>
      </c>
      <c r="Y129" s="70">
        <f>Бюджет!Y380</f>
        <v>0</v>
      </c>
      <c r="Z129" s="70">
        <f>Бюджет!Z380</f>
        <v>0</v>
      </c>
      <c r="AA129" s="70">
        <f>Бюджет!AA380</f>
        <v>0</v>
      </c>
      <c r="AB129" s="70">
        <f>Бюджет!AB380</f>
        <v>0</v>
      </c>
      <c r="AC129" s="70">
        <f>Бюджет!AC380</f>
        <v>0</v>
      </c>
      <c r="AD129" s="70">
        <f>Бюджет!AD380</f>
        <v>0</v>
      </c>
      <c r="AE129" s="70">
        <f>Бюджет!AE380</f>
        <v>0</v>
      </c>
      <c r="AF129" s="70">
        <f>Бюджет!AF380</f>
        <v>0</v>
      </c>
      <c r="AG129" s="70">
        <f>Бюджет!AG380</f>
        <v>0</v>
      </c>
      <c r="AH129" s="70">
        <f>Бюджет!AH380</f>
        <v>0</v>
      </c>
      <c r="AI129" s="70">
        <f>Бюджет!AI380</f>
        <v>4</v>
      </c>
      <c r="AJ129" s="66">
        <f t="shared" si="21"/>
        <v>75.2</v>
      </c>
      <c r="AK129" s="74"/>
    </row>
    <row r="130" spans="1:37" s="110" customFormat="1" ht="15.75" x14ac:dyDescent="0.2">
      <c r="A130" s="90"/>
      <c r="B130" s="108" t="s">
        <v>292</v>
      </c>
      <c r="C130" s="91"/>
      <c r="D130" s="91"/>
      <c r="E130" s="91"/>
      <c r="F130" s="88">
        <f>SUM(F128:F129)</f>
        <v>70</v>
      </c>
      <c r="G130" s="88">
        <f t="shared" ref="G130:AJ130" si="22">SUM(G128:G129)</f>
        <v>70</v>
      </c>
      <c r="H130" s="88">
        <f t="shared" si="22"/>
        <v>70</v>
      </c>
      <c r="I130" s="88">
        <f t="shared" si="22"/>
        <v>70</v>
      </c>
      <c r="J130" s="88">
        <f t="shared" si="22"/>
        <v>0</v>
      </c>
      <c r="K130" s="88">
        <f t="shared" si="22"/>
        <v>1.5</v>
      </c>
      <c r="L130" s="88">
        <f t="shared" si="22"/>
        <v>0</v>
      </c>
      <c r="M130" s="88">
        <f t="shared" si="22"/>
        <v>2</v>
      </c>
      <c r="N130" s="88">
        <f t="shared" si="22"/>
        <v>0</v>
      </c>
      <c r="O130" s="88">
        <f t="shared" si="22"/>
        <v>0</v>
      </c>
      <c r="P130" s="88">
        <f t="shared" si="22"/>
        <v>0</v>
      </c>
      <c r="Q130" s="88">
        <f t="shared" si="22"/>
        <v>4.5</v>
      </c>
      <c r="R130" s="88">
        <f t="shared" si="22"/>
        <v>0</v>
      </c>
      <c r="S130" s="88">
        <f t="shared" si="22"/>
        <v>0</v>
      </c>
      <c r="T130" s="88">
        <f t="shared" si="22"/>
        <v>0</v>
      </c>
      <c r="U130" s="88">
        <f t="shared" si="22"/>
        <v>0</v>
      </c>
      <c r="V130" s="88">
        <f t="shared" si="22"/>
        <v>0</v>
      </c>
      <c r="W130" s="88">
        <f t="shared" si="22"/>
        <v>0</v>
      </c>
      <c r="X130" s="88">
        <f t="shared" si="22"/>
        <v>0</v>
      </c>
      <c r="Y130" s="88">
        <f t="shared" si="22"/>
        <v>0</v>
      </c>
      <c r="Z130" s="88">
        <f t="shared" si="22"/>
        <v>0</v>
      </c>
      <c r="AA130" s="88">
        <f t="shared" si="22"/>
        <v>0</v>
      </c>
      <c r="AB130" s="88">
        <f t="shared" si="22"/>
        <v>0</v>
      </c>
      <c r="AC130" s="88">
        <f t="shared" si="22"/>
        <v>0</v>
      </c>
      <c r="AD130" s="88">
        <f t="shared" si="22"/>
        <v>0</v>
      </c>
      <c r="AE130" s="88">
        <f t="shared" si="22"/>
        <v>0</v>
      </c>
      <c r="AF130" s="88">
        <f t="shared" si="22"/>
        <v>0</v>
      </c>
      <c r="AG130" s="88">
        <f t="shared" si="22"/>
        <v>0</v>
      </c>
      <c r="AH130" s="88">
        <f t="shared" si="22"/>
        <v>0</v>
      </c>
      <c r="AI130" s="88">
        <f t="shared" si="22"/>
        <v>10</v>
      </c>
      <c r="AJ130" s="88">
        <f t="shared" si="22"/>
        <v>158</v>
      </c>
      <c r="AK130" s="74"/>
    </row>
    <row r="131" spans="1:37" s="110" customFormat="1" ht="15.75" x14ac:dyDescent="0.2">
      <c r="A131" s="90"/>
      <c r="B131" s="100"/>
      <c r="C131" s="275"/>
      <c r="D131" s="275"/>
      <c r="E131" s="275"/>
      <c r="F131" s="73"/>
      <c r="G131" s="73"/>
      <c r="H131" s="73"/>
      <c r="I131" s="73"/>
      <c r="J131" s="117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9"/>
      <c r="AD131" s="73"/>
      <c r="AE131" s="73"/>
      <c r="AF131" s="73"/>
      <c r="AG131" s="73"/>
      <c r="AH131" s="73"/>
      <c r="AI131" s="73"/>
      <c r="AJ131" s="73"/>
      <c r="AK131" s="74"/>
    </row>
    <row r="132" spans="1:37" s="110" customFormat="1" ht="15.75" x14ac:dyDescent="0.2">
      <c r="A132" s="90"/>
      <c r="B132" s="100"/>
      <c r="C132" s="275"/>
      <c r="D132" s="275"/>
      <c r="E132" s="275"/>
      <c r="F132" s="73"/>
      <c r="G132" s="73"/>
      <c r="H132" s="73"/>
      <c r="I132" s="73"/>
      <c r="J132" s="408" t="str">
        <f>Бюджет!L387</f>
        <v>03.04.02 Физика</v>
      </c>
      <c r="K132" s="409"/>
      <c r="L132" s="409"/>
      <c r="M132" s="409"/>
      <c r="N132" s="409"/>
      <c r="O132" s="409"/>
      <c r="P132" s="409"/>
      <c r="Q132" s="409"/>
      <c r="R132" s="409"/>
      <c r="S132" s="409"/>
      <c r="T132" s="409"/>
      <c r="U132" s="409"/>
      <c r="V132" s="409"/>
      <c r="W132" s="409"/>
      <c r="X132" s="409"/>
      <c r="Y132" s="409"/>
      <c r="Z132" s="409"/>
      <c r="AA132" s="409"/>
      <c r="AB132" s="409"/>
      <c r="AC132" s="410"/>
      <c r="AD132" s="73"/>
      <c r="AE132" s="73"/>
      <c r="AF132" s="73"/>
      <c r="AG132" s="73"/>
      <c r="AH132" s="73"/>
      <c r="AI132" s="73"/>
      <c r="AJ132" s="73"/>
      <c r="AK132" s="74"/>
    </row>
    <row r="133" spans="1:37" s="110" customFormat="1" ht="15" x14ac:dyDescent="0.2">
      <c r="A133" s="90" t="str">
        <f>Бюджет!A389</f>
        <v>Б1.О.04</v>
      </c>
      <c r="B133" s="90" t="str">
        <f>Бюджет!B389</f>
        <v>Современные проблемы физики</v>
      </c>
      <c r="C133" s="74" t="str">
        <f>Бюджет!C389</f>
        <v>1\2</v>
      </c>
      <c r="D133" s="74">
        <f>Бюджет!D389</f>
        <v>12</v>
      </c>
      <c r="E133" s="74">
        <f>Бюджет!E389</f>
        <v>1</v>
      </c>
      <c r="F133" s="70">
        <f>Бюджет!F389</f>
        <v>20</v>
      </c>
      <c r="G133" s="70">
        <f>Бюджет!G389</f>
        <v>20</v>
      </c>
      <c r="H133" s="70">
        <f>Бюджет!H389</f>
        <v>20</v>
      </c>
      <c r="I133" s="70">
        <f>Бюджет!I389</f>
        <v>20</v>
      </c>
      <c r="J133" s="70">
        <f>Бюджет!J389</f>
        <v>0</v>
      </c>
      <c r="K133" s="70">
        <f>Бюджет!K389</f>
        <v>3.5999999999999996</v>
      </c>
      <c r="L133" s="70">
        <f>Бюджет!L389</f>
        <v>0</v>
      </c>
      <c r="M133" s="70">
        <f>Бюджет!M389</f>
        <v>0</v>
      </c>
      <c r="N133" s="70">
        <f>Бюджет!N389</f>
        <v>0</v>
      </c>
      <c r="O133" s="70">
        <f>Бюджет!O389</f>
        <v>0</v>
      </c>
      <c r="P133" s="70">
        <f>Бюджет!P389</f>
        <v>0</v>
      </c>
      <c r="Q133" s="70">
        <f>Бюджет!Q389</f>
        <v>1</v>
      </c>
      <c r="R133" s="70">
        <f>Бюджет!R389</f>
        <v>0</v>
      </c>
      <c r="S133" s="70">
        <f>Бюджет!S389</f>
        <v>0</v>
      </c>
      <c r="T133" s="70">
        <f>Бюджет!T389</f>
        <v>0</v>
      </c>
      <c r="U133" s="70">
        <f>Бюджет!U389</f>
        <v>0</v>
      </c>
      <c r="V133" s="70">
        <f>Бюджет!V389</f>
        <v>0</v>
      </c>
      <c r="W133" s="70">
        <f>Бюджет!W389</f>
        <v>0</v>
      </c>
      <c r="X133" s="70">
        <f>Бюджет!X389</f>
        <v>0</v>
      </c>
      <c r="Y133" s="70">
        <f>Бюджет!Y389</f>
        <v>0</v>
      </c>
      <c r="Z133" s="70">
        <f>Бюджет!Z389</f>
        <v>0</v>
      </c>
      <c r="AA133" s="70">
        <f>Бюджет!AA389</f>
        <v>0</v>
      </c>
      <c r="AB133" s="70">
        <f>Бюджет!AB389</f>
        <v>0</v>
      </c>
      <c r="AC133" s="70">
        <f>Бюджет!AC389</f>
        <v>0</v>
      </c>
      <c r="AD133" s="70">
        <f>Бюджет!AD389</f>
        <v>0</v>
      </c>
      <c r="AE133" s="70">
        <f>Бюджет!AE389</f>
        <v>0</v>
      </c>
      <c r="AF133" s="70">
        <f>Бюджет!AF389</f>
        <v>0</v>
      </c>
      <c r="AG133" s="70">
        <f>Бюджет!AG389</f>
        <v>0</v>
      </c>
      <c r="AH133" s="70">
        <f>Бюджет!AH389</f>
        <v>0</v>
      </c>
      <c r="AI133" s="70">
        <f>Бюджет!AI389</f>
        <v>14</v>
      </c>
      <c r="AJ133" s="66">
        <f t="shared" ref="AJ133:AJ153" si="23">SUM(G133,I133:AI133)</f>
        <v>58.6</v>
      </c>
      <c r="AK133" s="74"/>
    </row>
    <row r="134" spans="1:37" s="110" customFormat="1" ht="15.75" x14ac:dyDescent="0.2">
      <c r="A134" s="90"/>
      <c r="B134" s="60"/>
      <c r="C134" s="74"/>
      <c r="D134" s="74"/>
      <c r="E134" s="74"/>
      <c r="F134" s="70"/>
      <c r="G134" s="70"/>
      <c r="H134" s="70"/>
      <c r="I134" s="70"/>
      <c r="J134" s="390" t="str">
        <f>Бюджет!K390</f>
        <v>профиль "Физика материалов твердотельной электроники и фотоники"</v>
      </c>
      <c r="K134" s="390"/>
      <c r="L134" s="390"/>
      <c r="M134" s="390"/>
      <c r="N134" s="390"/>
      <c r="O134" s="390"/>
      <c r="P134" s="390"/>
      <c r="Q134" s="390"/>
      <c r="R134" s="390"/>
      <c r="S134" s="390"/>
      <c r="T134" s="390"/>
      <c r="U134" s="390"/>
      <c r="V134" s="390"/>
      <c r="W134" s="390"/>
      <c r="X134" s="390"/>
      <c r="Y134" s="390"/>
      <c r="Z134" s="390"/>
      <c r="AA134" s="390"/>
      <c r="AB134" s="390"/>
      <c r="AC134" s="390"/>
      <c r="AD134" s="70"/>
      <c r="AE134" s="70"/>
      <c r="AF134" s="70"/>
      <c r="AG134" s="70"/>
      <c r="AH134" s="70"/>
      <c r="AI134" s="70"/>
      <c r="AJ134" s="66">
        <f t="shared" si="23"/>
        <v>0</v>
      </c>
      <c r="AK134" s="74"/>
    </row>
    <row r="135" spans="1:37" s="110" customFormat="1" ht="30" x14ac:dyDescent="0.2">
      <c r="A135" s="90" t="str">
        <f>Бюджет!A392</f>
        <v>Б1.В.01</v>
      </c>
      <c r="B135" s="60" t="str">
        <f>Бюджет!B392</f>
        <v>Методы обработки экспериментальных данных (поток ФМТЭФ и АВЭ)</v>
      </c>
      <c r="C135" s="74" t="str">
        <f>Бюджет!C392</f>
        <v>2\3</v>
      </c>
      <c r="D135" s="74">
        <f>Бюджет!D392</f>
        <v>8</v>
      </c>
      <c r="E135" s="74">
        <f>Бюджет!E392</f>
        <v>1</v>
      </c>
      <c r="F135" s="70">
        <f>Бюджет!F392</f>
        <v>16</v>
      </c>
      <c r="G135" s="70">
        <f>Бюджет!G392</f>
        <v>16</v>
      </c>
      <c r="H135" s="70">
        <f>Бюджет!H392</f>
        <v>0</v>
      </c>
      <c r="I135" s="70">
        <f>Бюджет!I392</f>
        <v>0</v>
      </c>
      <c r="J135" s="70">
        <f>Бюджет!J392</f>
        <v>34</v>
      </c>
      <c r="K135" s="70">
        <f>Бюджет!K392</f>
        <v>2.4</v>
      </c>
      <c r="L135" s="70">
        <f>Бюджет!L392</f>
        <v>0</v>
      </c>
      <c r="M135" s="70">
        <f>Бюджет!M392</f>
        <v>0</v>
      </c>
      <c r="N135" s="70">
        <f>Бюджет!N392</f>
        <v>0</v>
      </c>
      <c r="O135" s="70">
        <f>Бюджет!O392</f>
        <v>0</v>
      </c>
      <c r="P135" s="70">
        <f>Бюджет!P392</f>
        <v>0</v>
      </c>
      <c r="Q135" s="70">
        <f>Бюджет!Q392</f>
        <v>0.8</v>
      </c>
      <c r="R135" s="70">
        <f>Бюджет!R392</f>
        <v>0</v>
      </c>
      <c r="S135" s="70">
        <f>Бюджет!S392</f>
        <v>0</v>
      </c>
      <c r="T135" s="70">
        <f>Бюджет!T392</f>
        <v>0</v>
      </c>
      <c r="U135" s="70">
        <f>Бюджет!U392</f>
        <v>0</v>
      </c>
      <c r="V135" s="70">
        <f>Бюджет!V392</f>
        <v>0</v>
      </c>
      <c r="W135" s="70">
        <f>Бюджет!W392</f>
        <v>0</v>
      </c>
      <c r="X135" s="70">
        <f>Бюджет!X392</f>
        <v>0</v>
      </c>
      <c r="Y135" s="70">
        <f>Бюджет!Y392</f>
        <v>0</v>
      </c>
      <c r="Z135" s="70">
        <f>Бюджет!Z392</f>
        <v>0</v>
      </c>
      <c r="AA135" s="70">
        <f>Бюджет!AA392</f>
        <v>0</v>
      </c>
      <c r="AB135" s="70">
        <f>Бюджет!AB392</f>
        <v>0</v>
      </c>
      <c r="AC135" s="70">
        <f>Бюджет!AC392</f>
        <v>0</v>
      </c>
      <c r="AD135" s="70">
        <f>Бюджет!AD392</f>
        <v>0</v>
      </c>
      <c r="AE135" s="70">
        <f>Бюджет!AE392</f>
        <v>0</v>
      </c>
      <c r="AF135" s="70">
        <f>Бюджет!AF392</f>
        <v>0</v>
      </c>
      <c r="AG135" s="70">
        <f>Бюджет!AG392</f>
        <v>0</v>
      </c>
      <c r="AH135" s="70">
        <f>Бюджет!AH392</f>
        <v>0</v>
      </c>
      <c r="AI135" s="70">
        <f>Бюджет!AI392</f>
        <v>14</v>
      </c>
      <c r="AJ135" s="66">
        <f t="shared" si="23"/>
        <v>67.199999999999989</v>
      </c>
      <c r="AK135" s="74"/>
    </row>
    <row r="136" spans="1:37" s="110" customFormat="1" ht="15" x14ac:dyDescent="0.2">
      <c r="A136" s="90">
        <f>Бюджет!A398</f>
        <v>0</v>
      </c>
      <c r="B136" s="90" t="str">
        <f>Бюджет!B398</f>
        <v>ГИА (ВКР защита) комиссия 7 человека</v>
      </c>
      <c r="C136" s="74" t="str">
        <f>Бюджет!C398</f>
        <v>2\4</v>
      </c>
      <c r="D136" s="74">
        <f>Бюджет!D398</f>
        <v>8</v>
      </c>
      <c r="E136" s="74">
        <f>Бюджет!E398</f>
        <v>1</v>
      </c>
      <c r="F136" s="70">
        <f>Бюджет!F398</f>
        <v>0</v>
      </c>
      <c r="G136" s="70">
        <f>Бюджет!G398</f>
        <v>0</v>
      </c>
      <c r="H136" s="70">
        <f>Бюджет!H398</f>
        <v>0</v>
      </c>
      <c r="I136" s="70">
        <f>Бюджет!I398</f>
        <v>0</v>
      </c>
      <c r="J136" s="70">
        <f>Бюджет!J398</f>
        <v>0</v>
      </c>
      <c r="K136" s="70">
        <f>Бюджет!K398</f>
        <v>0</v>
      </c>
      <c r="L136" s="70">
        <f>Бюджет!L398</f>
        <v>0</v>
      </c>
      <c r="M136" s="70">
        <f>Бюджет!M398</f>
        <v>0</v>
      </c>
      <c r="N136" s="70">
        <f>Бюджет!N398</f>
        <v>0</v>
      </c>
      <c r="O136" s="70">
        <f>Бюджет!O398</f>
        <v>0</v>
      </c>
      <c r="P136" s="70">
        <f>Бюджет!P398</f>
        <v>0</v>
      </c>
      <c r="Q136" s="70">
        <f>Бюджет!Q398</f>
        <v>0</v>
      </c>
      <c r="R136" s="70">
        <f>Бюджет!R398</f>
        <v>0</v>
      </c>
      <c r="S136" s="70">
        <f>Бюджет!S398</f>
        <v>0</v>
      </c>
      <c r="T136" s="70">
        <f>Бюджет!T398</f>
        <v>0</v>
      </c>
      <c r="U136" s="70">
        <f>Бюджет!U398</f>
        <v>0</v>
      </c>
      <c r="V136" s="70">
        <f>Бюджет!V398</f>
        <v>0</v>
      </c>
      <c r="W136" s="70">
        <f>Бюджет!W398</f>
        <v>0</v>
      </c>
      <c r="X136" s="70">
        <f>Бюджет!X398</f>
        <v>0</v>
      </c>
      <c r="Y136" s="70">
        <f>Бюджет!Y398</f>
        <v>0</v>
      </c>
      <c r="Z136" s="70">
        <f>Бюджет!Z398</f>
        <v>0</v>
      </c>
      <c r="AA136" s="70">
        <f>Бюджет!AA398</f>
        <v>0</v>
      </c>
      <c r="AB136" s="70">
        <f>Бюджет!AB398/7</f>
        <v>4</v>
      </c>
      <c r="AC136" s="70">
        <f>Бюджет!AC398</f>
        <v>0</v>
      </c>
      <c r="AD136" s="70">
        <f>Бюджет!AD398</f>
        <v>0</v>
      </c>
      <c r="AE136" s="70">
        <f>Бюджет!AE398</f>
        <v>0</v>
      </c>
      <c r="AF136" s="70">
        <f>Бюджет!AF398</f>
        <v>0</v>
      </c>
      <c r="AG136" s="70">
        <f>Бюджет!AG398</f>
        <v>0</v>
      </c>
      <c r="AH136" s="70">
        <f>Бюджет!AH398</f>
        <v>0</v>
      </c>
      <c r="AI136" s="70">
        <f>Бюджет!AI398</f>
        <v>0</v>
      </c>
      <c r="AJ136" s="66">
        <f t="shared" si="23"/>
        <v>4</v>
      </c>
      <c r="AK136" s="74"/>
    </row>
    <row r="137" spans="1:37" s="110" customFormat="1" ht="15.75" x14ac:dyDescent="0.2">
      <c r="A137" s="90"/>
      <c r="B137" s="107"/>
      <c r="C137" s="275"/>
      <c r="D137" s="275"/>
      <c r="E137" s="275"/>
      <c r="F137" s="73"/>
      <c r="G137" s="73"/>
      <c r="H137" s="73"/>
      <c r="I137" s="73"/>
      <c r="J137" s="390" t="str">
        <f>Бюджет!K410</f>
        <v>профиль "Астрофизика высоких энергий"</v>
      </c>
      <c r="K137" s="390"/>
      <c r="L137" s="390"/>
      <c r="M137" s="390"/>
      <c r="N137" s="390"/>
      <c r="O137" s="390"/>
      <c r="P137" s="390"/>
      <c r="Q137" s="390"/>
      <c r="R137" s="390"/>
      <c r="S137" s="390"/>
      <c r="T137" s="390"/>
      <c r="U137" s="390"/>
      <c r="V137" s="390"/>
      <c r="W137" s="390"/>
      <c r="X137" s="390"/>
      <c r="Y137" s="390"/>
      <c r="Z137" s="390"/>
      <c r="AA137" s="390"/>
      <c r="AB137" s="390"/>
      <c r="AC137" s="390"/>
      <c r="AD137" s="73"/>
      <c r="AE137" s="73"/>
      <c r="AF137" s="73"/>
      <c r="AG137" s="73"/>
      <c r="AH137" s="73"/>
      <c r="AI137" s="73"/>
      <c r="AJ137" s="66">
        <f t="shared" si="23"/>
        <v>0</v>
      </c>
      <c r="AK137" s="74"/>
    </row>
    <row r="138" spans="1:37" s="110" customFormat="1" ht="30" x14ac:dyDescent="0.2">
      <c r="A138" s="60" t="str">
        <f>Бюджет!A411</f>
        <v>Б1.О.06</v>
      </c>
      <c r="B138" s="60" t="str">
        <f>Бюджет!B411</f>
        <v>Современные компьютерные технологии в научных исследованиях</v>
      </c>
      <c r="C138" s="67" t="str">
        <f>Бюджет!C411</f>
        <v>1\1</v>
      </c>
      <c r="D138" s="67">
        <f>Бюджет!D411</f>
        <v>3</v>
      </c>
      <c r="E138" s="67">
        <f>Бюджет!E411</f>
        <v>1</v>
      </c>
      <c r="F138" s="66">
        <f>Бюджет!F411</f>
        <v>16</v>
      </c>
      <c r="G138" s="66">
        <f>Бюджет!G411</f>
        <v>16</v>
      </c>
      <c r="H138" s="66">
        <f>Бюджет!H411</f>
        <v>0</v>
      </c>
      <c r="I138" s="66">
        <f>Бюджет!I411</f>
        <v>0</v>
      </c>
      <c r="J138" s="66">
        <f>Бюджет!J411</f>
        <v>34</v>
      </c>
      <c r="K138" s="66">
        <f>Бюджет!K411</f>
        <v>0.89999999999999991</v>
      </c>
      <c r="L138" s="66">
        <f>Бюджет!L411</f>
        <v>0</v>
      </c>
      <c r="M138" s="66">
        <f>Бюджет!M411</f>
        <v>0</v>
      </c>
      <c r="N138" s="66">
        <f>Бюджет!N411</f>
        <v>0</v>
      </c>
      <c r="O138" s="66">
        <f>Бюджет!O411</f>
        <v>0</v>
      </c>
      <c r="P138" s="66">
        <f>Бюджет!P411</f>
        <v>0</v>
      </c>
      <c r="Q138" s="66">
        <f>Бюджет!Q411</f>
        <v>0.8</v>
      </c>
      <c r="R138" s="66">
        <f>Бюджет!R411</f>
        <v>0</v>
      </c>
      <c r="S138" s="66">
        <f>Бюджет!S411</f>
        <v>0</v>
      </c>
      <c r="T138" s="66">
        <f>Бюджет!T411</f>
        <v>0</v>
      </c>
      <c r="U138" s="66">
        <f>Бюджет!U411</f>
        <v>0</v>
      </c>
      <c r="V138" s="66">
        <f>Бюджет!V411</f>
        <v>0</v>
      </c>
      <c r="W138" s="66">
        <f>Бюджет!W411</f>
        <v>0</v>
      </c>
      <c r="X138" s="66">
        <f>Бюджет!X411</f>
        <v>0</v>
      </c>
      <c r="Y138" s="66">
        <f>Бюджет!Y411</f>
        <v>0</v>
      </c>
      <c r="Z138" s="66">
        <f>Бюджет!Z411</f>
        <v>0</v>
      </c>
      <c r="AA138" s="66">
        <f>Бюджет!AA411</f>
        <v>0</v>
      </c>
      <c r="AB138" s="66">
        <f>Бюджет!AB411</f>
        <v>0</v>
      </c>
      <c r="AC138" s="66">
        <f>Бюджет!AC411</f>
        <v>0</v>
      </c>
      <c r="AD138" s="66">
        <f>Бюджет!AD411</f>
        <v>0</v>
      </c>
      <c r="AE138" s="66">
        <f>Бюджет!AE411</f>
        <v>0</v>
      </c>
      <c r="AF138" s="66">
        <f>Бюджет!AF411</f>
        <v>0</v>
      </c>
      <c r="AG138" s="66">
        <f>Бюджет!AG411</f>
        <v>0</v>
      </c>
      <c r="AH138" s="66">
        <f>Бюджет!AH411</f>
        <v>0</v>
      </c>
      <c r="AI138" s="66">
        <f>Бюджет!AI411</f>
        <v>0</v>
      </c>
      <c r="AJ138" s="66">
        <f t="shared" si="23"/>
        <v>51.699999999999996</v>
      </c>
      <c r="AK138" s="74"/>
    </row>
    <row r="139" spans="1:37" s="110" customFormat="1" ht="30" x14ac:dyDescent="0.2">
      <c r="A139" s="60" t="str">
        <f>Бюджет!A412</f>
        <v>Б1.О.06</v>
      </c>
      <c r="B139" s="60" t="str">
        <f>Бюджет!B412</f>
        <v>Современные компьютерные технологии в научных исследованиях</v>
      </c>
      <c r="C139" s="67" t="str">
        <f>Бюджет!C412</f>
        <v>1\2</v>
      </c>
      <c r="D139" s="67">
        <f>Бюджет!D412</f>
        <v>3</v>
      </c>
      <c r="E139" s="67">
        <f>Бюджет!E412</f>
        <v>1</v>
      </c>
      <c r="F139" s="66">
        <f>Бюджет!F412</f>
        <v>20</v>
      </c>
      <c r="G139" s="66">
        <f>Бюджет!G412</f>
        <v>20</v>
      </c>
      <c r="H139" s="66">
        <f>Бюджет!H412</f>
        <v>0</v>
      </c>
      <c r="I139" s="66">
        <f>Бюджет!I412</f>
        <v>0</v>
      </c>
      <c r="J139" s="66">
        <f>Бюджет!J412</f>
        <v>40</v>
      </c>
      <c r="K139" s="66">
        <f>Бюджет!K412</f>
        <v>0</v>
      </c>
      <c r="L139" s="66">
        <f>Бюджет!L412</f>
        <v>0</v>
      </c>
      <c r="M139" s="66">
        <f>Бюджет!M412</f>
        <v>1.2000000000000002</v>
      </c>
      <c r="N139" s="66">
        <f>Бюджет!N412</f>
        <v>0</v>
      </c>
      <c r="O139" s="66">
        <f>Бюджет!O412</f>
        <v>0</v>
      </c>
      <c r="P139" s="66">
        <f>Бюджет!P412</f>
        <v>0</v>
      </c>
      <c r="Q139" s="66">
        <f>Бюджет!Q412</f>
        <v>2</v>
      </c>
      <c r="R139" s="66">
        <f>Бюджет!R412</f>
        <v>0</v>
      </c>
      <c r="S139" s="66">
        <f>Бюджет!S412</f>
        <v>0</v>
      </c>
      <c r="T139" s="66">
        <f>Бюджет!T412</f>
        <v>0</v>
      </c>
      <c r="U139" s="66">
        <f>Бюджет!U412</f>
        <v>0</v>
      </c>
      <c r="V139" s="66">
        <f>Бюджет!V412</f>
        <v>0</v>
      </c>
      <c r="W139" s="66">
        <f>Бюджет!W412</f>
        <v>0</v>
      </c>
      <c r="X139" s="66">
        <f>Бюджет!X412</f>
        <v>0</v>
      </c>
      <c r="Y139" s="66">
        <f>Бюджет!Y412</f>
        <v>0</v>
      </c>
      <c r="Z139" s="66">
        <f>Бюджет!Z412</f>
        <v>0</v>
      </c>
      <c r="AA139" s="66">
        <f>Бюджет!AA412</f>
        <v>0</v>
      </c>
      <c r="AB139" s="66">
        <f>Бюджет!AB412</f>
        <v>0</v>
      </c>
      <c r="AC139" s="66">
        <f>Бюджет!AC412</f>
        <v>0</v>
      </c>
      <c r="AD139" s="66">
        <f>Бюджет!AD412</f>
        <v>0</v>
      </c>
      <c r="AE139" s="66">
        <f>Бюджет!AE412</f>
        <v>0</v>
      </c>
      <c r="AF139" s="66">
        <f>Бюджет!AF412</f>
        <v>0</v>
      </c>
      <c r="AG139" s="66">
        <f>Бюджет!AG412</f>
        <v>0</v>
      </c>
      <c r="AH139" s="66">
        <f>Бюджет!AH412</f>
        <v>0</v>
      </c>
      <c r="AI139" s="66">
        <f>Бюджет!AI412</f>
        <v>0</v>
      </c>
      <c r="AJ139" s="66">
        <f t="shared" si="23"/>
        <v>63.2</v>
      </c>
      <c r="AK139" s="74"/>
    </row>
    <row r="140" spans="1:37" s="110" customFormat="1" ht="30" x14ac:dyDescent="0.2">
      <c r="A140" s="60" t="str">
        <f>Бюджет!A413</f>
        <v>Б1.В.01</v>
      </c>
      <c r="B140" s="60" t="str">
        <f>Бюджет!B413</f>
        <v>Экспериментальные методы в астрофизике высоких энергий</v>
      </c>
      <c r="C140" s="67" t="str">
        <f>Бюджет!C413</f>
        <v>1\1</v>
      </c>
      <c r="D140" s="67">
        <f>Бюджет!D413</f>
        <v>3</v>
      </c>
      <c r="E140" s="67">
        <f>Бюджет!E413</f>
        <v>1</v>
      </c>
      <c r="F140" s="66">
        <f>Бюджет!F413</f>
        <v>34</v>
      </c>
      <c r="G140" s="66">
        <f>Бюджет!G413</f>
        <v>34</v>
      </c>
      <c r="H140" s="66">
        <f>Бюджет!H413</f>
        <v>0</v>
      </c>
      <c r="I140" s="66">
        <f>Бюджет!I413</f>
        <v>0</v>
      </c>
      <c r="J140" s="66">
        <f>Бюджет!J413</f>
        <v>0</v>
      </c>
      <c r="K140" s="66">
        <f>Бюджет!K413</f>
        <v>0</v>
      </c>
      <c r="L140" s="66">
        <f>Бюджет!L413</f>
        <v>0</v>
      </c>
      <c r="M140" s="66">
        <f>Бюджет!M413</f>
        <v>1.2000000000000002</v>
      </c>
      <c r="N140" s="66">
        <f>Бюджет!N413</f>
        <v>0</v>
      </c>
      <c r="O140" s="66">
        <f>Бюджет!O413</f>
        <v>0</v>
      </c>
      <c r="P140" s="66">
        <f>Бюджет!P413</f>
        <v>0</v>
      </c>
      <c r="Q140" s="66">
        <f>Бюджет!Q413</f>
        <v>2.7</v>
      </c>
      <c r="R140" s="66">
        <f>Бюджет!R413</f>
        <v>0</v>
      </c>
      <c r="S140" s="66">
        <f>Бюджет!S413</f>
        <v>0</v>
      </c>
      <c r="T140" s="66">
        <f>Бюджет!T413</f>
        <v>0</v>
      </c>
      <c r="U140" s="66">
        <f>Бюджет!U413</f>
        <v>0</v>
      </c>
      <c r="V140" s="66">
        <f>Бюджет!V413</f>
        <v>0</v>
      </c>
      <c r="W140" s="66">
        <f>Бюджет!W413</f>
        <v>0</v>
      </c>
      <c r="X140" s="66">
        <f>Бюджет!X413</f>
        <v>0</v>
      </c>
      <c r="Y140" s="66">
        <f>Бюджет!Y413</f>
        <v>0</v>
      </c>
      <c r="Z140" s="66">
        <f>Бюджет!Z413</f>
        <v>0</v>
      </c>
      <c r="AA140" s="66">
        <f>Бюджет!AA413</f>
        <v>0</v>
      </c>
      <c r="AB140" s="66">
        <f>Бюджет!AB413</f>
        <v>0</v>
      </c>
      <c r="AC140" s="66">
        <f>Бюджет!AC413</f>
        <v>0</v>
      </c>
      <c r="AD140" s="66">
        <f>Бюджет!AD413</f>
        <v>0</v>
      </c>
      <c r="AE140" s="66">
        <f>Бюджет!AE413</f>
        <v>0</v>
      </c>
      <c r="AF140" s="66">
        <f>Бюджет!AF413</f>
        <v>0</v>
      </c>
      <c r="AG140" s="66">
        <f>Бюджет!AG413</f>
        <v>0</v>
      </c>
      <c r="AH140" s="66">
        <f>Бюджет!AH413</f>
        <v>0</v>
      </c>
      <c r="AI140" s="66">
        <f>Бюджет!AI413</f>
        <v>0</v>
      </c>
      <c r="AJ140" s="66">
        <f t="shared" si="23"/>
        <v>37.900000000000006</v>
      </c>
      <c r="AK140" s="74"/>
    </row>
    <row r="141" spans="1:37" s="110" customFormat="1" ht="30" x14ac:dyDescent="0.2">
      <c r="A141" s="60" t="str">
        <f>Бюджет!A414</f>
        <v>Б1.В.04</v>
      </c>
      <c r="B141" s="60" t="str">
        <f>Бюджет!B414</f>
        <v>Программирование микроконтроллеров для физических задач</v>
      </c>
      <c r="C141" s="67" t="str">
        <f>Бюджет!C414</f>
        <v>1\2</v>
      </c>
      <c r="D141" s="67">
        <f>Бюджет!D414</f>
        <v>3</v>
      </c>
      <c r="E141" s="67">
        <f>Бюджет!E414</f>
        <v>1</v>
      </c>
      <c r="F141" s="66">
        <f>Бюджет!F414</f>
        <v>20</v>
      </c>
      <c r="G141" s="66">
        <f>Бюджет!G414</f>
        <v>20</v>
      </c>
      <c r="H141" s="66">
        <f>Бюджет!H414</f>
        <v>0</v>
      </c>
      <c r="I141" s="66">
        <f>Бюджет!I414</f>
        <v>0</v>
      </c>
      <c r="J141" s="66">
        <f>Бюджет!J414</f>
        <v>40</v>
      </c>
      <c r="K141" s="66">
        <f>Бюджет!K414</f>
        <v>0.89999999999999991</v>
      </c>
      <c r="L141" s="66">
        <f>Бюджет!L414</f>
        <v>0</v>
      </c>
      <c r="M141" s="66">
        <f>Бюджет!M414</f>
        <v>0</v>
      </c>
      <c r="N141" s="66">
        <f>Бюджет!N414</f>
        <v>0</v>
      </c>
      <c r="O141" s="66">
        <f>Бюджет!O414</f>
        <v>0</v>
      </c>
      <c r="P141" s="66">
        <f>Бюджет!P414</f>
        <v>0</v>
      </c>
      <c r="Q141" s="66">
        <f>Бюджет!Q414</f>
        <v>1</v>
      </c>
      <c r="R141" s="66">
        <f>Бюджет!R414</f>
        <v>0</v>
      </c>
      <c r="S141" s="66">
        <f>Бюджет!S414</f>
        <v>0</v>
      </c>
      <c r="T141" s="66">
        <f>Бюджет!T414</f>
        <v>0</v>
      </c>
      <c r="U141" s="66">
        <f>Бюджет!U414</f>
        <v>0</v>
      </c>
      <c r="V141" s="66">
        <f>Бюджет!V414</f>
        <v>0</v>
      </c>
      <c r="W141" s="66">
        <f>Бюджет!W414</f>
        <v>0</v>
      </c>
      <c r="X141" s="66">
        <f>Бюджет!X414</f>
        <v>0</v>
      </c>
      <c r="Y141" s="66">
        <f>Бюджет!Y414</f>
        <v>0</v>
      </c>
      <c r="Z141" s="66">
        <f>Бюджет!Z414</f>
        <v>0</v>
      </c>
      <c r="AA141" s="66">
        <f>Бюджет!AA414</f>
        <v>0</v>
      </c>
      <c r="AB141" s="66">
        <f>Бюджет!AB414</f>
        <v>0</v>
      </c>
      <c r="AC141" s="66">
        <f>Бюджет!AC414</f>
        <v>0</v>
      </c>
      <c r="AD141" s="66">
        <f>Бюджет!AD414</f>
        <v>0</v>
      </c>
      <c r="AE141" s="66">
        <f>Бюджет!AE414</f>
        <v>0</v>
      </c>
      <c r="AF141" s="66">
        <f>Бюджет!AF414</f>
        <v>0</v>
      </c>
      <c r="AG141" s="66">
        <f>Бюджет!AG414</f>
        <v>0</v>
      </c>
      <c r="AH141" s="66">
        <f>Бюджет!AH414</f>
        <v>0</v>
      </c>
      <c r="AI141" s="66">
        <f>Бюджет!AI414</f>
        <v>0</v>
      </c>
      <c r="AJ141" s="66">
        <f t="shared" si="23"/>
        <v>61.9</v>
      </c>
      <c r="AK141" s="74"/>
    </row>
    <row r="142" spans="1:37" s="110" customFormat="1" ht="30" x14ac:dyDescent="0.2">
      <c r="A142" s="60" t="str">
        <f>Бюджет!A416</f>
        <v>Б1.В.07</v>
      </c>
      <c r="B142" s="60" t="str">
        <f>Бюджет!B416</f>
        <v>Экспериментальные методы в ядерной физике</v>
      </c>
      <c r="C142" s="67" t="str">
        <f>Бюджет!C416</f>
        <v>1\2</v>
      </c>
      <c r="D142" s="67">
        <f>Бюджет!D416</f>
        <v>3</v>
      </c>
      <c r="E142" s="67">
        <f>Бюджет!E416</f>
        <v>1</v>
      </c>
      <c r="F142" s="66">
        <f>Бюджет!F416</f>
        <v>20</v>
      </c>
      <c r="G142" s="66">
        <f>Бюджет!G416</f>
        <v>20</v>
      </c>
      <c r="H142" s="66">
        <f>Бюджет!H416</f>
        <v>20</v>
      </c>
      <c r="I142" s="66">
        <f>Бюджет!I416</f>
        <v>20</v>
      </c>
      <c r="J142" s="66">
        <f>Бюджет!J416</f>
        <v>0</v>
      </c>
      <c r="K142" s="66">
        <f>Бюджет!K416</f>
        <v>0.89999999999999991</v>
      </c>
      <c r="L142" s="66">
        <f>Бюджет!L416</f>
        <v>0</v>
      </c>
      <c r="M142" s="66">
        <f>Бюджет!M416</f>
        <v>0</v>
      </c>
      <c r="N142" s="66">
        <f>Бюджет!N416</f>
        <v>0</v>
      </c>
      <c r="O142" s="66">
        <f>Бюджет!O416</f>
        <v>0</v>
      </c>
      <c r="P142" s="66">
        <f>Бюджет!P416</f>
        <v>0</v>
      </c>
      <c r="Q142" s="66">
        <f>Бюджет!Q416</f>
        <v>1</v>
      </c>
      <c r="R142" s="66">
        <f>Бюджет!R416</f>
        <v>0</v>
      </c>
      <c r="S142" s="66">
        <f>Бюджет!S416</f>
        <v>0</v>
      </c>
      <c r="T142" s="66">
        <f>Бюджет!T416</f>
        <v>0</v>
      </c>
      <c r="U142" s="66">
        <f>Бюджет!U416</f>
        <v>0</v>
      </c>
      <c r="V142" s="66">
        <f>Бюджет!V416</f>
        <v>0</v>
      </c>
      <c r="W142" s="66">
        <f>Бюджет!W416</f>
        <v>0</v>
      </c>
      <c r="X142" s="66">
        <f>Бюджет!X416</f>
        <v>0</v>
      </c>
      <c r="Y142" s="66">
        <f>Бюджет!Y416</f>
        <v>0</v>
      </c>
      <c r="Z142" s="66">
        <f>Бюджет!Z416</f>
        <v>0</v>
      </c>
      <c r="AA142" s="66">
        <f>Бюджет!AA416</f>
        <v>0</v>
      </c>
      <c r="AB142" s="66">
        <f>Бюджет!AB416</f>
        <v>0</v>
      </c>
      <c r="AC142" s="66">
        <f>Бюджет!AC416</f>
        <v>0</v>
      </c>
      <c r="AD142" s="66">
        <f>Бюджет!AD416</f>
        <v>0</v>
      </c>
      <c r="AE142" s="66">
        <f>Бюджет!AE416</f>
        <v>0</v>
      </c>
      <c r="AF142" s="66">
        <f>Бюджет!AF416</f>
        <v>0</v>
      </c>
      <c r="AG142" s="66">
        <f>Бюджет!AG416</f>
        <v>0</v>
      </c>
      <c r="AH142" s="66">
        <f>Бюджет!AH416</f>
        <v>0</v>
      </c>
      <c r="AI142" s="66">
        <f>Бюджет!AI416</f>
        <v>0</v>
      </c>
      <c r="AJ142" s="66">
        <f t="shared" si="23"/>
        <v>41.9</v>
      </c>
      <c r="AK142" s="74"/>
    </row>
    <row r="143" spans="1:37" s="110" customFormat="1" ht="30" x14ac:dyDescent="0.2">
      <c r="A143" s="60" t="str">
        <f>Бюджет!A418</f>
        <v>Б1.В.ДВ.03.01</v>
      </c>
      <c r="B143" s="60" t="str">
        <f>Бюджет!B418</f>
        <v>Моделирование процессов прохождения частиц и излучения в средах</v>
      </c>
      <c r="C143" s="67" t="str">
        <f>Бюджет!C418</f>
        <v>1\1</v>
      </c>
      <c r="D143" s="67">
        <f>Бюджет!D418</f>
        <v>3</v>
      </c>
      <c r="E143" s="67">
        <f>Бюджет!E418</f>
        <v>1</v>
      </c>
      <c r="F143" s="66">
        <f>Бюджет!F418</f>
        <v>0</v>
      </c>
      <c r="G143" s="66">
        <f>Бюджет!G418</f>
        <v>0</v>
      </c>
      <c r="H143" s="66">
        <f>Бюджет!H418</f>
        <v>0</v>
      </c>
      <c r="I143" s="66">
        <f>Бюджет!I418</f>
        <v>0</v>
      </c>
      <c r="J143" s="66">
        <f>Бюджет!J418</f>
        <v>68</v>
      </c>
      <c r="K143" s="66">
        <f>Бюджет!K418</f>
        <v>0.89999999999999991</v>
      </c>
      <c r="L143" s="66">
        <f>Бюджет!L418</f>
        <v>0</v>
      </c>
      <c r="M143" s="66">
        <f>Бюджет!M418</f>
        <v>0</v>
      </c>
      <c r="N143" s="66">
        <f>Бюджет!N418</f>
        <v>0</v>
      </c>
      <c r="O143" s="66">
        <f>Бюджет!O418</f>
        <v>0</v>
      </c>
      <c r="P143" s="66">
        <f>Бюджет!P418</f>
        <v>0</v>
      </c>
      <c r="Q143" s="66">
        <f>Бюджет!Q418</f>
        <v>0</v>
      </c>
      <c r="R143" s="66">
        <f>Бюджет!R418</f>
        <v>0</v>
      </c>
      <c r="S143" s="66">
        <f>Бюджет!S418</f>
        <v>0</v>
      </c>
      <c r="T143" s="66">
        <f>Бюджет!T418</f>
        <v>0</v>
      </c>
      <c r="U143" s="66">
        <f>Бюджет!U418</f>
        <v>0</v>
      </c>
      <c r="V143" s="66">
        <f>Бюджет!V418</f>
        <v>0</v>
      </c>
      <c r="W143" s="66">
        <f>Бюджет!W418</f>
        <v>0</v>
      </c>
      <c r="X143" s="66">
        <f>Бюджет!X418</f>
        <v>0</v>
      </c>
      <c r="Y143" s="66">
        <f>Бюджет!Y418</f>
        <v>0</v>
      </c>
      <c r="Z143" s="66">
        <f>Бюджет!Z418</f>
        <v>0</v>
      </c>
      <c r="AA143" s="66">
        <f>Бюджет!AA418</f>
        <v>0</v>
      </c>
      <c r="AB143" s="66">
        <f>Бюджет!AB418</f>
        <v>0</v>
      </c>
      <c r="AC143" s="66">
        <f>Бюджет!AC418</f>
        <v>0</v>
      </c>
      <c r="AD143" s="66">
        <f>Бюджет!AD418</f>
        <v>0</v>
      </c>
      <c r="AE143" s="66">
        <f>Бюджет!AE418</f>
        <v>0</v>
      </c>
      <c r="AF143" s="66">
        <f>Бюджет!AF418</f>
        <v>0</v>
      </c>
      <c r="AG143" s="66">
        <f>Бюджет!AG418</f>
        <v>0</v>
      </c>
      <c r="AH143" s="66">
        <f>Бюджет!AH418</f>
        <v>0</v>
      </c>
      <c r="AI143" s="66">
        <f>Бюджет!AI418</f>
        <v>2</v>
      </c>
      <c r="AJ143" s="66">
        <f t="shared" si="23"/>
        <v>70.900000000000006</v>
      </c>
      <c r="AK143" s="74"/>
    </row>
    <row r="144" spans="1:37" s="110" customFormat="1" ht="30" x14ac:dyDescent="0.2">
      <c r="A144" s="60" t="str">
        <f>Бюджет!A419</f>
        <v>Б2.О.02(У)</v>
      </c>
      <c r="B144" s="60" t="str">
        <f>Бюджет!B419</f>
        <v>Учебная практика (Научно-исследовательская работа)</v>
      </c>
      <c r="C144" s="67" t="str">
        <f>Бюджет!C419</f>
        <v>1\1</v>
      </c>
      <c r="D144" s="67">
        <f>Бюджет!D419</f>
        <v>3</v>
      </c>
      <c r="E144" s="67">
        <f>Бюджет!E419</f>
        <v>1</v>
      </c>
      <c r="F144" s="66">
        <f>Бюджет!F419</f>
        <v>0</v>
      </c>
      <c r="G144" s="66">
        <f>Бюджет!G419</f>
        <v>0</v>
      </c>
      <c r="H144" s="66">
        <f>Бюджет!H419</f>
        <v>0</v>
      </c>
      <c r="I144" s="66">
        <f>Бюджет!I419</f>
        <v>0</v>
      </c>
      <c r="J144" s="66">
        <f>Бюджет!J419</f>
        <v>0</v>
      </c>
      <c r="K144" s="66">
        <f>Бюджет!K419</f>
        <v>0</v>
      </c>
      <c r="L144" s="66">
        <f>Бюджет!L419</f>
        <v>0</v>
      </c>
      <c r="M144" s="66">
        <f>Бюджет!M419</f>
        <v>0</v>
      </c>
      <c r="N144" s="66">
        <f>Бюджет!N419</f>
        <v>0</v>
      </c>
      <c r="O144" s="66">
        <f>Бюджет!O419</f>
        <v>0</v>
      </c>
      <c r="P144" s="66">
        <f>Бюджет!P419</f>
        <v>0</v>
      </c>
      <c r="Q144" s="66">
        <f>Бюджет!Q419</f>
        <v>0</v>
      </c>
      <c r="R144" s="66">
        <f>Бюджет!R419</f>
        <v>0</v>
      </c>
      <c r="S144" s="66">
        <f>Бюджет!S419</f>
        <v>20</v>
      </c>
      <c r="T144" s="66">
        <f>Бюджет!T419</f>
        <v>0</v>
      </c>
      <c r="U144" s="66">
        <f>Бюджет!U419</f>
        <v>0</v>
      </c>
      <c r="V144" s="66">
        <f>Бюджет!V419</f>
        <v>0</v>
      </c>
      <c r="W144" s="66">
        <f>Бюджет!W419</f>
        <v>0</v>
      </c>
      <c r="X144" s="66">
        <f>Бюджет!X419</f>
        <v>0</v>
      </c>
      <c r="Y144" s="66">
        <f>Бюджет!Y419</f>
        <v>0</v>
      </c>
      <c r="Z144" s="66">
        <f>Бюджет!Z419</f>
        <v>0</v>
      </c>
      <c r="AA144" s="66">
        <f>Бюджет!AA419</f>
        <v>0</v>
      </c>
      <c r="AB144" s="66">
        <f>Бюджет!AB419</f>
        <v>0</v>
      </c>
      <c r="AC144" s="66">
        <f>Бюджет!AC419</f>
        <v>0</v>
      </c>
      <c r="AD144" s="66">
        <f>Бюджет!AD419</f>
        <v>0</v>
      </c>
      <c r="AE144" s="66">
        <f>Бюджет!AE419</f>
        <v>0</v>
      </c>
      <c r="AF144" s="66">
        <f>Бюджет!AF419</f>
        <v>0</v>
      </c>
      <c r="AG144" s="66">
        <f>Бюджет!AG419</f>
        <v>0</v>
      </c>
      <c r="AH144" s="66">
        <f>Бюджет!AH419</f>
        <v>0</v>
      </c>
      <c r="AI144" s="66">
        <f>Бюджет!AI419</f>
        <v>0</v>
      </c>
      <c r="AJ144" s="66">
        <f t="shared" si="23"/>
        <v>20</v>
      </c>
      <c r="AK144" s="74"/>
    </row>
    <row r="145" spans="1:37" s="110" customFormat="1" ht="30" x14ac:dyDescent="0.2">
      <c r="A145" s="60" t="str">
        <f>Бюджет!A420</f>
        <v>Б2.В.01(Н)</v>
      </c>
      <c r="B145" s="60" t="str">
        <f>Бюджет!B420</f>
        <v>Производственная практика (Научно-исследовательская работа)</v>
      </c>
      <c r="C145" s="67" t="str">
        <f>Бюджет!C420</f>
        <v>1\2</v>
      </c>
      <c r="D145" s="67">
        <f>Бюджет!D420</f>
        <v>3</v>
      </c>
      <c r="E145" s="67">
        <f>Бюджет!E420</f>
        <v>1</v>
      </c>
      <c r="F145" s="66">
        <f>Бюджет!F420</f>
        <v>0</v>
      </c>
      <c r="G145" s="66">
        <f>Бюджет!G420</f>
        <v>0</v>
      </c>
      <c r="H145" s="66">
        <f>Бюджет!H420</f>
        <v>0</v>
      </c>
      <c r="I145" s="66">
        <f>Бюджет!I420</f>
        <v>0</v>
      </c>
      <c r="J145" s="66">
        <f>Бюджет!J420</f>
        <v>0</v>
      </c>
      <c r="K145" s="66">
        <f>Бюджет!K420</f>
        <v>0</v>
      </c>
      <c r="L145" s="66">
        <f>Бюджет!L420</f>
        <v>0</v>
      </c>
      <c r="M145" s="66">
        <f>Бюджет!M420</f>
        <v>0</v>
      </c>
      <c r="N145" s="66">
        <f>Бюджет!N420</f>
        <v>0</v>
      </c>
      <c r="O145" s="66">
        <f>Бюджет!O420</f>
        <v>0</v>
      </c>
      <c r="P145" s="66">
        <f>Бюджет!P420</f>
        <v>0</v>
      </c>
      <c r="Q145" s="66">
        <f>Бюджет!Q420</f>
        <v>0</v>
      </c>
      <c r="R145" s="66">
        <f>Бюджет!R420</f>
        <v>0</v>
      </c>
      <c r="S145" s="66">
        <f>Бюджет!S420</f>
        <v>0</v>
      </c>
      <c r="T145" s="66">
        <f>Бюджет!T420</f>
        <v>20</v>
      </c>
      <c r="U145" s="66">
        <f>Бюджет!U420</f>
        <v>0</v>
      </c>
      <c r="V145" s="66">
        <f>Бюджет!V420</f>
        <v>0</v>
      </c>
      <c r="W145" s="66">
        <f>Бюджет!W420</f>
        <v>0</v>
      </c>
      <c r="X145" s="66">
        <f>Бюджет!X420</f>
        <v>0</v>
      </c>
      <c r="Y145" s="66">
        <f>Бюджет!Y420</f>
        <v>0</v>
      </c>
      <c r="Z145" s="66">
        <f>Бюджет!Z420</f>
        <v>0</v>
      </c>
      <c r="AA145" s="66">
        <f>Бюджет!AA420</f>
        <v>0</v>
      </c>
      <c r="AB145" s="66">
        <f>Бюджет!AB420</f>
        <v>0</v>
      </c>
      <c r="AC145" s="66">
        <f>Бюджет!AC420</f>
        <v>0</v>
      </c>
      <c r="AD145" s="66">
        <f>Бюджет!AD420</f>
        <v>0</v>
      </c>
      <c r="AE145" s="66">
        <f>Бюджет!AE420</f>
        <v>0</v>
      </c>
      <c r="AF145" s="66">
        <f>Бюджет!AF420</f>
        <v>0</v>
      </c>
      <c r="AG145" s="66">
        <f>Бюджет!AG420</f>
        <v>0</v>
      </c>
      <c r="AH145" s="66">
        <f>Бюджет!AH420</f>
        <v>0</v>
      </c>
      <c r="AI145" s="66">
        <f>Бюджет!AI420</f>
        <v>0</v>
      </c>
      <c r="AJ145" s="66">
        <f t="shared" si="23"/>
        <v>20</v>
      </c>
      <c r="AK145" s="74"/>
    </row>
    <row r="146" spans="1:37" s="110" customFormat="1" ht="30" x14ac:dyDescent="0.2">
      <c r="A146" s="60">
        <f>Бюджет!A421</f>
        <v>0</v>
      </c>
      <c r="B146" s="60" t="str">
        <f>Бюджет!B421</f>
        <v>Руководство программой магистерской подготовки</v>
      </c>
      <c r="C146" s="67">
        <f>Бюджет!C421</f>
        <v>0</v>
      </c>
      <c r="D146" s="67">
        <f>Бюджет!D421</f>
        <v>0</v>
      </c>
      <c r="E146" s="67">
        <f>Бюджет!E421</f>
        <v>0</v>
      </c>
      <c r="F146" s="66">
        <f>Бюджет!F421</f>
        <v>0</v>
      </c>
      <c r="G146" s="66">
        <f>Бюджет!G421</f>
        <v>0</v>
      </c>
      <c r="H146" s="66">
        <f>Бюджет!H421</f>
        <v>0</v>
      </c>
      <c r="I146" s="66">
        <f>Бюджет!I421</f>
        <v>0</v>
      </c>
      <c r="J146" s="66">
        <f>Бюджет!J421</f>
        <v>0</v>
      </c>
      <c r="K146" s="66">
        <f>Бюджет!K421</f>
        <v>0</v>
      </c>
      <c r="L146" s="66">
        <f>Бюджет!L421</f>
        <v>0</v>
      </c>
      <c r="M146" s="66">
        <f>Бюджет!M421</f>
        <v>0</v>
      </c>
      <c r="N146" s="66">
        <f>Бюджет!N421</f>
        <v>0</v>
      </c>
      <c r="O146" s="66">
        <f>Бюджет!O421</f>
        <v>0</v>
      </c>
      <c r="P146" s="66">
        <f>Бюджет!P421</f>
        <v>0</v>
      </c>
      <c r="Q146" s="66">
        <f>Бюджет!Q421</f>
        <v>0</v>
      </c>
      <c r="R146" s="66">
        <f>Бюджет!R421</f>
        <v>0</v>
      </c>
      <c r="S146" s="66">
        <f>Бюджет!S421</f>
        <v>0</v>
      </c>
      <c r="T146" s="66">
        <f>Бюджет!T421</f>
        <v>0</v>
      </c>
      <c r="U146" s="66">
        <f>Бюджет!U421</f>
        <v>0</v>
      </c>
      <c r="V146" s="66">
        <f>Бюджет!V421</f>
        <v>0</v>
      </c>
      <c r="W146" s="66">
        <f>Бюджет!W421</f>
        <v>0</v>
      </c>
      <c r="X146" s="66">
        <f>Бюджет!X421</f>
        <v>0</v>
      </c>
      <c r="Y146" s="66">
        <f>Бюджет!Y421</f>
        <v>0</v>
      </c>
      <c r="Z146" s="66">
        <f>Бюджет!Z421</f>
        <v>0</v>
      </c>
      <c r="AA146" s="66">
        <f>Бюджет!AA421</f>
        <v>0</v>
      </c>
      <c r="AB146" s="66">
        <f>Бюджет!AB421</f>
        <v>0</v>
      </c>
      <c r="AC146" s="66">
        <f>Бюджет!AC421</f>
        <v>0</v>
      </c>
      <c r="AD146" s="66">
        <f>Бюджет!AD421</f>
        <v>0</v>
      </c>
      <c r="AE146" s="66">
        <f>Бюджет!AE421</f>
        <v>30</v>
      </c>
      <c r="AF146" s="66">
        <f>Бюджет!AF421</f>
        <v>0</v>
      </c>
      <c r="AG146" s="66">
        <f>Бюджет!AG421</f>
        <v>0</v>
      </c>
      <c r="AH146" s="66">
        <f>Бюджет!AH421</f>
        <v>0</v>
      </c>
      <c r="AI146" s="66">
        <f>Бюджет!AI421</f>
        <v>0</v>
      </c>
      <c r="AJ146" s="66">
        <f t="shared" si="23"/>
        <v>30</v>
      </c>
      <c r="AK146" s="74"/>
    </row>
    <row r="147" spans="1:37" s="110" customFormat="1" ht="45" x14ac:dyDescent="0.2">
      <c r="A147" s="60" t="str">
        <f>Бюджет!A422</f>
        <v>Б1.В.03</v>
      </c>
      <c r="B147" s="60" t="str">
        <f>Бюджет!B422</f>
        <v>Методы обработки экспериментальных данных (поток лекции и лабы ФМТЭФ и АВЭ)</v>
      </c>
      <c r="C147" s="67" t="str">
        <f>Бюджет!C422</f>
        <v>2\3</v>
      </c>
      <c r="D147" s="67">
        <f>Бюджет!D422</f>
        <v>5</v>
      </c>
      <c r="E147" s="67">
        <f>Бюджет!E422</f>
        <v>1</v>
      </c>
      <c r="F147" s="66">
        <f>Бюджет!F422</f>
        <v>16</v>
      </c>
      <c r="G147" s="66">
        <f>Бюджет!G422</f>
        <v>0</v>
      </c>
      <c r="H147" s="66">
        <f>Бюджет!H422</f>
        <v>0</v>
      </c>
      <c r="I147" s="66">
        <f>Бюджет!I422</f>
        <v>0</v>
      </c>
      <c r="J147" s="66">
        <f>Бюджет!J422</f>
        <v>0</v>
      </c>
      <c r="K147" s="66">
        <f>Бюджет!K422</f>
        <v>1.5</v>
      </c>
      <c r="L147" s="66">
        <f>Бюджет!L422</f>
        <v>0</v>
      </c>
      <c r="M147" s="66">
        <f>Бюджет!M422</f>
        <v>0</v>
      </c>
      <c r="N147" s="66">
        <f>Бюджет!N422</f>
        <v>0</v>
      </c>
      <c r="O147" s="66">
        <f>Бюджет!O422</f>
        <v>0</v>
      </c>
      <c r="P147" s="66">
        <f>Бюджет!P422</f>
        <v>0</v>
      </c>
      <c r="Q147" s="66">
        <f>Бюджет!Q422</f>
        <v>0</v>
      </c>
      <c r="R147" s="66">
        <f>Бюджет!R422</f>
        <v>0</v>
      </c>
      <c r="S147" s="66">
        <f>Бюджет!S422</f>
        <v>0</v>
      </c>
      <c r="T147" s="66">
        <f>Бюджет!T422</f>
        <v>0</v>
      </c>
      <c r="U147" s="66">
        <f>Бюджет!U422</f>
        <v>0</v>
      </c>
      <c r="V147" s="66">
        <f>Бюджет!V422</f>
        <v>0</v>
      </c>
      <c r="W147" s="66">
        <f>Бюджет!W422</f>
        <v>0</v>
      </c>
      <c r="X147" s="66">
        <f>Бюджет!X422</f>
        <v>0</v>
      </c>
      <c r="Y147" s="66">
        <f>Бюджет!Y422</f>
        <v>0</v>
      </c>
      <c r="Z147" s="66">
        <f>Бюджет!Z422</f>
        <v>0</v>
      </c>
      <c r="AA147" s="66">
        <f>Бюджет!AA422</f>
        <v>0</v>
      </c>
      <c r="AB147" s="66">
        <f>Бюджет!AB422</f>
        <v>0</v>
      </c>
      <c r="AC147" s="66">
        <f>Бюджет!AC422</f>
        <v>0</v>
      </c>
      <c r="AD147" s="66">
        <f>Бюджет!AD422</f>
        <v>0</v>
      </c>
      <c r="AE147" s="66">
        <f>Бюджет!AE422</f>
        <v>0</v>
      </c>
      <c r="AF147" s="66">
        <f>Бюджет!AF422</f>
        <v>0</v>
      </c>
      <c r="AG147" s="66">
        <f>Бюджет!AG422</f>
        <v>0</v>
      </c>
      <c r="AH147" s="66">
        <f>Бюджет!AH422</f>
        <v>0</v>
      </c>
      <c r="AI147" s="66">
        <f>Бюджет!AI422</f>
        <v>4</v>
      </c>
      <c r="AJ147" s="66">
        <f t="shared" si="23"/>
        <v>5.5</v>
      </c>
      <c r="AK147" s="74"/>
    </row>
    <row r="148" spans="1:37" s="110" customFormat="1" ht="30" x14ac:dyDescent="0.2">
      <c r="A148" s="60" t="str">
        <f>Бюджет!A424</f>
        <v>Б1.В.06</v>
      </c>
      <c r="B148" s="60" t="str">
        <f>Бюджет!B424</f>
        <v>Проблемы темной материи и экзотических частиц</v>
      </c>
      <c r="C148" s="67" t="str">
        <f>Бюджет!C424</f>
        <v>2\3</v>
      </c>
      <c r="D148" s="67">
        <f>Бюджет!D424</f>
        <v>5</v>
      </c>
      <c r="E148" s="67">
        <f>Бюджет!E424</f>
        <v>1</v>
      </c>
      <c r="F148" s="66">
        <f>Бюджет!F424</f>
        <v>34</v>
      </c>
      <c r="G148" s="66">
        <f>Бюджет!G424</f>
        <v>34</v>
      </c>
      <c r="H148" s="66">
        <f>Бюджет!H424</f>
        <v>0</v>
      </c>
      <c r="I148" s="66">
        <f>Бюджет!I424</f>
        <v>0</v>
      </c>
      <c r="J148" s="66">
        <f>Бюджет!J424</f>
        <v>0</v>
      </c>
      <c r="K148" s="66">
        <f>Бюджет!K424</f>
        <v>1.5</v>
      </c>
      <c r="L148" s="66">
        <f>Бюджет!L424</f>
        <v>0</v>
      </c>
      <c r="M148" s="66">
        <f>Бюджет!M424</f>
        <v>0</v>
      </c>
      <c r="N148" s="66">
        <f>Бюджет!N424</f>
        <v>0</v>
      </c>
      <c r="O148" s="66">
        <f>Бюджет!O424</f>
        <v>0</v>
      </c>
      <c r="P148" s="66">
        <f>Бюджет!P424</f>
        <v>0</v>
      </c>
      <c r="Q148" s="66">
        <f>Бюджет!Q424</f>
        <v>1.7000000000000002</v>
      </c>
      <c r="R148" s="66">
        <f>Бюджет!R424</f>
        <v>0</v>
      </c>
      <c r="S148" s="66">
        <f>Бюджет!S424</f>
        <v>0</v>
      </c>
      <c r="T148" s="66">
        <f>Бюджет!T424</f>
        <v>0</v>
      </c>
      <c r="U148" s="66">
        <f>Бюджет!U424</f>
        <v>0</v>
      </c>
      <c r="V148" s="66">
        <f>Бюджет!V424</f>
        <v>0</v>
      </c>
      <c r="W148" s="66">
        <f>Бюджет!W424</f>
        <v>0</v>
      </c>
      <c r="X148" s="66">
        <f>Бюджет!X424</f>
        <v>0</v>
      </c>
      <c r="Y148" s="66">
        <f>Бюджет!Y424</f>
        <v>0</v>
      </c>
      <c r="Z148" s="66">
        <f>Бюджет!Z424</f>
        <v>0</v>
      </c>
      <c r="AA148" s="66">
        <f>Бюджет!AA424</f>
        <v>0</v>
      </c>
      <c r="AB148" s="66">
        <f>Бюджет!AB424</f>
        <v>0</v>
      </c>
      <c r="AC148" s="66">
        <f>Бюджет!AC424</f>
        <v>0</v>
      </c>
      <c r="AD148" s="66">
        <f>Бюджет!AD424</f>
        <v>0</v>
      </c>
      <c r="AE148" s="66">
        <f>Бюджет!AE424</f>
        <v>0</v>
      </c>
      <c r="AF148" s="66">
        <f>Бюджет!AF424</f>
        <v>0</v>
      </c>
      <c r="AG148" s="66">
        <f>Бюджет!AG424</f>
        <v>0</v>
      </c>
      <c r="AH148" s="66">
        <f>Бюджет!AH424</f>
        <v>0</v>
      </c>
      <c r="AI148" s="66">
        <f>Бюджет!AI424</f>
        <v>0</v>
      </c>
      <c r="AJ148" s="66">
        <f t="shared" si="23"/>
        <v>37.200000000000003</v>
      </c>
      <c r="AK148" s="74"/>
    </row>
    <row r="149" spans="1:37" s="110" customFormat="1" ht="30" x14ac:dyDescent="0.2">
      <c r="A149" s="60" t="str">
        <f>Бюджет!A426</f>
        <v>Б1.В.ДВ.01.01</v>
      </c>
      <c r="B149" s="60" t="str">
        <f>Бюджет!B426</f>
        <v>Распределенные базы данных. Блочейн (поток ФИЗ АВЭ, РФ маг)</v>
      </c>
      <c r="C149" s="67" t="str">
        <f>Бюджет!C426</f>
        <v>2\3</v>
      </c>
      <c r="D149" s="67">
        <f>Бюджет!D426</f>
        <v>5</v>
      </c>
      <c r="E149" s="67">
        <f>Бюджет!E426</f>
        <v>1</v>
      </c>
      <c r="F149" s="66">
        <f>Бюджет!F426</f>
        <v>34</v>
      </c>
      <c r="G149" s="66">
        <f>Бюджет!G426</f>
        <v>0</v>
      </c>
      <c r="H149" s="66">
        <f>Бюджет!H426</f>
        <v>34</v>
      </c>
      <c r="I149" s="66">
        <f>Бюджет!I426</f>
        <v>0</v>
      </c>
      <c r="J149" s="66">
        <f>Бюджет!J426</f>
        <v>0</v>
      </c>
      <c r="K149" s="66">
        <f>Бюджет!K426</f>
        <v>1.5</v>
      </c>
      <c r="L149" s="66">
        <f>Бюджет!L426</f>
        <v>0</v>
      </c>
      <c r="M149" s="66">
        <f>Бюджет!M426</f>
        <v>0</v>
      </c>
      <c r="N149" s="66">
        <f>Бюджет!N426</f>
        <v>0</v>
      </c>
      <c r="O149" s="66">
        <f>Бюджет!O426</f>
        <v>0</v>
      </c>
      <c r="P149" s="66">
        <f>Бюджет!P426</f>
        <v>0</v>
      </c>
      <c r="Q149" s="66">
        <f>Бюджет!Q426</f>
        <v>0</v>
      </c>
      <c r="R149" s="66">
        <f>Бюджет!R426</f>
        <v>0</v>
      </c>
      <c r="S149" s="66">
        <f>Бюджет!S426</f>
        <v>0</v>
      </c>
      <c r="T149" s="66">
        <f>Бюджет!T426</f>
        <v>0</v>
      </c>
      <c r="U149" s="66">
        <f>Бюджет!U426</f>
        <v>0</v>
      </c>
      <c r="V149" s="66">
        <f>Бюджет!V426</f>
        <v>0</v>
      </c>
      <c r="W149" s="66">
        <f>Бюджет!W426</f>
        <v>0</v>
      </c>
      <c r="X149" s="66">
        <f>Бюджет!X426</f>
        <v>0</v>
      </c>
      <c r="Y149" s="66">
        <f>Бюджет!Y426</f>
        <v>0</v>
      </c>
      <c r="Z149" s="66">
        <f>Бюджет!Z426</f>
        <v>0</v>
      </c>
      <c r="AA149" s="66">
        <f>Бюджет!AA426</f>
        <v>0</v>
      </c>
      <c r="AB149" s="66">
        <f>Бюджет!AB426</f>
        <v>0</v>
      </c>
      <c r="AC149" s="66">
        <f>Бюджет!AC426</f>
        <v>0</v>
      </c>
      <c r="AD149" s="66">
        <f>Бюджет!AD426</f>
        <v>0</v>
      </c>
      <c r="AE149" s="66">
        <f>Бюджет!AE426</f>
        <v>0</v>
      </c>
      <c r="AF149" s="66">
        <f>Бюджет!AF426</f>
        <v>0</v>
      </c>
      <c r="AG149" s="66">
        <f>Бюджет!AG426</f>
        <v>0</v>
      </c>
      <c r="AH149" s="66">
        <f>Бюджет!AH426</f>
        <v>0</v>
      </c>
      <c r="AI149" s="66">
        <f>Бюджет!AI426</f>
        <v>0</v>
      </c>
      <c r="AJ149" s="66">
        <f t="shared" si="23"/>
        <v>1.5</v>
      </c>
      <c r="AK149" s="74"/>
    </row>
    <row r="150" spans="1:37" s="110" customFormat="1" ht="30" x14ac:dyDescent="0.2">
      <c r="A150" s="60" t="str">
        <f>Бюджет!A427</f>
        <v>Б1.В.01(Н)</v>
      </c>
      <c r="B150" s="60" t="str">
        <f>Бюджет!B427</f>
        <v>Производственная практика (Научно-исследовательская работа)</v>
      </c>
      <c r="C150" s="67" t="str">
        <f>Бюджет!C427</f>
        <v>2\3</v>
      </c>
      <c r="D150" s="67">
        <f>Бюджет!D427</f>
        <v>5</v>
      </c>
      <c r="E150" s="67">
        <f>Бюджет!E427</f>
        <v>1</v>
      </c>
      <c r="F150" s="66">
        <f>Бюджет!F427</f>
        <v>0</v>
      </c>
      <c r="G150" s="66">
        <f>Бюджет!G427</f>
        <v>0</v>
      </c>
      <c r="H150" s="66">
        <f>Бюджет!H427</f>
        <v>0</v>
      </c>
      <c r="I150" s="66">
        <f>Бюджет!I427</f>
        <v>0</v>
      </c>
      <c r="J150" s="66">
        <f>Бюджет!J427</f>
        <v>0</v>
      </c>
      <c r="K150" s="66">
        <f>Бюджет!K427</f>
        <v>0</v>
      </c>
      <c r="L150" s="66">
        <f>Бюджет!L427</f>
        <v>0</v>
      </c>
      <c r="M150" s="66">
        <f>Бюджет!M427</f>
        <v>0</v>
      </c>
      <c r="N150" s="66">
        <f>Бюджет!N427</f>
        <v>0</v>
      </c>
      <c r="O150" s="66">
        <f>Бюджет!O427</f>
        <v>0</v>
      </c>
      <c r="P150" s="66">
        <f>Бюджет!P427</f>
        <v>0</v>
      </c>
      <c r="Q150" s="66">
        <f>Бюджет!Q427</f>
        <v>0</v>
      </c>
      <c r="R150" s="66">
        <f>Бюджет!R427</f>
        <v>0</v>
      </c>
      <c r="S150" s="66">
        <f>Бюджет!S427</f>
        <v>0</v>
      </c>
      <c r="T150" s="66">
        <f>Бюджет!T427</f>
        <v>30</v>
      </c>
      <c r="U150" s="66">
        <f>Бюджет!U427</f>
        <v>0</v>
      </c>
      <c r="V150" s="66">
        <f>Бюджет!V427</f>
        <v>0</v>
      </c>
      <c r="W150" s="66">
        <f>Бюджет!W427</f>
        <v>0</v>
      </c>
      <c r="X150" s="66">
        <f>Бюджет!X427</f>
        <v>0</v>
      </c>
      <c r="Y150" s="66">
        <f>Бюджет!Y427</f>
        <v>0</v>
      </c>
      <c r="Z150" s="66">
        <f>Бюджет!Z427</f>
        <v>0</v>
      </c>
      <c r="AA150" s="66">
        <f>Бюджет!AA427</f>
        <v>0</v>
      </c>
      <c r="AB150" s="66">
        <f>Бюджет!AB427</f>
        <v>0</v>
      </c>
      <c r="AC150" s="66">
        <f>Бюджет!AC427</f>
        <v>0</v>
      </c>
      <c r="AD150" s="66">
        <f>Бюджет!AD427</f>
        <v>0</v>
      </c>
      <c r="AE150" s="66">
        <f>Бюджет!AE427</f>
        <v>0</v>
      </c>
      <c r="AF150" s="66">
        <f>Бюджет!AF427</f>
        <v>0</v>
      </c>
      <c r="AG150" s="66">
        <f>Бюджет!AG427</f>
        <v>0</v>
      </c>
      <c r="AH150" s="66">
        <f>Бюджет!AH427</f>
        <v>0</v>
      </c>
      <c r="AI150" s="66">
        <f>Бюджет!AI427</f>
        <v>0</v>
      </c>
      <c r="AJ150" s="66">
        <f t="shared" si="23"/>
        <v>30</v>
      </c>
      <c r="AK150" s="74"/>
    </row>
    <row r="151" spans="1:37" s="110" customFormat="1" ht="30" x14ac:dyDescent="0.2">
      <c r="A151" s="60" t="str">
        <f>Бюджет!A428</f>
        <v>Б2.О.01(Пд)</v>
      </c>
      <c r="B151" s="60" t="str">
        <f>Бюджет!B428</f>
        <v>Производственная практика (Преддипломная практика)</v>
      </c>
      <c r="C151" s="67" t="str">
        <f>Бюджет!C428</f>
        <v>2\4</v>
      </c>
      <c r="D151" s="67">
        <f>Бюджет!D428</f>
        <v>5</v>
      </c>
      <c r="E151" s="67">
        <f>Бюджет!E428</f>
        <v>1</v>
      </c>
      <c r="F151" s="66">
        <f>Бюджет!F428</f>
        <v>0</v>
      </c>
      <c r="G151" s="66">
        <f>Бюджет!G428</f>
        <v>0</v>
      </c>
      <c r="H151" s="66">
        <f>Бюджет!H428</f>
        <v>0</v>
      </c>
      <c r="I151" s="66">
        <f>Бюджет!I428</f>
        <v>0</v>
      </c>
      <c r="J151" s="66">
        <f>Бюджет!J428</f>
        <v>0</v>
      </c>
      <c r="K151" s="66">
        <f>Бюджет!K428</f>
        <v>0</v>
      </c>
      <c r="L151" s="66">
        <f>Бюджет!L428</f>
        <v>0</v>
      </c>
      <c r="M151" s="66">
        <f>Бюджет!M428</f>
        <v>0</v>
      </c>
      <c r="N151" s="66">
        <f>Бюджет!N428</f>
        <v>0</v>
      </c>
      <c r="O151" s="66">
        <f>Бюджет!O428</f>
        <v>0</v>
      </c>
      <c r="P151" s="66">
        <f>Бюджет!P428</f>
        <v>0</v>
      </c>
      <c r="Q151" s="66">
        <f>Бюджет!Q428</f>
        <v>0</v>
      </c>
      <c r="R151" s="66">
        <f>Бюджет!R428</f>
        <v>0</v>
      </c>
      <c r="S151" s="66">
        <f>Бюджет!S428</f>
        <v>0</v>
      </c>
      <c r="T151" s="66">
        <f>Бюджет!T428</f>
        <v>86.666666666666657</v>
      </c>
      <c r="U151" s="66">
        <f>Бюджет!U428</f>
        <v>0</v>
      </c>
      <c r="V151" s="66">
        <f>Бюджет!V428</f>
        <v>0</v>
      </c>
      <c r="W151" s="66">
        <f>Бюджет!W428</f>
        <v>0</v>
      </c>
      <c r="X151" s="66">
        <f>Бюджет!X428</f>
        <v>0</v>
      </c>
      <c r="Y151" s="66">
        <f>Бюджет!Y428</f>
        <v>0</v>
      </c>
      <c r="Z151" s="66">
        <f>Бюджет!Z428</f>
        <v>0</v>
      </c>
      <c r="AA151" s="66">
        <f>Бюджет!AA428</f>
        <v>0</v>
      </c>
      <c r="AB151" s="66">
        <f>Бюджет!AB428</f>
        <v>0</v>
      </c>
      <c r="AC151" s="66">
        <f>Бюджет!AC428</f>
        <v>0</v>
      </c>
      <c r="AD151" s="66">
        <f>Бюджет!AD428</f>
        <v>0</v>
      </c>
      <c r="AE151" s="66">
        <f>Бюджет!AE428</f>
        <v>0</v>
      </c>
      <c r="AF151" s="66">
        <f>Бюджет!AF428</f>
        <v>0</v>
      </c>
      <c r="AG151" s="66">
        <f>Бюджет!AG428</f>
        <v>0</v>
      </c>
      <c r="AH151" s="66">
        <f>Бюджет!AH428</f>
        <v>0</v>
      </c>
      <c r="AI151" s="66">
        <f>Бюджет!AI428</f>
        <v>0</v>
      </c>
      <c r="AJ151" s="66">
        <f t="shared" si="23"/>
        <v>86.666666666666657</v>
      </c>
      <c r="AK151" s="74"/>
    </row>
    <row r="152" spans="1:37" s="110" customFormat="1" ht="15" x14ac:dyDescent="0.2">
      <c r="A152" s="60">
        <f>Бюджет!A429</f>
        <v>0</v>
      </c>
      <c r="B152" s="60" t="str">
        <f>Бюджет!B429</f>
        <v>ГИА (ВКР защита) комиссия 7 человека</v>
      </c>
      <c r="C152" s="67" t="str">
        <f>Бюджет!C429</f>
        <v>2\4</v>
      </c>
      <c r="D152" s="67">
        <f>Бюджет!D429</f>
        <v>5</v>
      </c>
      <c r="E152" s="67">
        <f>Бюджет!E429</f>
        <v>1</v>
      </c>
      <c r="F152" s="66">
        <f>Бюджет!F429</f>
        <v>0</v>
      </c>
      <c r="G152" s="66">
        <f>Бюджет!G429</f>
        <v>0</v>
      </c>
      <c r="H152" s="66">
        <f>Бюджет!H429</f>
        <v>0</v>
      </c>
      <c r="I152" s="66">
        <f>Бюджет!I429</f>
        <v>0</v>
      </c>
      <c r="J152" s="66">
        <f>Бюджет!J429</f>
        <v>0</v>
      </c>
      <c r="K152" s="66">
        <f>Бюджет!K429</f>
        <v>0</v>
      </c>
      <c r="L152" s="66">
        <f>Бюджет!L429</f>
        <v>0</v>
      </c>
      <c r="M152" s="66">
        <f>Бюджет!M429</f>
        <v>0</v>
      </c>
      <c r="N152" s="66">
        <f>Бюджет!N429</f>
        <v>0</v>
      </c>
      <c r="O152" s="66">
        <f>Бюджет!O429</f>
        <v>0</v>
      </c>
      <c r="P152" s="66">
        <f>Бюджет!P429</f>
        <v>0</v>
      </c>
      <c r="Q152" s="66">
        <f>Бюджет!Q429</f>
        <v>0</v>
      </c>
      <c r="R152" s="66">
        <f>Бюджет!R429</f>
        <v>0</v>
      </c>
      <c r="S152" s="66">
        <f>Бюджет!S429</f>
        <v>0</v>
      </c>
      <c r="T152" s="66">
        <f>Бюджет!T429</f>
        <v>0</v>
      </c>
      <c r="U152" s="66">
        <f>Бюджет!U429</f>
        <v>0</v>
      </c>
      <c r="V152" s="66">
        <f>Бюджет!V429</f>
        <v>0</v>
      </c>
      <c r="W152" s="66">
        <f>Бюджет!W429</f>
        <v>0</v>
      </c>
      <c r="X152" s="66">
        <f>Бюджет!X429</f>
        <v>0</v>
      </c>
      <c r="Y152" s="66">
        <f>Бюджет!Y429</f>
        <v>0</v>
      </c>
      <c r="Z152" s="66">
        <f>Бюджет!Z429</f>
        <v>0</v>
      </c>
      <c r="AA152" s="66">
        <f>Бюджет!AA429</f>
        <v>0</v>
      </c>
      <c r="AB152" s="66">
        <f>Бюджет!AB429/7*1</f>
        <v>2.5</v>
      </c>
      <c r="AC152" s="66">
        <f>Бюджет!AC429</f>
        <v>0</v>
      </c>
      <c r="AD152" s="66">
        <f>Бюджет!AD429</f>
        <v>0</v>
      </c>
      <c r="AE152" s="66">
        <f>Бюджет!AE429</f>
        <v>0</v>
      </c>
      <c r="AF152" s="66">
        <f>Бюджет!AF429</f>
        <v>0</v>
      </c>
      <c r="AG152" s="66">
        <f>Бюджет!AG429</f>
        <v>0</v>
      </c>
      <c r="AH152" s="66">
        <f>Бюджет!AH429</f>
        <v>0</v>
      </c>
      <c r="AI152" s="66">
        <f>Бюджет!AI429</f>
        <v>0</v>
      </c>
      <c r="AJ152" s="66">
        <f t="shared" si="23"/>
        <v>2.5</v>
      </c>
      <c r="AK152" s="74"/>
    </row>
    <row r="153" spans="1:37" s="110" customFormat="1" ht="15" x14ac:dyDescent="0.2">
      <c r="A153" s="60">
        <f>Бюджет!A430</f>
        <v>0</v>
      </c>
      <c r="B153" s="60" t="str">
        <f>Бюджет!B430</f>
        <v>Подготовка и рецензирование ВКР</v>
      </c>
      <c r="C153" s="67" t="str">
        <f>Бюджет!C430</f>
        <v>2\4</v>
      </c>
      <c r="D153" s="67">
        <f>Бюджет!D430</f>
        <v>5</v>
      </c>
      <c r="E153" s="67">
        <f>Бюджет!E430</f>
        <v>1</v>
      </c>
      <c r="F153" s="66">
        <f>Бюджет!F430</f>
        <v>0</v>
      </c>
      <c r="G153" s="66">
        <f>Бюджет!G430</f>
        <v>0</v>
      </c>
      <c r="H153" s="66">
        <f>Бюджет!H430</f>
        <v>0</v>
      </c>
      <c r="I153" s="66">
        <f>Бюджет!I430</f>
        <v>0</v>
      </c>
      <c r="J153" s="66">
        <f>Бюджет!J430</f>
        <v>0</v>
      </c>
      <c r="K153" s="66">
        <f>Бюджет!K430</f>
        <v>0</v>
      </c>
      <c r="L153" s="66">
        <f>Бюджет!L430</f>
        <v>0</v>
      </c>
      <c r="M153" s="66">
        <f>Бюджет!M430</f>
        <v>0</v>
      </c>
      <c r="N153" s="66">
        <f>Бюджет!N430</f>
        <v>0</v>
      </c>
      <c r="O153" s="66">
        <f>Бюджет!O430</f>
        <v>0</v>
      </c>
      <c r="P153" s="66">
        <f>Бюджет!P430</f>
        <v>0</v>
      </c>
      <c r="Q153" s="66">
        <f>Бюджет!Q430</f>
        <v>0</v>
      </c>
      <c r="R153" s="66">
        <f>Бюджет!R430</f>
        <v>0</v>
      </c>
      <c r="S153" s="66">
        <f>Бюджет!S430</f>
        <v>0</v>
      </c>
      <c r="T153" s="66">
        <f>Бюджет!T430</f>
        <v>0</v>
      </c>
      <c r="U153" s="66">
        <f>Бюджет!U430</f>
        <v>0</v>
      </c>
      <c r="V153" s="66">
        <f>Бюджет!V430</f>
        <v>0</v>
      </c>
      <c r="W153" s="66">
        <f>Бюджет!W430</f>
        <v>150</v>
      </c>
      <c r="X153" s="66">
        <f>Бюджет!X430</f>
        <v>25</v>
      </c>
      <c r="Y153" s="66">
        <f>Бюджет!Y430</f>
        <v>0</v>
      </c>
      <c r="Z153" s="66">
        <f>Бюджет!Z430</f>
        <v>0</v>
      </c>
      <c r="AA153" s="66">
        <f>Бюджет!AA430</f>
        <v>0</v>
      </c>
      <c r="AB153" s="66">
        <f>Бюджет!AB430</f>
        <v>0</v>
      </c>
      <c r="AC153" s="66">
        <f>Бюджет!AC430</f>
        <v>0</v>
      </c>
      <c r="AD153" s="66">
        <f>Бюджет!AD430</f>
        <v>0</v>
      </c>
      <c r="AE153" s="66">
        <f>Бюджет!AE430</f>
        <v>0</v>
      </c>
      <c r="AF153" s="66">
        <f>Бюджет!AF430</f>
        <v>0</v>
      </c>
      <c r="AG153" s="66">
        <f>Бюджет!AG430</f>
        <v>0</v>
      </c>
      <c r="AH153" s="66">
        <f>Бюджет!AH430</f>
        <v>0</v>
      </c>
      <c r="AI153" s="66">
        <f>Бюджет!AI430</f>
        <v>0</v>
      </c>
      <c r="AJ153" s="66">
        <f t="shared" si="23"/>
        <v>175</v>
      </c>
      <c r="AK153" s="74"/>
    </row>
    <row r="154" spans="1:37" s="110" customFormat="1" ht="15.75" x14ac:dyDescent="0.2">
      <c r="A154" s="90"/>
      <c r="B154" s="108" t="s">
        <v>238</v>
      </c>
      <c r="C154" s="91"/>
      <c r="D154" s="91"/>
      <c r="E154" s="91"/>
      <c r="F154" s="88">
        <f t="shared" ref="F154:AJ154" si="24">SUM(F133:F153)</f>
        <v>230</v>
      </c>
      <c r="G154" s="88">
        <f t="shared" si="24"/>
        <v>180</v>
      </c>
      <c r="H154" s="88">
        <f t="shared" si="24"/>
        <v>74</v>
      </c>
      <c r="I154" s="88">
        <f t="shared" si="24"/>
        <v>40</v>
      </c>
      <c r="J154" s="88">
        <f t="shared" si="24"/>
        <v>216</v>
      </c>
      <c r="K154" s="88">
        <f t="shared" si="24"/>
        <v>14.100000000000001</v>
      </c>
      <c r="L154" s="88">
        <f t="shared" si="24"/>
        <v>0</v>
      </c>
      <c r="M154" s="88">
        <f t="shared" si="24"/>
        <v>2.4000000000000004</v>
      </c>
      <c r="N154" s="88">
        <f t="shared" si="24"/>
        <v>0</v>
      </c>
      <c r="O154" s="88">
        <f t="shared" si="24"/>
        <v>0</v>
      </c>
      <c r="P154" s="88">
        <f t="shared" si="24"/>
        <v>0</v>
      </c>
      <c r="Q154" s="88">
        <f t="shared" si="24"/>
        <v>11</v>
      </c>
      <c r="R154" s="88">
        <f t="shared" si="24"/>
        <v>0</v>
      </c>
      <c r="S154" s="88">
        <f t="shared" si="24"/>
        <v>20</v>
      </c>
      <c r="T154" s="88">
        <f t="shared" si="24"/>
        <v>136.66666666666666</v>
      </c>
      <c r="U154" s="88">
        <f t="shared" si="24"/>
        <v>0</v>
      </c>
      <c r="V154" s="88">
        <f t="shared" si="24"/>
        <v>0</v>
      </c>
      <c r="W154" s="88">
        <f t="shared" si="24"/>
        <v>150</v>
      </c>
      <c r="X154" s="88">
        <f t="shared" si="24"/>
        <v>25</v>
      </c>
      <c r="Y154" s="88">
        <f t="shared" si="24"/>
        <v>0</v>
      </c>
      <c r="Z154" s="88">
        <f t="shared" si="24"/>
        <v>0</v>
      </c>
      <c r="AA154" s="88">
        <f t="shared" si="24"/>
        <v>0</v>
      </c>
      <c r="AB154" s="88">
        <f t="shared" si="24"/>
        <v>6.5</v>
      </c>
      <c r="AC154" s="88">
        <f t="shared" si="24"/>
        <v>0</v>
      </c>
      <c r="AD154" s="88">
        <f t="shared" si="24"/>
        <v>0</v>
      </c>
      <c r="AE154" s="88">
        <f t="shared" si="24"/>
        <v>30</v>
      </c>
      <c r="AF154" s="88">
        <f t="shared" si="24"/>
        <v>0</v>
      </c>
      <c r="AG154" s="88">
        <f t="shared" si="24"/>
        <v>0</v>
      </c>
      <c r="AH154" s="88">
        <f t="shared" si="24"/>
        <v>0</v>
      </c>
      <c r="AI154" s="88">
        <f t="shared" si="24"/>
        <v>34</v>
      </c>
      <c r="AJ154" s="88">
        <f t="shared" si="24"/>
        <v>865.66666666666663</v>
      </c>
      <c r="AK154" s="74"/>
    </row>
    <row r="155" spans="1:37" s="110" customFormat="1" ht="15.75" x14ac:dyDescent="0.2">
      <c r="A155" s="90"/>
      <c r="B155" s="100"/>
      <c r="C155" s="275"/>
      <c r="D155" s="275"/>
      <c r="E155" s="275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4"/>
    </row>
    <row r="156" spans="1:37" s="110" customFormat="1" ht="15.75" x14ac:dyDescent="0.2">
      <c r="A156" s="90"/>
      <c r="B156" s="100"/>
      <c r="C156" s="275"/>
      <c r="D156" s="275"/>
      <c r="E156" s="275"/>
      <c r="F156" s="73"/>
      <c r="G156" s="73"/>
      <c r="H156" s="73"/>
      <c r="I156" s="73"/>
      <c r="J156" s="408" t="str">
        <f>Бюджет!L433</f>
        <v>11.04.04 Электроника и наноэлектроника</v>
      </c>
      <c r="K156" s="409"/>
      <c r="L156" s="409"/>
      <c r="M156" s="409"/>
      <c r="N156" s="409"/>
      <c r="O156" s="409"/>
      <c r="P156" s="409"/>
      <c r="Q156" s="409"/>
      <c r="R156" s="409"/>
      <c r="S156" s="409"/>
      <c r="T156" s="409"/>
      <c r="U156" s="409"/>
      <c r="V156" s="409"/>
      <c r="W156" s="409"/>
      <c r="X156" s="409"/>
      <c r="Y156" s="409"/>
      <c r="Z156" s="409"/>
      <c r="AA156" s="409"/>
      <c r="AB156" s="409"/>
      <c r="AC156" s="410"/>
      <c r="AD156" s="73"/>
      <c r="AE156" s="73"/>
      <c r="AF156" s="73"/>
      <c r="AG156" s="73"/>
      <c r="AH156" s="73"/>
      <c r="AI156" s="73"/>
      <c r="AJ156" s="73"/>
      <c r="AK156" s="74"/>
    </row>
    <row r="157" spans="1:37" s="110" customFormat="1" ht="15.75" x14ac:dyDescent="0.2">
      <c r="A157" s="90"/>
      <c r="B157" s="100"/>
      <c r="C157" s="275"/>
      <c r="D157" s="275"/>
      <c r="E157" s="275"/>
      <c r="F157" s="73"/>
      <c r="G157" s="73"/>
      <c r="H157" s="73"/>
      <c r="I157" s="73"/>
      <c r="J157" s="390" t="str">
        <f>Бюджет!K434</f>
        <v>профиль "Электроника и наноэлектроника"</v>
      </c>
      <c r="K157" s="390"/>
      <c r="L157" s="390"/>
      <c r="M157" s="390"/>
      <c r="N157" s="390"/>
      <c r="O157" s="390"/>
      <c r="P157" s="390"/>
      <c r="Q157" s="390"/>
      <c r="R157" s="390"/>
      <c r="S157" s="390"/>
      <c r="T157" s="390"/>
      <c r="U157" s="390"/>
      <c r="V157" s="390"/>
      <c r="W157" s="390"/>
      <c r="X157" s="390"/>
      <c r="Y157" s="390"/>
      <c r="Z157" s="390"/>
      <c r="AA157" s="390"/>
      <c r="AB157" s="390"/>
      <c r="AC157" s="390"/>
      <c r="AD157" s="73"/>
      <c r="AE157" s="73"/>
      <c r="AF157" s="73"/>
      <c r="AG157" s="73"/>
      <c r="AH157" s="73"/>
      <c r="AI157" s="73"/>
      <c r="AJ157" s="66">
        <f t="shared" ref="AJ157:AJ159" si="25">SUM(G157,I157:AI157)</f>
        <v>0</v>
      </c>
      <c r="AK157" s="74"/>
    </row>
    <row r="158" spans="1:37" s="110" customFormat="1" ht="30" x14ac:dyDescent="0.2">
      <c r="A158" s="90" t="str">
        <f>Бюджет!A444</f>
        <v>Б1.В.02</v>
      </c>
      <c r="B158" s="60" t="str">
        <f>Бюджет!B444</f>
        <v>Практикум по современным компьютерным технологиям</v>
      </c>
      <c r="C158" s="74" t="str">
        <f>Бюджет!C444</f>
        <v>1\2</v>
      </c>
      <c r="D158" s="74">
        <f>Бюджет!D444</f>
        <v>5</v>
      </c>
      <c r="E158" s="74">
        <f>Бюджет!E444</f>
        <v>1</v>
      </c>
      <c r="F158" s="70">
        <f>Бюджет!F444</f>
        <v>0</v>
      </c>
      <c r="G158" s="70">
        <f>Бюджет!G444</f>
        <v>0</v>
      </c>
      <c r="H158" s="70">
        <f>Бюджет!H444</f>
        <v>0</v>
      </c>
      <c r="I158" s="70">
        <f>Бюджет!I444</f>
        <v>0</v>
      </c>
      <c r="J158" s="70">
        <f>Бюджет!J444</f>
        <v>40</v>
      </c>
      <c r="K158" s="70">
        <f>Бюджет!K444</f>
        <v>1.5</v>
      </c>
      <c r="L158" s="70">
        <f>Бюджет!L444</f>
        <v>0</v>
      </c>
      <c r="M158" s="70">
        <f>Бюджет!M444</f>
        <v>0</v>
      </c>
      <c r="N158" s="70">
        <f>Бюджет!N444</f>
        <v>0</v>
      </c>
      <c r="O158" s="70">
        <f>Бюджет!O444</f>
        <v>0</v>
      </c>
      <c r="P158" s="70">
        <f>Бюджет!P444</f>
        <v>0</v>
      </c>
      <c r="Q158" s="70">
        <f>Бюджет!Q444</f>
        <v>0</v>
      </c>
      <c r="R158" s="70">
        <f>Бюджет!R444</f>
        <v>0</v>
      </c>
      <c r="S158" s="70">
        <f>Бюджет!S444</f>
        <v>0</v>
      </c>
      <c r="T158" s="70">
        <f>Бюджет!T444</f>
        <v>0</v>
      </c>
      <c r="U158" s="70">
        <f>Бюджет!U444</f>
        <v>0</v>
      </c>
      <c r="V158" s="70">
        <f>Бюджет!V444</f>
        <v>0</v>
      </c>
      <c r="W158" s="70">
        <f>Бюджет!W444</f>
        <v>0</v>
      </c>
      <c r="X158" s="70">
        <f>Бюджет!X444</f>
        <v>0</v>
      </c>
      <c r="Y158" s="70">
        <f>Бюджет!Y444</f>
        <v>0</v>
      </c>
      <c r="Z158" s="70">
        <f>Бюджет!Z444</f>
        <v>0</v>
      </c>
      <c r="AA158" s="70">
        <f>Бюджет!AA444</f>
        <v>0</v>
      </c>
      <c r="AB158" s="70">
        <f>Бюджет!AB444</f>
        <v>0</v>
      </c>
      <c r="AC158" s="70">
        <f>Бюджет!AC444</f>
        <v>0</v>
      </c>
      <c r="AD158" s="70">
        <f>Бюджет!AD444</f>
        <v>0</v>
      </c>
      <c r="AE158" s="70">
        <f>Бюджет!AE444</f>
        <v>0</v>
      </c>
      <c r="AF158" s="70">
        <f>Бюджет!AF444</f>
        <v>0</v>
      </c>
      <c r="AG158" s="70">
        <f>Бюджет!AG444</f>
        <v>0</v>
      </c>
      <c r="AH158" s="70">
        <f>Бюджет!AH444</f>
        <v>0</v>
      </c>
      <c r="AI158" s="70">
        <f>Бюджет!AI444</f>
        <v>0</v>
      </c>
      <c r="AJ158" s="66">
        <f t="shared" si="25"/>
        <v>41.5</v>
      </c>
      <c r="AK158" s="74"/>
    </row>
    <row r="159" spans="1:37" s="110" customFormat="1" ht="30" x14ac:dyDescent="0.2">
      <c r="A159" s="90" t="str">
        <f>Бюджет!A447</f>
        <v>Б1.В.05</v>
      </c>
      <c r="B159" s="60" t="str">
        <f>Бюджет!B447</f>
        <v>Компьютерные технологии в научных исследованиях</v>
      </c>
      <c r="C159" s="74" t="str">
        <f>Бюджет!C447</f>
        <v>1\1</v>
      </c>
      <c r="D159" s="74">
        <f>Бюджет!D447</f>
        <v>5</v>
      </c>
      <c r="E159" s="74">
        <f>Бюджет!E447</f>
        <v>1</v>
      </c>
      <c r="F159" s="70">
        <f>Бюджет!F447</f>
        <v>18</v>
      </c>
      <c r="G159" s="70">
        <f>Бюджет!G447</f>
        <v>18</v>
      </c>
      <c r="H159" s="70">
        <f>Бюджет!H447</f>
        <v>0</v>
      </c>
      <c r="I159" s="70">
        <f>Бюджет!I447</f>
        <v>0</v>
      </c>
      <c r="J159" s="70">
        <f>Бюджет!J447</f>
        <v>36</v>
      </c>
      <c r="K159" s="70">
        <f>Бюджет!K447</f>
        <v>1.5</v>
      </c>
      <c r="L159" s="70">
        <f>Бюджет!L447</f>
        <v>0</v>
      </c>
      <c r="M159" s="70">
        <f>Бюджет!M447</f>
        <v>0</v>
      </c>
      <c r="N159" s="70">
        <f>Бюджет!N447</f>
        <v>0</v>
      </c>
      <c r="O159" s="70">
        <f>Бюджет!O447</f>
        <v>0</v>
      </c>
      <c r="P159" s="70">
        <f>Бюджет!P447</f>
        <v>0</v>
      </c>
      <c r="Q159" s="70">
        <f>Бюджет!Q447</f>
        <v>0.9</v>
      </c>
      <c r="R159" s="70">
        <f>Бюджет!R447</f>
        <v>0</v>
      </c>
      <c r="S159" s="70">
        <f>Бюджет!S447</f>
        <v>0</v>
      </c>
      <c r="T159" s="70">
        <f>Бюджет!T447</f>
        <v>0</v>
      </c>
      <c r="U159" s="70">
        <f>Бюджет!U447</f>
        <v>0</v>
      </c>
      <c r="V159" s="70">
        <f>Бюджет!V447</f>
        <v>0</v>
      </c>
      <c r="W159" s="70">
        <f>Бюджет!W447</f>
        <v>0</v>
      </c>
      <c r="X159" s="70">
        <f>Бюджет!X447</f>
        <v>0</v>
      </c>
      <c r="Y159" s="70">
        <f>Бюджет!Y447</f>
        <v>0</v>
      </c>
      <c r="Z159" s="70">
        <f>Бюджет!Z447</f>
        <v>0</v>
      </c>
      <c r="AA159" s="70">
        <f>Бюджет!AA447</f>
        <v>0</v>
      </c>
      <c r="AB159" s="70">
        <f>Бюджет!AB447</f>
        <v>0</v>
      </c>
      <c r="AC159" s="70">
        <f>Бюджет!AC447</f>
        <v>0</v>
      </c>
      <c r="AD159" s="70">
        <f>Бюджет!AD447</f>
        <v>0</v>
      </c>
      <c r="AE159" s="70">
        <f>Бюджет!AE447</f>
        <v>0</v>
      </c>
      <c r="AF159" s="70">
        <f>Бюджет!AF447</f>
        <v>0</v>
      </c>
      <c r="AG159" s="70">
        <f>Бюджет!AG447</f>
        <v>0</v>
      </c>
      <c r="AH159" s="70">
        <f>Бюджет!AH447</f>
        <v>0</v>
      </c>
      <c r="AI159" s="70">
        <f>Бюджет!AI447</f>
        <v>0</v>
      </c>
      <c r="AJ159" s="66">
        <f t="shared" si="25"/>
        <v>56.4</v>
      </c>
      <c r="AK159" s="74"/>
    </row>
    <row r="160" spans="1:37" s="110" customFormat="1" ht="15.75" x14ac:dyDescent="0.2">
      <c r="A160" s="90"/>
      <c r="B160" s="108" t="s">
        <v>347</v>
      </c>
      <c r="C160" s="91"/>
      <c r="D160" s="91"/>
      <c r="E160" s="91"/>
      <c r="F160" s="88">
        <f t="shared" ref="F160:AJ160" si="26">SUM(F158:F159)</f>
        <v>18</v>
      </c>
      <c r="G160" s="88">
        <f t="shared" si="26"/>
        <v>18</v>
      </c>
      <c r="H160" s="88">
        <f t="shared" si="26"/>
        <v>0</v>
      </c>
      <c r="I160" s="88">
        <f t="shared" si="26"/>
        <v>0</v>
      </c>
      <c r="J160" s="88">
        <f t="shared" si="26"/>
        <v>76</v>
      </c>
      <c r="K160" s="88">
        <f t="shared" si="26"/>
        <v>3</v>
      </c>
      <c r="L160" s="88">
        <f t="shared" si="26"/>
        <v>0</v>
      </c>
      <c r="M160" s="88">
        <f t="shared" si="26"/>
        <v>0</v>
      </c>
      <c r="N160" s="88">
        <f t="shared" si="26"/>
        <v>0</v>
      </c>
      <c r="O160" s="88">
        <f t="shared" si="26"/>
        <v>0</v>
      </c>
      <c r="P160" s="88">
        <f t="shared" si="26"/>
        <v>0</v>
      </c>
      <c r="Q160" s="88">
        <f t="shared" si="26"/>
        <v>0.9</v>
      </c>
      <c r="R160" s="88">
        <f t="shared" si="26"/>
        <v>0</v>
      </c>
      <c r="S160" s="88">
        <f t="shared" si="26"/>
        <v>0</v>
      </c>
      <c r="T160" s="88">
        <f t="shared" si="26"/>
        <v>0</v>
      </c>
      <c r="U160" s="88">
        <f t="shared" si="26"/>
        <v>0</v>
      </c>
      <c r="V160" s="88">
        <f t="shared" si="26"/>
        <v>0</v>
      </c>
      <c r="W160" s="88">
        <f t="shared" si="26"/>
        <v>0</v>
      </c>
      <c r="X160" s="88">
        <f t="shared" si="26"/>
        <v>0</v>
      </c>
      <c r="Y160" s="88">
        <f t="shared" si="26"/>
        <v>0</v>
      </c>
      <c r="Z160" s="88">
        <f t="shared" si="26"/>
        <v>0</v>
      </c>
      <c r="AA160" s="88">
        <f t="shared" si="26"/>
        <v>0</v>
      </c>
      <c r="AB160" s="88">
        <f t="shared" si="26"/>
        <v>0</v>
      </c>
      <c r="AC160" s="88">
        <f t="shared" si="26"/>
        <v>0</v>
      </c>
      <c r="AD160" s="88">
        <f t="shared" si="26"/>
        <v>0</v>
      </c>
      <c r="AE160" s="88">
        <f t="shared" si="26"/>
        <v>0</v>
      </c>
      <c r="AF160" s="88">
        <f t="shared" si="26"/>
        <v>0</v>
      </c>
      <c r="AG160" s="88">
        <f t="shared" si="26"/>
        <v>0</v>
      </c>
      <c r="AH160" s="88">
        <f t="shared" si="26"/>
        <v>0</v>
      </c>
      <c r="AI160" s="88">
        <f t="shared" si="26"/>
        <v>0</v>
      </c>
      <c r="AJ160" s="88">
        <f t="shared" si="26"/>
        <v>97.9</v>
      </c>
      <c r="AK160" s="74"/>
    </row>
    <row r="161" spans="1:37" s="110" customFormat="1" ht="15.75" x14ac:dyDescent="0.2">
      <c r="A161" s="90"/>
      <c r="B161" s="100"/>
      <c r="C161" s="275"/>
      <c r="D161" s="275"/>
      <c r="E161" s="275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4"/>
    </row>
    <row r="162" spans="1:37" s="110" customFormat="1" ht="15.75" x14ac:dyDescent="0.2">
      <c r="A162" s="90"/>
      <c r="B162" s="198" t="s">
        <v>239</v>
      </c>
      <c r="C162" s="199"/>
      <c r="D162" s="199"/>
      <c r="E162" s="199"/>
      <c r="F162" s="98">
        <f t="shared" ref="F162:AJ162" si="27">F100+F81+F154+F31+F111+F130+F124+F119+F160</f>
        <v>1094</v>
      </c>
      <c r="G162" s="98">
        <f t="shared" si="27"/>
        <v>904</v>
      </c>
      <c r="H162" s="98">
        <f t="shared" si="27"/>
        <v>692</v>
      </c>
      <c r="I162" s="98">
        <f t="shared" si="27"/>
        <v>658</v>
      </c>
      <c r="J162" s="98">
        <f t="shared" si="27"/>
        <v>2702</v>
      </c>
      <c r="K162" s="98">
        <f t="shared" si="27"/>
        <v>217.2</v>
      </c>
      <c r="L162" s="98">
        <f t="shared" si="27"/>
        <v>0</v>
      </c>
      <c r="M162" s="98">
        <f t="shared" si="27"/>
        <v>44.800000000000004</v>
      </c>
      <c r="N162" s="98">
        <f t="shared" si="27"/>
        <v>0</v>
      </c>
      <c r="O162" s="98">
        <f t="shared" si="27"/>
        <v>0</v>
      </c>
      <c r="P162" s="98">
        <f t="shared" si="27"/>
        <v>0</v>
      </c>
      <c r="Q162" s="98">
        <f t="shared" si="27"/>
        <v>53.2</v>
      </c>
      <c r="R162" s="98">
        <f t="shared" si="27"/>
        <v>0</v>
      </c>
      <c r="S162" s="98">
        <f t="shared" si="27"/>
        <v>56</v>
      </c>
      <c r="T162" s="98">
        <f t="shared" si="27"/>
        <v>252.66666666666666</v>
      </c>
      <c r="U162" s="98">
        <f t="shared" si="27"/>
        <v>0</v>
      </c>
      <c r="V162" s="98">
        <f t="shared" si="27"/>
        <v>24</v>
      </c>
      <c r="W162" s="98">
        <f t="shared" si="27"/>
        <v>358</v>
      </c>
      <c r="X162" s="98">
        <f t="shared" si="27"/>
        <v>25</v>
      </c>
      <c r="Y162" s="98">
        <f t="shared" si="27"/>
        <v>0</v>
      </c>
      <c r="Z162" s="98">
        <f t="shared" si="27"/>
        <v>0</v>
      </c>
      <c r="AA162" s="98">
        <f t="shared" si="27"/>
        <v>0</v>
      </c>
      <c r="AB162" s="98">
        <f t="shared" si="27"/>
        <v>13.5</v>
      </c>
      <c r="AC162" s="98">
        <f t="shared" si="27"/>
        <v>0</v>
      </c>
      <c r="AD162" s="98">
        <f t="shared" si="27"/>
        <v>0</v>
      </c>
      <c r="AE162" s="98">
        <f t="shared" si="27"/>
        <v>30</v>
      </c>
      <c r="AF162" s="98">
        <f t="shared" si="27"/>
        <v>0</v>
      </c>
      <c r="AG162" s="98">
        <f t="shared" si="27"/>
        <v>0</v>
      </c>
      <c r="AH162" s="98">
        <f t="shared" si="27"/>
        <v>0</v>
      </c>
      <c r="AI162" s="98">
        <f t="shared" si="27"/>
        <v>106</v>
      </c>
      <c r="AJ162" s="98">
        <f t="shared" si="27"/>
        <v>5444.3666666666659</v>
      </c>
      <c r="AK162" s="200"/>
    </row>
    <row r="163" spans="1:37" s="110" customFormat="1" ht="15" x14ac:dyDescent="0.2">
      <c r="A163" s="90"/>
      <c r="B163" s="92"/>
      <c r="C163" s="90"/>
      <c r="D163" s="90"/>
      <c r="E163" s="9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>
        <f>SUM(I162:AI162)+G162-AJ162</f>
        <v>0</v>
      </c>
      <c r="AK163" s="74"/>
    </row>
    <row r="164" spans="1:37" s="110" customFormat="1" ht="15" x14ac:dyDescent="0.2">
      <c r="A164" s="90"/>
      <c r="B164" s="92"/>
      <c r="C164" s="90"/>
      <c r="D164" s="90"/>
      <c r="E164" s="9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4"/>
    </row>
    <row r="165" spans="1:37" s="110" customFormat="1" ht="15.75" x14ac:dyDescent="0.2">
      <c r="A165" s="90"/>
      <c r="B165" s="92"/>
      <c r="C165" s="201"/>
      <c r="D165" s="201"/>
      <c r="E165" s="201"/>
      <c r="F165" s="70"/>
      <c r="G165" s="70"/>
      <c r="H165" s="70"/>
      <c r="I165" s="70"/>
      <c r="J165" s="391" t="s">
        <v>58</v>
      </c>
      <c r="K165" s="391"/>
      <c r="L165" s="391"/>
      <c r="M165" s="391"/>
      <c r="N165" s="391"/>
      <c r="O165" s="391"/>
      <c r="P165" s="391"/>
      <c r="Q165" s="391"/>
      <c r="R165" s="391"/>
      <c r="S165" s="391"/>
      <c r="T165" s="391"/>
      <c r="U165" s="391"/>
      <c r="V165" s="391"/>
      <c r="W165" s="391"/>
      <c r="X165" s="391"/>
      <c r="Y165" s="391"/>
      <c r="Z165" s="391"/>
      <c r="AA165" s="391"/>
      <c r="AB165" s="391"/>
      <c r="AC165" s="391"/>
      <c r="AD165" s="70"/>
      <c r="AE165" s="70"/>
      <c r="AF165" s="70"/>
      <c r="AG165" s="70"/>
      <c r="AH165" s="70"/>
      <c r="AI165" s="70"/>
      <c r="AJ165" s="70"/>
      <c r="AK165" s="200"/>
    </row>
    <row r="166" spans="1:37" s="110" customFormat="1" ht="15.75" x14ac:dyDescent="0.2">
      <c r="A166" s="90"/>
      <c r="B166" s="92"/>
      <c r="C166" s="201"/>
      <c r="D166" s="201"/>
      <c r="E166" s="201"/>
      <c r="F166" s="70"/>
      <c r="G166" s="70"/>
      <c r="H166" s="70"/>
      <c r="I166" s="70"/>
      <c r="J166" s="389" t="str">
        <f>Бюджет!K454</f>
        <v xml:space="preserve"> Биолого-почвенный  факультет</v>
      </c>
      <c r="K166" s="389"/>
      <c r="L166" s="389"/>
      <c r="M166" s="389"/>
      <c r="N166" s="389"/>
      <c r="O166" s="389"/>
      <c r="P166" s="389"/>
      <c r="Q166" s="389"/>
      <c r="R166" s="389"/>
      <c r="S166" s="389"/>
      <c r="T166" s="389"/>
      <c r="U166" s="389"/>
      <c r="V166" s="389"/>
      <c r="W166" s="389"/>
      <c r="X166" s="389"/>
      <c r="Y166" s="389"/>
      <c r="Z166" s="389"/>
      <c r="AA166" s="389"/>
      <c r="AB166" s="389"/>
      <c r="AC166" s="389"/>
      <c r="AD166" s="70"/>
      <c r="AE166" s="70"/>
      <c r="AF166" s="70"/>
      <c r="AG166" s="70"/>
      <c r="AH166" s="70"/>
      <c r="AI166" s="70"/>
      <c r="AJ166" s="70"/>
      <c r="AK166" s="74"/>
    </row>
    <row r="167" spans="1:37" s="110" customFormat="1" ht="15.75" x14ac:dyDescent="0.2">
      <c r="A167" s="90"/>
      <c r="B167" s="92"/>
      <c r="C167" s="201"/>
      <c r="D167" s="201"/>
      <c r="E167" s="201"/>
      <c r="F167" s="70"/>
      <c r="G167" s="70"/>
      <c r="H167" s="70"/>
      <c r="I167" s="70"/>
      <c r="J167" s="391" t="str">
        <f>Бюджет!R455</f>
        <v>Очное отделение</v>
      </c>
      <c r="K167" s="391"/>
      <c r="L167" s="391"/>
      <c r="M167" s="391"/>
      <c r="N167" s="391"/>
      <c r="O167" s="391"/>
      <c r="P167" s="391"/>
      <c r="Q167" s="391"/>
      <c r="R167" s="391"/>
      <c r="S167" s="391"/>
      <c r="T167" s="391"/>
      <c r="U167" s="391"/>
      <c r="V167" s="391"/>
      <c r="W167" s="391"/>
      <c r="X167" s="391"/>
      <c r="Y167" s="391"/>
      <c r="Z167" s="391"/>
      <c r="AA167" s="391"/>
      <c r="AB167" s="391"/>
      <c r="AC167" s="391"/>
      <c r="AD167" s="70"/>
      <c r="AE167" s="70"/>
      <c r="AF167" s="70"/>
      <c r="AG167" s="70"/>
      <c r="AH167" s="70"/>
      <c r="AI167" s="70"/>
      <c r="AJ167" s="70"/>
      <c r="AK167" s="74"/>
    </row>
    <row r="168" spans="1:37" s="110" customFormat="1" ht="15.75" x14ac:dyDescent="0.2">
      <c r="A168" s="90"/>
      <c r="B168" s="92"/>
      <c r="C168" s="201"/>
      <c r="D168" s="201"/>
      <c r="E168" s="201"/>
      <c r="F168" s="70"/>
      <c r="G168" s="70"/>
      <c r="H168" s="70"/>
      <c r="I168" s="70"/>
      <c r="J168" s="390" t="str">
        <f>Бюджет!K456</f>
        <v>06.03.01 Биология профиль Биология</v>
      </c>
      <c r="K168" s="390"/>
      <c r="L168" s="390"/>
      <c r="M168" s="390"/>
      <c r="N168" s="390"/>
      <c r="O168" s="390"/>
      <c r="P168" s="390"/>
      <c r="Q168" s="390"/>
      <c r="R168" s="390"/>
      <c r="S168" s="390"/>
      <c r="T168" s="390"/>
      <c r="U168" s="390"/>
      <c r="V168" s="390"/>
      <c r="W168" s="390"/>
      <c r="X168" s="390"/>
      <c r="Y168" s="390"/>
      <c r="Z168" s="390"/>
      <c r="AA168" s="390"/>
      <c r="AB168" s="390"/>
      <c r="AC168" s="390"/>
      <c r="AD168" s="70"/>
      <c r="AE168" s="70"/>
      <c r="AF168" s="70"/>
      <c r="AG168" s="70"/>
      <c r="AH168" s="70"/>
      <c r="AI168" s="70"/>
      <c r="AJ168" s="70">
        <f t="shared" ref="AJ168:AJ173" si="28">SUM(G168,I168:AI168)</f>
        <v>0</v>
      </c>
      <c r="AK168" s="74"/>
    </row>
    <row r="169" spans="1:37" s="110" customFormat="1" ht="15" x14ac:dyDescent="0.2">
      <c r="A169" s="90" t="str">
        <f>Бюджет!A457</f>
        <v>Б1.О.13</v>
      </c>
      <c r="B169" s="92" t="str">
        <f>Бюджет!B457</f>
        <v>Физика</v>
      </c>
      <c r="C169" s="74" t="str">
        <f>Бюджет!C457</f>
        <v>1/2,</v>
      </c>
      <c r="D169" s="74">
        <f>Бюджет!D457</f>
        <v>84</v>
      </c>
      <c r="E169" s="74">
        <f>Бюджет!E457</f>
        <v>3</v>
      </c>
      <c r="F169" s="70">
        <f>Бюджет!F457</f>
        <v>16</v>
      </c>
      <c r="G169" s="70">
        <f>Бюджет!G457</f>
        <v>16</v>
      </c>
      <c r="H169" s="70">
        <f>Бюджет!H457</f>
        <v>0</v>
      </c>
      <c r="I169" s="70">
        <f>Бюджет!I457</f>
        <v>0</v>
      </c>
      <c r="J169" s="70">
        <f>Бюджет!J457</f>
        <v>96</v>
      </c>
      <c r="K169" s="70">
        <f>Бюджет!K457</f>
        <v>25.2</v>
      </c>
      <c r="L169" s="70">
        <f>Бюджет!L457</f>
        <v>0</v>
      </c>
      <c r="M169" s="70">
        <f>Бюджет!M457</f>
        <v>0</v>
      </c>
      <c r="N169" s="70">
        <f>Бюджет!N457</f>
        <v>0</v>
      </c>
      <c r="O169" s="70">
        <f>Бюджет!O457</f>
        <v>0</v>
      </c>
      <c r="P169" s="70">
        <f>Бюджет!P457</f>
        <v>0</v>
      </c>
      <c r="Q169" s="70">
        <f>Бюджет!Q457</f>
        <v>0.8</v>
      </c>
      <c r="R169" s="70">
        <f>Бюджет!R457</f>
        <v>0</v>
      </c>
      <c r="S169" s="70">
        <f>Бюджет!S457</f>
        <v>0</v>
      </c>
      <c r="T169" s="70">
        <f>Бюджет!T457</f>
        <v>0</v>
      </c>
      <c r="U169" s="70">
        <f>Бюджет!U457</f>
        <v>0</v>
      </c>
      <c r="V169" s="70">
        <f>Бюджет!V457</f>
        <v>0</v>
      </c>
      <c r="W169" s="70">
        <f>Бюджет!W457</f>
        <v>0</v>
      </c>
      <c r="X169" s="70">
        <f>Бюджет!X457</f>
        <v>0</v>
      </c>
      <c r="Y169" s="70">
        <f>Бюджет!Y457</f>
        <v>0</v>
      </c>
      <c r="Z169" s="70">
        <f>Бюджет!Z457</f>
        <v>0</v>
      </c>
      <c r="AA169" s="70">
        <f>Бюджет!AA457</f>
        <v>0</v>
      </c>
      <c r="AB169" s="70">
        <f>Бюджет!AB457</f>
        <v>0</v>
      </c>
      <c r="AC169" s="70">
        <f>Бюджет!AC457</f>
        <v>0</v>
      </c>
      <c r="AD169" s="70">
        <f>Бюджет!AD457</f>
        <v>0</v>
      </c>
      <c r="AE169" s="70">
        <f>Бюджет!AE457</f>
        <v>0</v>
      </c>
      <c r="AF169" s="70">
        <f>Бюджет!AF457</f>
        <v>0</v>
      </c>
      <c r="AG169" s="70">
        <f>Бюджет!AG457</f>
        <v>0</v>
      </c>
      <c r="AH169" s="70">
        <f>Бюджет!AH457</f>
        <v>0</v>
      </c>
      <c r="AI169" s="70">
        <f>Бюджет!AI457</f>
        <v>6</v>
      </c>
      <c r="AJ169" s="66">
        <f t="shared" si="28"/>
        <v>144</v>
      </c>
      <c r="AK169" s="74"/>
    </row>
    <row r="170" spans="1:37" s="110" customFormat="1" ht="15.75" x14ac:dyDescent="0.2">
      <c r="A170" s="90"/>
      <c r="B170" s="92"/>
      <c r="C170" s="74"/>
      <c r="D170" s="74"/>
      <c r="E170" s="74"/>
      <c r="F170" s="70"/>
      <c r="G170" s="70"/>
      <c r="H170" s="70"/>
      <c r="I170" s="70"/>
      <c r="J170" s="390" t="str">
        <f>Бюджет!K458</f>
        <v>06.05.01 Биоинженерия и биоинформатика (специалитет)</v>
      </c>
      <c r="K170" s="390"/>
      <c r="L170" s="390"/>
      <c r="M170" s="390"/>
      <c r="N170" s="390"/>
      <c r="O170" s="390"/>
      <c r="P170" s="390"/>
      <c r="Q170" s="390"/>
      <c r="R170" s="390"/>
      <c r="S170" s="390"/>
      <c r="T170" s="390"/>
      <c r="U170" s="390"/>
      <c r="V170" s="390"/>
      <c r="W170" s="390"/>
      <c r="X170" s="390"/>
      <c r="Y170" s="390"/>
      <c r="Z170" s="390"/>
      <c r="AA170" s="390"/>
      <c r="AB170" s="390"/>
      <c r="AC170" s="390"/>
      <c r="AD170" s="70"/>
      <c r="AE170" s="70"/>
      <c r="AF170" s="70"/>
      <c r="AG170" s="70"/>
      <c r="AH170" s="70"/>
      <c r="AI170" s="70"/>
      <c r="AJ170" s="70">
        <f t="shared" si="28"/>
        <v>0</v>
      </c>
      <c r="AK170" s="74"/>
    </row>
    <row r="171" spans="1:37" s="110" customFormat="1" ht="15" x14ac:dyDescent="0.2">
      <c r="A171" s="90" t="str">
        <f>Бюджет!A459</f>
        <v>Б1.О.13</v>
      </c>
      <c r="B171" s="92" t="str">
        <f>Бюджет!B459</f>
        <v>Физика</v>
      </c>
      <c r="C171" s="74" t="str">
        <f>Бюджет!C459</f>
        <v>1/2,</v>
      </c>
      <c r="D171" s="74">
        <f>Бюджет!D459</f>
        <v>16</v>
      </c>
      <c r="E171" s="74">
        <f>Бюджет!E459</f>
        <v>1</v>
      </c>
      <c r="F171" s="70">
        <f>Бюджет!F459</f>
        <v>16</v>
      </c>
      <c r="G171" s="70">
        <f>Бюджет!G459</f>
        <v>0</v>
      </c>
      <c r="H171" s="70">
        <f>Бюджет!H459</f>
        <v>0</v>
      </c>
      <c r="I171" s="70">
        <f>Бюджет!I459</f>
        <v>0</v>
      </c>
      <c r="J171" s="70">
        <f>Бюджет!J459</f>
        <v>32</v>
      </c>
      <c r="K171" s="70">
        <f>Бюджет!K459</f>
        <v>4.8</v>
      </c>
      <c r="L171" s="70">
        <f>Бюджет!L459</f>
        <v>0</v>
      </c>
      <c r="M171" s="70">
        <f>Бюджет!M459</f>
        <v>0</v>
      </c>
      <c r="N171" s="70">
        <f>Бюджет!N459</f>
        <v>0</v>
      </c>
      <c r="O171" s="70">
        <f>Бюджет!O459</f>
        <v>0</v>
      </c>
      <c r="P171" s="70">
        <f>Бюджет!P459</f>
        <v>0</v>
      </c>
      <c r="Q171" s="70">
        <f>Бюджет!Q459</f>
        <v>0</v>
      </c>
      <c r="R171" s="70">
        <f>Бюджет!R459</f>
        <v>0</v>
      </c>
      <c r="S171" s="70">
        <f>Бюджет!S459</f>
        <v>0</v>
      </c>
      <c r="T171" s="70">
        <f>Бюджет!T459</f>
        <v>0</v>
      </c>
      <c r="U171" s="70">
        <f>Бюджет!U459</f>
        <v>0</v>
      </c>
      <c r="V171" s="70">
        <f>Бюджет!V459</f>
        <v>0</v>
      </c>
      <c r="W171" s="70">
        <f>Бюджет!W459</f>
        <v>0</v>
      </c>
      <c r="X171" s="70">
        <f>Бюджет!X459</f>
        <v>0</v>
      </c>
      <c r="Y171" s="70">
        <f>Бюджет!Y459</f>
        <v>0</v>
      </c>
      <c r="Z171" s="70">
        <f>Бюджет!Z459</f>
        <v>0</v>
      </c>
      <c r="AA171" s="70">
        <f>Бюджет!AA459</f>
        <v>0</v>
      </c>
      <c r="AB171" s="70">
        <f>Бюджет!AB459</f>
        <v>0</v>
      </c>
      <c r="AC171" s="70">
        <f>Бюджет!AC459</f>
        <v>0</v>
      </c>
      <c r="AD171" s="70">
        <f>Бюджет!AD459</f>
        <v>0</v>
      </c>
      <c r="AE171" s="70">
        <f>Бюджет!AE459</f>
        <v>0</v>
      </c>
      <c r="AF171" s="70">
        <f>Бюджет!AF459</f>
        <v>0</v>
      </c>
      <c r="AG171" s="70">
        <f>Бюджет!AG459</f>
        <v>0</v>
      </c>
      <c r="AH171" s="70">
        <f>Бюджет!AH459</f>
        <v>0</v>
      </c>
      <c r="AI171" s="70">
        <f>Бюджет!AI459</f>
        <v>4</v>
      </c>
      <c r="AJ171" s="66">
        <f t="shared" si="28"/>
        <v>40.799999999999997</v>
      </c>
      <c r="AK171" s="74"/>
    </row>
    <row r="172" spans="1:37" s="110" customFormat="1" ht="15.75" x14ac:dyDescent="0.2">
      <c r="A172" s="90"/>
      <c r="B172" s="92"/>
      <c r="C172" s="74"/>
      <c r="D172" s="74"/>
      <c r="E172" s="74"/>
      <c r="F172" s="70"/>
      <c r="G172" s="70"/>
      <c r="H172" s="70"/>
      <c r="I172" s="70"/>
      <c r="J172" s="390" t="str">
        <f>Бюджет!K460</f>
        <v>05.03.06 Экология и природопользование профиль Экологическая экспертиза</v>
      </c>
      <c r="K172" s="390"/>
      <c r="L172" s="390"/>
      <c r="M172" s="390"/>
      <c r="N172" s="390"/>
      <c r="O172" s="390"/>
      <c r="P172" s="390"/>
      <c r="Q172" s="390"/>
      <c r="R172" s="390"/>
      <c r="S172" s="390"/>
      <c r="T172" s="390"/>
      <c r="U172" s="390"/>
      <c r="V172" s="390"/>
      <c r="W172" s="390"/>
      <c r="X172" s="390"/>
      <c r="Y172" s="390"/>
      <c r="Z172" s="390"/>
      <c r="AA172" s="390"/>
      <c r="AB172" s="390"/>
      <c r="AC172" s="390"/>
      <c r="AD172" s="70"/>
      <c r="AE172" s="70"/>
      <c r="AF172" s="70"/>
      <c r="AG172" s="70"/>
      <c r="AH172" s="70"/>
      <c r="AI172" s="70"/>
      <c r="AJ172" s="70">
        <f t="shared" si="28"/>
        <v>0</v>
      </c>
      <c r="AK172" s="74"/>
    </row>
    <row r="173" spans="1:37" s="110" customFormat="1" ht="15" x14ac:dyDescent="0.2">
      <c r="A173" s="90" t="str">
        <f>Бюджет!A461</f>
        <v>Б1.О.15</v>
      </c>
      <c r="B173" s="92" t="str">
        <f>Бюджет!B461</f>
        <v>Физика</v>
      </c>
      <c r="C173" s="74" t="str">
        <f>Бюджет!C461</f>
        <v>1/2,</v>
      </c>
      <c r="D173" s="74">
        <f>Бюджет!D461</f>
        <v>12</v>
      </c>
      <c r="E173" s="74">
        <f>Бюджет!E461</f>
        <v>1</v>
      </c>
      <c r="F173" s="70">
        <f>Бюджет!F461</f>
        <v>16</v>
      </c>
      <c r="G173" s="70">
        <f>Бюджет!G461</f>
        <v>0</v>
      </c>
      <c r="H173" s="70">
        <f>Бюджет!H461</f>
        <v>0</v>
      </c>
      <c r="I173" s="70">
        <f>Бюджет!I461</f>
        <v>0</v>
      </c>
      <c r="J173" s="70">
        <f>Бюджет!J461</f>
        <v>16</v>
      </c>
      <c r="K173" s="70">
        <f>Бюджет!K461</f>
        <v>3.5999999999999996</v>
      </c>
      <c r="L173" s="70">
        <f>Бюджет!L461</f>
        <v>0</v>
      </c>
      <c r="M173" s="70">
        <f>Бюджет!M461</f>
        <v>0</v>
      </c>
      <c r="N173" s="70">
        <f>Бюджет!N461</f>
        <v>0</v>
      </c>
      <c r="O173" s="70">
        <f>Бюджет!O461</f>
        <v>0</v>
      </c>
      <c r="P173" s="70">
        <f>Бюджет!P461</f>
        <v>0</v>
      </c>
      <c r="Q173" s="70">
        <f>Бюджет!Q461</f>
        <v>0</v>
      </c>
      <c r="R173" s="70">
        <f>Бюджет!R461</f>
        <v>0</v>
      </c>
      <c r="S173" s="70">
        <f>Бюджет!S461</f>
        <v>0</v>
      </c>
      <c r="T173" s="70">
        <f>Бюджет!T461</f>
        <v>0</v>
      </c>
      <c r="U173" s="70">
        <f>Бюджет!U461</f>
        <v>0</v>
      </c>
      <c r="V173" s="70">
        <f>Бюджет!V461</f>
        <v>0</v>
      </c>
      <c r="W173" s="70">
        <f>Бюджет!W461</f>
        <v>0</v>
      </c>
      <c r="X173" s="70">
        <f>Бюджет!X461</f>
        <v>0</v>
      </c>
      <c r="Y173" s="70">
        <f>Бюджет!Y461</f>
        <v>0</v>
      </c>
      <c r="Z173" s="70">
        <f>Бюджет!Z461</f>
        <v>0</v>
      </c>
      <c r="AA173" s="70">
        <f>Бюджет!AA461</f>
        <v>0</v>
      </c>
      <c r="AB173" s="70">
        <f>Бюджет!AB461</f>
        <v>0</v>
      </c>
      <c r="AC173" s="70">
        <f>Бюджет!AC461</f>
        <v>0</v>
      </c>
      <c r="AD173" s="70">
        <f>Бюджет!AD461</f>
        <v>0</v>
      </c>
      <c r="AE173" s="70">
        <f>Бюджет!AE461</f>
        <v>0</v>
      </c>
      <c r="AF173" s="70">
        <f>Бюджет!AF461</f>
        <v>0</v>
      </c>
      <c r="AG173" s="70">
        <f>Бюджет!AG461</f>
        <v>0</v>
      </c>
      <c r="AH173" s="70">
        <f>Бюджет!AH461</f>
        <v>0</v>
      </c>
      <c r="AI173" s="70">
        <f>Бюджет!AI461</f>
        <v>1</v>
      </c>
      <c r="AJ173" s="66">
        <f t="shared" si="28"/>
        <v>20.6</v>
      </c>
      <c r="AK173" s="74"/>
    </row>
    <row r="174" spans="1:37" s="110" customFormat="1" ht="15.75" x14ac:dyDescent="0.2">
      <c r="A174" s="90"/>
      <c r="B174" s="92"/>
      <c r="C174" s="74"/>
      <c r="D174" s="74"/>
      <c r="E174" s="74"/>
      <c r="F174" s="70"/>
      <c r="G174" s="70"/>
      <c r="H174" s="70"/>
      <c r="I174" s="70"/>
      <c r="J174" s="390" t="str">
        <f>Бюджет!K462</f>
        <v>06.03.02 Почвоведение профиль Управление земельными ресурсами</v>
      </c>
      <c r="K174" s="390"/>
      <c r="L174" s="390"/>
      <c r="M174" s="390"/>
      <c r="N174" s="390"/>
      <c r="O174" s="390"/>
      <c r="P174" s="390"/>
      <c r="Q174" s="390"/>
      <c r="R174" s="390"/>
      <c r="S174" s="390"/>
      <c r="T174" s="390"/>
      <c r="U174" s="390"/>
      <c r="V174" s="390"/>
      <c r="W174" s="390"/>
      <c r="X174" s="390"/>
      <c r="Y174" s="390"/>
      <c r="Z174" s="390"/>
      <c r="AA174" s="390"/>
      <c r="AB174" s="390"/>
      <c r="AC174" s="390"/>
      <c r="AD174" s="70"/>
      <c r="AE174" s="70"/>
      <c r="AF174" s="70"/>
      <c r="AG174" s="70"/>
      <c r="AH174" s="70"/>
      <c r="AI174" s="70"/>
      <c r="AJ174" s="70">
        <f t="shared" ref="AJ174:AJ175" si="29">SUM(G174,I174:AI174)</f>
        <v>0</v>
      </c>
      <c r="AK174" s="74"/>
    </row>
    <row r="175" spans="1:37" s="110" customFormat="1" ht="15" x14ac:dyDescent="0.2">
      <c r="A175" s="90" t="str">
        <f>Бюджет!A463</f>
        <v>Б1.О.13</v>
      </c>
      <c r="B175" s="92" t="str">
        <f>Бюджет!B463</f>
        <v>Физика</v>
      </c>
      <c r="C175" s="74" t="str">
        <f>Бюджет!C463</f>
        <v>1/2,</v>
      </c>
      <c r="D175" s="74">
        <f>Бюджет!D463</f>
        <v>13</v>
      </c>
      <c r="E175" s="74">
        <f>Бюджет!E463</f>
        <v>1</v>
      </c>
      <c r="F175" s="70">
        <f>Бюджет!F463</f>
        <v>16</v>
      </c>
      <c r="G175" s="70">
        <f>Бюджет!G463</f>
        <v>0</v>
      </c>
      <c r="H175" s="70">
        <f>Бюджет!H463</f>
        <v>0</v>
      </c>
      <c r="I175" s="70">
        <f>Бюджет!I463</f>
        <v>0</v>
      </c>
      <c r="J175" s="70">
        <f>Бюджет!J463</f>
        <v>16</v>
      </c>
      <c r="K175" s="70">
        <f>Бюджет!K463</f>
        <v>3.9</v>
      </c>
      <c r="L175" s="70">
        <f>Бюджет!L463</f>
        <v>0</v>
      </c>
      <c r="M175" s="70">
        <f>Бюджет!M463</f>
        <v>0</v>
      </c>
      <c r="N175" s="70">
        <f>Бюджет!N463</f>
        <v>0</v>
      </c>
      <c r="O175" s="70">
        <f>Бюджет!O463</f>
        <v>0</v>
      </c>
      <c r="P175" s="70">
        <f>Бюджет!P463</f>
        <v>0</v>
      </c>
      <c r="Q175" s="70">
        <f>Бюджет!Q463</f>
        <v>0</v>
      </c>
      <c r="R175" s="70">
        <f>Бюджет!R463</f>
        <v>0</v>
      </c>
      <c r="S175" s="70">
        <f>Бюджет!S463</f>
        <v>0</v>
      </c>
      <c r="T175" s="70">
        <f>Бюджет!T463</f>
        <v>0</v>
      </c>
      <c r="U175" s="70">
        <f>Бюджет!U463</f>
        <v>0</v>
      </c>
      <c r="V175" s="70">
        <f>Бюджет!V463</f>
        <v>0</v>
      </c>
      <c r="W175" s="70">
        <f>Бюджет!W463</f>
        <v>0</v>
      </c>
      <c r="X175" s="70">
        <f>Бюджет!X463</f>
        <v>0</v>
      </c>
      <c r="Y175" s="70">
        <f>Бюджет!Y463</f>
        <v>0</v>
      </c>
      <c r="Z175" s="70">
        <f>Бюджет!Z463</f>
        <v>0</v>
      </c>
      <c r="AA175" s="70">
        <f>Бюджет!AA463</f>
        <v>0</v>
      </c>
      <c r="AB175" s="70">
        <f>Бюджет!AB463</f>
        <v>0</v>
      </c>
      <c r="AC175" s="70">
        <f>Бюджет!AC463</f>
        <v>0</v>
      </c>
      <c r="AD175" s="70">
        <f>Бюджет!AD463</f>
        <v>0</v>
      </c>
      <c r="AE175" s="70">
        <f>Бюджет!AE463</f>
        <v>0</v>
      </c>
      <c r="AF175" s="70">
        <f>Бюджет!AF463</f>
        <v>0</v>
      </c>
      <c r="AG175" s="70">
        <f>Бюджет!AG463</f>
        <v>0</v>
      </c>
      <c r="AH175" s="70">
        <f>Бюджет!AH463</f>
        <v>0</v>
      </c>
      <c r="AI175" s="70">
        <f>Бюджет!AI463</f>
        <v>2</v>
      </c>
      <c r="AJ175" s="66">
        <f t="shared" si="29"/>
        <v>21.9</v>
      </c>
      <c r="AK175" s="74"/>
    </row>
    <row r="176" spans="1:37" s="110" customFormat="1" ht="31.5" x14ac:dyDescent="0.2">
      <c r="A176" s="90"/>
      <c r="B176" s="108" t="s">
        <v>601</v>
      </c>
      <c r="C176" s="91"/>
      <c r="D176" s="91"/>
      <c r="E176" s="91"/>
      <c r="F176" s="88">
        <f t="shared" ref="F176:AJ176" si="30">SUM(F169:F175)</f>
        <v>64</v>
      </c>
      <c r="G176" s="88">
        <f t="shared" si="30"/>
        <v>16</v>
      </c>
      <c r="H176" s="88">
        <f t="shared" si="30"/>
        <v>0</v>
      </c>
      <c r="I176" s="88">
        <f t="shared" si="30"/>
        <v>0</v>
      </c>
      <c r="J176" s="88">
        <f t="shared" si="30"/>
        <v>160</v>
      </c>
      <c r="K176" s="88">
        <f t="shared" si="30"/>
        <v>37.5</v>
      </c>
      <c r="L176" s="88">
        <f t="shared" si="30"/>
        <v>0</v>
      </c>
      <c r="M176" s="88">
        <f t="shared" si="30"/>
        <v>0</v>
      </c>
      <c r="N176" s="88">
        <f t="shared" si="30"/>
        <v>0</v>
      </c>
      <c r="O176" s="88">
        <f t="shared" si="30"/>
        <v>0</v>
      </c>
      <c r="P176" s="88">
        <f t="shared" si="30"/>
        <v>0</v>
      </c>
      <c r="Q176" s="88">
        <f t="shared" si="30"/>
        <v>0.8</v>
      </c>
      <c r="R176" s="88">
        <f t="shared" si="30"/>
        <v>0</v>
      </c>
      <c r="S176" s="88">
        <f t="shared" si="30"/>
        <v>0</v>
      </c>
      <c r="T176" s="88">
        <f t="shared" si="30"/>
        <v>0</v>
      </c>
      <c r="U176" s="88">
        <f t="shared" si="30"/>
        <v>0</v>
      </c>
      <c r="V176" s="88">
        <f t="shared" si="30"/>
        <v>0</v>
      </c>
      <c r="W176" s="88">
        <f t="shared" si="30"/>
        <v>0</v>
      </c>
      <c r="X176" s="88">
        <f t="shared" si="30"/>
        <v>0</v>
      </c>
      <c r="Y176" s="88">
        <f t="shared" si="30"/>
        <v>0</v>
      </c>
      <c r="Z176" s="88">
        <f t="shared" si="30"/>
        <v>0</v>
      </c>
      <c r="AA176" s="88">
        <f t="shared" si="30"/>
        <v>0</v>
      </c>
      <c r="AB176" s="88">
        <f t="shared" si="30"/>
        <v>0</v>
      </c>
      <c r="AC176" s="88">
        <f t="shared" si="30"/>
        <v>0</v>
      </c>
      <c r="AD176" s="88">
        <f t="shared" si="30"/>
        <v>0</v>
      </c>
      <c r="AE176" s="88">
        <f t="shared" si="30"/>
        <v>0</v>
      </c>
      <c r="AF176" s="88">
        <f t="shared" si="30"/>
        <v>0</v>
      </c>
      <c r="AG176" s="88">
        <f t="shared" si="30"/>
        <v>0</v>
      </c>
      <c r="AH176" s="88">
        <f t="shared" si="30"/>
        <v>0</v>
      </c>
      <c r="AI176" s="88">
        <f t="shared" si="30"/>
        <v>13</v>
      </c>
      <c r="AJ176" s="88">
        <f t="shared" si="30"/>
        <v>227.3</v>
      </c>
      <c r="AK176" s="202"/>
    </row>
    <row r="177" spans="1:37" s="110" customFormat="1" ht="15.75" x14ac:dyDescent="0.2">
      <c r="A177" s="90"/>
      <c r="B177" s="100"/>
      <c r="C177" s="275"/>
      <c r="D177" s="275"/>
      <c r="E177" s="275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67"/>
    </row>
    <row r="178" spans="1:37" s="110" customFormat="1" ht="15.75" x14ac:dyDescent="0.2">
      <c r="A178" s="90"/>
      <c r="B178" s="92"/>
      <c r="C178" s="201"/>
      <c r="D178" s="201"/>
      <c r="E178" s="201"/>
      <c r="F178" s="70"/>
      <c r="G178" s="70"/>
      <c r="H178" s="70"/>
      <c r="I178" s="70"/>
      <c r="J178" s="70"/>
      <c r="K178" s="389" t="str">
        <f>Бюджет!K466</f>
        <v>Географический факультет</v>
      </c>
      <c r="L178" s="389"/>
      <c r="M178" s="389"/>
      <c r="N178" s="389"/>
      <c r="O178" s="389"/>
      <c r="P178" s="389"/>
      <c r="Q178" s="389"/>
      <c r="R178" s="389"/>
      <c r="S178" s="389"/>
      <c r="T178" s="389"/>
      <c r="U178" s="389"/>
      <c r="V178" s="389"/>
      <c r="W178" s="389"/>
      <c r="X178" s="389"/>
      <c r="Y178" s="389"/>
      <c r="Z178" s="389"/>
      <c r="AA178" s="389"/>
      <c r="AB178" s="389"/>
      <c r="AC178" s="70"/>
      <c r="AD178" s="70"/>
      <c r="AE178" s="70"/>
      <c r="AF178" s="70"/>
      <c r="AG178" s="70"/>
      <c r="AH178" s="70"/>
      <c r="AI178" s="70"/>
      <c r="AJ178" s="70"/>
      <c r="AK178" s="202"/>
    </row>
    <row r="179" spans="1:37" s="110" customFormat="1" ht="15.75" x14ac:dyDescent="0.2">
      <c r="A179" s="90"/>
      <c r="B179" s="92"/>
      <c r="C179" s="201"/>
      <c r="D179" s="201"/>
      <c r="E179" s="201"/>
      <c r="F179" s="70"/>
      <c r="G179" s="70"/>
      <c r="H179" s="70"/>
      <c r="I179" s="70"/>
      <c r="J179" s="405" t="str">
        <f>Бюджет!K468</f>
        <v>Направление 05.03.02 "География" (профиль География, геоинформационные системы и технологии), бакалавры 1 курс</v>
      </c>
      <c r="K179" s="406"/>
      <c r="L179" s="406"/>
      <c r="M179" s="406"/>
      <c r="N179" s="406"/>
      <c r="O179" s="406"/>
      <c r="P179" s="406"/>
      <c r="Q179" s="406"/>
      <c r="R179" s="406"/>
      <c r="S179" s="406"/>
      <c r="T179" s="406"/>
      <c r="U179" s="406"/>
      <c r="V179" s="406"/>
      <c r="W179" s="406"/>
      <c r="X179" s="406"/>
      <c r="Y179" s="406"/>
      <c r="Z179" s="406"/>
      <c r="AA179" s="406"/>
      <c r="AB179" s="406"/>
      <c r="AC179" s="407"/>
      <c r="AD179" s="70"/>
      <c r="AE179" s="70"/>
      <c r="AF179" s="70"/>
      <c r="AG179" s="70"/>
      <c r="AH179" s="70"/>
      <c r="AI179" s="70"/>
      <c r="AJ179" s="70"/>
      <c r="AK179" s="202"/>
    </row>
    <row r="180" spans="1:37" s="110" customFormat="1" ht="15" x14ac:dyDescent="0.2">
      <c r="A180" s="90" t="str">
        <f>Бюджет!A469</f>
        <v>Б1.О.12</v>
      </c>
      <c r="B180" s="92" t="str">
        <f>Бюджет!B469</f>
        <v>Физика (гео+пр)</v>
      </c>
      <c r="C180" s="74" t="str">
        <f>Бюджет!C469</f>
        <v>1/1</v>
      </c>
      <c r="D180" s="74">
        <f>Бюджет!D469</f>
        <v>20</v>
      </c>
      <c r="E180" s="74">
        <f>Бюджет!E469</f>
        <v>2</v>
      </c>
      <c r="F180" s="70">
        <f>Бюджет!F469</f>
        <v>34</v>
      </c>
      <c r="G180" s="70">
        <f>Бюджет!G469</f>
        <v>34</v>
      </c>
      <c r="H180" s="70">
        <f>Бюджет!H469</f>
        <v>0</v>
      </c>
      <c r="I180" s="70">
        <f>Бюджет!I469</f>
        <v>0</v>
      </c>
      <c r="J180" s="70">
        <f>Бюджет!J469</f>
        <v>34</v>
      </c>
      <c r="K180" s="70">
        <f>Бюджет!K469</f>
        <v>6</v>
      </c>
      <c r="L180" s="70">
        <f>Бюджет!L469</f>
        <v>0</v>
      </c>
      <c r="M180" s="70">
        <f>Бюджет!M469</f>
        <v>0</v>
      </c>
      <c r="N180" s="70">
        <f>Бюджет!N469</f>
        <v>0</v>
      </c>
      <c r="O180" s="70">
        <f>Бюджет!O469</f>
        <v>0</v>
      </c>
      <c r="P180" s="70">
        <f>Бюджет!P469</f>
        <v>0</v>
      </c>
      <c r="Q180" s="70">
        <f>Бюджет!Q469</f>
        <v>1.7</v>
      </c>
      <c r="R180" s="70">
        <f>Бюджет!R469</f>
        <v>0</v>
      </c>
      <c r="S180" s="70">
        <f>Бюджет!S469</f>
        <v>0</v>
      </c>
      <c r="T180" s="70">
        <f>Бюджет!T469</f>
        <v>0</v>
      </c>
      <c r="U180" s="70">
        <f>Бюджет!U469</f>
        <v>0</v>
      </c>
      <c r="V180" s="70">
        <f>Бюджет!V469</f>
        <v>0</v>
      </c>
      <c r="W180" s="70">
        <f>Бюджет!W469</f>
        <v>0</v>
      </c>
      <c r="X180" s="70">
        <f>Бюджет!X469</f>
        <v>0</v>
      </c>
      <c r="Y180" s="70">
        <f>Бюджет!Y469</f>
        <v>0</v>
      </c>
      <c r="Z180" s="70">
        <f>Бюджет!Z469</f>
        <v>0</v>
      </c>
      <c r="AA180" s="70">
        <f>Бюджет!AA469</f>
        <v>0</v>
      </c>
      <c r="AB180" s="70">
        <f>Бюджет!AB469</f>
        <v>0</v>
      </c>
      <c r="AC180" s="70">
        <f>Бюджет!AC469</f>
        <v>0</v>
      </c>
      <c r="AD180" s="70">
        <f>Бюджет!AD469</f>
        <v>0</v>
      </c>
      <c r="AE180" s="70">
        <f>Бюджет!AE469</f>
        <v>0</v>
      </c>
      <c r="AF180" s="70">
        <f>Бюджет!AF469</f>
        <v>0</v>
      </c>
      <c r="AG180" s="70">
        <f>Бюджет!AG469</f>
        <v>0</v>
      </c>
      <c r="AH180" s="70">
        <f>Бюджет!AH469</f>
        <v>0</v>
      </c>
      <c r="AI180" s="70">
        <f>Бюджет!AI469</f>
        <v>2</v>
      </c>
      <c r="AJ180" s="66">
        <f>SUM(G180,I180:AI180)</f>
        <v>77.7</v>
      </c>
      <c r="AK180" s="67"/>
    </row>
    <row r="181" spans="1:37" s="110" customFormat="1" ht="15.75" x14ac:dyDescent="0.2">
      <c r="A181" s="90"/>
      <c r="B181" s="92"/>
      <c r="C181" s="75"/>
      <c r="D181" s="76"/>
      <c r="E181" s="76"/>
      <c r="F181" s="70"/>
      <c r="G181" s="405" t="str">
        <f>Бюджет!I470</f>
        <v>Направление 05.03.06 "Экология и природопользование" (профиль Экологическая безопасность и управление природопользованием), бакалавры 1 курс</v>
      </c>
      <c r="H181" s="406"/>
      <c r="I181" s="406"/>
      <c r="J181" s="406"/>
      <c r="K181" s="406"/>
      <c r="L181" s="406"/>
      <c r="M181" s="406"/>
      <c r="N181" s="406"/>
      <c r="O181" s="406"/>
      <c r="P181" s="406"/>
      <c r="Q181" s="406"/>
      <c r="R181" s="406"/>
      <c r="S181" s="406"/>
      <c r="T181" s="406"/>
      <c r="U181" s="406"/>
      <c r="V181" s="406"/>
      <c r="W181" s="406"/>
      <c r="X181" s="406"/>
      <c r="Y181" s="406"/>
      <c r="Z181" s="406"/>
      <c r="AA181" s="406"/>
      <c r="AB181" s="406"/>
      <c r="AC181" s="406"/>
      <c r="AD181" s="406"/>
      <c r="AE181" s="406"/>
      <c r="AF181" s="407"/>
      <c r="AG181" s="70"/>
      <c r="AH181" s="70"/>
      <c r="AI181" s="70"/>
      <c r="AJ181" s="70"/>
      <c r="AK181" s="202"/>
    </row>
    <row r="182" spans="1:37" s="110" customFormat="1" ht="15" x14ac:dyDescent="0.2">
      <c r="A182" s="90" t="str">
        <f>Бюджет!A471</f>
        <v>Б1.О.15</v>
      </c>
      <c r="B182" s="92" t="str">
        <f>Бюджет!B471</f>
        <v>Физика (гео+пр)</v>
      </c>
      <c r="C182" s="74" t="str">
        <f>Бюджет!C471</f>
        <v>1/1</v>
      </c>
      <c r="D182" s="74">
        <f>Бюджет!D471</f>
        <v>18</v>
      </c>
      <c r="E182" s="74">
        <f>Бюджет!E471</f>
        <v>1</v>
      </c>
      <c r="F182" s="70">
        <f>Бюджет!F471</f>
        <v>34</v>
      </c>
      <c r="G182" s="70">
        <f>Бюджет!G471</f>
        <v>0</v>
      </c>
      <c r="H182" s="70">
        <f>Бюджет!H471</f>
        <v>0</v>
      </c>
      <c r="I182" s="70">
        <f>Бюджет!I471</f>
        <v>0</v>
      </c>
      <c r="J182" s="70">
        <f>Бюджет!J471</f>
        <v>17</v>
      </c>
      <c r="K182" s="70">
        <f>Бюджет!K471</f>
        <v>0</v>
      </c>
      <c r="L182" s="70">
        <f>Бюджет!L471</f>
        <v>0</v>
      </c>
      <c r="M182" s="70">
        <f>Бюджет!M471</f>
        <v>7.2</v>
      </c>
      <c r="N182" s="70">
        <f>Бюджет!N471</f>
        <v>0</v>
      </c>
      <c r="O182" s="70">
        <f>Бюджет!O471</f>
        <v>0</v>
      </c>
      <c r="P182" s="70">
        <f>Бюджет!P471</f>
        <v>0</v>
      </c>
      <c r="Q182" s="70">
        <f>Бюджет!Q471</f>
        <v>0</v>
      </c>
      <c r="R182" s="70">
        <f>Бюджет!R471</f>
        <v>0</v>
      </c>
      <c r="S182" s="70">
        <f>Бюджет!S471</f>
        <v>0</v>
      </c>
      <c r="T182" s="70">
        <f>Бюджет!T471</f>
        <v>0</v>
      </c>
      <c r="U182" s="70">
        <f>Бюджет!U471</f>
        <v>0</v>
      </c>
      <c r="V182" s="70">
        <f>Бюджет!V471</f>
        <v>0</v>
      </c>
      <c r="W182" s="70">
        <f>Бюджет!W471</f>
        <v>0</v>
      </c>
      <c r="X182" s="70">
        <f>Бюджет!X471</f>
        <v>0</v>
      </c>
      <c r="Y182" s="70">
        <f>Бюджет!Y471</f>
        <v>0</v>
      </c>
      <c r="Z182" s="70">
        <f>Бюджет!Z471</f>
        <v>0</v>
      </c>
      <c r="AA182" s="70">
        <f>Бюджет!AA471</f>
        <v>0</v>
      </c>
      <c r="AB182" s="70">
        <f>Бюджет!AB471</f>
        <v>0</v>
      </c>
      <c r="AC182" s="70">
        <f>Бюджет!AC471</f>
        <v>0</v>
      </c>
      <c r="AD182" s="70">
        <f>Бюджет!AD471</f>
        <v>0</v>
      </c>
      <c r="AE182" s="70">
        <f>Бюджет!AE471</f>
        <v>0</v>
      </c>
      <c r="AF182" s="70">
        <f>Бюджет!AF471</f>
        <v>0</v>
      </c>
      <c r="AG182" s="70">
        <f>Бюджет!AG471</f>
        <v>0</v>
      </c>
      <c r="AH182" s="70">
        <f>Бюджет!AH471</f>
        <v>0</v>
      </c>
      <c r="AI182" s="70">
        <f>Бюджет!AI471</f>
        <v>0</v>
      </c>
      <c r="AJ182" s="66">
        <f>SUM(G182,I182:AI182)</f>
        <v>24.2</v>
      </c>
      <c r="AK182" s="67"/>
    </row>
    <row r="183" spans="1:37" s="110" customFormat="1" ht="15.75" x14ac:dyDescent="0.2">
      <c r="A183" s="90"/>
      <c r="B183" s="92"/>
      <c r="C183" s="75"/>
      <c r="D183" s="76"/>
      <c r="E183" s="76"/>
      <c r="F183" s="70"/>
      <c r="G183" s="405" t="str">
        <f>Бюджет!I472</f>
        <v xml:space="preserve">Направление 05.03.04 "Гидрометеорология" (Гидрология: управление водными ресурсами, Метеорология: управление климатическими рисками ), бакалавры 1 курс                       </v>
      </c>
      <c r="H183" s="406"/>
      <c r="I183" s="406"/>
      <c r="J183" s="406"/>
      <c r="K183" s="406"/>
      <c r="L183" s="406"/>
      <c r="M183" s="406"/>
      <c r="N183" s="406"/>
      <c r="O183" s="406"/>
      <c r="P183" s="406"/>
      <c r="Q183" s="406"/>
      <c r="R183" s="406"/>
      <c r="S183" s="406"/>
      <c r="T183" s="406"/>
      <c r="U183" s="406"/>
      <c r="V183" s="406"/>
      <c r="W183" s="406"/>
      <c r="X183" s="406"/>
      <c r="Y183" s="406"/>
      <c r="Z183" s="406"/>
      <c r="AA183" s="406"/>
      <c r="AB183" s="406"/>
      <c r="AC183" s="406"/>
      <c r="AD183" s="406"/>
      <c r="AE183" s="406"/>
      <c r="AF183" s="407"/>
      <c r="AG183" s="70"/>
      <c r="AH183" s="70"/>
      <c r="AI183" s="70"/>
      <c r="AJ183" s="70"/>
      <c r="AK183" s="67"/>
    </row>
    <row r="184" spans="1:37" s="110" customFormat="1" ht="15" x14ac:dyDescent="0.2">
      <c r="A184" s="90" t="str">
        <f>Бюджет!A474</f>
        <v>Б1.О.15</v>
      </c>
      <c r="B184" s="92" t="str">
        <f>Бюджет!B474</f>
        <v>Физика</v>
      </c>
      <c r="C184" s="74" t="str">
        <f>Бюджет!C474</f>
        <v>1/1</v>
      </c>
      <c r="D184" s="74">
        <f>Бюджет!D474</f>
        <v>28</v>
      </c>
      <c r="E184" s="74">
        <f>Бюджет!E474</f>
        <v>2</v>
      </c>
      <c r="F184" s="70">
        <f>Бюджет!F474</f>
        <v>34</v>
      </c>
      <c r="G184" s="70">
        <f>Бюджет!G474</f>
        <v>34</v>
      </c>
      <c r="H184" s="70">
        <f>Бюджет!H474</f>
        <v>0</v>
      </c>
      <c r="I184" s="70">
        <f>Бюджет!I474</f>
        <v>0</v>
      </c>
      <c r="J184" s="70">
        <f>Бюджет!J474</f>
        <v>34</v>
      </c>
      <c r="K184" s="70">
        <f>Бюджет!K474</f>
        <v>8.4</v>
      </c>
      <c r="L184" s="70">
        <f>Бюджет!L474</f>
        <v>0</v>
      </c>
      <c r="M184" s="70">
        <f>Бюджет!M474</f>
        <v>0</v>
      </c>
      <c r="N184" s="70">
        <f>Бюджет!N474</f>
        <v>0</v>
      </c>
      <c r="O184" s="70">
        <f>Бюджет!O474</f>
        <v>0</v>
      </c>
      <c r="P184" s="70">
        <f>Бюджет!P474</f>
        <v>0</v>
      </c>
      <c r="Q184" s="70">
        <f>Бюджет!Q474</f>
        <v>1.7</v>
      </c>
      <c r="R184" s="70">
        <f>Бюджет!R474</f>
        <v>0</v>
      </c>
      <c r="S184" s="70">
        <f>Бюджет!S474</f>
        <v>0</v>
      </c>
      <c r="T184" s="70">
        <f>Бюджет!T474</f>
        <v>0</v>
      </c>
      <c r="U184" s="70">
        <f>Бюджет!U474</f>
        <v>0</v>
      </c>
      <c r="V184" s="70">
        <f>Бюджет!V474</f>
        <v>0</v>
      </c>
      <c r="W184" s="70">
        <f>Бюджет!W474</f>
        <v>0</v>
      </c>
      <c r="X184" s="70">
        <f>Бюджет!X474</f>
        <v>0</v>
      </c>
      <c r="Y184" s="70">
        <f>Бюджет!Y474</f>
        <v>0</v>
      </c>
      <c r="Z184" s="70">
        <f>Бюджет!Z474</f>
        <v>0</v>
      </c>
      <c r="AA184" s="70">
        <f>Бюджет!AA474</f>
        <v>0</v>
      </c>
      <c r="AB184" s="70">
        <f>Бюджет!AB474</f>
        <v>0</v>
      </c>
      <c r="AC184" s="70">
        <f>Бюджет!AC474</f>
        <v>0</v>
      </c>
      <c r="AD184" s="70">
        <f>Бюджет!AD474</f>
        <v>0</v>
      </c>
      <c r="AE184" s="70">
        <f>Бюджет!AE474</f>
        <v>0</v>
      </c>
      <c r="AF184" s="70">
        <f>Бюджет!AF474</f>
        <v>0</v>
      </c>
      <c r="AG184" s="70">
        <f>Бюджет!AG474</f>
        <v>0</v>
      </c>
      <c r="AH184" s="70">
        <f>Бюджет!AH474</f>
        <v>0</v>
      </c>
      <c r="AI184" s="70">
        <f>Бюджет!AI474</f>
        <v>4</v>
      </c>
      <c r="AJ184" s="66">
        <f>SUM(G184,I184:AI184)</f>
        <v>82.100000000000009</v>
      </c>
      <c r="AK184" s="67"/>
    </row>
    <row r="185" spans="1:37" s="110" customFormat="1" ht="15" x14ac:dyDescent="0.2">
      <c r="A185" s="90" t="str">
        <f>Бюджет!A475</f>
        <v>Б1.О.15</v>
      </c>
      <c r="B185" s="92" t="str">
        <f>Бюджет!B475</f>
        <v>Физика</v>
      </c>
      <c r="C185" s="74" t="str">
        <f>Бюджет!C475</f>
        <v>1/2</v>
      </c>
      <c r="D185" s="74">
        <f>Бюджет!D475</f>
        <v>28</v>
      </c>
      <c r="E185" s="74">
        <f>Бюджет!E475</f>
        <v>2</v>
      </c>
      <c r="F185" s="70">
        <f>Бюджет!F475</f>
        <v>32</v>
      </c>
      <c r="G185" s="70">
        <f>Бюджет!G475</f>
        <v>32</v>
      </c>
      <c r="H185" s="70">
        <f>Бюджет!H475</f>
        <v>0</v>
      </c>
      <c r="I185" s="70">
        <f>Бюджет!I475</f>
        <v>0</v>
      </c>
      <c r="J185" s="70">
        <f>Бюджет!J475</f>
        <v>32</v>
      </c>
      <c r="K185" s="70">
        <f>Бюджет!K475</f>
        <v>0</v>
      </c>
      <c r="L185" s="70">
        <f>Бюджет!L475</f>
        <v>0</v>
      </c>
      <c r="M185" s="70">
        <f>Бюджет!M475</f>
        <v>11.2</v>
      </c>
      <c r="N185" s="70">
        <f>Бюджет!N475</f>
        <v>0</v>
      </c>
      <c r="O185" s="70">
        <f>Бюджет!O475</f>
        <v>0</v>
      </c>
      <c r="P185" s="70">
        <f>Бюджет!P475</f>
        <v>0</v>
      </c>
      <c r="Q185" s="70">
        <f>Бюджет!Q475</f>
        <v>2.6</v>
      </c>
      <c r="R185" s="70">
        <f>Бюджет!R475</f>
        <v>0</v>
      </c>
      <c r="S185" s="70">
        <f>Бюджет!S475</f>
        <v>0</v>
      </c>
      <c r="T185" s="70">
        <f>Бюджет!T475</f>
        <v>0</v>
      </c>
      <c r="U185" s="70">
        <f>Бюджет!U475</f>
        <v>0</v>
      </c>
      <c r="V185" s="70">
        <f>Бюджет!V475</f>
        <v>0</v>
      </c>
      <c r="W185" s="70">
        <f>Бюджет!W475</f>
        <v>0</v>
      </c>
      <c r="X185" s="70">
        <f>Бюджет!X475</f>
        <v>0</v>
      </c>
      <c r="Y185" s="70">
        <f>Бюджет!Y475</f>
        <v>0</v>
      </c>
      <c r="Z185" s="70">
        <f>Бюджет!Z475</f>
        <v>0</v>
      </c>
      <c r="AA185" s="70">
        <f>Бюджет!AA475</f>
        <v>0</v>
      </c>
      <c r="AB185" s="70">
        <f>Бюджет!AB475</f>
        <v>0</v>
      </c>
      <c r="AC185" s="70">
        <f>Бюджет!AC475</f>
        <v>0</v>
      </c>
      <c r="AD185" s="70">
        <f>Бюджет!AD475</f>
        <v>0</v>
      </c>
      <c r="AE185" s="70">
        <f>Бюджет!AE475</f>
        <v>0</v>
      </c>
      <c r="AF185" s="70">
        <f>Бюджет!AF475</f>
        <v>0</v>
      </c>
      <c r="AG185" s="70">
        <f>Бюджет!AG475</f>
        <v>0</v>
      </c>
      <c r="AH185" s="70">
        <f>Бюджет!AH475</f>
        <v>0</v>
      </c>
      <c r="AI185" s="70">
        <f>Бюджет!AI475</f>
        <v>1</v>
      </c>
      <c r="AJ185" s="66">
        <f>SUM(G185,I185:AI185)</f>
        <v>78.8</v>
      </c>
      <c r="AK185" s="67"/>
    </row>
    <row r="186" spans="1:37" s="110" customFormat="1" ht="15.75" x14ac:dyDescent="0.2">
      <c r="A186" s="90"/>
      <c r="B186" s="92"/>
      <c r="C186" s="74"/>
      <c r="D186" s="74"/>
      <c r="E186" s="74"/>
      <c r="F186" s="70"/>
      <c r="G186" s="405" t="str">
        <f>Бюджет!R476</f>
        <v>Заочное отделение</v>
      </c>
      <c r="H186" s="406"/>
      <c r="I186" s="406"/>
      <c r="J186" s="406"/>
      <c r="K186" s="406"/>
      <c r="L186" s="406"/>
      <c r="M186" s="406"/>
      <c r="N186" s="406"/>
      <c r="O186" s="406"/>
      <c r="P186" s="406"/>
      <c r="Q186" s="406"/>
      <c r="R186" s="406"/>
      <c r="S186" s="406"/>
      <c r="T186" s="406"/>
      <c r="U186" s="406"/>
      <c r="V186" s="406"/>
      <c r="W186" s="406"/>
      <c r="X186" s="406"/>
      <c r="Y186" s="406"/>
      <c r="Z186" s="406"/>
      <c r="AA186" s="406"/>
      <c r="AB186" s="406"/>
      <c r="AC186" s="406"/>
      <c r="AD186" s="406"/>
      <c r="AE186" s="406"/>
      <c r="AF186" s="407"/>
      <c r="AG186" s="70"/>
      <c r="AH186" s="70"/>
      <c r="AI186" s="70"/>
      <c r="AJ186" s="70"/>
      <c r="AK186" s="67"/>
    </row>
    <row r="187" spans="1:37" s="110" customFormat="1" ht="15" x14ac:dyDescent="0.2">
      <c r="A187" s="90" t="str">
        <f>Бюджет!A477</f>
        <v>Б1.О.15</v>
      </c>
      <c r="B187" s="90" t="str">
        <f>Бюджет!B477</f>
        <v>Физика</v>
      </c>
      <c r="C187" s="74" t="str">
        <f>Бюджет!C477</f>
        <v>1/1</v>
      </c>
      <c r="D187" s="74">
        <f>Бюджет!D477</f>
        <v>12</v>
      </c>
      <c r="E187" s="74">
        <f>Бюджет!E477</f>
        <v>1</v>
      </c>
      <c r="F187" s="70">
        <f>Бюджет!F477</f>
        <v>10</v>
      </c>
      <c r="G187" s="70">
        <f>Бюджет!G477</f>
        <v>10</v>
      </c>
      <c r="H187" s="70">
        <f>Бюджет!H477</f>
        <v>0</v>
      </c>
      <c r="I187" s="70">
        <f>Бюджет!I477</f>
        <v>0</v>
      </c>
      <c r="J187" s="70">
        <f>Бюджет!J477</f>
        <v>0</v>
      </c>
      <c r="K187" s="70">
        <f>Бюджет!K477</f>
        <v>0</v>
      </c>
      <c r="L187" s="70">
        <f>Бюджет!L477</f>
        <v>0</v>
      </c>
      <c r="M187" s="70">
        <f>Бюджет!M477</f>
        <v>0</v>
      </c>
      <c r="N187" s="70">
        <f>Бюджет!N477</f>
        <v>0</v>
      </c>
      <c r="O187" s="70">
        <f>Бюджет!O477</f>
        <v>0</v>
      </c>
      <c r="P187" s="70">
        <f>Бюджет!P477</f>
        <v>0</v>
      </c>
      <c r="Q187" s="70">
        <f>Бюджет!Q477</f>
        <v>1.5</v>
      </c>
      <c r="R187" s="70">
        <f>Бюджет!R477</f>
        <v>0</v>
      </c>
      <c r="S187" s="70">
        <f>Бюджет!S477</f>
        <v>0</v>
      </c>
      <c r="T187" s="70">
        <f>Бюджет!T477</f>
        <v>0</v>
      </c>
      <c r="U187" s="70">
        <f>Бюджет!U477</f>
        <v>0</v>
      </c>
      <c r="V187" s="70">
        <f>Бюджет!V477</f>
        <v>0</v>
      </c>
      <c r="W187" s="70">
        <f>Бюджет!W477</f>
        <v>0</v>
      </c>
      <c r="X187" s="70">
        <f>Бюджет!X477</f>
        <v>0</v>
      </c>
      <c r="Y187" s="70">
        <f>Бюджет!Y477</f>
        <v>0</v>
      </c>
      <c r="Z187" s="70">
        <f>Бюджет!Z477</f>
        <v>0</v>
      </c>
      <c r="AA187" s="70">
        <f>Бюджет!AA477</f>
        <v>0</v>
      </c>
      <c r="AB187" s="70">
        <f>Бюджет!AB477</f>
        <v>0</v>
      </c>
      <c r="AC187" s="70">
        <f>Бюджет!AC477</f>
        <v>0</v>
      </c>
      <c r="AD187" s="70">
        <f>Бюджет!AD477</f>
        <v>0</v>
      </c>
      <c r="AE187" s="70">
        <f>Бюджет!AE477</f>
        <v>0</v>
      </c>
      <c r="AF187" s="70">
        <f>Бюджет!AF477</f>
        <v>0</v>
      </c>
      <c r="AG187" s="70">
        <f>Бюджет!AG477</f>
        <v>0</v>
      </c>
      <c r="AH187" s="70">
        <f>Бюджет!AH477</f>
        <v>0</v>
      </c>
      <c r="AI187" s="70">
        <f>Бюджет!AI477</f>
        <v>0</v>
      </c>
      <c r="AJ187" s="66">
        <f>SUM(G187,I187:AI187)</f>
        <v>11.5</v>
      </c>
      <c r="AK187" s="67"/>
    </row>
    <row r="188" spans="1:37" s="110" customFormat="1" ht="15" x14ac:dyDescent="0.2">
      <c r="A188" s="90" t="str">
        <f>Бюджет!A478</f>
        <v>Б1.О.15</v>
      </c>
      <c r="B188" s="90" t="str">
        <f>Бюджет!B478</f>
        <v>Физика</v>
      </c>
      <c r="C188" s="74" t="str">
        <f>Бюджет!C478</f>
        <v>1/2</v>
      </c>
      <c r="D188" s="74">
        <f>Бюджет!D478</f>
        <v>12</v>
      </c>
      <c r="E188" s="74">
        <f>Бюджет!E478</f>
        <v>1</v>
      </c>
      <c r="F188" s="70">
        <f>Бюджет!F478</f>
        <v>0</v>
      </c>
      <c r="G188" s="70">
        <f>Бюджет!G478</f>
        <v>0</v>
      </c>
      <c r="H188" s="70">
        <f>Бюджет!H478</f>
        <v>0</v>
      </c>
      <c r="I188" s="70">
        <f>Бюджет!I478</f>
        <v>0</v>
      </c>
      <c r="J188" s="70">
        <f>Бюджет!J478</f>
        <v>8</v>
      </c>
      <c r="K188" s="70">
        <f>Бюджет!K478</f>
        <v>0</v>
      </c>
      <c r="L188" s="70">
        <f>Бюджет!L478</f>
        <v>0</v>
      </c>
      <c r="M188" s="70">
        <f>Бюджет!M478</f>
        <v>4.8</v>
      </c>
      <c r="N188" s="70">
        <f>Бюджет!N478</f>
        <v>0</v>
      </c>
      <c r="O188" s="70">
        <f>Бюджет!O478</f>
        <v>0</v>
      </c>
      <c r="P188" s="70">
        <f>Бюджет!P478</f>
        <v>0</v>
      </c>
      <c r="Q188" s="70">
        <f>Бюджет!Q478</f>
        <v>1</v>
      </c>
      <c r="R188" s="70">
        <f>Бюджет!R478</f>
        <v>0</v>
      </c>
      <c r="S188" s="70">
        <f>Бюджет!S478</f>
        <v>0</v>
      </c>
      <c r="T188" s="70">
        <f>Бюджет!T478</f>
        <v>0</v>
      </c>
      <c r="U188" s="70">
        <f>Бюджет!U478</f>
        <v>0</v>
      </c>
      <c r="V188" s="70">
        <f>Бюджет!V478</f>
        <v>0</v>
      </c>
      <c r="W188" s="70">
        <f>Бюджет!W478</f>
        <v>0</v>
      </c>
      <c r="X188" s="70">
        <f>Бюджет!X478</f>
        <v>0</v>
      </c>
      <c r="Y188" s="70">
        <f>Бюджет!Y478</f>
        <v>0</v>
      </c>
      <c r="Z188" s="70">
        <f>Бюджет!Z478</f>
        <v>0</v>
      </c>
      <c r="AA188" s="70">
        <f>Бюджет!AA478</f>
        <v>0</v>
      </c>
      <c r="AB188" s="70">
        <f>Бюджет!AB478</f>
        <v>0</v>
      </c>
      <c r="AC188" s="70">
        <f>Бюджет!AC478</f>
        <v>0</v>
      </c>
      <c r="AD188" s="70">
        <f>Бюджет!AD478</f>
        <v>0</v>
      </c>
      <c r="AE188" s="70">
        <f>Бюджет!AE478</f>
        <v>0</v>
      </c>
      <c r="AF188" s="70">
        <f>Бюджет!AF478</f>
        <v>0</v>
      </c>
      <c r="AG188" s="70">
        <f>Бюджет!AG478</f>
        <v>0</v>
      </c>
      <c r="AH188" s="70">
        <f>Бюджет!AH478</f>
        <v>0</v>
      </c>
      <c r="AI188" s="70">
        <f>Бюджет!AI478</f>
        <v>2</v>
      </c>
      <c r="AJ188" s="66">
        <f>SUM(G188,I188:AI188)</f>
        <v>15.8</v>
      </c>
      <c r="AK188" s="67"/>
    </row>
    <row r="189" spans="1:37" s="110" customFormat="1" ht="31.5" x14ac:dyDescent="0.2">
      <c r="A189" s="195"/>
      <c r="B189" s="108" t="s">
        <v>196</v>
      </c>
      <c r="C189" s="83"/>
      <c r="D189" s="84"/>
      <c r="E189" s="84"/>
      <c r="F189" s="78">
        <f>SUM(F180:F188)</f>
        <v>144</v>
      </c>
      <c r="G189" s="78">
        <f t="shared" ref="G189:AJ189" si="31">SUM(G180:G188)</f>
        <v>110</v>
      </c>
      <c r="H189" s="78">
        <f t="shared" si="31"/>
        <v>0</v>
      </c>
      <c r="I189" s="78">
        <f t="shared" si="31"/>
        <v>0</v>
      </c>
      <c r="J189" s="78">
        <f t="shared" si="31"/>
        <v>125</v>
      </c>
      <c r="K189" s="78">
        <f t="shared" si="31"/>
        <v>14.4</v>
      </c>
      <c r="L189" s="78">
        <f t="shared" si="31"/>
        <v>0</v>
      </c>
      <c r="M189" s="78">
        <f t="shared" si="31"/>
        <v>23.2</v>
      </c>
      <c r="N189" s="78">
        <f t="shared" si="31"/>
        <v>0</v>
      </c>
      <c r="O189" s="78">
        <f t="shared" si="31"/>
        <v>0</v>
      </c>
      <c r="P189" s="78">
        <f t="shared" si="31"/>
        <v>0</v>
      </c>
      <c r="Q189" s="78">
        <f t="shared" si="31"/>
        <v>8.5</v>
      </c>
      <c r="R189" s="78">
        <f t="shared" si="31"/>
        <v>0</v>
      </c>
      <c r="S189" s="78">
        <f t="shared" si="31"/>
        <v>0</v>
      </c>
      <c r="T189" s="78">
        <f t="shared" si="31"/>
        <v>0</v>
      </c>
      <c r="U189" s="78">
        <f t="shared" si="31"/>
        <v>0</v>
      </c>
      <c r="V189" s="78">
        <f t="shared" si="31"/>
        <v>0</v>
      </c>
      <c r="W189" s="78">
        <f t="shared" si="31"/>
        <v>0</v>
      </c>
      <c r="X189" s="78">
        <f t="shared" si="31"/>
        <v>0</v>
      </c>
      <c r="Y189" s="78">
        <f t="shared" si="31"/>
        <v>0</v>
      </c>
      <c r="Z189" s="78">
        <f t="shared" si="31"/>
        <v>0</v>
      </c>
      <c r="AA189" s="78">
        <f t="shared" si="31"/>
        <v>0</v>
      </c>
      <c r="AB189" s="78">
        <f t="shared" si="31"/>
        <v>0</v>
      </c>
      <c r="AC189" s="78">
        <f t="shared" si="31"/>
        <v>0</v>
      </c>
      <c r="AD189" s="78">
        <f t="shared" si="31"/>
        <v>0</v>
      </c>
      <c r="AE189" s="78">
        <f t="shared" si="31"/>
        <v>0</v>
      </c>
      <c r="AF189" s="78">
        <f t="shared" si="31"/>
        <v>0</v>
      </c>
      <c r="AG189" s="78">
        <f t="shared" si="31"/>
        <v>0</v>
      </c>
      <c r="AH189" s="78">
        <f t="shared" si="31"/>
        <v>0</v>
      </c>
      <c r="AI189" s="78">
        <f t="shared" si="31"/>
        <v>9</v>
      </c>
      <c r="AJ189" s="78">
        <f t="shared" si="31"/>
        <v>290.10000000000002</v>
      </c>
      <c r="AK189" s="202"/>
    </row>
    <row r="190" spans="1:37" s="110" customFormat="1" ht="15.75" x14ac:dyDescent="0.2">
      <c r="A190" s="90"/>
      <c r="B190" s="92"/>
      <c r="C190" s="203"/>
      <c r="D190" s="204"/>
      <c r="E190" s="204"/>
      <c r="F190" s="66"/>
      <c r="G190" s="66"/>
      <c r="H190" s="66"/>
      <c r="I190" s="66"/>
      <c r="J190" s="66"/>
      <c r="K190" s="412" t="str">
        <f>Бюджет!K481</f>
        <v>Геологический факультет</v>
      </c>
      <c r="L190" s="412"/>
      <c r="M190" s="412"/>
      <c r="N190" s="412"/>
      <c r="O190" s="412"/>
      <c r="P190" s="412"/>
      <c r="Q190" s="412"/>
      <c r="R190" s="412"/>
      <c r="S190" s="412"/>
      <c r="T190" s="412"/>
      <c r="U190" s="412"/>
      <c r="V190" s="412"/>
      <c r="W190" s="412"/>
      <c r="X190" s="412"/>
      <c r="Y190" s="412"/>
      <c r="Z190" s="412"/>
      <c r="AA190" s="412"/>
      <c r="AB190" s="412"/>
      <c r="AC190" s="66"/>
      <c r="AD190" s="66"/>
      <c r="AE190" s="66"/>
      <c r="AF190" s="66"/>
      <c r="AG190" s="66"/>
      <c r="AH190" s="66"/>
      <c r="AI190" s="66"/>
      <c r="AJ190" s="66"/>
      <c r="AK190" s="201"/>
    </row>
    <row r="191" spans="1:37" s="110" customFormat="1" ht="15.75" x14ac:dyDescent="0.2">
      <c r="A191" s="90"/>
      <c r="B191" s="92"/>
      <c r="C191" s="203"/>
      <c r="D191" s="204"/>
      <c r="E191" s="204"/>
      <c r="F191" s="66"/>
      <c r="G191" s="413" t="str">
        <f>Бюджет!G482</f>
        <v>ДНЕВНОЕ ОТДЕЛЕНИЕ Направление  05.03.01    "Геология"  (профили "Геология", "Геология, разработка месторождений нефти и газа")</v>
      </c>
      <c r="H191" s="413"/>
      <c r="I191" s="413"/>
      <c r="J191" s="413"/>
      <c r="K191" s="413"/>
      <c r="L191" s="413"/>
      <c r="M191" s="413"/>
      <c r="N191" s="413"/>
      <c r="O191" s="413"/>
      <c r="P191" s="413"/>
      <c r="Q191" s="413"/>
      <c r="R191" s="413"/>
      <c r="S191" s="413"/>
      <c r="T191" s="413"/>
      <c r="U191" s="413"/>
      <c r="V191" s="413"/>
      <c r="W191" s="413"/>
      <c r="X191" s="413"/>
      <c r="Y191" s="413"/>
      <c r="Z191" s="413"/>
      <c r="AA191" s="413"/>
      <c r="AB191" s="413"/>
      <c r="AC191" s="413"/>
      <c r="AD191" s="413"/>
      <c r="AE191" s="413"/>
      <c r="AF191" s="413"/>
      <c r="AG191" s="66"/>
      <c r="AH191" s="66"/>
      <c r="AI191" s="66"/>
      <c r="AJ191" s="66"/>
      <c r="AK191" s="201"/>
    </row>
    <row r="192" spans="1:37" s="110" customFormat="1" ht="15" x14ac:dyDescent="0.2">
      <c r="A192" s="60" t="str">
        <f>Бюджет!A483</f>
        <v>Б1.О.15</v>
      </c>
      <c r="B192" s="92" t="str">
        <f>Бюджет!B483</f>
        <v xml:space="preserve">Физика  </v>
      </c>
      <c r="C192" s="67">
        <f>Бюджет!C483</f>
        <v>1.1000000000000001</v>
      </c>
      <c r="D192" s="67">
        <f>Бюджет!D483</f>
        <v>22</v>
      </c>
      <c r="E192" s="67">
        <f>Бюджет!E483</f>
        <v>2</v>
      </c>
      <c r="F192" s="66">
        <f>Бюджет!F483</f>
        <v>36</v>
      </c>
      <c r="G192" s="66">
        <f>Бюджет!G483</f>
        <v>36</v>
      </c>
      <c r="H192" s="66">
        <f>Бюджет!H483</f>
        <v>0</v>
      </c>
      <c r="I192" s="66">
        <f>Бюджет!I483</f>
        <v>0</v>
      </c>
      <c r="J192" s="66">
        <f>Бюджет!J483</f>
        <v>72</v>
      </c>
      <c r="K192" s="66">
        <f>Бюджет!K483</f>
        <v>0</v>
      </c>
      <c r="L192" s="66">
        <f>Бюджет!L483</f>
        <v>0</v>
      </c>
      <c r="M192" s="66">
        <f>Бюджет!M483</f>
        <v>8.8000000000000007</v>
      </c>
      <c r="N192" s="66">
        <f>Бюджет!N483</f>
        <v>0</v>
      </c>
      <c r="O192" s="66">
        <f>Бюджет!O483</f>
        <v>0</v>
      </c>
      <c r="P192" s="66">
        <f>Бюджет!P483</f>
        <v>0</v>
      </c>
      <c r="Q192" s="66">
        <f>Бюджет!Q483</f>
        <v>2.8</v>
      </c>
      <c r="R192" s="66">
        <f>Бюджет!R483</f>
        <v>0</v>
      </c>
      <c r="S192" s="66">
        <f>Бюджет!S483</f>
        <v>0</v>
      </c>
      <c r="T192" s="66">
        <f>Бюджет!T483</f>
        <v>0</v>
      </c>
      <c r="U192" s="66">
        <f>Бюджет!U483</f>
        <v>0</v>
      </c>
      <c r="V192" s="66">
        <f>Бюджет!V483</f>
        <v>0</v>
      </c>
      <c r="W192" s="66">
        <f>Бюджет!W483</f>
        <v>0</v>
      </c>
      <c r="X192" s="66">
        <f>Бюджет!X483</f>
        <v>0</v>
      </c>
      <c r="Y192" s="66">
        <f>Бюджет!Y483</f>
        <v>0</v>
      </c>
      <c r="Z192" s="66">
        <f>Бюджет!Z483</f>
        <v>0</v>
      </c>
      <c r="AA192" s="66">
        <f>Бюджет!AA483</f>
        <v>0</v>
      </c>
      <c r="AB192" s="66">
        <f>Бюджет!AB483</f>
        <v>0</v>
      </c>
      <c r="AC192" s="66">
        <f>Бюджет!AC483</f>
        <v>0</v>
      </c>
      <c r="AD192" s="66">
        <f>Бюджет!AD483</f>
        <v>0</v>
      </c>
      <c r="AE192" s="66">
        <f>Бюджет!AE483</f>
        <v>0</v>
      </c>
      <c r="AF192" s="66">
        <f>Бюджет!AF483</f>
        <v>0</v>
      </c>
      <c r="AG192" s="66">
        <f>Бюджет!AG483</f>
        <v>0</v>
      </c>
      <c r="AH192" s="66">
        <f>Бюджет!AH483</f>
        <v>0</v>
      </c>
      <c r="AI192" s="66">
        <f>Бюджет!AI483</f>
        <v>3</v>
      </c>
      <c r="AJ192" s="66">
        <f>SUM(G192,I192:AI192)</f>
        <v>122.6</v>
      </c>
      <c r="AK192" s="201"/>
    </row>
    <row r="193" spans="1:37" s="110" customFormat="1" ht="15.75" x14ac:dyDescent="0.2">
      <c r="A193" s="90"/>
      <c r="B193" s="92"/>
      <c r="C193" s="203"/>
      <c r="D193" s="204"/>
      <c r="E193" s="204"/>
      <c r="F193" s="66"/>
      <c r="G193" s="66"/>
      <c r="H193" s="66"/>
      <c r="I193" s="66"/>
      <c r="J193" s="66"/>
      <c r="K193" s="413" t="str">
        <f>Бюджет!G484</f>
        <v>ДНЕВНОЕ ОТДЕЛЕНИЕ Специальность 21.05.02   "Прикладная геология",  специализация "Геология нефти и газа"</v>
      </c>
      <c r="L193" s="413"/>
      <c r="M193" s="413"/>
      <c r="N193" s="413"/>
      <c r="O193" s="413"/>
      <c r="P193" s="413"/>
      <c r="Q193" s="413"/>
      <c r="R193" s="413"/>
      <c r="S193" s="413"/>
      <c r="T193" s="413"/>
      <c r="U193" s="413"/>
      <c r="V193" s="413"/>
      <c r="W193" s="413"/>
      <c r="X193" s="413"/>
      <c r="Y193" s="413"/>
      <c r="Z193" s="413"/>
      <c r="AA193" s="413"/>
      <c r="AB193" s="413"/>
      <c r="AC193" s="66"/>
      <c r="AD193" s="66"/>
      <c r="AE193" s="66"/>
      <c r="AF193" s="66"/>
      <c r="AG193" s="66"/>
      <c r="AH193" s="66"/>
      <c r="AI193" s="66"/>
      <c r="AJ193" s="70">
        <f>SUM(G193,I193:AI193)</f>
        <v>0</v>
      </c>
      <c r="AK193" s="201"/>
    </row>
    <row r="194" spans="1:37" s="110" customFormat="1" ht="15" x14ac:dyDescent="0.2">
      <c r="A194" s="60" t="str">
        <f>Бюджет!A485</f>
        <v>Б1.О.15</v>
      </c>
      <c r="B194" s="92" t="str">
        <f>Бюджет!B485</f>
        <v xml:space="preserve">Физика </v>
      </c>
      <c r="C194" s="67">
        <f>Бюджет!C485</f>
        <v>1.1000000000000001</v>
      </c>
      <c r="D194" s="67">
        <f>Бюджет!D485</f>
        <v>20</v>
      </c>
      <c r="E194" s="67">
        <f>Бюджет!E485</f>
        <v>2</v>
      </c>
      <c r="F194" s="66">
        <f>Бюджет!F485</f>
        <v>36</v>
      </c>
      <c r="G194" s="66">
        <f>Бюджет!G485</f>
        <v>36</v>
      </c>
      <c r="H194" s="66">
        <f>Бюджет!H485</f>
        <v>0</v>
      </c>
      <c r="I194" s="66">
        <f>Бюджет!I485</f>
        <v>0</v>
      </c>
      <c r="J194" s="66">
        <f>Бюджет!J485</f>
        <v>72</v>
      </c>
      <c r="K194" s="66">
        <f>Бюджет!K485</f>
        <v>6</v>
      </c>
      <c r="L194" s="66">
        <f>Бюджет!L485</f>
        <v>0</v>
      </c>
      <c r="M194" s="66">
        <f>Бюджет!M485</f>
        <v>0</v>
      </c>
      <c r="N194" s="66">
        <f>Бюджет!N485</f>
        <v>0</v>
      </c>
      <c r="O194" s="66">
        <f>Бюджет!O485</f>
        <v>0</v>
      </c>
      <c r="P194" s="66">
        <f>Бюджет!P485</f>
        <v>0</v>
      </c>
      <c r="Q194" s="66">
        <f>Бюджет!Q485</f>
        <v>1.8</v>
      </c>
      <c r="R194" s="66">
        <f>Бюджет!R485</f>
        <v>0</v>
      </c>
      <c r="S194" s="66">
        <f>Бюджет!S485</f>
        <v>0</v>
      </c>
      <c r="T194" s="66">
        <f>Бюджет!T485</f>
        <v>0</v>
      </c>
      <c r="U194" s="66">
        <f>Бюджет!U485</f>
        <v>0</v>
      </c>
      <c r="V194" s="66">
        <f>Бюджет!V485</f>
        <v>0</v>
      </c>
      <c r="W194" s="66">
        <f>Бюджет!W485</f>
        <v>0</v>
      </c>
      <c r="X194" s="66">
        <f>Бюджет!X485</f>
        <v>0</v>
      </c>
      <c r="Y194" s="66">
        <f>Бюджет!Y485</f>
        <v>0</v>
      </c>
      <c r="Z194" s="66">
        <f>Бюджет!Z485</f>
        <v>0</v>
      </c>
      <c r="AA194" s="66">
        <f>Бюджет!AA485</f>
        <v>0</v>
      </c>
      <c r="AB194" s="66">
        <f>Бюджет!AB485</f>
        <v>0</v>
      </c>
      <c r="AC194" s="66">
        <f>Бюджет!AC485</f>
        <v>0</v>
      </c>
      <c r="AD194" s="66">
        <f>Бюджет!AD485</f>
        <v>0</v>
      </c>
      <c r="AE194" s="66">
        <f>Бюджет!AE485</f>
        <v>0</v>
      </c>
      <c r="AF194" s="66">
        <f>Бюджет!AF485</f>
        <v>0</v>
      </c>
      <c r="AG194" s="66">
        <f>Бюджет!AG485</f>
        <v>0</v>
      </c>
      <c r="AH194" s="66">
        <f>Бюджет!AH485</f>
        <v>0</v>
      </c>
      <c r="AI194" s="66">
        <f>Бюджет!AI485</f>
        <v>2</v>
      </c>
      <c r="AJ194" s="66">
        <f>SUM(G194,I194:AI194)</f>
        <v>117.8</v>
      </c>
      <c r="AK194" s="201"/>
    </row>
    <row r="195" spans="1:37" s="110" customFormat="1" ht="15" x14ac:dyDescent="0.2">
      <c r="A195" s="60" t="str">
        <f>Бюджет!A486</f>
        <v>Б1.О.15</v>
      </c>
      <c r="B195" s="92" t="str">
        <f>Бюджет!B486</f>
        <v xml:space="preserve">Физика </v>
      </c>
      <c r="C195" s="67">
        <f>Бюджет!C486</f>
        <v>1.2</v>
      </c>
      <c r="D195" s="67">
        <f>Бюджет!D486</f>
        <v>20</v>
      </c>
      <c r="E195" s="67">
        <f>Бюджет!E486</f>
        <v>2</v>
      </c>
      <c r="F195" s="66">
        <f>Бюджет!F486</f>
        <v>28</v>
      </c>
      <c r="G195" s="66">
        <f>Бюджет!G486</f>
        <v>28</v>
      </c>
      <c r="H195" s="66">
        <f>Бюджет!H486</f>
        <v>0</v>
      </c>
      <c r="I195" s="66">
        <f>Бюджет!I486</f>
        <v>0</v>
      </c>
      <c r="J195" s="66">
        <f>Бюджет!J486</f>
        <v>56</v>
      </c>
      <c r="K195" s="66">
        <f>Бюджет!K486</f>
        <v>0</v>
      </c>
      <c r="L195" s="66">
        <f>Бюджет!L486</f>
        <v>0</v>
      </c>
      <c r="M195" s="66">
        <f>Бюджет!M486</f>
        <v>8</v>
      </c>
      <c r="N195" s="66">
        <f>Бюджет!N486</f>
        <v>0</v>
      </c>
      <c r="O195" s="66">
        <f>Бюджет!O486</f>
        <v>0</v>
      </c>
      <c r="P195" s="66">
        <f>Бюджет!P486</f>
        <v>0</v>
      </c>
      <c r="Q195" s="66">
        <f>Бюджет!Q486</f>
        <v>2.4000000000000004</v>
      </c>
      <c r="R195" s="66">
        <f>Бюджет!R486</f>
        <v>0</v>
      </c>
      <c r="S195" s="66">
        <f>Бюджет!S486</f>
        <v>0</v>
      </c>
      <c r="T195" s="66">
        <f>Бюджет!T486</f>
        <v>0</v>
      </c>
      <c r="U195" s="66">
        <f>Бюджет!U486</f>
        <v>0</v>
      </c>
      <c r="V195" s="66">
        <f>Бюджет!V486</f>
        <v>0</v>
      </c>
      <c r="W195" s="66">
        <f>Бюджет!W486</f>
        <v>0</v>
      </c>
      <c r="X195" s="66">
        <f>Бюджет!X486</f>
        <v>0</v>
      </c>
      <c r="Y195" s="66">
        <f>Бюджет!Y486</f>
        <v>0</v>
      </c>
      <c r="Z195" s="66">
        <f>Бюджет!Z486</f>
        <v>0</v>
      </c>
      <c r="AA195" s="66">
        <f>Бюджет!AA486</f>
        <v>0</v>
      </c>
      <c r="AB195" s="66">
        <f>Бюджет!AB486</f>
        <v>0</v>
      </c>
      <c r="AC195" s="66">
        <f>Бюджет!AC486</f>
        <v>0</v>
      </c>
      <c r="AD195" s="66">
        <f>Бюджет!AD486</f>
        <v>0</v>
      </c>
      <c r="AE195" s="66">
        <f>Бюджет!AE486</f>
        <v>0</v>
      </c>
      <c r="AF195" s="66">
        <f>Бюджет!AF486</f>
        <v>0</v>
      </c>
      <c r="AG195" s="66">
        <f>Бюджет!AG486</f>
        <v>0</v>
      </c>
      <c r="AH195" s="66">
        <f>Бюджет!AH486</f>
        <v>0</v>
      </c>
      <c r="AI195" s="66">
        <f>Бюджет!AI486</f>
        <v>2</v>
      </c>
      <c r="AJ195" s="66">
        <f>SUM(G195,I195:AI195)</f>
        <v>96.4</v>
      </c>
      <c r="AK195" s="201"/>
    </row>
    <row r="196" spans="1:37" s="110" customFormat="1" ht="31.5" x14ac:dyDescent="0.2">
      <c r="A196" s="90"/>
      <c r="B196" s="108" t="s">
        <v>197</v>
      </c>
      <c r="C196" s="83"/>
      <c r="D196" s="84"/>
      <c r="E196" s="84"/>
      <c r="F196" s="78">
        <f t="shared" ref="F196:AJ196" si="32">SUM(F192:F195)</f>
        <v>100</v>
      </c>
      <c r="G196" s="78">
        <f t="shared" si="32"/>
        <v>100</v>
      </c>
      <c r="H196" s="78">
        <f t="shared" si="32"/>
        <v>0</v>
      </c>
      <c r="I196" s="78">
        <f t="shared" si="32"/>
        <v>0</v>
      </c>
      <c r="J196" s="78">
        <f t="shared" si="32"/>
        <v>200</v>
      </c>
      <c r="K196" s="78">
        <f t="shared" si="32"/>
        <v>6</v>
      </c>
      <c r="L196" s="78">
        <f t="shared" si="32"/>
        <v>0</v>
      </c>
      <c r="M196" s="78">
        <f t="shared" si="32"/>
        <v>16.8</v>
      </c>
      <c r="N196" s="78">
        <f t="shared" si="32"/>
        <v>0</v>
      </c>
      <c r="O196" s="78">
        <f t="shared" si="32"/>
        <v>0</v>
      </c>
      <c r="P196" s="78">
        <f t="shared" si="32"/>
        <v>0</v>
      </c>
      <c r="Q196" s="78">
        <f t="shared" si="32"/>
        <v>7</v>
      </c>
      <c r="R196" s="78">
        <f t="shared" si="32"/>
        <v>0</v>
      </c>
      <c r="S196" s="78">
        <f t="shared" si="32"/>
        <v>0</v>
      </c>
      <c r="T196" s="78">
        <f t="shared" si="32"/>
        <v>0</v>
      </c>
      <c r="U196" s="78">
        <f t="shared" si="32"/>
        <v>0</v>
      </c>
      <c r="V196" s="78">
        <f t="shared" si="32"/>
        <v>0</v>
      </c>
      <c r="W196" s="78">
        <f t="shared" si="32"/>
        <v>0</v>
      </c>
      <c r="X196" s="78">
        <f t="shared" si="32"/>
        <v>0</v>
      </c>
      <c r="Y196" s="78">
        <f t="shared" si="32"/>
        <v>0</v>
      </c>
      <c r="Z196" s="78">
        <f t="shared" si="32"/>
        <v>0</v>
      </c>
      <c r="AA196" s="78">
        <f t="shared" si="32"/>
        <v>0</v>
      </c>
      <c r="AB196" s="78">
        <f t="shared" si="32"/>
        <v>0</v>
      </c>
      <c r="AC196" s="78">
        <f t="shared" si="32"/>
        <v>0</v>
      </c>
      <c r="AD196" s="78">
        <f t="shared" si="32"/>
        <v>0</v>
      </c>
      <c r="AE196" s="78">
        <f t="shared" si="32"/>
        <v>0</v>
      </c>
      <c r="AF196" s="78">
        <f t="shared" si="32"/>
        <v>0</v>
      </c>
      <c r="AG196" s="78">
        <f t="shared" si="32"/>
        <v>0</v>
      </c>
      <c r="AH196" s="78">
        <f t="shared" si="32"/>
        <v>0</v>
      </c>
      <c r="AI196" s="78">
        <f t="shared" si="32"/>
        <v>7</v>
      </c>
      <c r="AJ196" s="78">
        <f t="shared" si="32"/>
        <v>336.79999999999995</v>
      </c>
      <c r="AK196" s="201"/>
    </row>
    <row r="197" spans="1:37" s="110" customFormat="1" ht="15.75" x14ac:dyDescent="0.2">
      <c r="A197" s="90"/>
      <c r="B197" s="100"/>
      <c r="C197" s="101"/>
      <c r="D197" s="89"/>
      <c r="E197" s="89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201"/>
    </row>
    <row r="198" spans="1:37" s="110" customFormat="1" ht="15.75" x14ac:dyDescent="0.2">
      <c r="A198" s="90"/>
      <c r="B198" s="100"/>
      <c r="C198" s="101"/>
      <c r="D198" s="89"/>
      <c r="E198" s="89"/>
      <c r="F198" s="102"/>
      <c r="G198" s="102"/>
      <c r="H198" s="102"/>
      <c r="I198" s="102"/>
      <c r="J198" s="102"/>
      <c r="K198" s="412" t="str">
        <f>Бюджет!K489</f>
        <v>ИМИТ</v>
      </c>
      <c r="L198" s="412"/>
      <c r="M198" s="412"/>
      <c r="N198" s="412"/>
      <c r="O198" s="412"/>
      <c r="P198" s="412"/>
      <c r="Q198" s="412"/>
      <c r="R198" s="412"/>
      <c r="S198" s="412"/>
      <c r="T198" s="412"/>
      <c r="U198" s="412"/>
      <c r="V198" s="412"/>
      <c r="W198" s="412"/>
      <c r="X198" s="412"/>
      <c r="Y198" s="412"/>
      <c r="Z198" s="412"/>
      <c r="AA198" s="412"/>
      <c r="AB198" s="412"/>
      <c r="AC198" s="102"/>
      <c r="AD198" s="102"/>
      <c r="AE198" s="102"/>
      <c r="AF198" s="102"/>
      <c r="AG198" s="102"/>
      <c r="AH198" s="102"/>
      <c r="AI198" s="102"/>
      <c r="AJ198" s="102"/>
      <c r="AK198" s="201"/>
    </row>
    <row r="199" spans="1:37" s="110" customFormat="1" ht="15.75" customHeight="1" x14ac:dyDescent="0.2">
      <c r="A199" s="90"/>
      <c r="B199" s="92"/>
      <c r="C199" s="74"/>
      <c r="D199" s="74"/>
      <c r="E199" s="74"/>
      <c r="F199" s="70"/>
      <c r="G199" s="414" t="str">
        <f>Бюджет!G496</f>
        <v>Направление 02.03.03 "Математическое обеспечение и администрирование информационных систем", профиль "Математическое обеспечение и администрирование информационных систем"</v>
      </c>
      <c r="H199" s="415"/>
      <c r="I199" s="415"/>
      <c r="J199" s="415"/>
      <c r="K199" s="415"/>
      <c r="L199" s="415"/>
      <c r="M199" s="415"/>
      <c r="N199" s="415"/>
      <c r="O199" s="415"/>
      <c r="P199" s="415"/>
      <c r="Q199" s="415"/>
      <c r="R199" s="415"/>
      <c r="S199" s="415"/>
      <c r="T199" s="415"/>
      <c r="U199" s="415"/>
      <c r="V199" s="415"/>
      <c r="W199" s="415"/>
      <c r="X199" s="415"/>
      <c r="Y199" s="415"/>
      <c r="Z199" s="415"/>
      <c r="AA199" s="415"/>
      <c r="AB199" s="415"/>
      <c r="AC199" s="415"/>
      <c r="AD199" s="415"/>
      <c r="AE199" s="415"/>
      <c r="AF199" s="416"/>
      <c r="AG199" s="70"/>
      <c r="AH199" s="70"/>
      <c r="AI199" s="70"/>
      <c r="AJ199" s="70"/>
      <c r="AK199" s="201"/>
    </row>
    <row r="200" spans="1:37" s="110" customFormat="1" ht="15" x14ac:dyDescent="0.2">
      <c r="A200" s="90" t="str">
        <f>Бюджет!A497</f>
        <v>Б1.О.33</v>
      </c>
      <c r="B200" s="90" t="str">
        <f>Бюджет!B497</f>
        <v>Физика</v>
      </c>
      <c r="C200" s="74" t="str">
        <f>Бюджет!C497</f>
        <v>4/8</v>
      </c>
      <c r="D200" s="74">
        <f>Бюджет!D497</f>
        <v>19</v>
      </c>
      <c r="E200" s="74">
        <f>Бюджет!E497</f>
        <v>1</v>
      </c>
      <c r="F200" s="70">
        <f>Бюджет!F497</f>
        <v>40</v>
      </c>
      <c r="G200" s="70">
        <f>Бюджет!G497</f>
        <v>40</v>
      </c>
      <c r="H200" s="70">
        <f>Бюджет!H497</f>
        <v>20</v>
      </c>
      <c r="I200" s="70">
        <f>Бюджет!I497</f>
        <v>20</v>
      </c>
      <c r="J200" s="70">
        <f>Бюджет!J497</f>
        <v>0</v>
      </c>
      <c r="K200" s="70">
        <f>Бюджет!K497</f>
        <v>5.7</v>
      </c>
      <c r="L200" s="70">
        <f>Бюджет!L497</f>
        <v>0</v>
      </c>
      <c r="M200" s="70">
        <f>Бюджет!M497</f>
        <v>0</v>
      </c>
      <c r="N200" s="70">
        <f>Бюджет!N497</f>
        <v>0</v>
      </c>
      <c r="O200" s="70">
        <f>Бюджет!O497</f>
        <v>0</v>
      </c>
      <c r="P200" s="70">
        <f>Бюджет!P497</f>
        <v>0</v>
      </c>
      <c r="Q200" s="70">
        <f>Бюджет!Q497</f>
        <v>2</v>
      </c>
      <c r="R200" s="70">
        <f>Бюджет!R497</f>
        <v>0</v>
      </c>
      <c r="S200" s="70">
        <f>Бюджет!S497</f>
        <v>0</v>
      </c>
      <c r="T200" s="70">
        <f>Бюджет!T497</f>
        <v>0</v>
      </c>
      <c r="U200" s="70">
        <f>Бюджет!U497</f>
        <v>0</v>
      </c>
      <c r="V200" s="70">
        <f>Бюджет!V497</f>
        <v>0</v>
      </c>
      <c r="W200" s="70">
        <f>Бюджет!W497</f>
        <v>0</v>
      </c>
      <c r="X200" s="70">
        <f>Бюджет!X497</f>
        <v>0</v>
      </c>
      <c r="Y200" s="70">
        <f>Бюджет!Y497</f>
        <v>0</v>
      </c>
      <c r="Z200" s="70">
        <f>Бюджет!Z497</f>
        <v>0</v>
      </c>
      <c r="AA200" s="70">
        <f>Бюджет!AA497</f>
        <v>0</v>
      </c>
      <c r="AB200" s="70">
        <f>Бюджет!AB497</f>
        <v>0</v>
      </c>
      <c r="AC200" s="70">
        <f>Бюджет!AC497</f>
        <v>0</v>
      </c>
      <c r="AD200" s="70">
        <f>Бюджет!AD497</f>
        <v>0</v>
      </c>
      <c r="AE200" s="70">
        <f>Бюджет!AE497</f>
        <v>0</v>
      </c>
      <c r="AF200" s="70">
        <f>Бюджет!AF497</f>
        <v>0</v>
      </c>
      <c r="AG200" s="70">
        <f>Бюджет!AG497</f>
        <v>0</v>
      </c>
      <c r="AH200" s="70">
        <f>Бюджет!AH497</f>
        <v>0</v>
      </c>
      <c r="AI200" s="70">
        <f>Бюджет!AI497</f>
        <v>0</v>
      </c>
      <c r="AJ200" s="66">
        <f>SUM(G200,I200:AI200)</f>
        <v>67.7</v>
      </c>
      <c r="AK200" s="201"/>
    </row>
    <row r="201" spans="1:37" s="110" customFormat="1" ht="15.75" x14ac:dyDescent="0.2">
      <c r="A201" s="90"/>
      <c r="B201" s="108" t="s">
        <v>210</v>
      </c>
      <c r="C201" s="83"/>
      <c r="D201" s="84"/>
      <c r="E201" s="84"/>
      <c r="F201" s="78">
        <f t="shared" ref="F201:AJ201" si="33">SUM(F199:F200)</f>
        <v>40</v>
      </c>
      <c r="G201" s="78">
        <f t="shared" si="33"/>
        <v>40</v>
      </c>
      <c r="H201" s="78">
        <f t="shared" si="33"/>
        <v>20</v>
      </c>
      <c r="I201" s="78">
        <f t="shared" si="33"/>
        <v>20</v>
      </c>
      <c r="J201" s="78">
        <f t="shared" si="33"/>
        <v>0</v>
      </c>
      <c r="K201" s="78">
        <f t="shared" si="33"/>
        <v>5.7</v>
      </c>
      <c r="L201" s="78">
        <f t="shared" si="33"/>
        <v>0</v>
      </c>
      <c r="M201" s="78">
        <f t="shared" si="33"/>
        <v>0</v>
      </c>
      <c r="N201" s="78">
        <f t="shared" si="33"/>
        <v>0</v>
      </c>
      <c r="O201" s="78">
        <f t="shared" si="33"/>
        <v>0</v>
      </c>
      <c r="P201" s="78">
        <f t="shared" si="33"/>
        <v>0</v>
      </c>
      <c r="Q201" s="78">
        <f t="shared" si="33"/>
        <v>2</v>
      </c>
      <c r="R201" s="78">
        <f t="shared" si="33"/>
        <v>0</v>
      </c>
      <c r="S201" s="78">
        <f t="shared" si="33"/>
        <v>0</v>
      </c>
      <c r="T201" s="78">
        <f t="shared" si="33"/>
        <v>0</v>
      </c>
      <c r="U201" s="78">
        <f t="shared" si="33"/>
        <v>0</v>
      </c>
      <c r="V201" s="78">
        <f t="shared" si="33"/>
        <v>0</v>
      </c>
      <c r="W201" s="78">
        <f t="shared" si="33"/>
        <v>0</v>
      </c>
      <c r="X201" s="78">
        <f t="shared" si="33"/>
        <v>0</v>
      </c>
      <c r="Y201" s="78">
        <f t="shared" si="33"/>
        <v>0</v>
      </c>
      <c r="Z201" s="78">
        <f t="shared" si="33"/>
        <v>0</v>
      </c>
      <c r="AA201" s="78">
        <f t="shared" si="33"/>
        <v>0</v>
      </c>
      <c r="AB201" s="78">
        <f t="shared" si="33"/>
        <v>0</v>
      </c>
      <c r="AC201" s="78">
        <f t="shared" si="33"/>
        <v>0</v>
      </c>
      <c r="AD201" s="78">
        <f t="shared" si="33"/>
        <v>0</v>
      </c>
      <c r="AE201" s="78">
        <f t="shared" si="33"/>
        <v>0</v>
      </c>
      <c r="AF201" s="78">
        <f t="shared" si="33"/>
        <v>0</v>
      </c>
      <c r="AG201" s="78">
        <f t="shared" si="33"/>
        <v>0</v>
      </c>
      <c r="AH201" s="78">
        <f t="shared" si="33"/>
        <v>0</v>
      </c>
      <c r="AI201" s="78">
        <f t="shared" si="33"/>
        <v>0</v>
      </c>
      <c r="AJ201" s="78">
        <f t="shared" si="33"/>
        <v>67.7</v>
      </c>
      <c r="AK201" s="201"/>
    </row>
    <row r="202" spans="1:37" s="110" customFormat="1" ht="15" x14ac:dyDescent="0.2">
      <c r="A202" s="201"/>
      <c r="B202" s="92"/>
      <c r="C202" s="201"/>
      <c r="D202" s="201"/>
      <c r="E202" s="201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201"/>
    </row>
    <row r="203" spans="1:37" s="110" customFormat="1" ht="31.5" x14ac:dyDescent="0.2">
      <c r="A203" s="201"/>
      <c r="B203" s="198" t="s">
        <v>240</v>
      </c>
      <c r="C203" s="210"/>
      <c r="D203" s="210"/>
      <c r="E203" s="210"/>
      <c r="F203" s="98">
        <f t="shared" ref="F203:AJ203" si="34">F176+F189+F196+F201</f>
        <v>348</v>
      </c>
      <c r="G203" s="98">
        <f t="shared" si="34"/>
        <v>266</v>
      </c>
      <c r="H203" s="98">
        <f t="shared" si="34"/>
        <v>20</v>
      </c>
      <c r="I203" s="98">
        <f t="shared" si="34"/>
        <v>20</v>
      </c>
      <c r="J203" s="98">
        <f t="shared" si="34"/>
        <v>485</v>
      </c>
      <c r="K203" s="98">
        <f t="shared" si="34"/>
        <v>63.6</v>
      </c>
      <c r="L203" s="98">
        <f t="shared" si="34"/>
        <v>0</v>
      </c>
      <c r="M203" s="98">
        <f t="shared" si="34"/>
        <v>40</v>
      </c>
      <c r="N203" s="98">
        <f t="shared" si="34"/>
        <v>0</v>
      </c>
      <c r="O203" s="98">
        <f t="shared" si="34"/>
        <v>0</v>
      </c>
      <c r="P203" s="98">
        <f t="shared" si="34"/>
        <v>0</v>
      </c>
      <c r="Q203" s="98">
        <f t="shared" si="34"/>
        <v>18.3</v>
      </c>
      <c r="R203" s="98">
        <f t="shared" si="34"/>
        <v>0</v>
      </c>
      <c r="S203" s="98">
        <f t="shared" si="34"/>
        <v>0</v>
      </c>
      <c r="T203" s="98">
        <f t="shared" si="34"/>
        <v>0</v>
      </c>
      <c r="U203" s="98">
        <f t="shared" si="34"/>
        <v>0</v>
      </c>
      <c r="V203" s="98">
        <f t="shared" si="34"/>
        <v>0</v>
      </c>
      <c r="W203" s="98">
        <f t="shared" si="34"/>
        <v>0</v>
      </c>
      <c r="X203" s="98">
        <f t="shared" si="34"/>
        <v>0</v>
      </c>
      <c r="Y203" s="98">
        <f t="shared" si="34"/>
        <v>0</v>
      </c>
      <c r="Z203" s="98">
        <f t="shared" si="34"/>
        <v>0</v>
      </c>
      <c r="AA203" s="98">
        <f t="shared" si="34"/>
        <v>0</v>
      </c>
      <c r="AB203" s="98">
        <f t="shared" si="34"/>
        <v>0</v>
      </c>
      <c r="AC203" s="98">
        <f t="shared" si="34"/>
        <v>0</v>
      </c>
      <c r="AD203" s="98">
        <f t="shared" si="34"/>
        <v>0</v>
      </c>
      <c r="AE203" s="98">
        <f t="shared" si="34"/>
        <v>0</v>
      </c>
      <c r="AF203" s="98">
        <f t="shared" si="34"/>
        <v>0</v>
      </c>
      <c r="AG203" s="98">
        <f t="shared" si="34"/>
        <v>0</v>
      </c>
      <c r="AH203" s="98">
        <f t="shared" si="34"/>
        <v>0</v>
      </c>
      <c r="AI203" s="98">
        <f t="shared" si="34"/>
        <v>29</v>
      </c>
      <c r="AJ203" s="98">
        <f t="shared" si="34"/>
        <v>921.90000000000009</v>
      </c>
      <c r="AK203" s="201"/>
    </row>
    <row r="204" spans="1:37" s="110" customFormat="1" ht="15" x14ac:dyDescent="0.2">
      <c r="A204" s="201"/>
      <c r="B204" s="92"/>
      <c r="C204" s="201"/>
      <c r="D204" s="201"/>
      <c r="E204" s="201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201"/>
    </row>
    <row r="205" spans="1:37" s="110" customFormat="1" ht="15.75" x14ac:dyDescent="0.2">
      <c r="A205" s="201"/>
      <c r="B205" s="206" t="s">
        <v>181</v>
      </c>
      <c r="C205" s="206"/>
      <c r="D205" s="206"/>
      <c r="E205" s="206"/>
      <c r="F205" s="99">
        <f t="shared" ref="F205:AJ205" si="35">SUM(F203,F162)</f>
        <v>1442</v>
      </c>
      <c r="G205" s="99">
        <f t="shared" si="35"/>
        <v>1170</v>
      </c>
      <c r="H205" s="99">
        <f t="shared" si="35"/>
        <v>712</v>
      </c>
      <c r="I205" s="99">
        <f t="shared" si="35"/>
        <v>678</v>
      </c>
      <c r="J205" s="99">
        <f t="shared" si="35"/>
        <v>3187</v>
      </c>
      <c r="K205" s="99">
        <f t="shared" si="35"/>
        <v>280.8</v>
      </c>
      <c r="L205" s="99">
        <f t="shared" si="35"/>
        <v>0</v>
      </c>
      <c r="M205" s="99">
        <f t="shared" si="35"/>
        <v>84.800000000000011</v>
      </c>
      <c r="N205" s="99">
        <f t="shared" si="35"/>
        <v>0</v>
      </c>
      <c r="O205" s="99">
        <f t="shared" si="35"/>
        <v>0</v>
      </c>
      <c r="P205" s="99">
        <f t="shared" si="35"/>
        <v>0</v>
      </c>
      <c r="Q205" s="99">
        <f t="shared" si="35"/>
        <v>71.5</v>
      </c>
      <c r="R205" s="99">
        <f t="shared" si="35"/>
        <v>0</v>
      </c>
      <c r="S205" s="99">
        <f t="shared" si="35"/>
        <v>56</v>
      </c>
      <c r="T205" s="99">
        <f t="shared" si="35"/>
        <v>252.66666666666666</v>
      </c>
      <c r="U205" s="99">
        <f t="shared" si="35"/>
        <v>0</v>
      </c>
      <c r="V205" s="99">
        <f t="shared" si="35"/>
        <v>24</v>
      </c>
      <c r="W205" s="99">
        <f t="shared" si="35"/>
        <v>358</v>
      </c>
      <c r="X205" s="99">
        <f t="shared" si="35"/>
        <v>25</v>
      </c>
      <c r="Y205" s="99">
        <f t="shared" si="35"/>
        <v>0</v>
      </c>
      <c r="Z205" s="99">
        <f t="shared" si="35"/>
        <v>0</v>
      </c>
      <c r="AA205" s="99">
        <f t="shared" si="35"/>
        <v>0</v>
      </c>
      <c r="AB205" s="99">
        <f t="shared" si="35"/>
        <v>13.5</v>
      </c>
      <c r="AC205" s="99">
        <f t="shared" si="35"/>
        <v>0</v>
      </c>
      <c r="AD205" s="99">
        <f t="shared" si="35"/>
        <v>0</v>
      </c>
      <c r="AE205" s="99">
        <f t="shared" si="35"/>
        <v>30</v>
      </c>
      <c r="AF205" s="99">
        <f t="shared" si="35"/>
        <v>0</v>
      </c>
      <c r="AG205" s="99">
        <f t="shared" si="35"/>
        <v>0</v>
      </c>
      <c r="AH205" s="99">
        <f t="shared" si="35"/>
        <v>0</v>
      </c>
      <c r="AI205" s="99">
        <f t="shared" si="35"/>
        <v>135</v>
      </c>
      <c r="AJ205" s="99">
        <f t="shared" si="35"/>
        <v>6366.2666666666664</v>
      </c>
      <c r="AK205" s="200"/>
    </row>
    <row r="206" spans="1:37" s="205" customFormat="1" ht="15" x14ac:dyDescent="0.2">
      <c r="AJ206" s="218">
        <f>SUM(G205,I205:AI205)-AJ205</f>
        <v>0</v>
      </c>
    </row>
    <row r="207" spans="1:37" s="205" customFormat="1" ht="15" x14ac:dyDescent="0.2">
      <c r="A207" s="205" t="s">
        <v>391</v>
      </c>
      <c r="B207" s="219"/>
      <c r="F207" s="411"/>
      <c r="G207" s="411"/>
      <c r="H207" s="411"/>
    </row>
    <row r="208" spans="1:37" s="205" customFormat="1" ht="15" x14ac:dyDescent="0.2"/>
  </sheetData>
  <protectedRanges>
    <protectedRange sqref="J102:AC104 A81:A82 N11:AK12 A11:L12 A163:AJ164 AD166:AJ167 A165:I168 A202:AJ202 A205:AJ205 A204:AI204 A16:AK22 AD165:AK165 AJ181 A203 C203:AJ203 AJ183 J168:AJ168 J137:AC137 AK190:AK192 AJ193 A100:A106 A111:A114 J113:AC114 A119:A122 J121:AC122 A170:AJ170 A172:AJ172 A162:AK162 A174:AJ174 AK36:AK38 A36:AI38 AK100:AK106 J109:AC109 B105:AI106 A115:AI115 A123:AI123 B128:AI129 A143:AI153 B138:AI142 A124:A142 A154:A161 B158:AI159 A83:AI99 A33:AK35 A39:AK41 A42:AI46 AK42:AK46 A47:AK49 B133:AI136 AK78:AK96 AK50:AK75 A50:AI80" name="Диапазон1"/>
    <protectedRange sqref="AJ101 B102:I104 AD102:AJ104 C132:I132 C137:I137 AD137:AI137 AD132:AJ132 AD113:AJ113 B113:I114 AD121:AJ122 B121:I122 C124:AJ126 C130:AJ131 C111:AJ112 AD114:AI114 C127:AI127 C119:AJ120 C154:AJ156 C157:AI157 C160:AJ161" name="Диапазон1_1"/>
    <protectedRange sqref="C101:AI101 C100:AJ100" name="Диапазон1_4"/>
    <protectedRange sqref="C82:AI82 C81:AJ81" name="Диапазон1_5"/>
    <protectedRange sqref="O165:AC167 J166:N167 J165:M165" name="Диапазон1_6"/>
    <protectedRange sqref="N1:AK10 I9 L1:M9 A1:H10 I1:K8 I10:L10" name="Диапазон1_7"/>
    <protectedRange sqref="A109:I109 AD109:AI109 A107:AI108 A110:AI110 A116:AI118" name="Диапазон1_11"/>
    <protectedRange sqref="B31" name="Диапазон1_8"/>
    <protectedRange sqref="B81:B82" name="Диапазон1_10"/>
    <protectedRange sqref="B100:B101" name="Диапазон1_2"/>
    <protectedRange sqref="B137 B111:B112 B119:B120 B124:B127 B130:B132 B154:B157 B160:B161" name="Диапазон1_3"/>
    <protectedRange sqref="B203" name="Диапазон1_9"/>
    <protectedRange sqref="A207" name="Диапазон1_12"/>
  </protectedRanges>
  <mergeCells count="93">
    <mergeCell ref="J13:J14"/>
    <mergeCell ref="L23:AA23"/>
    <mergeCell ref="K24:AB24"/>
    <mergeCell ref="J78:AC78"/>
    <mergeCell ref="J33:AC33"/>
    <mergeCell ref="J34:AC34"/>
    <mergeCell ref="J35:AC35"/>
    <mergeCell ref="J61:AC61"/>
    <mergeCell ref="N21:Y21"/>
    <mergeCell ref="Q13:R13"/>
    <mergeCell ref="W13:X13"/>
    <mergeCell ref="Y13:Y14"/>
    <mergeCell ref="J47:AC47"/>
    <mergeCell ref="J48:AC48"/>
    <mergeCell ref="J49:AC49"/>
    <mergeCell ref="AK13:AK14"/>
    <mergeCell ref="AG13:AH13"/>
    <mergeCell ref="Z13:Z14"/>
    <mergeCell ref="AI13:AI14"/>
    <mergeCell ref="AC13:AD13"/>
    <mergeCell ref="AF1:AK1"/>
    <mergeCell ref="B2:G2"/>
    <mergeCell ref="AF2:AK2"/>
    <mergeCell ref="H13:I13"/>
    <mergeCell ref="AE13:AF13"/>
    <mergeCell ref="S13:T13"/>
    <mergeCell ref="B4:F4"/>
    <mergeCell ref="B5:G5"/>
    <mergeCell ref="B6:G6"/>
    <mergeCell ref="AC6:AK6"/>
    <mergeCell ref="B3:G3"/>
    <mergeCell ref="B7:G7"/>
    <mergeCell ref="AJ13:AJ14"/>
    <mergeCell ref="V13:V14"/>
    <mergeCell ref="U13:U14"/>
    <mergeCell ref="AC3:AK3"/>
    <mergeCell ref="AC5:AK5"/>
    <mergeCell ref="A13:A14"/>
    <mergeCell ref="B13:B14"/>
    <mergeCell ref="C13:C14"/>
    <mergeCell ref="D13:D14"/>
    <mergeCell ref="E13:E14"/>
    <mergeCell ref="F13:G13"/>
    <mergeCell ref="AC7:AK7"/>
    <mergeCell ref="I9:Z9"/>
    <mergeCell ref="K10:X10"/>
    <mergeCell ref="AA13:AA14"/>
    <mergeCell ref="L13:O13"/>
    <mergeCell ref="AB13:AB14"/>
    <mergeCell ref="K12:X12"/>
    <mergeCell ref="K13:K14"/>
    <mergeCell ref="P13:P14"/>
    <mergeCell ref="J104:AC104"/>
    <mergeCell ref="J137:AC137"/>
    <mergeCell ref="J83:AC83"/>
    <mergeCell ref="J84:AC84"/>
    <mergeCell ref="J126:AC126"/>
    <mergeCell ref="J127:AC127"/>
    <mergeCell ref="J132:AC132"/>
    <mergeCell ref="J102:AC102"/>
    <mergeCell ref="J103:AC103"/>
    <mergeCell ref="J121:AC121"/>
    <mergeCell ref="J122:AC122"/>
    <mergeCell ref="J109:AC109"/>
    <mergeCell ref="J113:AC113"/>
    <mergeCell ref="J114:AC114"/>
    <mergeCell ref="J134:AC134"/>
    <mergeCell ref="F207:H207"/>
    <mergeCell ref="K190:AB190"/>
    <mergeCell ref="K193:AB193"/>
    <mergeCell ref="K198:AB198"/>
    <mergeCell ref="G191:AF191"/>
    <mergeCell ref="G199:AF199"/>
    <mergeCell ref="G183:AF183"/>
    <mergeCell ref="G186:AF186"/>
    <mergeCell ref="J179:AC179"/>
    <mergeCell ref="G181:AF181"/>
    <mergeCell ref="K178:AB178"/>
    <mergeCell ref="J168:AC168"/>
    <mergeCell ref="J170:AC170"/>
    <mergeCell ref="J174:AC174"/>
    <mergeCell ref="J156:AC156"/>
    <mergeCell ref="J157:AC157"/>
    <mergeCell ref="J172:AC172"/>
    <mergeCell ref="J167:AC167"/>
    <mergeCell ref="J165:AC165"/>
    <mergeCell ref="J166:AC166"/>
    <mergeCell ref="J79:AC79"/>
    <mergeCell ref="K27:AB27"/>
    <mergeCell ref="K28:AB28"/>
    <mergeCell ref="J39:AC39"/>
    <mergeCell ref="J40:AC40"/>
    <mergeCell ref="J41:AC41"/>
  </mergeCells>
  <conditionalFormatting sqref="A113:J113 AD113:AJ113">
    <cfRule type="cellIs" dxfId="99" priority="48" stopIfTrue="1" operator="equal">
      <formula>0</formula>
    </cfRule>
  </conditionalFormatting>
  <conditionalFormatting sqref="A121:J121 AD121:AJ122">
    <cfRule type="cellIs" dxfId="98" priority="44" stopIfTrue="1" operator="equal">
      <formula>0</formula>
    </cfRule>
  </conditionalFormatting>
  <conditionalFormatting sqref="A103:AC104 AK121:IV123 A124:IV125 AD126:IV126 A126:I127 AK127:IV127 A155:XFD155 A179:J179 AD179:XFD179 A181:G181 AG181:XFD181 A183:G183 AG183:XFD183">
    <cfRule type="cellIs" dxfId="97" priority="62" stopIfTrue="1" operator="equal">
      <formula>0</formula>
    </cfRule>
  </conditionalFormatting>
  <conditionalFormatting sqref="A122:AC122">
    <cfRule type="cellIs" dxfId="96" priority="43" stopIfTrue="1" operator="equal">
      <formula>0</formula>
    </cfRule>
  </conditionalFormatting>
  <conditionalFormatting sqref="A128:AI129 AK128:XFD129 A130:XFD130">
    <cfRule type="cellIs" dxfId="95" priority="33" stopIfTrue="1" operator="equal">
      <formula>0</formula>
    </cfRule>
  </conditionalFormatting>
  <conditionalFormatting sqref="A105:AJ111">
    <cfRule type="cellIs" dxfId="94" priority="7" stopIfTrue="1" operator="equal">
      <formula>0</formula>
    </cfRule>
  </conditionalFormatting>
  <conditionalFormatting sqref="A114:AJ119">
    <cfRule type="cellIs" dxfId="93" priority="11" stopIfTrue="1" operator="equal">
      <formula>0</formula>
    </cfRule>
  </conditionalFormatting>
  <conditionalFormatting sqref="A123:AJ123">
    <cfRule type="cellIs" dxfId="92" priority="10" stopIfTrue="1" operator="equal">
      <formula>0</formula>
    </cfRule>
  </conditionalFormatting>
  <conditionalFormatting sqref="A200:AJ200">
    <cfRule type="cellIs" dxfId="91" priority="19" stopIfTrue="1" operator="equal">
      <formula>0</formula>
    </cfRule>
  </conditionalFormatting>
  <conditionalFormatting sqref="A203:IV203">
    <cfRule type="cellIs" dxfId="90" priority="64" stopIfTrue="1" operator="equal">
      <formula>0</formula>
    </cfRule>
  </conditionalFormatting>
  <conditionalFormatting sqref="A1:XFD101 A102:J102 AD102:IV104 AK105:IV107 AK108:XFD109 AK110:IV111 A112:IV112 A120:IV120 K131:AC131 A131:J132 AD131:IV132 K163:AC164 A163:J165 AD163:IV165 AG186:XFD186 A191:G191 AG191:IV191 A198:K198 AC198:IV198 AG199:AJ199">
    <cfRule type="cellIs" dxfId="89" priority="69" stopIfTrue="1" operator="equal">
      <formula>0</formula>
    </cfRule>
  </conditionalFormatting>
  <conditionalFormatting sqref="A160:XFD162">
    <cfRule type="cellIs" dxfId="88" priority="3" stopIfTrue="1" operator="equal">
      <formula>0</formula>
    </cfRule>
  </conditionalFormatting>
  <conditionalFormatting sqref="A180:XFD180">
    <cfRule type="cellIs" dxfId="87" priority="28" stopIfTrue="1" operator="equal">
      <formula>0</formula>
    </cfRule>
  </conditionalFormatting>
  <conditionalFormatting sqref="A182:XFD182">
    <cfRule type="cellIs" dxfId="86" priority="27" stopIfTrue="1" operator="equal">
      <formula>0</formula>
    </cfRule>
  </conditionalFormatting>
  <conditionalFormatting sqref="A184:XFD185">
    <cfRule type="cellIs" dxfId="85" priority="26" stopIfTrue="1" operator="equal">
      <formula>0</formula>
    </cfRule>
  </conditionalFormatting>
  <conditionalFormatting sqref="A187:XFD190">
    <cfRule type="cellIs" dxfId="84" priority="25" stopIfTrue="1" operator="equal">
      <formula>0</formula>
    </cfRule>
  </conditionalFormatting>
  <conditionalFormatting sqref="A204:XFD65573">
    <cfRule type="cellIs" dxfId="83" priority="51" stopIfTrue="1" operator="equal">
      <formula>0</formula>
    </cfRule>
  </conditionalFormatting>
  <conditionalFormatting sqref="J126">
    <cfRule type="cellIs" dxfId="82" priority="41" stopIfTrue="1" operator="equal">
      <formula>0</formula>
    </cfRule>
  </conditionalFormatting>
  <conditionalFormatting sqref="J156">
    <cfRule type="cellIs" dxfId="81" priority="5" stopIfTrue="1" operator="equal">
      <formula>0</formula>
    </cfRule>
  </conditionalFormatting>
  <conditionalFormatting sqref="J127:AI127">
    <cfRule type="cellIs" dxfId="80" priority="40" stopIfTrue="1" operator="equal">
      <formula>0</formula>
    </cfRule>
  </conditionalFormatting>
  <conditionalFormatting sqref="J157:AI157">
    <cfRule type="cellIs" dxfId="79" priority="4" stopIfTrue="1" operator="equal">
      <formula>0</formula>
    </cfRule>
  </conditionalFormatting>
  <conditionalFormatting sqref="AD156:IV156 A156:I157 AK157:IV157">
    <cfRule type="cellIs" dxfId="78" priority="6" stopIfTrue="1" operator="equal">
      <formula>0</formula>
    </cfRule>
  </conditionalFormatting>
  <conditionalFormatting sqref="AJ127:AJ129">
    <cfRule type="cellIs" dxfId="77" priority="9" stopIfTrue="1" operator="equal">
      <formula>0</formula>
    </cfRule>
  </conditionalFormatting>
  <conditionalFormatting sqref="A133:IV154 AJ157:AJ159 A158:AI159 AK158:XFD159 A166:XFD178 A186:G186 A192:XFD197 A199:G199 AK199:IV200 A201:XFD202 AK113:IV119">
    <cfRule type="cellIs" dxfId="76" priority="49" stopIfTrue="1" operator="equal">
      <formula>0</formula>
    </cfRule>
  </conditionalFormatting>
  <pageMargins left="0.7" right="0.7" top="0.75" bottom="0.75" header="0.3" footer="0.3"/>
  <pageSetup paperSize="9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181"/>
  <sheetViews>
    <sheetView view="pageBreakPreview" zoomScale="70" zoomScaleNormal="70" zoomScaleSheetLayoutView="70" workbookViewId="0"/>
  </sheetViews>
  <sheetFormatPr defaultRowHeight="12.75" x14ac:dyDescent="0.2"/>
  <cols>
    <col min="1" max="1" width="19.28515625" customWidth="1"/>
    <col min="2" max="2" width="53.42578125" customWidth="1"/>
    <col min="3" max="3" width="5.5703125" customWidth="1"/>
    <col min="4" max="4" width="7.140625" bestFit="1" customWidth="1"/>
    <col min="5" max="5" width="5.5703125" customWidth="1"/>
    <col min="6" max="6" width="10.85546875" customWidth="1"/>
    <col min="7" max="8" width="11.42578125" customWidth="1"/>
    <col min="9" max="9" width="11.5703125" customWidth="1"/>
    <col min="10" max="10" width="12" customWidth="1"/>
    <col min="11" max="11" width="10.42578125" customWidth="1"/>
    <col min="12" max="12" width="7.85546875" customWidth="1"/>
    <col min="13" max="13" width="10" customWidth="1"/>
    <col min="14" max="14" width="8.5703125" bestFit="1" customWidth="1"/>
    <col min="15" max="15" width="7.5703125" customWidth="1"/>
    <col min="16" max="16" width="9.85546875" customWidth="1"/>
    <col min="17" max="17" width="9.42578125" bestFit="1" customWidth="1"/>
    <col min="18" max="18" width="7.42578125" customWidth="1"/>
    <col min="19" max="19" width="9.42578125" bestFit="1" customWidth="1"/>
    <col min="20" max="20" width="10.5703125" customWidth="1"/>
    <col min="21" max="21" width="8.5703125" bestFit="1" customWidth="1"/>
    <col min="22" max="22" width="10.42578125" customWidth="1"/>
    <col min="23" max="23" width="9.85546875" bestFit="1" customWidth="1"/>
    <col min="24" max="24" width="8.5703125" bestFit="1" customWidth="1"/>
    <col min="25" max="25" width="7.140625" customWidth="1"/>
    <col min="26" max="26" width="6.140625" customWidth="1"/>
    <col min="27" max="27" width="7.140625" customWidth="1"/>
    <col min="28" max="28" width="9.5703125" customWidth="1"/>
    <col min="29" max="30" width="6.140625" customWidth="1"/>
    <col min="31" max="31" width="7.5703125" customWidth="1"/>
    <col min="32" max="32" width="6.85546875" customWidth="1"/>
    <col min="33" max="33" width="7.5703125" customWidth="1"/>
    <col min="34" max="34" width="10.5703125" customWidth="1"/>
    <col min="35" max="35" width="10" customWidth="1"/>
    <col min="36" max="36" width="13.42578125" customWidth="1"/>
    <col min="37" max="37" width="21.5703125" customWidth="1"/>
    <col min="39" max="39" width="32.140625" customWidth="1"/>
  </cols>
  <sheetData>
    <row r="1" spans="1:37" s="17" customFormat="1" ht="15" x14ac:dyDescent="0.2">
      <c r="AF1" s="376" t="s">
        <v>153</v>
      </c>
      <c r="AG1" s="376"/>
      <c r="AH1" s="376"/>
      <c r="AI1" s="376"/>
      <c r="AJ1" s="376"/>
      <c r="AK1" s="376"/>
    </row>
    <row r="2" spans="1:37" s="17" customFormat="1" ht="15" x14ac:dyDescent="0.2">
      <c r="B2" s="378" t="s">
        <v>1</v>
      </c>
      <c r="C2" s="378"/>
      <c r="D2" s="378"/>
      <c r="E2" s="378"/>
      <c r="F2" s="378"/>
      <c r="G2" s="378"/>
      <c r="H2" s="292"/>
      <c r="I2" s="29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377"/>
      <c r="AG2" s="377"/>
      <c r="AH2" s="377"/>
      <c r="AI2" s="377"/>
      <c r="AJ2" s="377"/>
      <c r="AK2" s="377"/>
    </row>
    <row r="3" spans="1:37" s="17" customFormat="1" ht="15" x14ac:dyDescent="0.2">
      <c r="B3" s="378" t="s">
        <v>2</v>
      </c>
      <c r="C3" s="378"/>
      <c r="D3" s="378"/>
      <c r="E3" s="378"/>
      <c r="F3" s="378"/>
      <c r="G3" s="378"/>
      <c r="H3" s="292"/>
      <c r="I3" s="292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377" t="s">
        <v>3</v>
      </c>
      <c r="AD3" s="377"/>
      <c r="AE3" s="377"/>
      <c r="AF3" s="377"/>
      <c r="AG3" s="377"/>
      <c r="AH3" s="377"/>
      <c r="AI3" s="377"/>
      <c r="AJ3" s="377"/>
      <c r="AK3" s="377"/>
    </row>
    <row r="4" spans="1:37" s="17" customFormat="1" ht="15" x14ac:dyDescent="0.2">
      <c r="B4" s="378" t="s">
        <v>154</v>
      </c>
      <c r="C4" s="378"/>
      <c r="D4" s="378"/>
      <c r="E4" s="378"/>
      <c r="F4" s="378"/>
      <c r="G4" s="277"/>
      <c r="H4" s="292"/>
      <c r="I4" s="292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</row>
    <row r="5" spans="1:37" s="17" customFormat="1" ht="15" x14ac:dyDescent="0.2">
      <c r="B5" s="378" t="s">
        <v>6</v>
      </c>
      <c r="C5" s="378"/>
      <c r="D5" s="378"/>
      <c r="E5" s="378"/>
      <c r="F5" s="378"/>
      <c r="G5" s="378"/>
      <c r="H5" s="292"/>
      <c r="I5" s="29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77" t="s">
        <v>155</v>
      </c>
      <c r="AD5" s="377"/>
      <c r="AE5" s="377"/>
      <c r="AF5" s="377"/>
      <c r="AG5" s="377"/>
      <c r="AH5" s="377"/>
      <c r="AI5" s="377"/>
      <c r="AJ5" s="377"/>
      <c r="AK5" s="377"/>
    </row>
    <row r="6" spans="1:37" s="17" customFormat="1" ht="15" x14ac:dyDescent="0.2">
      <c r="B6" s="378" t="s">
        <v>7</v>
      </c>
      <c r="C6" s="378"/>
      <c r="D6" s="378"/>
      <c r="E6" s="378"/>
      <c r="F6" s="378"/>
      <c r="G6" s="378"/>
      <c r="H6" s="292"/>
      <c r="I6" s="292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377" t="s">
        <v>169</v>
      </c>
      <c r="AD6" s="377"/>
      <c r="AE6" s="377"/>
      <c r="AF6" s="377"/>
      <c r="AG6" s="377"/>
      <c r="AH6" s="377"/>
      <c r="AI6" s="377"/>
      <c r="AJ6" s="377"/>
      <c r="AK6" s="377"/>
    </row>
    <row r="7" spans="1:37" s="17" customFormat="1" ht="15" x14ac:dyDescent="0.2">
      <c r="B7" s="378" t="s">
        <v>9</v>
      </c>
      <c r="C7" s="378"/>
      <c r="D7" s="378"/>
      <c r="E7" s="378"/>
      <c r="F7" s="378"/>
      <c r="G7" s="378"/>
      <c r="H7" s="292"/>
      <c r="I7" s="292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377" t="s">
        <v>591</v>
      </c>
      <c r="AD7" s="377"/>
      <c r="AE7" s="377"/>
      <c r="AF7" s="377"/>
      <c r="AG7" s="377"/>
      <c r="AH7" s="377"/>
      <c r="AI7" s="377"/>
      <c r="AJ7" s="377"/>
      <c r="AK7" s="377"/>
    </row>
    <row r="8" spans="1:37" s="17" customFormat="1" ht="15" x14ac:dyDescent="0.2">
      <c r="B8" s="292"/>
      <c r="C8" s="292"/>
      <c r="D8" s="292"/>
      <c r="E8" s="292"/>
      <c r="F8" s="292"/>
      <c r="G8" s="292"/>
      <c r="H8" s="292"/>
      <c r="I8" s="292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</row>
    <row r="9" spans="1:37" s="17" customFormat="1" ht="15.75" x14ac:dyDescent="0.25">
      <c r="B9" s="293" t="s">
        <v>10</v>
      </c>
      <c r="C9" s="292"/>
      <c r="D9" s="292"/>
      <c r="E9" s="292"/>
      <c r="F9" s="292"/>
      <c r="G9" s="292"/>
      <c r="H9" s="292"/>
      <c r="I9" s="403" t="s">
        <v>160</v>
      </c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3"/>
      <c r="AB9" s="278"/>
      <c r="AC9" s="278"/>
      <c r="AD9" s="278"/>
      <c r="AE9" s="278"/>
      <c r="AF9" s="278"/>
      <c r="AG9" s="278"/>
      <c r="AH9" s="278"/>
      <c r="AI9" s="278"/>
      <c r="AJ9" s="278"/>
      <c r="AK9" s="278"/>
    </row>
    <row r="10" spans="1:37" s="17" customFormat="1" ht="15.75" x14ac:dyDescent="0.2">
      <c r="B10" s="292"/>
      <c r="C10" s="292"/>
      <c r="D10" s="292"/>
      <c r="E10" s="292"/>
      <c r="F10" s="292"/>
      <c r="G10" s="292"/>
      <c r="H10" s="292"/>
      <c r="I10" s="292"/>
      <c r="J10" s="278"/>
      <c r="K10" s="403" t="str">
        <f>Бюджет!K10</f>
        <v>на 2025 - 2026 учебный год</v>
      </c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"/>
      <c r="Z10" s="4"/>
      <c r="AA10" s="4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</row>
    <row r="11" spans="1:37" s="17" customFormat="1" ht="15" x14ac:dyDescent="0.2">
      <c r="B11" s="292"/>
      <c r="C11" s="292"/>
      <c r="D11" s="292"/>
      <c r="E11" s="292"/>
      <c r="F11" s="292"/>
      <c r="G11" s="292"/>
      <c r="H11" s="292"/>
      <c r="I11" s="292"/>
      <c r="J11" s="278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291"/>
      <c r="Z11" s="291"/>
      <c r="AA11" s="291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</row>
    <row r="12" spans="1:37" x14ac:dyDescent="0.2">
      <c r="A12" s="394" t="s">
        <v>12</v>
      </c>
      <c r="B12" s="402" t="s">
        <v>13</v>
      </c>
      <c r="C12" s="422" t="s">
        <v>14</v>
      </c>
      <c r="D12" s="428" t="s">
        <v>15</v>
      </c>
      <c r="E12" s="422" t="s">
        <v>16</v>
      </c>
      <c r="F12" s="388" t="s">
        <v>17</v>
      </c>
      <c r="G12" s="388"/>
      <c r="H12" s="388" t="s">
        <v>18</v>
      </c>
      <c r="I12" s="388"/>
      <c r="J12" s="421" t="s">
        <v>19</v>
      </c>
      <c r="K12" s="421" t="s">
        <v>20</v>
      </c>
      <c r="L12" s="388" t="s">
        <v>21</v>
      </c>
      <c r="M12" s="388"/>
      <c r="N12" s="388"/>
      <c r="O12" s="388"/>
      <c r="P12" s="421" t="s">
        <v>22</v>
      </c>
      <c r="Q12" s="388" t="s">
        <v>23</v>
      </c>
      <c r="R12" s="388"/>
      <c r="S12" s="388" t="s">
        <v>24</v>
      </c>
      <c r="T12" s="388"/>
      <c r="U12" s="421" t="s">
        <v>25</v>
      </c>
      <c r="V12" s="421" t="s">
        <v>26</v>
      </c>
      <c r="W12" s="388" t="s">
        <v>27</v>
      </c>
      <c r="X12" s="388"/>
      <c r="Y12" s="421" t="s">
        <v>28</v>
      </c>
      <c r="Z12" s="421" t="s">
        <v>29</v>
      </c>
      <c r="AA12" s="421" t="s">
        <v>30</v>
      </c>
      <c r="AB12" s="421" t="s">
        <v>31</v>
      </c>
      <c r="AC12" s="388" t="s">
        <v>32</v>
      </c>
      <c r="AD12" s="388"/>
      <c r="AE12" s="388" t="s">
        <v>33</v>
      </c>
      <c r="AF12" s="388"/>
      <c r="AG12" s="388" t="s">
        <v>34</v>
      </c>
      <c r="AH12" s="388"/>
      <c r="AI12" s="421" t="s">
        <v>35</v>
      </c>
      <c r="AJ12" s="421" t="s">
        <v>36</v>
      </c>
      <c r="AK12" s="421" t="s">
        <v>156</v>
      </c>
    </row>
    <row r="13" spans="1:37" ht="122.25" x14ac:dyDescent="0.2">
      <c r="A13" s="394"/>
      <c r="B13" s="402"/>
      <c r="C13" s="422"/>
      <c r="D13" s="428"/>
      <c r="E13" s="422"/>
      <c r="F13" s="21" t="s">
        <v>38</v>
      </c>
      <c r="G13" s="22" t="s">
        <v>39</v>
      </c>
      <c r="H13" s="22" t="s">
        <v>38</v>
      </c>
      <c r="I13" s="22" t="s">
        <v>39</v>
      </c>
      <c r="J13" s="421"/>
      <c r="K13" s="421"/>
      <c r="L13" s="23" t="s">
        <v>40</v>
      </c>
      <c r="M13" s="23" t="s">
        <v>41</v>
      </c>
      <c r="N13" s="23" t="s">
        <v>42</v>
      </c>
      <c r="O13" s="23" t="s">
        <v>43</v>
      </c>
      <c r="P13" s="421"/>
      <c r="Q13" s="23" t="s">
        <v>44</v>
      </c>
      <c r="R13" s="23" t="s">
        <v>45</v>
      </c>
      <c r="S13" s="23" t="s">
        <v>46</v>
      </c>
      <c r="T13" s="23" t="s">
        <v>47</v>
      </c>
      <c r="U13" s="421"/>
      <c r="V13" s="421"/>
      <c r="W13" s="23" t="s">
        <v>33</v>
      </c>
      <c r="X13" s="23" t="s">
        <v>48</v>
      </c>
      <c r="Y13" s="421"/>
      <c r="Z13" s="421"/>
      <c r="AA13" s="421"/>
      <c r="AB13" s="421"/>
      <c r="AC13" s="23" t="s">
        <v>49</v>
      </c>
      <c r="AD13" s="23" t="s">
        <v>50</v>
      </c>
      <c r="AE13" s="23" t="s">
        <v>51</v>
      </c>
      <c r="AF13" s="23" t="s">
        <v>52</v>
      </c>
      <c r="AG13" s="23" t="s">
        <v>53</v>
      </c>
      <c r="AH13" s="23" t="s">
        <v>157</v>
      </c>
      <c r="AI13" s="421"/>
      <c r="AJ13" s="421"/>
      <c r="AK13" s="421"/>
    </row>
    <row r="14" spans="1:37" x14ac:dyDescent="0.2">
      <c r="A14" s="41">
        <v>1</v>
      </c>
      <c r="B14" s="41">
        <v>2</v>
      </c>
      <c r="C14" s="41">
        <v>3</v>
      </c>
      <c r="D14" s="41">
        <v>4</v>
      </c>
      <c r="E14" s="41">
        <v>5</v>
      </c>
      <c r="F14" s="41">
        <v>6</v>
      </c>
      <c r="G14" s="41">
        <v>7</v>
      </c>
      <c r="H14" s="41">
        <v>8</v>
      </c>
      <c r="I14" s="41">
        <v>9</v>
      </c>
      <c r="J14" s="41">
        <v>10</v>
      </c>
      <c r="K14" s="41">
        <v>11</v>
      </c>
      <c r="L14" s="41">
        <v>12</v>
      </c>
      <c r="M14" s="41">
        <v>13</v>
      </c>
      <c r="N14" s="41">
        <v>14</v>
      </c>
      <c r="O14" s="41">
        <v>15</v>
      </c>
      <c r="P14" s="41">
        <v>16</v>
      </c>
      <c r="Q14" s="41">
        <v>17</v>
      </c>
      <c r="R14" s="41">
        <v>18</v>
      </c>
      <c r="S14" s="41">
        <v>19</v>
      </c>
      <c r="T14" s="41">
        <v>20</v>
      </c>
      <c r="U14" s="41">
        <v>21</v>
      </c>
      <c r="V14" s="41">
        <v>22</v>
      </c>
      <c r="W14" s="41">
        <v>23</v>
      </c>
      <c r="X14" s="41">
        <v>24</v>
      </c>
      <c r="Y14" s="41">
        <v>25</v>
      </c>
      <c r="Z14" s="41">
        <v>26</v>
      </c>
      <c r="AA14" s="41">
        <v>27</v>
      </c>
      <c r="AB14" s="41">
        <v>28</v>
      </c>
      <c r="AC14" s="41">
        <v>29</v>
      </c>
      <c r="AD14" s="41">
        <v>30</v>
      </c>
      <c r="AE14" s="41">
        <v>31</v>
      </c>
      <c r="AF14" s="41">
        <v>32</v>
      </c>
      <c r="AG14" s="41">
        <v>33</v>
      </c>
      <c r="AH14" s="41">
        <v>34</v>
      </c>
      <c r="AI14" s="41">
        <v>35</v>
      </c>
      <c r="AJ14" s="41">
        <v>36</v>
      </c>
      <c r="AK14" s="41">
        <v>37</v>
      </c>
    </row>
    <row r="15" spans="1:37" s="26" customFormat="1" ht="15" x14ac:dyDescent="0.2">
      <c r="A15" s="24"/>
      <c r="B15" s="25" t="s">
        <v>55</v>
      </c>
      <c r="C15" s="25"/>
      <c r="D15" s="25"/>
      <c r="E15" s="25"/>
      <c r="F15" s="35">
        <f>F165</f>
        <v>2458</v>
      </c>
      <c r="G15" s="35">
        <f t="shared" ref="G15:AJ15" si="0">G165</f>
        <v>2198</v>
      </c>
      <c r="H15" s="35">
        <f t="shared" si="0"/>
        <v>1282</v>
      </c>
      <c r="I15" s="35">
        <f t="shared" si="0"/>
        <v>1330</v>
      </c>
      <c r="J15" s="35">
        <f t="shared" si="0"/>
        <v>4606</v>
      </c>
      <c r="K15" s="35">
        <f t="shared" si="0"/>
        <v>456</v>
      </c>
      <c r="L15" s="35">
        <f t="shared" si="0"/>
        <v>0</v>
      </c>
      <c r="M15" s="35">
        <f t="shared" si="0"/>
        <v>140.80000000000001</v>
      </c>
      <c r="N15" s="35">
        <f t="shared" si="0"/>
        <v>0</v>
      </c>
      <c r="O15" s="35">
        <f t="shared" si="0"/>
        <v>0</v>
      </c>
      <c r="P15" s="35">
        <f t="shared" si="0"/>
        <v>0</v>
      </c>
      <c r="Q15" s="35">
        <f t="shared" si="0"/>
        <v>130.90000000000003</v>
      </c>
      <c r="R15" s="35">
        <f t="shared" si="0"/>
        <v>0</v>
      </c>
      <c r="S15" s="35">
        <f t="shared" si="0"/>
        <v>86</v>
      </c>
      <c r="T15" s="35">
        <f t="shared" si="0"/>
        <v>570</v>
      </c>
      <c r="U15" s="35">
        <f t="shared" si="0"/>
        <v>30.9</v>
      </c>
      <c r="V15" s="35">
        <f t="shared" si="0"/>
        <v>15</v>
      </c>
      <c r="W15" s="35">
        <f t="shared" si="0"/>
        <v>776</v>
      </c>
      <c r="X15" s="35">
        <f t="shared" si="0"/>
        <v>20</v>
      </c>
      <c r="Y15" s="35">
        <f t="shared" si="0"/>
        <v>0</v>
      </c>
      <c r="Z15" s="35">
        <f t="shared" si="0"/>
        <v>0</v>
      </c>
      <c r="AA15" s="35">
        <f t="shared" si="0"/>
        <v>0</v>
      </c>
      <c r="AB15" s="35">
        <f t="shared" si="0"/>
        <v>161</v>
      </c>
      <c r="AC15" s="35">
        <f t="shared" si="0"/>
        <v>0</v>
      </c>
      <c r="AD15" s="35">
        <f t="shared" si="0"/>
        <v>0</v>
      </c>
      <c r="AE15" s="35">
        <f t="shared" si="0"/>
        <v>30</v>
      </c>
      <c r="AF15" s="35">
        <f t="shared" si="0"/>
        <v>0</v>
      </c>
      <c r="AG15" s="35">
        <f t="shared" si="0"/>
        <v>0</v>
      </c>
      <c r="AH15" s="35">
        <f t="shared" si="0"/>
        <v>0</v>
      </c>
      <c r="AI15" s="35">
        <f t="shared" si="0"/>
        <v>89</v>
      </c>
      <c r="AJ15" s="35">
        <f t="shared" si="0"/>
        <v>10639.599999999999</v>
      </c>
      <c r="AK15" s="24"/>
    </row>
    <row r="16" spans="1:37" s="26" customFormat="1" ht="15" x14ac:dyDescent="0.2">
      <c r="A16" s="24"/>
      <c r="B16" s="25" t="s">
        <v>56</v>
      </c>
      <c r="C16" s="25"/>
      <c r="D16" s="25"/>
      <c r="E16" s="2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24"/>
    </row>
    <row r="17" spans="1:37" s="26" customFormat="1" ht="15" x14ac:dyDescent="0.2">
      <c r="A17" s="24"/>
      <c r="B17" s="25" t="s">
        <v>57</v>
      </c>
      <c r="C17" s="25"/>
      <c r="D17" s="25"/>
      <c r="E17" s="2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24"/>
    </row>
    <row r="18" spans="1:37" s="26" customFormat="1" ht="15" x14ac:dyDescent="0.2">
      <c r="A18" s="24"/>
      <c r="B18" s="25" t="s">
        <v>58</v>
      </c>
      <c r="C18" s="25"/>
      <c r="D18" s="25"/>
      <c r="E18" s="25"/>
      <c r="F18" s="35">
        <f>F176</f>
        <v>54</v>
      </c>
      <c r="G18" s="35">
        <f t="shared" ref="G18:AJ18" si="1">G176</f>
        <v>18</v>
      </c>
      <c r="H18" s="35">
        <f t="shared" si="1"/>
        <v>0</v>
      </c>
      <c r="I18" s="35">
        <f t="shared" si="1"/>
        <v>0</v>
      </c>
      <c r="J18" s="35">
        <f t="shared" si="1"/>
        <v>324</v>
      </c>
      <c r="K18" s="35">
        <f t="shared" si="1"/>
        <v>22.8</v>
      </c>
      <c r="L18" s="35">
        <f t="shared" si="1"/>
        <v>0</v>
      </c>
      <c r="M18" s="35">
        <f t="shared" si="1"/>
        <v>0</v>
      </c>
      <c r="N18" s="35">
        <f t="shared" si="1"/>
        <v>0</v>
      </c>
      <c r="O18" s="35">
        <f t="shared" si="1"/>
        <v>0</v>
      </c>
      <c r="P18" s="35">
        <f t="shared" si="1"/>
        <v>0</v>
      </c>
      <c r="Q18" s="35">
        <f t="shared" si="1"/>
        <v>0.9</v>
      </c>
      <c r="R18" s="35">
        <f t="shared" si="1"/>
        <v>0</v>
      </c>
      <c r="S18" s="35">
        <f t="shared" si="1"/>
        <v>0</v>
      </c>
      <c r="T18" s="35">
        <f t="shared" si="1"/>
        <v>0</v>
      </c>
      <c r="U18" s="35">
        <f t="shared" si="1"/>
        <v>0</v>
      </c>
      <c r="V18" s="35">
        <f t="shared" si="1"/>
        <v>0</v>
      </c>
      <c r="W18" s="35">
        <f t="shared" si="1"/>
        <v>0</v>
      </c>
      <c r="X18" s="35">
        <f t="shared" si="1"/>
        <v>0</v>
      </c>
      <c r="Y18" s="35">
        <f t="shared" si="1"/>
        <v>0</v>
      </c>
      <c r="Z18" s="35">
        <f t="shared" si="1"/>
        <v>0</v>
      </c>
      <c r="AA18" s="35">
        <f t="shared" si="1"/>
        <v>0</v>
      </c>
      <c r="AB18" s="35">
        <f t="shared" si="1"/>
        <v>0</v>
      </c>
      <c r="AC18" s="35">
        <f t="shared" si="1"/>
        <v>0</v>
      </c>
      <c r="AD18" s="35">
        <f t="shared" si="1"/>
        <v>0</v>
      </c>
      <c r="AE18" s="35">
        <f t="shared" si="1"/>
        <v>0</v>
      </c>
      <c r="AF18" s="35">
        <f t="shared" si="1"/>
        <v>0</v>
      </c>
      <c r="AG18" s="35">
        <f t="shared" si="1"/>
        <v>0</v>
      </c>
      <c r="AH18" s="35">
        <f t="shared" si="1"/>
        <v>0</v>
      </c>
      <c r="AI18" s="35">
        <f t="shared" si="1"/>
        <v>0</v>
      </c>
      <c r="AJ18" s="35">
        <f t="shared" si="1"/>
        <v>365.70000000000005</v>
      </c>
      <c r="AK18" s="24"/>
    </row>
    <row r="19" spans="1:37" s="28" customFormat="1" ht="15.75" x14ac:dyDescent="0.25">
      <c r="A19" s="27"/>
      <c r="B19" s="27" t="s">
        <v>59</v>
      </c>
      <c r="C19" s="27"/>
      <c r="D19" s="27"/>
      <c r="E19" s="27"/>
      <c r="F19" s="36">
        <f>SUM(F15:F18)</f>
        <v>2512</v>
      </c>
      <c r="G19" s="36">
        <f t="shared" ref="G19:AI19" si="2">SUM(G15:G18)</f>
        <v>2216</v>
      </c>
      <c r="H19" s="36">
        <f t="shared" si="2"/>
        <v>1282</v>
      </c>
      <c r="I19" s="36">
        <f t="shared" si="2"/>
        <v>1330</v>
      </c>
      <c r="J19" s="36">
        <f t="shared" si="2"/>
        <v>4930</v>
      </c>
      <c r="K19" s="36">
        <f t="shared" si="2"/>
        <v>478.8</v>
      </c>
      <c r="L19" s="36">
        <f t="shared" si="2"/>
        <v>0</v>
      </c>
      <c r="M19" s="36">
        <f t="shared" si="2"/>
        <v>140.80000000000001</v>
      </c>
      <c r="N19" s="36">
        <f t="shared" si="2"/>
        <v>0</v>
      </c>
      <c r="O19" s="36">
        <f t="shared" si="2"/>
        <v>0</v>
      </c>
      <c r="P19" s="36">
        <f t="shared" si="2"/>
        <v>0</v>
      </c>
      <c r="Q19" s="36">
        <f>SUM(Q15:Q18)</f>
        <v>131.80000000000004</v>
      </c>
      <c r="R19" s="36">
        <f t="shared" si="2"/>
        <v>0</v>
      </c>
      <c r="S19" s="36">
        <f t="shared" si="2"/>
        <v>86</v>
      </c>
      <c r="T19" s="36">
        <f t="shared" si="2"/>
        <v>570</v>
      </c>
      <c r="U19" s="36">
        <f t="shared" si="2"/>
        <v>30.9</v>
      </c>
      <c r="V19" s="36">
        <f t="shared" si="2"/>
        <v>15</v>
      </c>
      <c r="W19" s="36">
        <f t="shared" si="2"/>
        <v>776</v>
      </c>
      <c r="X19" s="36">
        <f t="shared" si="2"/>
        <v>20</v>
      </c>
      <c r="Y19" s="36">
        <f t="shared" si="2"/>
        <v>0</v>
      </c>
      <c r="Z19" s="36">
        <f t="shared" si="2"/>
        <v>0</v>
      </c>
      <c r="AA19" s="36">
        <f t="shared" si="2"/>
        <v>0</v>
      </c>
      <c r="AB19" s="36">
        <f t="shared" si="2"/>
        <v>161</v>
      </c>
      <c r="AC19" s="36">
        <f t="shared" si="2"/>
        <v>0</v>
      </c>
      <c r="AD19" s="36">
        <f t="shared" si="2"/>
        <v>0</v>
      </c>
      <c r="AE19" s="36">
        <f t="shared" si="2"/>
        <v>30</v>
      </c>
      <c r="AF19" s="36">
        <f t="shared" si="2"/>
        <v>0</v>
      </c>
      <c r="AG19" s="36">
        <f t="shared" si="2"/>
        <v>0</v>
      </c>
      <c r="AH19" s="36">
        <f t="shared" si="2"/>
        <v>0</v>
      </c>
      <c r="AI19" s="36">
        <f t="shared" si="2"/>
        <v>89</v>
      </c>
      <c r="AJ19" s="36">
        <f>SUM(AJ15:AJ18)</f>
        <v>11005.3</v>
      </c>
      <c r="AK19" s="27"/>
    </row>
    <row r="20" spans="1:37" s="30" customFormat="1" ht="15.75" x14ac:dyDescent="0.25">
      <c r="A20" s="29"/>
      <c r="B20" s="29"/>
      <c r="C20" s="29"/>
      <c r="D20" s="29"/>
      <c r="E20" s="29"/>
      <c r="F20" s="33"/>
      <c r="G20" s="33"/>
      <c r="H20" s="33"/>
      <c r="I20" s="33"/>
      <c r="J20" s="33"/>
      <c r="K20" s="33"/>
      <c r="L20" s="33"/>
      <c r="M20" s="33"/>
      <c r="N20" s="429" t="s">
        <v>55</v>
      </c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29"/>
    </row>
    <row r="21" spans="1:37" s="30" customFormat="1" ht="15.75" x14ac:dyDescent="0.25">
      <c r="A21" s="29"/>
      <c r="B21" s="29"/>
      <c r="C21" s="29"/>
      <c r="D21" s="29"/>
      <c r="E21" s="29"/>
      <c r="F21" s="33"/>
      <c r="G21" s="33"/>
      <c r="H21" s="33"/>
      <c r="I21" s="33"/>
      <c r="J21" s="424" t="str">
        <f>Бюджет!L23</f>
        <v>03.03.03 Радиофизика</v>
      </c>
      <c r="K21" s="424"/>
      <c r="L21" s="424"/>
      <c r="M21" s="424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4"/>
      <c r="Y21" s="424"/>
      <c r="Z21" s="424"/>
      <c r="AA21" s="424"/>
      <c r="AB21" s="424"/>
      <c r="AC21" s="424"/>
      <c r="AD21" s="33"/>
      <c r="AE21" s="33"/>
      <c r="AF21" s="33"/>
      <c r="AG21" s="33"/>
      <c r="AH21" s="33"/>
      <c r="AI21" s="33"/>
      <c r="AJ21" s="66">
        <f t="shared" ref="AJ21:AJ66" si="3">SUM(G21,I21:AI21)</f>
        <v>0</v>
      </c>
      <c r="AK21" s="29"/>
    </row>
    <row r="22" spans="1:37" s="30" customFormat="1" ht="15.75" x14ac:dyDescent="0.25">
      <c r="A22" s="29"/>
      <c r="B22" s="29"/>
      <c r="C22" s="29"/>
      <c r="D22" s="29"/>
      <c r="E22" s="29"/>
      <c r="F22" s="33"/>
      <c r="G22" s="33"/>
      <c r="H22" s="33"/>
      <c r="I22" s="33"/>
      <c r="J22" s="420" t="str">
        <f>Бюджет!K24</f>
        <v xml:space="preserve">профиль "Радиоинжиниринг и телекоммуникации" </v>
      </c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33"/>
      <c r="AE22" s="33"/>
      <c r="AF22" s="33"/>
      <c r="AG22" s="33"/>
      <c r="AH22" s="33"/>
      <c r="AI22" s="33"/>
      <c r="AJ22" s="66">
        <f t="shared" si="3"/>
        <v>0</v>
      </c>
      <c r="AK22" s="29"/>
    </row>
    <row r="23" spans="1:37" s="30" customFormat="1" ht="30" x14ac:dyDescent="0.2">
      <c r="A23" s="60" t="str">
        <f>Бюджет!A31</f>
        <v>Б1.О.14.01</v>
      </c>
      <c r="B23" s="60" t="str">
        <f>Бюджет!B31</f>
        <v>Алгоритмы и основы программирования (поток РФ, ИСТ)</v>
      </c>
      <c r="C23" s="67" t="str">
        <f>Бюджет!C31</f>
        <v>1\1</v>
      </c>
      <c r="D23" s="67">
        <f>Бюджет!D31</f>
        <v>21</v>
      </c>
      <c r="E23" s="67">
        <f>Бюджет!E31</f>
        <v>1</v>
      </c>
      <c r="F23" s="66">
        <f>Бюджет!F31</f>
        <v>34</v>
      </c>
      <c r="G23" s="66">
        <f>Бюджет!G31</f>
        <v>34</v>
      </c>
      <c r="H23" s="66">
        <f>Бюджет!H31</f>
        <v>0</v>
      </c>
      <c r="I23" s="66">
        <f>Бюджет!I31</f>
        <v>0</v>
      </c>
      <c r="J23" s="66">
        <f>Бюджет!J31</f>
        <v>136</v>
      </c>
      <c r="K23" s="66">
        <f>Бюджет!K31</f>
        <v>6.3</v>
      </c>
      <c r="L23" s="66">
        <f>Бюджет!L31</f>
        <v>0</v>
      </c>
      <c r="M23" s="66">
        <f>Бюджет!M31</f>
        <v>0</v>
      </c>
      <c r="N23" s="66">
        <f>Бюджет!N31</f>
        <v>0</v>
      </c>
      <c r="O23" s="66">
        <f>Бюджет!O31</f>
        <v>0</v>
      </c>
      <c r="P23" s="66">
        <f>Бюджет!P31</f>
        <v>0</v>
      </c>
      <c r="Q23" s="66">
        <f>Бюджет!Q31</f>
        <v>1.7000000000000002</v>
      </c>
      <c r="R23" s="66">
        <f>Бюджет!R31</f>
        <v>0</v>
      </c>
      <c r="S23" s="66">
        <f>Бюджет!S31</f>
        <v>0</v>
      </c>
      <c r="T23" s="66">
        <f>Бюджет!T31</f>
        <v>0</v>
      </c>
      <c r="U23" s="66">
        <f>Бюджет!U31</f>
        <v>0</v>
      </c>
      <c r="V23" s="66">
        <f>Бюджет!V31</f>
        <v>0</v>
      </c>
      <c r="W23" s="66">
        <f>Бюджет!W31</f>
        <v>0</v>
      </c>
      <c r="X23" s="66">
        <f>Бюджет!X31</f>
        <v>0</v>
      </c>
      <c r="Y23" s="66">
        <f>Бюджет!Y31</f>
        <v>0</v>
      </c>
      <c r="Z23" s="66">
        <f>Бюджет!Z31</f>
        <v>0</v>
      </c>
      <c r="AA23" s="66">
        <f>Бюджет!AA31</f>
        <v>0</v>
      </c>
      <c r="AB23" s="66">
        <f>Бюджет!AB31</f>
        <v>0</v>
      </c>
      <c r="AC23" s="66">
        <f>Бюджет!AC31</f>
        <v>0</v>
      </c>
      <c r="AD23" s="66">
        <f>Бюджет!AD31</f>
        <v>0</v>
      </c>
      <c r="AE23" s="66">
        <f>Бюджет!AE31</f>
        <v>0</v>
      </c>
      <c r="AF23" s="66">
        <f>Бюджет!AF31</f>
        <v>0</v>
      </c>
      <c r="AG23" s="66">
        <f>Бюджет!AG31</f>
        <v>0</v>
      </c>
      <c r="AH23" s="66">
        <f>Бюджет!AH31</f>
        <v>0</v>
      </c>
      <c r="AI23" s="66">
        <f>Бюджет!AI31</f>
        <v>0</v>
      </c>
      <c r="AJ23" s="66">
        <f t="shared" si="3"/>
        <v>178</v>
      </c>
      <c r="AK23" s="29"/>
    </row>
    <row r="24" spans="1:37" s="30" customFormat="1" ht="30" x14ac:dyDescent="0.2">
      <c r="A24" s="60" t="str">
        <f>Бюджет!A32</f>
        <v>Б1.О.14.02</v>
      </c>
      <c r="B24" s="60" t="str">
        <f>Бюджет!B32</f>
        <v>Численные методы и программирование (поток РФ, ИСТ)</v>
      </c>
      <c r="C24" s="67" t="str">
        <f>Бюджет!C32</f>
        <v>1\2</v>
      </c>
      <c r="D24" s="67">
        <f>Бюджет!D32</f>
        <v>21</v>
      </c>
      <c r="E24" s="67">
        <f>Бюджет!E32</f>
        <v>1</v>
      </c>
      <c r="F24" s="66">
        <f>Бюджет!F32</f>
        <v>20</v>
      </c>
      <c r="G24" s="66">
        <f>Бюджет!G32</f>
        <v>20</v>
      </c>
      <c r="H24" s="66">
        <f>Бюджет!H32</f>
        <v>0</v>
      </c>
      <c r="I24" s="66">
        <f>Бюджет!I32</f>
        <v>0</v>
      </c>
      <c r="J24" s="66">
        <f>Бюджет!J32</f>
        <v>120</v>
      </c>
      <c r="K24" s="66">
        <f>Бюджет!K32</f>
        <v>6.3</v>
      </c>
      <c r="L24" s="66">
        <f>Бюджет!L32</f>
        <v>0</v>
      </c>
      <c r="M24" s="66">
        <f>Бюджет!M32</f>
        <v>0</v>
      </c>
      <c r="N24" s="66">
        <f>Бюджет!N32</f>
        <v>0</v>
      </c>
      <c r="O24" s="66">
        <f>Бюджет!O32</f>
        <v>0</v>
      </c>
      <c r="P24" s="66">
        <f>Бюджет!P32</f>
        <v>0</v>
      </c>
      <c r="Q24" s="66">
        <f>Бюджет!Q32</f>
        <v>1</v>
      </c>
      <c r="R24" s="66">
        <f>Бюджет!R32</f>
        <v>0</v>
      </c>
      <c r="S24" s="66">
        <f>Бюджет!S32</f>
        <v>0</v>
      </c>
      <c r="T24" s="66">
        <f>Бюджет!T32</f>
        <v>0</v>
      </c>
      <c r="U24" s="66">
        <f>Бюджет!U32</f>
        <v>0</v>
      </c>
      <c r="V24" s="66">
        <f>Бюджет!V32</f>
        <v>0</v>
      </c>
      <c r="W24" s="66">
        <f>Бюджет!W32</f>
        <v>0</v>
      </c>
      <c r="X24" s="66">
        <f>Бюджет!X32</f>
        <v>0</v>
      </c>
      <c r="Y24" s="66">
        <f>Бюджет!Y32</f>
        <v>0</v>
      </c>
      <c r="Z24" s="66">
        <f>Бюджет!Z32</f>
        <v>0</v>
      </c>
      <c r="AA24" s="66">
        <f>Бюджет!AA32</f>
        <v>0</v>
      </c>
      <c r="AB24" s="66">
        <f>Бюджет!AB32</f>
        <v>0</v>
      </c>
      <c r="AC24" s="66">
        <f>Бюджет!AC32</f>
        <v>0</v>
      </c>
      <c r="AD24" s="66">
        <f>Бюджет!AD32</f>
        <v>0</v>
      </c>
      <c r="AE24" s="66">
        <f>Бюджет!AE32</f>
        <v>0</v>
      </c>
      <c r="AF24" s="66">
        <f>Бюджет!AF32</f>
        <v>0</v>
      </c>
      <c r="AG24" s="66">
        <f>Бюджет!AG32</f>
        <v>0</v>
      </c>
      <c r="AH24" s="66">
        <f>Бюджет!AH32</f>
        <v>0</v>
      </c>
      <c r="AI24" s="66">
        <f>Бюджет!AI32</f>
        <v>0</v>
      </c>
      <c r="AJ24" s="66">
        <f t="shared" si="3"/>
        <v>147.30000000000001</v>
      </c>
      <c r="AK24" s="29"/>
    </row>
    <row r="25" spans="1:37" s="30" customFormat="1" ht="15" x14ac:dyDescent="0.2">
      <c r="A25" s="60" t="str">
        <f>Бюджет!A33</f>
        <v>Б1.О.14.03</v>
      </c>
      <c r="B25" s="60" t="str">
        <f>Бюджет!B33</f>
        <v>Основы робототехники</v>
      </c>
      <c r="C25" s="67" t="str">
        <f>Бюджет!C33</f>
        <v>1\2</v>
      </c>
      <c r="D25" s="67">
        <f>Бюджет!D33</f>
        <v>21</v>
      </c>
      <c r="E25" s="67">
        <f>Бюджет!E33</f>
        <v>1</v>
      </c>
      <c r="F25" s="66">
        <f>Бюджет!F33</f>
        <v>0</v>
      </c>
      <c r="G25" s="66">
        <f>Бюджет!G33</f>
        <v>0</v>
      </c>
      <c r="H25" s="66">
        <f>Бюджет!H33</f>
        <v>0</v>
      </c>
      <c r="I25" s="66">
        <f>Бюджет!I33</f>
        <v>0</v>
      </c>
      <c r="J25" s="66">
        <f>Бюджет!J33</f>
        <v>120</v>
      </c>
      <c r="K25" s="66">
        <f>Бюджет!K33</f>
        <v>6.3</v>
      </c>
      <c r="L25" s="66">
        <f>Бюджет!L33</f>
        <v>0</v>
      </c>
      <c r="M25" s="66">
        <f>Бюджет!M33</f>
        <v>0</v>
      </c>
      <c r="N25" s="66">
        <f>Бюджет!N33</f>
        <v>0</v>
      </c>
      <c r="O25" s="66">
        <f>Бюджет!O33</f>
        <v>0</v>
      </c>
      <c r="P25" s="66">
        <f>Бюджет!P33</f>
        <v>0</v>
      </c>
      <c r="Q25" s="66">
        <f>Бюджет!Q33</f>
        <v>0</v>
      </c>
      <c r="R25" s="66">
        <f>Бюджет!R33</f>
        <v>0</v>
      </c>
      <c r="S25" s="66">
        <f>Бюджет!S33</f>
        <v>0</v>
      </c>
      <c r="T25" s="66">
        <f>Бюджет!T33</f>
        <v>0</v>
      </c>
      <c r="U25" s="66">
        <f>Бюджет!U33</f>
        <v>0</v>
      </c>
      <c r="V25" s="66">
        <f>Бюджет!V33</f>
        <v>0</v>
      </c>
      <c r="W25" s="66">
        <f>Бюджет!W33</f>
        <v>0</v>
      </c>
      <c r="X25" s="66">
        <f>Бюджет!X33</f>
        <v>0</v>
      </c>
      <c r="Y25" s="66">
        <f>Бюджет!Y33</f>
        <v>0</v>
      </c>
      <c r="Z25" s="66">
        <f>Бюджет!Z33</f>
        <v>0</v>
      </c>
      <c r="AA25" s="66">
        <f>Бюджет!AA33</f>
        <v>0</v>
      </c>
      <c r="AB25" s="66">
        <f>Бюджет!AB33</f>
        <v>0</v>
      </c>
      <c r="AC25" s="66">
        <f>Бюджет!AC33</f>
        <v>0</v>
      </c>
      <c r="AD25" s="66">
        <f>Бюджет!AD33</f>
        <v>0</v>
      </c>
      <c r="AE25" s="66">
        <f>Бюджет!AE33</f>
        <v>0</v>
      </c>
      <c r="AF25" s="66">
        <f>Бюджет!AF33</f>
        <v>0</v>
      </c>
      <c r="AG25" s="66">
        <f>Бюджет!AG33</f>
        <v>0</v>
      </c>
      <c r="AH25" s="66">
        <f>Бюджет!AH33</f>
        <v>0</v>
      </c>
      <c r="AI25" s="66">
        <f>Бюджет!AI33</f>
        <v>0</v>
      </c>
      <c r="AJ25" s="66">
        <f t="shared" si="3"/>
        <v>126.3</v>
      </c>
      <c r="AK25" s="29"/>
    </row>
    <row r="26" spans="1:37" s="30" customFormat="1" ht="30" x14ac:dyDescent="0.2">
      <c r="A26" s="60" t="str">
        <f>Бюджет!A34</f>
        <v>Б1.О.16</v>
      </c>
      <c r="B26" s="60" t="str">
        <f>Бюджет!B34</f>
        <v>Основы построения вычислительных систем (ЭВМ) (поток РФ 1к и ИСТ 2к)</v>
      </c>
      <c r="C26" s="67" t="str">
        <f>Бюджет!C34</f>
        <v>1\2</v>
      </c>
      <c r="D26" s="67">
        <f>Бюджет!D34</f>
        <v>21</v>
      </c>
      <c r="E26" s="67">
        <f>Бюджет!E34</f>
        <v>1</v>
      </c>
      <c r="F26" s="66">
        <f>Бюджет!F34</f>
        <v>20</v>
      </c>
      <c r="G26" s="66">
        <f>Бюджет!G34</f>
        <v>20</v>
      </c>
      <c r="H26" s="66">
        <f>Бюджет!H34</f>
        <v>0</v>
      </c>
      <c r="I26" s="66">
        <f>Бюджет!I34</f>
        <v>0</v>
      </c>
      <c r="J26" s="66">
        <f>Бюджет!J34</f>
        <v>80</v>
      </c>
      <c r="K26" s="66">
        <f>Бюджет!K34</f>
        <v>6.3</v>
      </c>
      <c r="L26" s="66">
        <f>Бюджет!L34</f>
        <v>0</v>
      </c>
      <c r="M26" s="66">
        <f>Бюджет!M34</f>
        <v>0</v>
      </c>
      <c r="N26" s="66">
        <f>Бюджет!N34</f>
        <v>0</v>
      </c>
      <c r="O26" s="66">
        <f>Бюджет!O34</f>
        <v>0</v>
      </c>
      <c r="P26" s="66">
        <f>Бюджет!P34</f>
        <v>0</v>
      </c>
      <c r="Q26" s="66">
        <f>Бюджет!Q34</f>
        <v>1</v>
      </c>
      <c r="R26" s="66">
        <f>Бюджет!R34</f>
        <v>0</v>
      </c>
      <c r="S26" s="66">
        <f>Бюджет!S34</f>
        <v>0</v>
      </c>
      <c r="T26" s="66">
        <f>Бюджет!T34</f>
        <v>0</v>
      </c>
      <c r="U26" s="66">
        <f>Бюджет!U34</f>
        <v>0</v>
      </c>
      <c r="V26" s="66">
        <f>Бюджет!V34</f>
        <v>0</v>
      </c>
      <c r="W26" s="66">
        <f>Бюджет!W34</f>
        <v>0</v>
      </c>
      <c r="X26" s="66">
        <f>Бюджет!X34</f>
        <v>0</v>
      </c>
      <c r="Y26" s="66">
        <f>Бюджет!Y34</f>
        <v>0</v>
      </c>
      <c r="Z26" s="66">
        <f>Бюджет!Z34</f>
        <v>0</v>
      </c>
      <c r="AA26" s="66">
        <f>Бюджет!AA34</f>
        <v>0</v>
      </c>
      <c r="AB26" s="66">
        <f>Бюджет!AB34</f>
        <v>0</v>
      </c>
      <c r="AC26" s="66">
        <f>Бюджет!AC34</f>
        <v>0</v>
      </c>
      <c r="AD26" s="66">
        <f>Бюджет!AD34</f>
        <v>0</v>
      </c>
      <c r="AE26" s="66">
        <f>Бюджет!AE34</f>
        <v>0</v>
      </c>
      <c r="AF26" s="66">
        <f>Бюджет!AF34</f>
        <v>0</v>
      </c>
      <c r="AG26" s="66">
        <f>Бюджет!AG34</f>
        <v>0</v>
      </c>
      <c r="AH26" s="66">
        <f>Бюджет!AH34</f>
        <v>0</v>
      </c>
      <c r="AI26" s="66">
        <f>Бюджет!AI34</f>
        <v>0</v>
      </c>
      <c r="AJ26" s="66">
        <f t="shared" si="3"/>
        <v>107.3</v>
      </c>
      <c r="AK26" s="29"/>
    </row>
    <row r="27" spans="1:37" s="30" customFormat="1" ht="15.75" x14ac:dyDescent="0.25">
      <c r="A27" s="29"/>
      <c r="B27" s="29"/>
      <c r="C27" s="29"/>
      <c r="D27" s="29"/>
      <c r="E27" s="29"/>
      <c r="F27" s="33"/>
      <c r="G27" s="33"/>
      <c r="H27" s="33"/>
      <c r="I27" s="33"/>
      <c r="J27" s="420" t="str">
        <f>Бюджет!K35</f>
        <v>профиль "Радиофизика в области связи, информационных и телекоммуникационных технологий"</v>
      </c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33"/>
      <c r="AE27" s="33"/>
      <c r="AF27" s="33"/>
      <c r="AG27" s="33"/>
      <c r="AH27" s="33"/>
      <c r="AI27" s="33"/>
      <c r="AJ27" s="66">
        <f t="shared" ref="AJ27:AJ28" si="4">SUM(G27,I27:AI27)</f>
        <v>0</v>
      </c>
      <c r="AK27" s="29"/>
    </row>
    <row r="28" spans="1:37" s="30" customFormat="1" ht="15.75" x14ac:dyDescent="0.25">
      <c r="A28" s="29"/>
      <c r="B28" s="29"/>
      <c r="C28" s="29"/>
      <c r="D28" s="29"/>
      <c r="E28" s="29"/>
      <c r="F28" s="33"/>
      <c r="G28" s="33"/>
      <c r="H28" s="33"/>
      <c r="I28" s="33"/>
      <c r="J28" s="420" t="str">
        <f>Бюджет!K36</f>
        <v xml:space="preserve">профиль "Радиофизика: радиоэлектронные устройства, обработка сигналов и автоматизация" </v>
      </c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33"/>
      <c r="AE28" s="33"/>
      <c r="AF28" s="33"/>
      <c r="AG28" s="33"/>
      <c r="AH28" s="33"/>
      <c r="AI28" s="33"/>
      <c r="AJ28" s="66">
        <f t="shared" si="4"/>
        <v>0</v>
      </c>
      <c r="AK28" s="29"/>
    </row>
    <row r="29" spans="1:37" s="30" customFormat="1" ht="15" x14ac:dyDescent="0.2">
      <c r="A29" s="60" t="str">
        <f>Бюджет!A44</f>
        <v>Б1.О.17</v>
      </c>
      <c r="B29" s="60" t="str">
        <f>Бюджет!B44</f>
        <v>Теория колебаний (поток РФ и ИСТ)</v>
      </c>
      <c r="C29" s="67" t="str">
        <f>Бюджет!C44</f>
        <v>2\3</v>
      </c>
      <c r="D29" s="67">
        <f>Бюджет!D44</f>
        <v>12</v>
      </c>
      <c r="E29" s="67">
        <f>Бюджет!E44</f>
        <v>1</v>
      </c>
      <c r="F29" s="66">
        <f>Бюджет!F44</f>
        <v>32</v>
      </c>
      <c r="G29" s="66">
        <f>Бюджет!G44</f>
        <v>32</v>
      </c>
      <c r="H29" s="66">
        <f>Бюджет!H44</f>
        <v>16</v>
      </c>
      <c r="I29" s="66">
        <f>Бюджет!I44</f>
        <v>16</v>
      </c>
      <c r="J29" s="66">
        <f>Бюджет!J44</f>
        <v>16</v>
      </c>
      <c r="K29" s="66">
        <f>Бюджет!K44</f>
        <v>3.5999999999999996</v>
      </c>
      <c r="L29" s="66">
        <f>Бюджет!L44</f>
        <v>0</v>
      </c>
      <c r="M29" s="66">
        <f>Бюджет!M44</f>
        <v>0</v>
      </c>
      <c r="N29" s="66">
        <f>Бюджет!N44</f>
        <v>0</v>
      </c>
      <c r="O29" s="66">
        <f>Бюджет!O44</f>
        <v>0</v>
      </c>
      <c r="P29" s="66">
        <f>Бюджет!P44</f>
        <v>0</v>
      </c>
      <c r="Q29" s="66">
        <f>Бюджет!Q44</f>
        <v>1.6</v>
      </c>
      <c r="R29" s="66">
        <f>Бюджет!R44</f>
        <v>0</v>
      </c>
      <c r="S29" s="66">
        <f>Бюджет!S44</f>
        <v>0</v>
      </c>
      <c r="T29" s="66">
        <f>Бюджет!T44</f>
        <v>0</v>
      </c>
      <c r="U29" s="66">
        <f>Бюджет!U44</f>
        <v>0</v>
      </c>
      <c r="V29" s="66">
        <f>Бюджет!V44</f>
        <v>0</v>
      </c>
      <c r="W29" s="66">
        <f>Бюджет!W44</f>
        <v>0</v>
      </c>
      <c r="X29" s="66">
        <f>Бюджет!X44</f>
        <v>0</v>
      </c>
      <c r="Y29" s="66">
        <f>Бюджет!Y44</f>
        <v>0</v>
      </c>
      <c r="Z29" s="66">
        <f>Бюджет!Z44</f>
        <v>0</v>
      </c>
      <c r="AA29" s="66">
        <f>Бюджет!AA44</f>
        <v>0</v>
      </c>
      <c r="AB29" s="66">
        <f>Бюджет!AB44</f>
        <v>0</v>
      </c>
      <c r="AC29" s="66">
        <f>Бюджет!AC44</f>
        <v>0</v>
      </c>
      <c r="AD29" s="66">
        <f>Бюджет!AD44</f>
        <v>0</v>
      </c>
      <c r="AE29" s="66">
        <f>Бюджет!AE44</f>
        <v>0</v>
      </c>
      <c r="AF29" s="66">
        <f>Бюджет!AF44</f>
        <v>0</v>
      </c>
      <c r="AG29" s="66">
        <f>Бюджет!AG44</f>
        <v>0</v>
      </c>
      <c r="AH29" s="66">
        <f>Бюджет!AH44</f>
        <v>0</v>
      </c>
      <c r="AI29" s="66">
        <f>Бюджет!AI44</f>
        <v>0</v>
      </c>
      <c r="AJ29" s="66">
        <f t="shared" si="3"/>
        <v>69.199999999999989</v>
      </c>
      <c r="AK29" s="29"/>
    </row>
    <row r="30" spans="1:37" s="30" customFormat="1" ht="15" x14ac:dyDescent="0.2">
      <c r="A30" s="60" t="str">
        <f>Бюджет!A45</f>
        <v>Б1.О.19</v>
      </c>
      <c r="B30" s="60" t="str">
        <f>Бюджет!B45</f>
        <v>Волны в сплошных средах</v>
      </c>
      <c r="C30" s="67" t="str">
        <f>Бюджет!C45</f>
        <v>2\4</v>
      </c>
      <c r="D30" s="67">
        <f>Бюджет!D45</f>
        <v>12</v>
      </c>
      <c r="E30" s="67">
        <f>Бюджет!E45</f>
        <v>1</v>
      </c>
      <c r="F30" s="66">
        <f>Бюджет!F45</f>
        <v>40</v>
      </c>
      <c r="G30" s="66">
        <f>Бюджет!G45</f>
        <v>40</v>
      </c>
      <c r="H30" s="66">
        <f>Бюджет!H45</f>
        <v>20</v>
      </c>
      <c r="I30" s="66">
        <f>Бюджет!I45</f>
        <v>20</v>
      </c>
      <c r="J30" s="66">
        <f>Бюджет!J45</f>
        <v>0</v>
      </c>
      <c r="K30" s="66">
        <f>Бюджет!K45</f>
        <v>3.5999999999999996</v>
      </c>
      <c r="L30" s="66">
        <f>Бюджет!L45</f>
        <v>0</v>
      </c>
      <c r="M30" s="66">
        <f>Бюджет!M45</f>
        <v>0</v>
      </c>
      <c r="N30" s="66">
        <f>Бюджет!N45</f>
        <v>0</v>
      </c>
      <c r="O30" s="66">
        <f>Бюджет!O45</f>
        <v>0</v>
      </c>
      <c r="P30" s="66">
        <f>Бюджет!P45</f>
        <v>0</v>
      </c>
      <c r="Q30" s="66">
        <f>Бюджет!Q45</f>
        <v>2</v>
      </c>
      <c r="R30" s="66">
        <f>Бюджет!R45</f>
        <v>0</v>
      </c>
      <c r="S30" s="66">
        <f>Бюджет!S45</f>
        <v>0</v>
      </c>
      <c r="T30" s="66">
        <f>Бюджет!T45</f>
        <v>0</v>
      </c>
      <c r="U30" s="66">
        <f>Бюджет!U45</f>
        <v>0</v>
      </c>
      <c r="V30" s="66">
        <f>Бюджет!V45</f>
        <v>0</v>
      </c>
      <c r="W30" s="66">
        <f>Бюджет!W45</f>
        <v>0</v>
      </c>
      <c r="X30" s="66">
        <f>Бюджет!X45</f>
        <v>0</v>
      </c>
      <c r="Y30" s="66">
        <f>Бюджет!Y45</f>
        <v>0</v>
      </c>
      <c r="Z30" s="66">
        <f>Бюджет!Z45</f>
        <v>0</v>
      </c>
      <c r="AA30" s="66">
        <f>Бюджет!AA45</f>
        <v>0</v>
      </c>
      <c r="AB30" s="66">
        <f>Бюджет!AB45</f>
        <v>0</v>
      </c>
      <c r="AC30" s="66">
        <f>Бюджет!AC45</f>
        <v>0</v>
      </c>
      <c r="AD30" s="66">
        <f>Бюджет!AD45</f>
        <v>0</v>
      </c>
      <c r="AE30" s="66">
        <f>Бюджет!AE45</f>
        <v>0</v>
      </c>
      <c r="AF30" s="66">
        <f>Бюджет!AF45</f>
        <v>0</v>
      </c>
      <c r="AG30" s="66">
        <f>Бюджет!AG45</f>
        <v>0</v>
      </c>
      <c r="AH30" s="66">
        <f>Бюджет!AH45</f>
        <v>0</v>
      </c>
      <c r="AI30" s="66">
        <f>Бюджет!AI45</f>
        <v>0</v>
      </c>
      <c r="AJ30" s="66">
        <f t="shared" si="3"/>
        <v>65.599999999999994</v>
      </c>
      <c r="AK30" s="29"/>
    </row>
    <row r="31" spans="1:37" s="30" customFormat="1" ht="15" x14ac:dyDescent="0.2">
      <c r="A31" s="60" t="str">
        <f>Бюджет!A47</f>
        <v>Б1.В.01</v>
      </c>
      <c r="B31" s="60" t="str">
        <f>Бюджет!B47</f>
        <v>Основы радиоэлектроники (поток РФ и ИСТ)</v>
      </c>
      <c r="C31" s="67" t="str">
        <f>Бюджет!C47</f>
        <v>2\3</v>
      </c>
      <c r="D31" s="67">
        <f>Бюджет!D47</f>
        <v>12</v>
      </c>
      <c r="E31" s="67">
        <f>Бюджет!E47</f>
        <v>1</v>
      </c>
      <c r="F31" s="66">
        <f>Бюджет!F47</f>
        <v>32</v>
      </c>
      <c r="G31" s="66">
        <f>Бюджет!G47</f>
        <v>32</v>
      </c>
      <c r="H31" s="66">
        <f>Бюджет!H47</f>
        <v>16</v>
      </c>
      <c r="I31" s="66">
        <f>Бюджет!I47</f>
        <v>16</v>
      </c>
      <c r="J31" s="66">
        <f>Бюджет!J47</f>
        <v>32</v>
      </c>
      <c r="K31" s="66">
        <f>Бюджет!K47</f>
        <v>3.5999999999999996</v>
      </c>
      <c r="L31" s="66">
        <f>Бюджет!L47</f>
        <v>0</v>
      </c>
      <c r="M31" s="66">
        <f>Бюджет!M47</f>
        <v>0</v>
      </c>
      <c r="N31" s="66">
        <f>Бюджет!N47</f>
        <v>0</v>
      </c>
      <c r="O31" s="66">
        <f>Бюджет!O47</f>
        <v>0</v>
      </c>
      <c r="P31" s="66">
        <f>Бюджет!P47</f>
        <v>0</v>
      </c>
      <c r="Q31" s="66">
        <f>Бюджет!Q47</f>
        <v>1.6</v>
      </c>
      <c r="R31" s="66">
        <f>Бюджет!R47</f>
        <v>0</v>
      </c>
      <c r="S31" s="66">
        <f>Бюджет!S47</f>
        <v>0</v>
      </c>
      <c r="T31" s="66">
        <f>Бюджет!T47</f>
        <v>0</v>
      </c>
      <c r="U31" s="66">
        <f>Бюджет!U47</f>
        <v>0</v>
      </c>
      <c r="V31" s="66">
        <f>Бюджет!V47</f>
        <v>0</v>
      </c>
      <c r="W31" s="66">
        <f>Бюджет!W47</f>
        <v>0</v>
      </c>
      <c r="X31" s="66">
        <f>Бюджет!X47</f>
        <v>0</v>
      </c>
      <c r="Y31" s="66">
        <f>Бюджет!Y47</f>
        <v>0</v>
      </c>
      <c r="Z31" s="66">
        <f>Бюджет!Z47</f>
        <v>0</v>
      </c>
      <c r="AA31" s="66">
        <f>Бюджет!AA47</f>
        <v>0</v>
      </c>
      <c r="AB31" s="66">
        <f>Бюджет!AB47</f>
        <v>0</v>
      </c>
      <c r="AC31" s="66">
        <f>Бюджет!AC47</f>
        <v>0</v>
      </c>
      <c r="AD31" s="66">
        <f>Бюджет!AD47</f>
        <v>0</v>
      </c>
      <c r="AE31" s="66">
        <f>Бюджет!AE47</f>
        <v>0</v>
      </c>
      <c r="AF31" s="66">
        <f>Бюджет!AF47</f>
        <v>0</v>
      </c>
      <c r="AG31" s="66">
        <f>Бюджет!AG47</f>
        <v>0</v>
      </c>
      <c r="AH31" s="66">
        <f>Бюджет!AH47</f>
        <v>0</v>
      </c>
      <c r="AI31" s="66">
        <f>Бюджет!AI47</f>
        <v>0</v>
      </c>
      <c r="AJ31" s="66">
        <f t="shared" si="3"/>
        <v>85.199999999999989</v>
      </c>
      <c r="AK31" s="29"/>
    </row>
    <row r="32" spans="1:37" s="30" customFormat="1" ht="30" x14ac:dyDescent="0.2">
      <c r="A32" s="60" t="str">
        <f>Бюджет!A48</f>
        <v>Б1.В.02</v>
      </c>
      <c r="B32" s="60" t="str">
        <f>Бюджет!B48</f>
        <v>Радиотехнические цепи и сигналы (поток РФ и ИСТ)</v>
      </c>
      <c r="C32" s="67" t="str">
        <f>Бюджет!C48</f>
        <v>2\4</v>
      </c>
      <c r="D32" s="67">
        <f>Бюджет!D48</f>
        <v>12</v>
      </c>
      <c r="E32" s="67">
        <f>Бюджет!E48</f>
        <v>1</v>
      </c>
      <c r="F32" s="66">
        <f>Бюджет!F48</f>
        <v>40</v>
      </c>
      <c r="G32" s="66">
        <f>Бюджет!G48</f>
        <v>40</v>
      </c>
      <c r="H32" s="66">
        <f>Бюджет!H48</f>
        <v>20</v>
      </c>
      <c r="I32" s="66">
        <f>Бюджет!I48</f>
        <v>20</v>
      </c>
      <c r="J32" s="66">
        <f>Бюджет!J48</f>
        <v>40</v>
      </c>
      <c r="K32" s="66">
        <f>Бюджет!K48</f>
        <v>3.5999999999999996</v>
      </c>
      <c r="L32" s="66">
        <f>Бюджет!L48</f>
        <v>0</v>
      </c>
      <c r="M32" s="66">
        <f>Бюджет!M48</f>
        <v>0</v>
      </c>
      <c r="N32" s="66">
        <f>Бюджет!N48</f>
        <v>0</v>
      </c>
      <c r="O32" s="66">
        <f>Бюджет!O48</f>
        <v>0</v>
      </c>
      <c r="P32" s="66">
        <f>Бюджет!P48</f>
        <v>0</v>
      </c>
      <c r="Q32" s="66">
        <f>Бюджет!Q48</f>
        <v>2</v>
      </c>
      <c r="R32" s="66">
        <f>Бюджет!R48</f>
        <v>0</v>
      </c>
      <c r="S32" s="66">
        <f>Бюджет!S48</f>
        <v>0</v>
      </c>
      <c r="T32" s="66">
        <f>Бюджет!T48</f>
        <v>0</v>
      </c>
      <c r="U32" s="66">
        <f>Бюджет!U48</f>
        <v>0</v>
      </c>
      <c r="V32" s="66">
        <f>Бюджет!V48</f>
        <v>0</v>
      </c>
      <c r="W32" s="66">
        <f>Бюджет!W48</f>
        <v>0</v>
      </c>
      <c r="X32" s="66">
        <f>Бюджет!X48</f>
        <v>0</v>
      </c>
      <c r="Y32" s="66">
        <f>Бюджет!Y48</f>
        <v>0</v>
      </c>
      <c r="Z32" s="66">
        <f>Бюджет!Z48</f>
        <v>0</v>
      </c>
      <c r="AA32" s="66">
        <f>Бюджет!AA48</f>
        <v>0</v>
      </c>
      <c r="AB32" s="66">
        <f>Бюджет!AB48</f>
        <v>0</v>
      </c>
      <c r="AC32" s="66">
        <f>Бюджет!AC48</f>
        <v>0</v>
      </c>
      <c r="AD32" s="66">
        <f>Бюджет!AD48</f>
        <v>0</v>
      </c>
      <c r="AE32" s="66">
        <f>Бюджет!AE48</f>
        <v>0</v>
      </c>
      <c r="AF32" s="66">
        <f>Бюджет!AF48</f>
        <v>0</v>
      </c>
      <c r="AG32" s="66">
        <f>Бюджет!AG48</f>
        <v>0</v>
      </c>
      <c r="AH32" s="66">
        <f>Бюджет!AH48</f>
        <v>0</v>
      </c>
      <c r="AI32" s="66">
        <f>Бюджет!AI48</f>
        <v>0</v>
      </c>
      <c r="AJ32" s="66">
        <f t="shared" si="3"/>
        <v>105.6</v>
      </c>
      <c r="AK32" s="29"/>
    </row>
    <row r="33" spans="1:37" s="30" customFormat="1" ht="45" x14ac:dyDescent="0.2">
      <c r="A33" s="60" t="str">
        <f>Бюджет!A49</f>
        <v>Б2.О.01.02(У)</v>
      </c>
      <c r="B33" s="60" t="str">
        <f>Бюджет!B49</f>
        <v>Учебная практика. (Научно-исследовательская работа (получение первичных навыков научно-исследовательской работы))</v>
      </c>
      <c r="C33" s="67" t="str">
        <f>Бюджет!C49</f>
        <v>2\4</v>
      </c>
      <c r="D33" s="67">
        <f>Бюджет!D49</f>
        <v>12</v>
      </c>
      <c r="E33" s="67">
        <f>Бюджет!E49</f>
        <v>1</v>
      </c>
      <c r="F33" s="66">
        <f>Бюджет!F49</f>
        <v>0</v>
      </c>
      <c r="G33" s="66">
        <f>Бюджет!G49</f>
        <v>0</v>
      </c>
      <c r="H33" s="66">
        <f>Бюджет!H49</f>
        <v>0</v>
      </c>
      <c r="I33" s="66">
        <f>Бюджет!I49</f>
        <v>0</v>
      </c>
      <c r="J33" s="66">
        <f>Бюджет!J49</f>
        <v>40</v>
      </c>
      <c r="K33" s="66">
        <f>Бюджет!K49</f>
        <v>3.5999999999999996</v>
      </c>
      <c r="L33" s="66">
        <f>Бюджет!L49</f>
        <v>0</v>
      </c>
      <c r="M33" s="66">
        <f>Бюджет!M49</f>
        <v>0</v>
      </c>
      <c r="N33" s="66">
        <f>Бюджет!N49</f>
        <v>0</v>
      </c>
      <c r="O33" s="66">
        <f>Бюджет!O49</f>
        <v>0</v>
      </c>
      <c r="P33" s="66">
        <f>Бюджет!P49</f>
        <v>0</v>
      </c>
      <c r="Q33" s="66">
        <f>Бюджет!Q49</f>
        <v>0</v>
      </c>
      <c r="R33" s="66">
        <f>Бюджет!R49</f>
        <v>0</v>
      </c>
      <c r="S33" s="66">
        <f>Бюджет!S49</f>
        <v>0</v>
      </c>
      <c r="T33" s="66">
        <f>Бюджет!T49</f>
        <v>0</v>
      </c>
      <c r="U33" s="66">
        <f>Бюджет!U49</f>
        <v>0</v>
      </c>
      <c r="V33" s="66">
        <f>Бюджет!V49</f>
        <v>0</v>
      </c>
      <c r="W33" s="66">
        <f>Бюджет!W49</f>
        <v>0</v>
      </c>
      <c r="X33" s="66">
        <f>Бюджет!X49</f>
        <v>0</v>
      </c>
      <c r="Y33" s="66">
        <f>Бюджет!Y49</f>
        <v>0</v>
      </c>
      <c r="Z33" s="66">
        <f>Бюджет!Z49</f>
        <v>0</v>
      </c>
      <c r="AA33" s="66">
        <f>Бюджет!AA49</f>
        <v>0</v>
      </c>
      <c r="AB33" s="66">
        <f>Бюджет!AB49</f>
        <v>0</v>
      </c>
      <c r="AC33" s="66">
        <f>Бюджет!AC49</f>
        <v>0</v>
      </c>
      <c r="AD33" s="66">
        <f>Бюджет!AD49</f>
        <v>0</v>
      </c>
      <c r="AE33" s="66">
        <f>Бюджет!AE49</f>
        <v>0</v>
      </c>
      <c r="AF33" s="66">
        <f>Бюджет!AF49</f>
        <v>0</v>
      </c>
      <c r="AG33" s="66">
        <f>Бюджет!AG49</f>
        <v>0</v>
      </c>
      <c r="AH33" s="66">
        <f>Бюджет!AH49</f>
        <v>0</v>
      </c>
      <c r="AI33" s="66">
        <f>Бюджет!AI49</f>
        <v>0</v>
      </c>
      <c r="AJ33" s="66">
        <f t="shared" si="3"/>
        <v>43.6</v>
      </c>
      <c r="AK33" s="29"/>
    </row>
    <row r="34" spans="1:37" s="30" customFormat="1" ht="45" x14ac:dyDescent="0.2">
      <c r="A34" s="60" t="str">
        <f>Бюджет!A50</f>
        <v>Б2.В.01.01(У)</v>
      </c>
      <c r="B34" s="60" t="str">
        <f>Бюджет!B50</f>
        <v>Учебная практика. (Научно-исследовательская работа (получение первичных навыков научно-исследовательской работы))</v>
      </c>
      <c r="C34" s="67" t="str">
        <f>Бюджет!C50</f>
        <v>2\3</v>
      </c>
      <c r="D34" s="67">
        <f>Бюджет!D50</f>
        <v>12</v>
      </c>
      <c r="E34" s="67">
        <f>Бюджет!E50</f>
        <v>1</v>
      </c>
      <c r="F34" s="66">
        <f>Бюджет!F50</f>
        <v>0</v>
      </c>
      <c r="G34" s="66">
        <f>Бюджет!G50</f>
        <v>0</v>
      </c>
      <c r="H34" s="66">
        <f>Бюджет!H50</f>
        <v>0</v>
      </c>
      <c r="I34" s="66">
        <f>Бюджет!I50</f>
        <v>0</v>
      </c>
      <c r="J34" s="66">
        <f>Бюджет!J50</f>
        <v>0</v>
      </c>
      <c r="K34" s="66">
        <f>Бюджет!K50</f>
        <v>0</v>
      </c>
      <c r="L34" s="66">
        <f>Бюджет!L50</f>
        <v>0</v>
      </c>
      <c r="M34" s="66">
        <f>Бюджет!M50</f>
        <v>0</v>
      </c>
      <c r="N34" s="66">
        <f>Бюджет!N50</f>
        <v>0</v>
      </c>
      <c r="O34" s="66">
        <f>Бюджет!O50</f>
        <v>0</v>
      </c>
      <c r="P34" s="66">
        <f>Бюджет!P50</f>
        <v>0</v>
      </c>
      <c r="Q34" s="66">
        <f>Бюджет!Q50</f>
        <v>0</v>
      </c>
      <c r="R34" s="66">
        <f>Бюджет!R50</f>
        <v>0</v>
      </c>
      <c r="S34" s="66">
        <f>Бюджет!S50</f>
        <v>36</v>
      </c>
      <c r="T34" s="66">
        <f>Бюджет!T50</f>
        <v>0</v>
      </c>
      <c r="U34" s="66">
        <f>Бюджет!U50</f>
        <v>0</v>
      </c>
      <c r="V34" s="66">
        <f>Бюджет!V50</f>
        <v>0</v>
      </c>
      <c r="W34" s="66">
        <f>Бюджет!W50</f>
        <v>0</v>
      </c>
      <c r="X34" s="66">
        <f>Бюджет!X50</f>
        <v>0</v>
      </c>
      <c r="Y34" s="66">
        <f>Бюджет!Y50</f>
        <v>0</v>
      </c>
      <c r="Z34" s="66">
        <f>Бюджет!Z50</f>
        <v>0</v>
      </c>
      <c r="AA34" s="66">
        <f>Бюджет!AA50</f>
        <v>0</v>
      </c>
      <c r="AB34" s="66">
        <f>Бюджет!AB50</f>
        <v>0</v>
      </c>
      <c r="AC34" s="66">
        <f>Бюджет!AC50</f>
        <v>0</v>
      </c>
      <c r="AD34" s="66">
        <f>Бюджет!AD50</f>
        <v>0</v>
      </c>
      <c r="AE34" s="66">
        <f>Бюджет!AE50</f>
        <v>0</v>
      </c>
      <c r="AF34" s="66">
        <f>Бюджет!AF50</f>
        <v>0</v>
      </c>
      <c r="AG34" s="66">
        <f>Бюджет!AG50</f>
        <v>0</v>
      </c>
      <c r="AH34" s="66">
        <f>Бюджет!AH50</f>
        <v>0</v>
      </c>
      <c r="AI34" s="66">
        <f>Бюджет!AI50</f>
        <v>0</v>
      </c>
      <c r="AJ34" s="66">
        <f t="shared" si="3"/>
        <v>36</v>
      </c>
      <c r="AK34" s="29"/>
    </row>
    <row r="35" spans="1:37" s="30" customFormat="1" ht="15" x14ac:dyDescent="0.2">
      <c r="A35" s="60" t="str">
        <f>Бюджет!A55</f>
        <v>Б1.О.21</v>
      </c>
      <c r="B35" s="60" t="str">
        <f>Бюджет!B55</f>
        <v>Измерительные и вычислительные системы</v>
      </c>
      <c r="C35" s="67" t="str">
        <f>Бюджет!C55</f>
        <v>3\5</v>
      </c>
      <c r="D35" s="67">
        <f>Бюджет!D55</f>
        <v>15</v>
      </c>
      <c r="E35" s="67">
        <f>Бюджет!E55</f>
        <v>1</v>
      </c>
      <c r="F35" s="66">
        <f>Бюджет!F55</f>
        <v>34</v>
      </c>
      <c r="G35" s="66">
        <f>Бюджет!G55</f>
        <v>34</v>
      </c>
      <c r="H35" s="66">
        <f>Бюджет!H55</f>
        <v>0</v>
      </c>
      <c r="I35" s="66">
        <f>Бюджет!I55</f>
        <v>0</v>
      </c>
      <c r="J35" s="66">
        <f>Бюджет!J55</f>
        <v>34</v>
      </c>
      <c r="K35" s="66">
        <f>Бюджет!K55</f>
        <v>4.5</v>
      </c>
      <c r="L35" s="66">
        <f>Бюджет!L55</f>
        <v>0</v>
      </c>
      <c r="M35" s="66">
        <f>Бюджет!M55</f>
        <v>0</v>
      </c>
      <c r="N35" s="66">
        <f>Бюджет!N55</f>
        <v>0</v>
      </c>
      <c r="O35" s="66">
        <f>Бюджет!O55</f>
        <v>0</v>
      </c>
      <c r="P35" s="66">
        <f>Бюджет!P55</f>
        <v>0</v>
      </c>
      <c r="Q35" s="66">
        <f>Бюджет!Q55</f>
        <v>1.7000000000000002</v>
      </c>
      <c r="R35" s="66">
        <f>Бюджет!R55</f>
        <v>0</v>
      </c>
      <c r="S35" s="66">
        <f>Бюджет!S55</f>
        <v>0</v>
      </c>
      <c r="T35" s="66">
        <f>Бюджет!T55</f>
        <v>0</v>
      </c>
      <c r="U35" s="66">
        <f>Бюджет!U55</f>
        <v>0</v>
      </c>
      <c r="V35" s="66">
        <f>Бюджет!V55</f>
        <v>0</v>
      </c>
      <c r="W35" s="66">
        <f>Бюджет!W55</f>
        <v>0</v>
      </c>
      <c r="X35" s="66">
        <f>Бюджет!X55</f>
        <v>0</v>
      </c>
      <c r="Y35" s="66">
        <f>Бюджет!Y55</f>
        <v>0</v>
      </c>
      <c r="Z35" s="66">
        <f>Бюджет!Z55</f>
        <v>0</v>
      </c>
      <c r="AA35" s="66">
        <f>Бюджет!AA55</f>
        <v>0</v>
      </c>
      <c r="AB35" s="66">
        <f>Бюджет!AB55</f>
        <v>0</v>
      </c>
      <c r="AC35" s="66">
        <f>Бюджет!AC55</f>
        <v>0</v>
      </c>
      <c r="AD35" s="66">
        <f>Бюджет!AD55</f>
        <v>0</v>
      </c>
      <c r="AE35" s="66">
        <f>Бюджет!AE55</f>
        <v>0</v>
      </c>
      <c r="AF35" s="66">
        <f>Бюджет!AF55</f>
        <v>0</v>
      </c>
      <c r="AG35" s="66">
        <f>Бюджет!AG55</f>
        <v>0</v>
      </c>
      <c r="AH35" s="66">
        <f>Бюджет!AH55</f>
        <v>0</v>
      </c>
      <c r="AI35" s="66">
        <f>Бюджет!AI55</f>
        <v>0</v>
      </c>
      <c r="AJ35" s="66">
        <f t="shared" si="3"/>
        <v>74.2</v>
      </c>
      <c r="AK35" s="29"/>
    </row>
    <row r="36" spans="1:37" s="30" customFormat="1" ht="15" x14ac:dyDescent="0.2">
      <c r="A36" s="60" t="str">
        <f>Бюджет!A56</f>
        <v>Б1.О.22</v>
      </c>
      <c r="B36" s="60" t="str">
        <f>Бюджет!B56</f>
        <v>Статистическая радиофизика</v>
      </c>
      <c r="C36" s="67" t="str">
        <f>Бюджет!C56</f>
        <v>3\5</v>
      </c>
      <c r="D36" s="67">
        <f>Бюджет!D56</f>
        <v>15</v>
      </c>
      <c r="E36" s="67">
        <f>Бюджет!E56</f>
        <v>1</v>
      </c>
      <c r="F36" s="66">
        <f>Бюджет!F56</f>
        <v>34</v>
      </c>
      <c r="G36" s="66">
        <f>Бюджет!G56</f>
        <v>34</v>
      </c>
      <c r="H36" s="66">
        <f>Бюджет!H56</f>
        <v>34</v>
      </c>
      <c r="I36" s="66">
        <f>Бюджет!I56</f>
        <v>34</v>
      </c>
      <c r="J36" s="66">
        <f>Бюджет!J56</f>
        <v>0</v>
      </c>
      <c r="K36" s="66">
        <f>Бюджет!K56</f>
        <v>4.5</v>
      </c>
      <c r="L36" s="66">
        <f>Бюджет!L56</f>
        <v>0</v>
      </c>
      <c r="M36" s="66">
        <f>Бюджет!M56</f>
        <v>0</v>
      </c>
      <c r="N36" s="66">
        <f>Бюджет!N56</f>
        <v>0</v>
      </c>
      <c r="O36" s="66">
        <f>Бюджет!O56</f>
        <v>0</v>
      </c>
      <c r="P36" s="66">
        <f>Бюджет!P56</f>
        <v>0</v>
      </c>
      <c r="Q36" s="66">
        <f>Бюджет!Q56</f>
        <v>1.7000000000000002</v>
      </c>
      <c r="R36" s="66">
        <f>Бюджет!R56</f>
        <v>0</v>
      </c>
      <c r="S36" s="66">
        <f>Бюджет!S56</f>
        <v>0</v>
      </c>
      <c r="T36" s="66">
        <f>Бюджет!T56</f>
        <v>0</v>
      </c>
      <c r="U36" s="66">
        <f>Бюджет!U56</f>
        <v>0</v>
      </c>
      <c r="V36" s="66">
        <f>Бюджет!V56</f>
        <v>0</v>
      </c>
      <c r="W36" s="66">
        <f>Бюджет!W56</f>
        <v>0</v>
      </c>
      <c r="X36" s="66">
        <f>Бюджет!X56</f>
        <v>0</v>
      </c>
      <c r="Y36" s="66">
        <f>Бюджет!Y56</f>
        <v>0</v>
      </c>
      <c r="Z36" s="66">
        <f>Бюджет!Z56</f>
        <v>0</v>
      </c>
      <c r="AA36" s="66">
        <f>Бюджет!AA56</f>
        <v>0</v>
      </c>
      <c r="AB36" s="66">
        <f>Бюджет!AB56</f>
        <v>0</v>
      </c>
      <c r="AC36" s="66">
        <f>Бюджет!AC56</f>
        <v>0</v>
      </c>
      <c r="AD36" s="66">
        <f>Бюджет!AD56</f>
        <v>0</v>
      </c>
      <c r="AE36" s="66">
        <f>Бюджет!AE56</f>
        <v>0</v>
      </c>
      <c r="AF36" s="66">
        <f>Бюджет!AF56</f>
        <v>0</v>
      </c>
      <c r="AG36" s="66">
        <f>Бюджет!AG56</f>
        <v>0</v>
      </c>
      <c r="AH36" s="66">
        <f>Бюджет!AH56</f>
        <v>0</v>
      </c>
      <c r="AI36" s="66">
        <f>Бюджет!AI56</f>
        <v>0</v>
      </c>
      <c r="AJ36" s="66">
        <f t="shared" si="3"/>
        <v>74.2</v>
      </c>
      <c r="AK36" s="29"/>
    </row>
    <row r="37" spans="1:37" s="30" customFormat="1" ht="15" x14ac:dyDescent="0.2">
      <c r="A37" s="60" t="str">
        <f>Бюджет!A57</f>
        <v>Б1.О.23</v>
      </c>
      <c r="B37" s="60" t="str">
        <f>Бюджет!B57</f>
        <v>Распространение электромагнитных волн</v>
      </c>
      <c r="C37" s="67" t="str">
        <f>Бюджет!C57</f>
        <v>3\5</v>
      </c>
      <c r="D37" s="67">
        <f>Бюджет!D57</f>
        <v>15</v>
      </c>
      <c r="E37" s="67">
        <f>Бюджет!E57</f>
        <v>1</v>
      </c>
      <c r="F37" s="66">
        <f>Бюджет!F57</f>
        <v>34</v>
      </c>
      <c r="G37" s="66">
        <f>Бюджет!G57</f>
        <v>34</v>
      </c>
      <c r="H37" s="66">
        <f>Бюджет!H57</f>
        <v>34</v>
      </c>
      <c r="I37" s="66">
        <f>Бюджет!I57</f>
        <v>34</v>
      </c>
      <c r="J37" s="66">
        <f>Бюджет!J57</f>
        <v>0</v>
      </c>
      <c r="K37" s="66">
        <f>Бюджет!K57</f>
        <v>0</v>
      </c>
      <c r="L37" s="66">
        <f>Бюджет!L57</f>
        <v>0</v>
      </c>
      <c r="M37" s="66">
        <f>Бюджет!M57</f>
        <v>6</v>
      </c>
      <c r="N37" s="66">
        <f>Бюджет!N57</f>
        <v>0</v>
      </c>
      <c r="O37" s="66">
        <f>Бюджет!O57</f>
        <v>0</v>
      </c>
      <c r="P37" s="66">
        <f>Бюджет!P57</f>
        <v>0</v>
      </c>
      <c r="Q37" s="66">
        <f>Бюджет!Q57</f>
        <v>2.7</v>
      </c>
      <c r="R37" s="66">
        <f>Бюджет!R57</f>
        <v>0</v>
      </c>
      <c r="S37" s="66">
        <f>Бюджет!S57</f>
        <v>0</v>
      </c>
      <c r="T37" s="66">
        <f>Бюджет!T57</f>
        <v>0</v>
      </c>
      <c r="U37" s="66">
        <f>Бюджет!U57</f>
        <v>0</v>
      </c>
      <c r="V37" s="66">
        <f>Бюджет!V57</f>
        <v>0</v>
      </c>
      <c r="W37" s="66">
        <f>Бюджет!W57</f>
        <v>0</v>
      </c>
      <c r="X37" s="66">
        <f>Бюджет!X57</f>
        <v>0</v>
      </c>
      <c r="Y37" s="66">
        <f>Бюджет!Y57</f>
        <v>0</v>
      </c>
      <c r="Z37" s="66">
        <f>Бюджет!Z57</f>
        <v>0</v>
      </c>
      <c r="AA37" s="66">
        <f>Бюджет!AA57</f>
        <v>0</v>
      </c>
      <c r="AB37" s="66">
        <f>Бюджет!AB57</f>
        <v>0</v>
      </c>
      <c r="AC37" s="66">
        <f>Бюджет!AC57</f>
        <v>0</v>
      </c>
      <c r="AD37" s="66">
        <f>Бюджет!AD57</f>
        <v>0</v>
      </c>
      <c r="AE37" s="66">
        <f>Бюджет!AE57</f>
        <v>0</v>
      </c>
      <c r="AF37" s="66">
        <f>Бюджет!AF57</f>
        <v>0</v>
      </c>
      <c r="AG37" s="66">
        <f>Бюджет!AG57</f>
        <v>0</v>
      </c>
      <c r="AH37" s="66">
        <f>Бюджет!AH57</f>
        <v>0</v>
      </c>
      <c r="AI37" s="66">
        <f>Бюджет!AI57</f>
        <v>0</v>
      </c>
      <c r="AJ37" s="66">
        <f t="shared" si="3"/>
        <v>76.7</v>
      </c>
      <c r="AK37" s="29"/>
    </row>
    <row r="38" spans="1:37" s="30" customFormat="1" ht="15" x14ac:dyDescent="0.2">
      <c r="A38" s="60" t="str">
        <f>Бюджет!A58</f>
        <v>Б1.О.24</v>
      </c>
      <c r="B38" s="60" t="str">
        <f>Бюджет!B58</f>
        <v>Теория информация и базы данных</v>
      </c>
      <c r="C38" s="67" t="str">
        <f>Бюджет!C58</f>
        <v>3\5</v>
      </c>
      <c r="D38" s="67">
        <f>Бюджет!D58</f>
        <v>15</v>
      </c>
      <c r="E38" s="67">
        <f>Бюджет!E58</f>
        <v>1</v>
      </c>
      <c r="F38" s="66">
        <f>Бюджет!F58</f>
        <v>16</v>
      </c>
      <c r="G38" s="66">
        <f>Бюджет!G58</f>
        <v>16</v>
      </c>
      <c r="H38" s="66">
        <f>Бюджет!H58</f>
        <v>34</v>
      </c>
      <c r="I38" s="66">
        <f>Бюджет!I58</f>
        <v>34</v>
      </c>
      <c r="J38" s="66">
        <f>Бюджет!J58</f>
        <v>34</v>
      </c>
      <c r="K38" s="66">
        <f>Бюджет!K58</f>
        <v>4.5</v>
      </c>
      <c r="L38" s="66">
        <f>Бюджет!L58</f>
        <v>0</v>
      </c>
      <c r="M38" s="66">
        <f>Бюджет!M58</f>
        <v>0</v>
      </c>
      <c r="N38" s="66">
        <f>Бюджет!N58</f>
        <v>0</v>
      </c>
      <c r="O38" s="66">
        <f>Бюджет!O58</f>
        <v>0</v>
      </c>
      <c r="P38" s="66">
        <f>Бюджет!P58</f>
        <v>0</v>
      </c>
      <c r="Q38" s="66">
        <f>Бюджет!Q58</f>
        <v>0.8</v>
      </c>
      <c r="R38" s="66">
        <f>Бюджет!R58</f>
        <v>0</v>
      </c>
      <c r="S38" s="66">
        <f>Бюджет!S58</f>
        <v>0</v>
      </c>
      <c r="T38" s="66">
        <f>Бюджет!T58</f>
        <v>0</v>
      </c>
      <c r="U38" s="66">
        <f>Бюджет!U58</f>
        <v>0</v>
      </c>
      <c r="V38" s="66">
        <f>Бюджет!V58</f>
        <v>0</v>
      </c>
      <c r="W38" s="66">
        <f>Бюджет!W58</f>
        <v>0</v>
      </c>
      <c r="X38" s="66">
        <f>Бюджет!X58</f>
        <v>0</v>
      </c>
      <c r="Y38" s="66">
        <f>Бюджет!Y58</f>
        <v>0</v>
      </c>
      <c r="Z38" s="66">
        <f>Бюджет!Z58</f>
        <v>0</v>
      </c>
      <c r="AA38" s="66">
        <f>Бюджет!AA58</f>
        <v>0</v>
      </c>
      <c r="AB38" s="66">
        <f>Бюджет!AB58</f>
        <v>0</v>
      </c>
      <c r="AC38" s="66">
        <f>Бюджет!AC58</f>
        <v>0</v>
      </c>
      <c r="AD38" s="66">
        <f>Бюджет!AD58</f>
        <v>0</v>
      </c>
      <c r="AE38" s="66">
        <f>Бюджет!AE58</f>
        <v>0</v>
      </c>
      <c r="AF38" s="66">
        <f>Бюджет!AF58</f>
        <v>0</v>
      </c>
      <c r="AG38" s="66">
        <f>Бюджет!AG58</f>
        <v>0</v>
      </c>
      <c r="AH38" s="66">
        <f>Бюджет!AH58</f>
        <v>0</v>
      </c>
      <c r="AI38" s="66">
        <f>Бюджет!AI58</f>
        <v>0</v>
      </c>
      <c r="AJ38" s="66">
        <f t="shared" si="3"/>
        <v>89.3</v>
      </c>
      <c r="AK38" s="29"/>
    </row>
    <row r="39" spans="1:37" s="30" customFormat="1" ht="15" x14ac:dyDescent="0.2">
      <c r="A39" s="60" t="str">
        <f>Бюджет!A59</f>
        <v>Б1.О.25</v>
      </c>
      <c r="B39" s="60" t="str">
        <f>Бюджет!B59</f>
        <v>Обработка данных на языке Python</v>
      </c>
      <c r="C39" s="67" t="str">
        <f>Бюджет!C59</f>
        <v>3\6</v>
      </c>
      <c r="D39" s="67">
        <f>Бюджет!D59</f>
        <v>15</v>
      </c>
      <c r="E39" s="67">
        <f>Бюджет!E59</f>
        <v>1</v>
      </c>
      <c r="F39" s="66">
        <f>Бюджет!F59</f>
        <v>18</v>
      </c>
      <c r="G39" s="66">
        <f>Бюджет!G59</f>
        <v>18</v>
      </c>
      <c r="H39" s="66">
        <f>Бюджет!H59</f>
        <v>0</v>
      </c>
      <c r="I39" s="66">
        <f>Бюджет!I59</f>
        <v>0</v>
      </c>
      <c r="J39" s="66">
        <f>Бюджет!J59</f>
        <v>36</v>
      </c>
      <c r="K39" s="66">
        <f>Бюджет!K59</f>
        <v>4.5</v>
      </c>
      <c r="L39" s="66">
        <f>Бюджет!L59</f>
        <v>0</v>
      </c>
      <c r="M39" s="66">
        <f>Бюджет!M59</f>
        <v>0</v>
      </c>
      <c r="N39" s="66">
        <f>Бюджет!N59</f>
        <v>0</v>
      </c>
      <c r="O39" s="66">
        <f>Бюджет!O59</f>
        <v>0</v>
      </c>
      <c r="P39" s="66">
        <f>Бюджет!P59</f>
        <v>0</v>
      </c>
      <c r="Q39" s="66">
        <f>Бюджет!Q59</f>
        <v>0.9</v>
      </c>
      <c r="R39" s="66">
        <f>Бюджет!R59</f>
        <v>0</v>
      </c>
      <c r="S39" s="66">
        <f>Бюджет!S59</f>
        <v>0</v>
      </c>
      <c r="T39" s="66">
        <f>Бюджет!T59</f>
        <v>0</v>
      </c>
      <c r="U39" s="66">
        <f>Бюджет!U59</f>
        <v>0</v>
      </c>
      <c r="V39" s="66">
        <f>Бюджет!V59</f>
        <v>0</v>
      </c>
      <c r="W39" s="66">
        <f>Бюджет!W59</f>
        <v>0</v>
      </c>
      <c r="X39" s="66">
        <f>Бюджет!X59</f>
        <v>0</v>
      </c>
      <c r="Y39" s="66">
        <f>Бюджет!Y59</f>
        <v>0</v>
      </c>
      <c r="Z39" s="66">
        <f>Бюджет!Z59</f>
        <v>0</v>
      </c>
      <c r="AA39" s="66">
        <f>Бюджет!AA59</f>
        <v>0</v>
      </c>
      <c r="AB39" s="66">
        <f>Бюджет!AB59</f>
        <v>0</v>
      </c>
      <c r="AC39" s="66">
        <f>Бюджет!AC59</f>
        <v>0</v>
      </c>
      <c r="AD39" s="66">
        <f>Бюджет!AD59</f>
        <v>0</v>
      </c>
      <c r="AE39" s="66">
        <f>Бюджет!AE59</f>
        <v>0</v>
      </c>
      <c r="AF39" s="66">
        <f>Бюджет!AF59</f>
        <v>0</v>
      </c>
      <c r="AG39" s="66">
        <f>Бюджет!AG59</f>
        <v>0</v>
      </c>
      <c r="AH39" s="66">
        <f>Бюджет!AH59</f>
        <v>0</v>
      </c>
      <c r="AI39" s="66">
        <f>Бюджет!AI59</f>
        <v>0</v>
      </c>
      <c r="AJ39" s="66">
        <f t="shared" si="3"/>
        <v>59.4</v>
      </c>
      <c r="AK39" s="29"/>
    </row>
    <row r="40" spans="1:37" s="30" customFormat="1" ht="15" x14ac:dyDescent="0.2">
      <c r="A40" s="60" t="str">
        <f>Бюджет!A60</f>
        <v>Б1.О.27</v>
      </c>
      <c r="B40" s="60" t="str">
        <f>Бюджет!B60</f>
        <v>Излучение и распространение радиоволн</v>
      </c>
      <c r="C40" s="67" t="str">
        <f>Бюджет!C60</f>
        <v>3\6</v>
      </c>
      <c r="D40" s="67">
        <f>Бюджет!D60</f>
        <v>15</v>
      </c>
      <c r="E40" s="67">
        <f>Бюджет!E60</f>
        <v>1</v>
      </c>
      <c r="F40" s="66">
        <f>Бюджет!F60</f>
        <v>36</v>
      </c>
      <c r="G40" s="66">
        <f>Бюджет!G60</f>
        <v>36</v>
      </c>
      <c r="H40" s="66">
        <f>Бюджет!H60</f>
        <v>18</v>
      </c>
      <c r="I40" s="66">
        <f>Бюджет!I60</f>
        <v>18</v>
      </c>
      <c r="J40" s="66">
        <f>Бюджет!J60</f>
        <v>36</v>
      </c>
      <c r="K40" s="66">
        <f>Бюджет!K60</f>
        <v>4.5</v>
      </c>
      <c r="L40" s="66">
        <f>Бюджет!L60</f>
        <v>0</v>
      </c>
      <c r="M40" s="66">
        <f>Бюджет!M60</f>
        <v>0</v>
      </c>
      <c r="N40" s="66">
        <f>Бюджет!N60</f>
        <v>0</v>
      </c>
      <c r="O40" s="66">
        <f>Бюджет!O60</f>
        <v>0</v>
      </c>
      <c r="P40" s="66">
        <f>Бюджет!P60</f>
        <v>0</v>
      </c>
      <c r="Q40" s="66">
        <f>Бюджет!Q60</f>
        <v>1.8</v>
      </c>
      <c r="R40" s="66">
        <f>Бюджет!R60</f>
        <v>0</v>
      </c>
      <c r="S40" s="66">
        <f>Бюджет!S60</f>
        <v>0</v>
      </c>
      <c r="T40" s="66">
        <f>Бюджет!T60</f>
        <v>0</v>
      </c>
      <c r="U40" s="66">
        <f>Бюджет!U60</f>
        <v>0</v>
      </c>
      <c r="V40" s="66">
        <f>Бюджет!V60</f>
        <v>0</v>
      </c>
      <c r="W40" s="66">
        <f>Бюджет!W60</f>
        <v>0</v>
      </c>
      <c r="X40" s="66">
        <f>Бюджет!X60</f>
        <v>0</v>
      </c>
      <c r="Y40" s="66">
        <f>Бюджет!Y60</f>
        <v>0</v>
      </c>
      <c r="Z40" s="66">
        <f>Бюджет!Z60</f>
        <v>0</v>
      </c>
      <c r="AA40" s="66">
        <f>Бюджет!AA60</f>
        <v>0</v>
      </c>
      <c r="AB40" s="66">
        <f>Бюджет!AB60</f>
        <v>0</v>
      </c>
      <c r="AC40" s="66">
        <f>Бюджет!AC60</f>
        <v>0</v>
      </c>
      <c r="AD40" s="66">
        <f>Бюджет!AD60</f>
        <v>0</v>
      </c>
      <c r="AE40" s="66">
        <f>Бюджет!AE60</f>
        <v>0</v>
      </c>
      <c r="AF40" s="66">
        <f>Бюджет!AF60</f>
        <v>0</v>
      </c>
      <c r="AG40" s="66">
        <f>Бюджет!AG60</f>
        <v>0</v>
      </c>
      <c r="AH40" s="66">
        <f>Бюджет!AH60</f>
        <v>0</v>
      </c>
      <c r="AI40" s="66">
        <f>Бюджет!AI60</f>
        <v>0</v>
      </c>
      <c r="AJ40" s="66">
        <f t="shared" si="3"/>
        <v>96.3</v>
      </c>
      <c r="AK40" s="29"/>
    </row>
    <row r="41" spans="1:37" s="30" customFormat="1" ht="30" x14ac:dyDescent="0.2">
      <c r="A41" s="60" t="str">
        <f>Бюджет!A61</f>
        <v>Б1.О.28</v>
      </c>
      <c r="B41" s="60" t="str">
        <f>Бюджет!B61</f>
        <v>Физическая электроника и квантовая радиофизика</v>
      </c>
      <c r="C41" s="67" t="str">
        <f>Бюджет!C61</f>
        <v>3\6</v>
      </c>
      <c r="D41" s="67">
        <f>Бюджет!D61</f>
        <v>15</v>
      </c>
      <c r="E41" s="67">
        <f>Бюджет!E61</f>
        <v>1</v>
      </c>
      <c r="F41" s="66">
        <f>Бюджет!F61</f>
        <v>54</v>
      </c>
      <c r="G41" s="66">
        <f>Бюджет!G61</f>
        <v>54</v>
      </c>
      <c r="H41" s="66">
        <f>Бюджет!H61</f>
        <v>18</v>
      </c>
      <c r="I41" s="66">
        <f>Бюджет!I61</f>
        <v>18</v>
      </c>
      <c r="J41" s="66">
        <f>Бюджет!J61</f>
        <v>0</v>
      </c>
      <c r="K41" s="66">
        <f>Бюджет!K61</f>
        <v>4.5</v>
      </c>
      <c r="L41" s="66">
        <f>Бюджет!L61</f>
        <v>0</v>
      </c>
      <c r="M41" s="66">
        <f>Бюджет!M61</f>
        <v>0</v>
      </c>
      <c r="N41" s="66">
        <f>Бюджет!N61</f>
        <v>0</v>
      </c>
      <c r="O41" s="66">
        <f>Бюджет!O61</f>
        <v>0</v>
      </c>
      <c r="P41" s="66">
        <f>Бюджет!P61</f>
        <v>0</v>
      </c>
      <c r="Q41" s="66">
        <f>Бюджет!Q61</f>
        <v>2.7</v>
      </c>
      <c r="R41" s="66">
        <f>Бюджет!R61</f>
        <v>0</v>
      </c>
      <c r="S41" s="66">
        <f>Бюджет!S61</f>
        <v>0</v>
      </c>
      <c r="T41" s="66">
        <f>Бюджет!T61</f>
        <v>0</v>
      </c>
      <c r="U41" s="66">
        <f>Бюджет!U61</f>
        <v>0</v>
      </c>
      <c r="V41" s="66">
        <f>Бюджет!V61</f>
        <v>0</v>
      </c>
      <c r="W41" s="66">
        <f>Бюджет!W61</f>
        <v>0</v>
      </c>
      <c r="X41" s="66">
        <f>Бюджет!X61</f>
        <v>0</v>
      </c>
      <c r="Y41" s="66">
        <f>Бюджет!Y61</f>
        <v>0</v>
      </c>
      <c r="Z41" s="66">
        <f>Бюджет!Z61</f>
        <v>0</v>
      </c>
      <c r="AA41" s="66">
        <f>Бюджет!AA61</f>
        <v>0</v>
      </c>
      <c r="AB41" s="66">
        <f>Бюджет!AB61</f>
        <v>0</v>
      </c>
      <c r="AC41" s="66">
        <f>Бюджет!AC61</f>
        <v>0</v>
      </c>
      <c r="AD41" s="66">
        <f>Бюджет!AD61</f>
        <v>0</v>
      </c>
      <c r="AE41" s="66">
        <f>Бюджет!AE61</f>
        <v>0</v>
      </c>
      <c r="AF41" s="66">
        <f>Бюджет!AF61</f>
        <v>0</v>
      </c>
      <c r="AG41" s="66">
        <f>Бюджет!AG61</f>
        <v>0</v>
      </c>
      <c r="AH41" s="66">
        <f>Бюджет!AH61</f>
        <v>0</v>
      </c>
      <c r="AI41" s="66">
        <f>Бюджет!AI61</f>
        <v>0</v>
      </c>
      <c r="AJ41" s="66">
        <f t="shared" si="3"/>
        <v>79.2</v>
      </c>
      <c r="AK41" s="29"/>
    </row>
    <row r="42" spans="1:37" s="30" customFormat="1" ht="15" x14ac:dyDescent="0.2">
      <c r="A42" s="60" t="str">
        <f>Бюджет!A62</f>
        <v>Б1.В.04</v>
      </c>
      <c r="B42" s="60" t="str">
        <f>Бюджет!B62</f>
        <v>Основы цифровой электроники и схемотехники</v>
      </c>
      <c r="C42" s="67" t="str">
        <f>Бюджет!C62</f>
        <v>3\5</v>
      </c>
      <c r="D42" s="67">
        <f>Бюджет!D62</f>
        <v>15</v>
      </c>
      <c r="E42" s="67">
        <f>Бюджет!E62</f>
        <v>1</v>
      </c>
      <c r="F42" s="66">
        <f>Бюджет!F62</f>
        <v>34</v>
      </c>
      <c r="G42" s="66">
        <f>Бюджет!G62</f>
        <v>34</v>
      </c>
      <c r="H42" s="66">
        <f>Бюджет!H62</f>
        <v>0</v>
      </c>
      <c r="I42" s="66">
        <f>Бюджет!I62</f>
        <v>0</v>
      </c>
      <c r="J42" s="66">
        <f>Бюджет!J62</f>
        <v>34</v>
      </c>
      <c r="K42" s="66">
        <f>Бюджет!K62</f>
        <v>4.5</v>
      </c>
      <c r="L42" s="66">
        <f>Бюджет!L62</f>
        <v>0</v>
      </c>
      <c r="M42" s="66">
        <f>Бюджет!M62</f>
        <v>0</v>
      </c>
      <c r="N42" s="66">
        <f>Бюджет!N62</f>
        <v>0</v>
      </c>
      <c r="O42" s="66">
        <f>Бюджет!O62</f>
        <v>0</v>
      </c>
      <c r="P42" s="66">
        <f>Бюджет!P62</f>
        <v>0</v>
      </c>
      <c r="Q42" s="66">
        <f>Бюджет!Q62</f>
        <v>1.7000000000000002</v>
      </c>
      <c r="R42" s="66">
        <f>Бюджет!R62</f>
        <v>0</v>
      </c>
      <c r="S42" s="66">
        <f>Бюджет!S62</f>
        <v>0</v>
      </c>
      <c r="T42" s="66">
        <f>Бюджет!T62</f>
        <v>0</v>
      </c>
      <c r="U42" s="66">
        <f>Бюджет!U62</f>
        <v>0</v>
      </c>
      <c r="V42" s="66">
        <f>Бюджет!V62</f>
        <v>0</v>
      </c>
      <c r="W42" s="66">
        <f>Бюджет!W62</f>
        <v>0</v>
      </c>
      <c r="X42" s="66">
        <f>Бюджет!X62</f>
        <v>0</v>
      </c>
      <c r="Y42" s="66">
        <f>Бюджет!Y62</f>
        <v>0</v>
      </c>
      <c r="Z42" s="66">
        <f>Бюджет!Z62</f>
        <v>0</v>
      </c>
      <c r="AA42" s="66">
        <f>Бюджет!AA62</f>
        <v>0</v>
      </c>
      <c r="AB42" s="66">
        <f>Бюджет!AB62</f>
        <v>0</v>
      </c>
      <c r="AC42" s="66">
        <f>Бюджет!AC62</f>
        <v>0</v>
      </c>
      <c r="AD42" s="66">
        <f>Бюджет!AD62</f>
        <v>0</v>
      </c>
      <c r="AE42" s="66">
        <f>Бюджет!AE62</f>
        <v>0</v>
      </c>
      <c r="AF42" s="66">
        <f>Бюджет!AF62</f>
        <v>0</v>
      </c>
      <c r="AG42" s="66">
        <f>Бюджет!AG62</f>
        <v>0</v>
      </c>
      <c r="AH42" s="66">
        <f>Бюджет!AH62</f>
        <v>0</v>
      </c>
      <c r="AI42" s="66">
        <f>Бюджет!AI62</f>
        <v>0</v>
      </c>
      <c r="AJ42" s="66">
        <f t="shared" si="3"/>
        <v>74.2</v>
      </c>
      <c r="AK42" s="29"/>
    </row>
    <row r="43" spans="1:37" s="30" customFormat="1" ht="15" x14ac:dyDescent="0.2">
      <c r="A43" s="60" t="str">
        <f>Бюджет!A63</f>
        <v>Б1.В.04</v>
      </c>
      <c r="B43" s="60" t="str">
        <f>Бюджет!B63</f>
        <v>Основы цифровой электроники и схемотехники</v>
      </c>
      <c r="C43" s="67" t="str">
        <f>Бюджет!C63</f>
        <v>3\6</v>
      </c>
      <c r="D43" s="67">
        <f>Бюджет!D63</f>
        <v>15</v>
      </c>
      <c r="E43" s="67">
        <f>Бюджет!E63</f>
        <v>1</v>
      </c>
      <c r="F43" s="66">
        <f>Бюджет!F63</f>
        <v>18</v>
      </c>
      <c r="G43" s="66">
        <f>Бюджет!G63</f>
        <v>18</v>
      </c>
      <c r="H43" s="66">
        <f>Бюджет!H63</f>
        <v>0</v>
      </c>
      <c r="I43" s="66">
        <f>Бюджет!I63</f>
        <v>0</v>
      </c>
      <c r="J43" s="66">
        <f>Бюджет!J63</f>
        <v>36</v>
      </c>
      <c r="K43" s="66">
        <f>Бюджет!K63</f>
        <v>4.5</v>
      </c>
      <c r="L43" s="66">
        <f>Бюджет!L63</f>
        <v>0</v>
      </c>
      <c r="M43" s="66">
        <f>Бюджет!M63</f>
        <v>0</v>
      </c>
      <c r="N43" s="66">
        <f>Бюджет!N63</f>
        <v>0</v>
      </c>
      <c r="O43" s="66">
        <f>Бюджет!O63</f>
        <v>0</v>
      </c>
      <c r="P43" s="66">
        <f>Бюджет!P63</f>
        <v>0</v>
      </c>
      <c r="Q43" s="66">
        <f>Бюджет!Q63</f>
        <v>0.9</v>
      </c>
      <c r="R43" s="66">
        <f>Бюджет!R63</f>
        <v>0</v>
      </c>
      <c r="S43" s="66">
        <f>Бюджет!S63</f>
        <v>0</v>
      </c>
      <c r="T43" s="66">
        <f>Бюджет!T63</f>
        <v>0</v>
      </c>
      <c r="U43" s="66">
        <f>Бюджет!U63</f>
        <v>0</v>
      </c>
      <c r="V43" s="66">
        <f>Бюджет!V63</f>
        <v>0</v>
      </c>
      <c r="W43" s="66">
        <f>Бюджет!W63</f>
        <v>0</v>
      </c>
      <c r="X43" s="66">
        <f>Бюджет!X63</f>
        <v>0</v>
      </c>
      <c r="Y43" s="66">
        <f>Бюджет!Y63</f>
        <v>0</v>
      </c>
      <c r="Z43" s="66">
        <f>Бюджет!Z63</f>
        <v>0</v>
      </c>
      <c r="AA43" s="66">
        <f>Бюджет!AA63</f>
        <v>0</v>
      </c>
      <c r="AB43" s="66">
        <f>Бюджет!AB63</f>
        <v>0</v>
      </c>
      <c r="AC43" s="66">
        <f>Бюджет!AC63</f>
        <v>0</v>
      </c>
      <c r="AD43" s="66">
        <f>Бюджет!AD63</f>
        <v>0</v>
      </c>
      <c r="AE43" s="66">
        <f>Бюджет!AE63</f>
        <v>0</v>
      </c>
      <c r="AF43" s="66">
        <f>Бюджет!AF63</f>
        <v>0</v>
      </c>
      <c r="AG43" s="66">
        <f>Бюджет!AG63</f>
        <v>0</v>
      </c>
      <c r="AH43" s="66">
        <f>Бюджет!AH63</f>
        <v>0</v>
      </c>
      <c r="AI43" s="66">
        <f>Бюджет!AI63</f>
        <v>0</v>
      </c>
      <c r="AJ43" s="66">
        <f t="shared" si="3"/>
        <v>59.4</v>
      </c>
      <c r="AK43" s="29"/>
    </row>
    <row r="44" spans="1:37" s="30" customFormat="1" ht="15" x14ac:dyDescent="0.2">
      <c r="A44" s="60" t="str">
        <f>Бюджет!A64</f>
        <v>Б1.В.05</v>
      </c>
      <c r="B44" s="60" t="str">
        <f>Бюджет!B64</f>
        <v>Методы обработки сигналов</v>
      </c>
      <c r="C44" s="67" t="str">
        <f>Бюджет!C64</f>
        <v>3\6</v>
      </c>
      <c r="D44" s="67">
        <f>Бюджет!D64</f>
        <v>15</v>
      </c>
      <c r="E44" s="67">
        <f>Бюджет!E64</f>
        <v>1</v>
      </c>
      <c r="F44" s="66">
        <f>Бюджет!F64</f>
        <v>36</v>
      </c>
      <c r="G44" s="66">
        <f>Бюджет!G64</f>
        <v>36</v>
      </c>
      <c r="H44" s="66">
        <f>Бюджет!H64</f>
        <v>18</v>
      </c>
      <c r="I44" s="66">
        <f>Бюджет!I64</f>
        <v>18</v>
      </c>
      <c r="J44" s="66">
        <f>Бюджет!J64</f>
        <v>54</v>
      </c>
      <c r="K44" s="66">
        <f>Бюджет!K64</f>
        <v>4.5</v>
      </c>
      <c r="L44" s="66">
        <f>Бюджет!L64</f>
        <v>0</v>
      </c>
      <c r="M44" s="66">
        <f>Бюджет!M64</f>
        <v>0</v>
      </c>
      <c r="N44" s="66">
        <f>Бюджет!N64</f>
        <v>0</v>
      </c>
      <c r="O44" s="66">
        <f>Бюджет!O64</f>
        <v>0</v>
      </c>
      <c r="P44" s="66">
        <f>Бюджет!P64</f>
        <v>0</v>
      </c>
      <c r="Q44" s="66">
        <f>Бюджет!Q64</f>
        <v>1.8</v>
      </c>
      <c r="R44" s="66">
        <f>Бюджет!R64</f>
        <v>0</v>
      </c>
      <c r="S44" s="66">
        <f>Бюджет!S64</f>
        <v>0</v>
      </c>
      <c r="T44" s="66">
        <f>Бюджет!T64</f>
        <v>0</v>
      </c>
      <c r="U44" s="66">
        <f>Бюджет!U64</f>
        <v>0</v>
      </c>
      <c r="V44" s="66">
        <f>Бюджет!V64</f>
        <v>0</v>
      </c>
      <c r="W44" s="66">
        <f>Бюджет!W64</f>
        <v>0</v>
      </c>
      <c r="X44" s="66">
        <f>Бюджет!X64</f>
        <v>0</v>
      </c>
      <c r="Y44" s="66">
        <f>Бюджет!Y64</f>
        <v>0</v>
      </c>
      <c r="Z44" s="66">
        <f>Бюджет!Z64</f>
        <v>0</v>
      </c>
      <c r="AA44" s="66">
        <f>Бюджет!AA64</f>
        <v>0</v>
      </c>
      <c r="AB44" s="66">
        <f>Бюджет!AB64</f>
        <v>0</v>
      </c>
      <c r="AC44" s="66">
        <f>Бюджет!AC64</f>
        <v>0</v>
      </c>
      <c r="AD44" s="66">
        <f>Бюджет!AD64</f>
        <v>0</v>
      </c>
      <c r="AE44" s="66">
        <f>Бюджет!AE64</f>
        <v>0</v>
      </c>
      <c r="AF44" s="66">
        <f>Бюджет!AF64</f>
        <v>0</v>
      </c>
      <c r="AG44" s="66">
        <f>Бюджет!AG64</f>
        <v>0</v>
      </c>
      <c r="AH44" s="66">
        <f>Бюджет!AH64</f>
        <v>0</v>
      </c>
      <c r="AI44" s="66">
        <f>Бюджет!AI64</f>
        <v>0</v>
      </c>
      <c r="AJ44" s="66">
        <f t="shared" si="3"/>
        <v>114.3</v>
      </c>
      <c r="AK44" s="29"/>
    </row>
    <row r="45" spans="1:37" s="30" customFormat="1" ht="30" x14ac:dyDescent="0.2">
      <c r="A45" s="60" t="str">
        <f>Бюджет!A65</f>
        <v>Б2.В.01(Н)</v>
      </c>
      <c r="B45" s="60" t="str">
        <f>Бюджет!B65</f>
        <v>Производственная практика (Научно-исследовательская работа) (расср., 2/3 нед.)</v>
      </c>
      <c r="C45" s="67" t="str">
        <f>Бюджет!C65</f>
        <v>3\5</v>
      </c>
      <c r="D45" s="67">
        <f>Бюджет!D65</f>
        <v>15</v>
      </c>
      <c r="E45" s="67">
        <f>Бюджет!E65</f>
        <v>1</v>
      </c>
      <c r="F45" s="66">
        <f>Бюджет!F65</f>
        <v>0</v>
      </c>
      <c r="G45" s="66">
        <f>Бюджет!G65</f>
        <v>0</v>
      </c>
      <c r="H45" s="66">
        <f>Бюджет!H65</f>
        <v>0</v>
      </c>
      <c r="I45" s="66">
        <f>Бюджет!I65</f>
        <v>0</v>
      </c>
      <c r="J45" s="66">
        <f>Бюджет!J65</f>
        <v>0</v>
      </c>
      <c r="K45" s="66">
        <f>Бюджет!K65</f>
        <v>0</v>
      </c>
      <c r="L45" s="66">
        <f>Бюджет!L65</f>
        <v>0</v>
      </c>
      <c r="M45" s="66">
        <f>Бюджет!M65</f>
        <v>0</v>
      </c>
      <c r="N45" s="66">
        <f>Бюджет!N65</f>
        <v>0</v>
      </c>
      <c r="O45" s="66">
        <f>Бюджет!O65</f>
        <v>0</v>
      </c>
      <c r="P45" s="66">
        <f>Бюджет!P65</f>
        <v>0</v>
      </c>
      <c r="Q45" s="66">
        <f>Бюджет!Q65</f>
        <v>0</v>
      </c>
      <c r="R45" s="66">
        <f>Бюджет!R65</f>
        <v>0</v>
      </c>
      <c r="S45" s="66">
        <f>Бюджет!S65</f>
        <v>0</v>
      </c>
      <c r="T45" s="66">
        <f>Бюджет!T65</f>
        <v>10</v>
      </c>
      <c r="U45" s="66">
        <f>Бюджет!U65</f>
        <v>0</v>
      </c>
      <c r="V45" s="66">
        <f>Бюджет!V65</f>
        <v>0</v>
      </c>
      <c r="W45" s="66">
        <f>Бюджет!W65</f>
        <v>0</v>
      </c>
      <c r="X45" s="66">
        <f>Бюджет!X65</f>
        <v>0</v>
      </c>
      <c r="Y45" s="66">
        <f>Бюджет!Y65</f>
        <v>0</v>
      </c>
      <c r="Z45" s="66">
        <f>Бюджет!Z65</f>
        <v>0</v>
      </c>
      <c r="AA45" s="66">
        <f>Бюджет!AA65</f>
        <v>0</v>
      </c>
      <c r="AB45" s="66">
        <f>Бюджет!AB65</f>
        <v>0</v>
      </c>
      <c r="AC45" s="66">
        <f>Бюджет!AC65</f>
        <v>0</v>
      </c>
      <c r="AD45" s="66">
        <f>Бюджет!AD65</f>
        <v>0</v>
      </c>
      <c r="AE45" s="66">
        <f>Бюджет!AE65</f>
        <v>0</v>
      </c>
      <c r="AF45" s="66">
        <f>Бюджет!AF65</f>
        <v>0</v>
      </c>
      <c r="AG45" s="66">
        <f>Бюджет!AG65</f>
        <v>0</v>
      </c>
      <c r="AH45" s="66">
        <f>Бюджет!AH65</f>
        <v>0</v>
      </c>
      <c r="AI45" s="66">
        <f>Бюджет!AI65</f>
        <v>0</v>
      </c>
      <c r="AJ45" s="66">
        <f t="shared" si="3"/>
        <v>10</v>
      </c>
      <c r="AK45" s="29"/>
    </row>
    <row r="46" spans="1:37" s="30" customFormat="1" ht="30" x14ac:dyDescent="0.2">
      <c r="A46" s="60" t="str">
        <f>Бюджет!A66</f>
        <v>Б2.В.01(Н)</v>
      </c>
      <c r="B46" s="60" t="str">
        <f>Бюджет!B66</f>
        <v>Производственная практика (Научно-исследовательская работа) (расср., 2/3 нед.)</v>
      </c>
      <c r="C46" s="67" t="str">
        <f>Бюджет!C66</f>
        <v>3\6</v>
      </c>
      <c r="D46" s="67">
        <f>Бюджет!D66</f>
        <v>15</v>
      </c>
      <c r="E46" s="67">
        <f>Бюджет!E66</f>
        <v>1</v>
      </c>
      <c r="F46" s="66">
        <f>Бюджет!F66</f>
        <v>0</v>
      </c>
      <c r="G46" s="66">
        <f>Бюджет!G66</f>
        <v>0</v>
      </c>
      <c r="H46" s="66">
        <f>Бюджет!H66</f>
        <v>0</v>
      </c>
      <c r="I46" s="66">
        <f>Бюджет!I66</f>
        <v>0</v>
      </c>
      <c r="J46" s="66">
        <f>Бюджет!J66</f>
        <v>0</v>
      </c>
      <c r="K46" s="66">
        <f>Бюджет!K66</f>
        <v>0</v>
      </c>
      <c r="L46" s="66">
        <f>Бюджет!L66</f>
        <v>0</v>
      </c>
      <c r="M46" s="66">
        <f>Бюджет!M66</f>
        <v>0</v>
      </c>
      <c r="N46" s="66">
        <f>Бюджет!N66</f>
        <v>0</v>
      </c>
      <c r="O46" s="66">
        <f>Бюджет!O66</f>
        <v>0</v>
      </c>
      <c r="P46" s="66">
        <f>Бюджет!P66</f>
        <v>0</v>
      </c>
      <c r="Q46" s="66">
        <f>Бюджет!Q66</f>
        <v>0</v>
      </c>
      <c r="R46" s="66">
        <f>Бюджет!R66</f>
        <v>0</v>
      </c>
      <c r="S46" s="66">
        <f>Бюджет!S66</f>
        <v>0</v>
      </c>
      <c r="T46" s="66">
        <f>Бюджет!T66</f>
        <v>10</v>
      </c>
      <c r="U46" s="66">
        <f>Бюджет!U66</f>
        <v>0</v>
      </c>
      <c r="V46" s="66">
        <f>Бюджет!V66</f>
        <v>0</v>
      </c>
      <c r="W46" s="66">
        <f>Бюджет!W66</f>
        <v>0</v>
      </c>
      <c r="X46" s="66">
        <f>Бюджет!X66</f>
        <v>0</v>
      </c>
      <c r="Y46" s="66">
        <f>Бюджет!Y66</f>
        <v>0</v>
      </c>
      <c r="Z46" s="66">
        <f>Бюджет!Z66</f>
        <v>0</v>
      </c>
      <c r="AA46" s="66">
        <f>Бюджет!AA66</f>
        <v>0</v>
      </c>
      <c r="AB46" s="66">
        <f>Бюджет!AB66</f>
        <v>0</v>
      </c>
      <c r="AC46" s="66">
        <f>Бюджет!AC66</f>
        <v>0</v>
      </c>
      <c r="AD46" s="66">
        <f>Бюджет!AD66</f>
        <v>0</v>
      </c>
      <c r="AE46" s="66">
        <f>Бюджет!AE66</f>
        <v>0</v>
      </c>
      <c r="AF46" s="66">
        <f>Бюджет!AF66</f>
        <v>0</v>
      </c>
      <c r="AG46" s="66">
        <f>Бюджет!AG66</f>
        <v>0</v>
      </c>
      <c r="AH46" s="66">
        <f>Бюджет!AH66</f>
        <v>0</v>
      </c>
      <c r="AI46" s="66">
        <f>Бюджет!AI66</f>
        <v>0</v>
      </c>
      <c r="AJ46" s="66">
        <f t="shared" si="3"/>
        <v>10</v>
      </c>
      <c r="AK46" s="29"/>
    </row>
    <row r="47" spans="1:37" s="30" customFormat="1" ht="30" x14ac:dyDescent="0.2">
      <c r="A47" s="60" t="str">
        <f>Бюджет!A67</f>
        <v>Б2.В.02(Н)</v>
      </c>
      <c r="B47" s="60" t="str">
        <f>Бюджет!B67</f>
        <v>Производственная практика (Научно-исследовательская работа) (2 нед.)</v>
      </c>
      <c r="C47" s="67" t="str">
        <f>Бюджет!C67</f>
        <v>3\6</v>
      </c>
      <c r="D47" s="67">
        <f>Бюджет!D67</f>
        <v>15</v>
      </c>
      <c r="E47" s="67">
        <f>Бюджет!E67</f>
        <v>1</v>
      </c>
      <c r="F47" s="66">
        <f>Бюджет!F67</f>
        <v>0</v>
      </c>
      <c r="G47" s="66">
        <f>Бюджет!G67</f>
        <v>0</v>
      </c>
      <c r="H47" s="66">
        <f>Бюджет!H67</f>
        <v>0</v>
      </c>
      <c r="I47" s="66">
        <f>Бюджет!I67</f>
        <v>0</v>
      </c>
      <c r="J47" s="66">
        <f>Бюджет!J67</f>
        <v>0</v>
      </c>
      <c r="K47" s="66">
        <f>Бюджет!K67</f>
        <v>0</v>
      </c>
      <c r="L47" s="66">
        <f>Бюджет!L67</f>
        <v>0</v>
      </c>
      <c r="M47" s="66">
        <f>Бюджет!M67</f>
        <v>0</v>
      </c>
      <c r="N47" s="66">
        <f>Бюджет!N67</f>
        <v>0</v>
      </c>
      <c r="O47" s="66">
        <f>Бюджет!O67</f>
        <v>0</v>
      </c>
      <c r="P47" s="66">
        <f>Бюджет!P67</f>
        <v>0</v>
      </c>
      <c r="Q47" s="66">
        <f>Бюджет!Q67</f>
        <v>0</v>
      </c>
      <c r="R47" s="66">
        <f>Бюджет!R67</f>
        <v>0</v>
      </c>
      <c r="S47" s="66">
        <f>Бюджет!S67</f>
        <v>0</v>
      </c>
      <c r="T47" s="66">
        <f>Бюджет!T67</f>
        <v>30</v>
      </c>
      <c r="U47" s="66">
        <f>Бюджет!U67</f>
        <v>0</v>
      </c>
      <c r="V47" s="66">
        <f>Бюджет!V67</f>
        <v>0</v>
      </c>
      <c r="W47" s="66">
        <f>Бюджет!W67</f>
        <v>0</v>
      </c>
      <c r="X47" s="66">
        <f>Бюджет!X67</f>
        <v>0</v>
      </c>
      <c r="Y47" s="66">
        <f>Бюджет!Y67</f>
        <v>0</v>
      </c>
      <c r="Z47" s="66">
        <f>Бюджет!Z67</f>
        <v>0</v>
      </c>
      <c r="AA47" s="66">
        <f>Бюджет!AA67</f>
        <v>0</v>
      </c>
      <c r="AB47" s="66">
        <f>Бюджет!AB67</f>
        <v>0</v>
      </c>
      <c r="AC47" s="66">
        <f>Бюджет!AC67</f>
        <v>0</v>
      </c>
      <c r="AD47" s="66">
        <f>Бюджет!AD67</f>
        <v>0</v>
      </c>
      <c r="AE47" s="66">
        <f>Бюджет!AE67</f>
        <v>0</v>
      </c>
      <c r="AF47" s="66">
        <f>Бюджет!AF67</f>
        <v>0</v>
      </c>
      <c r="AG47" s="66">
        <f>Бюджет!AG67</f>
        <v>0</v>
      </c>
      <c r="AH47" s="66">
        <f>Бюджет!AH67</f>
        <v>0</v>
      </c>
      <c r="AI47" s="66">
        <f>Бюджет!AI67</f>
        <v>0</v>
      </c>
      <c r="AJ47" s="66">
        <f t="shared" si="3"/>
        <v>30</v>
      </c>
      <c r="AK47" s="29"/>
    </row>
    <row r="48" spans="1:37" s="30" customFormat="1" ht="15" x14ac:dyDescent="0.2">
      <c r="A48" s="60" t="str">
        <f>Бюджет!A68</f>
        <v>Б1.О.26</v>
      </c>
      <c r="B48" s="60" t="str">
        <f>Бюджет!B68</f>
        <v>Компьютерные вычислительные сети</v>
      </c>
      <c r="C48" s="67" t="str">
        <f>Бюджет!C68</f>
        <v>4\7</v>
      </c>
      <c r="D48" s="67">
        <f>Бюджет!D68</f>
        <v>26</v>
      </c>
      <c r="E48" s="67">
        <f>Бюджет!E68</f>
        <v>1</v>
      </c>
      <c r="F48" s="66">
        <f>Бюджет!F68</f>
        <v>34</v>
      </c>
      <c r="G48" s="66">
        <f>Бюджет!G68</f>
        <v>34</v>
      </c>
      <c r="H48" s="66">
        <f>Бюджет!H68</f>
        <v>0</v>
      </c>
      <c r="I48" s="66">
        <f>Бюджет!I68</f>
        <v>0</v>
      </c>
      <c r="J48" s="66">
        <f>Бюджет!J68</f>
        <v>100</v>
      </c>
      <c r="K48" s="66">
        <f>Бюджет!K68</f>
        <v>7.8</v>
      </c>
      <c r="L48" s="66">
        <f>Бюджет!L68</f>
        <v>0</v>
      </c>
      <c r="M48" s="66">
        <f>Бюджет!M68</f>
        <v>0</v>
      </c>
      <c r="N48" s="66">
        <f>Бюджет!N68</f>
        <v>0</v>
      </c>
      <c r="O48" s="66">
        <f>Бюджет!O68</f>
        <v>0</v>
      </c>
      <c r="P48" s="66">
        <f>Бюджет!P68</f>
        <v>0</v>
      </c>
      <c r="Q48" s="66">
        <f>Бюджет!Q68</f>
        <v>1.7000000000000002</v>
      </c>
      <c r="R48" s="66">
        <f>Бюджет!R68</f>
        <v>0</v>
      </c>
      <c r="S48" s="66">
        <f>Бюджет!S68</f>
        <v>0</v>
      </c>
      <c r="T48" s="66">
        <f>Бюджет!T68</f>
        <v>0</v>
      </c>
      <c r="U48" s="66">
        <f>Бюджет!U68</f>
        <v>0</v>
      </c>
      <c r="V48" s="66">
        <f>Бюджет!V68</f>
        <v>0</v>
      </c>
      <c r="W48" s="66">
        <f>Бюджет!W68</f>
        <v>0</v>
      </c>
      <c r="X48" s="66">
        <f>Бюджет!X68</f>
        <v>0</v>
      </c>
      <c r="Y48" s="66">
        <f>Бюджет!Y68</f>
        <v>0</v>
      </c>
      <c r="Z48" s="66">
        <f>Бюджет!Z68</f>
        <v>0</v>
      </c>
      <c r="AA48" s="66">
        <f>Бюджет!AA68</f>
        <v>0</v>
      </c>
      <c r="AB48" s="66">
        <f>Бюджет!AB68</f>
        <v>0</v>
      </c>
      <c r="AC48" s="66">
        <f>Бюджет!AC68</f>
        <v>0</v>
      </c>
      <c r="AD48" s="66">
        <f>Бюджет!AD68</f>
        <v>0</v>
      </c>
      <c r="AE48" s="66">
        <f>Бюджет!AE68</f>
        <v>0</v>
      </c>
      <c r="AF48" s="66">
        <f>Бюджет!AF68</f>
        <v>0</v>
      </c>
      <c r="AG48" s="66">
        <f>Бюджет!AG68</f>
        <v>0</v>
      </c>
      <c r="AH48" s="66">
        <f>Бюджет!AH68</f>
        <v>0</v>
      </c>
      <c r="AI48" s="66">
        <f>Бюджет!AI68</f>
        <v>0</v>
      </c>
      <c r="AJ48" s="66">
        <f t="shared" si="3"/>
        <v>143.5</v>
      </c>
      <c r="AK48" s="29"/>
    </row>
    <row r="49" spans="1:37" s="30" customFormat="1" ht="15" x14ac:dyDescent="0.2">
      <c r="A49" s="60" t="str">
        <f>Бюджет!A69</f>
        <v>Б1.О.28</v>
      </c>
      <c r="B49" s="60" t="str">
        <f>Бюджет!B69</f>
        <v>Цифровые системы передачи информации</v>
      </c>
      <c r="C49" s="67" t="str">
        <f>Бюджет!C69</f>
        <v>4\7</v>
      </c>
      <c r="D49" s="67">
        <f>Бюджет!D69</f>
        <v>26</v>
      </c>
      <c r="E49" s="67">
        <f>Бюджет!E69</f>
        <v>1</v>
      </c>
      <c r="F49" s="66">
        <f>Бюджет!F69</f>
        <v>34</v>
      </c>
      <c r="G49" s="66">
        <f>Бюджет!G69</f>
        <v>34</v>
      </c>
      <c r="H49" s="66">
        <f>Бюджет!H69</f>
        <v>0</v>
      </c>
      <c r="I49" s="66">
        <f>Бюджет!I69</f>
        <v>0</v>
      </c>
      <c r="J49" s="66">
        <f>Бюджет!J69</f>
        <v>100</v>
      </c>
      <c r="K49" s="66">
        <f>Бюджет!K69</f>
        <v>7.8</v>
      </c>
      <c r="L49" s="66">
        <f>Бюджет!L69</f>
        <v>0</v>
      </c>
      <c r="M49" s="66">
        <f>Бюджет!M69</f>
        <v>0</v>
      </c>
      <c r="N49" s="66">
        <f>Бюджет!N69</f>
        <v>0</v>
      </c>
      <c r="O49" s="66">
        <f>Бюджет!O69</f>
        <v>0</v>
      </c>
      <c r="P49" s="66">
        <f>Бюджет!P69</f>
        <v>0</v>
      </c>
      <c r="Q49" s="66">
        <f>Бюджет!Q69</f>
        <v>1.7000000000000002</v>
      </c>
      <c r="R49" s="66">
        <f>Бюджет!R69</f>
        <v>0</v>
      </c>
      <c r="S49" s="66">
        <f>Бюджет!S69</f>
        <v>0</v>
      </c>
      <c r="T49" s="66">
        <f>Бюджет!T69</f>
        <v>0</v>
      </c>
      <c r="U49" s="66">
        <f>Бюджет!U69</f>
        <v>0</v>
      </c>
      <c r="V49" s="66">
        <f>Бюджет!V69</f>
        <v>0</v>
      </c>
      <c r="W49" s="66">
        <f>Бюджет!W69</f>
        <v>0</v>
      </c>
      <c r="X49" s="66">
        <f>Бюджет!X69</f>
        <v>0</v>
      </c>
      <c r="Y49" s="66">
        <f>Бюджет!Y69</f>
        <v>0</v>
      </c>
      <c r="Z49" s="66">
        <f>Бюджет!Z69</f>
        <v>0</v>
      </c>
      <c r="AA49" s="66">
        <f>Бюджет!AA69</f>
        <v>0</v>
      </c>
      <c r="AB49" s="66">
        <f>Бюджет!AB69</f>
        <v>0</v>
      </c>
      <c r="AC49" s="66">
        <f>Бюджет!AC69</f>
        <v>0</v>
      </c>
      <c r="AD49" s="66">
        <f>Бюджет!AD69</f>
        <v>0</v>
      </c>
      <c r="AE49" s="66">
        <f>Бюджет!AE69</f>
        <v>0</v>
      </c>
      <c r="AF49" s="66">
        <f>Бюджет!AF69</f>
        <v>0</v>
      </c>
      <c r="AG49" s="66">
        <f>Бюджет!AG69</f>
        <v>0</v>
      </c>
      <c r="AH49" s="66">
        <f>Бюджет!AH69</f>
        <v>0</v>
      </c>
      <c r="AI49" s="66">
        <f>Бюджет!AI69</f>
        <v>0</v>
      </c>
      <c r="AJ49" s="66">
        <f t="shared" si="3"/>
        <v>143.5</v>
      </c>
      <c r="AK49" s="29"/>
    </row>
    <row r="50" spans="1:37" s="30" customFormat="1" ht="15" x14ac:dyDescent="0.2">
      <c r="A50" s="60" t="str">
        <f>Бюджет!A70</f>
        <v>Б1.О.30</v>
      </c>
      <c r="B50" s="60" t="str">
        <f>Бюджет!B70</f>
        <v>Web-программирование</v>
      </c>
      <c r="C50" s="67" t="str">
        <f>Бюджет!C70</f>
        <v>4\7</v>
      </c>
      <c r="D50" s="67">
        <f>Бюджет!D70</f>
        <v>26</v>
      </c>
      <c r="E50" s="67">
        <f>Бюджет!E70</f>
        <v>1</v>
      </c>
      <c r="F50" s="66">
        <f>Бюджет!F70</f>
        <v>34</v>
      </c>
      <c r="G50" s="66">
        <f>Бюджет!G70</f>
        <v>34</v>
      </c>
      <c r="H50" s="66">
        <f>Бюджет!H70</f>
        <v>0</v>
      </c>
      <c r="I50" s="66">
        <f>Бюджет!I70</f>
        <v>0</v>
      </c>
      <c r="J50" s="66">
        <f>Бюджет!J70</f>
        <v>68</v>
      </c>
      <c r="K50" s="66">
        <f>Бюджет!K70</f>
        <v>7.8</v>
      </c>
      <c r="L50" s="66">
        <f>Бюджет!L70</f>
        <v>0</v>
      </c>
      <c r="M50" s="66">
        <f>Бюджет!M70</f>
        <v>0</v>
      </c>
      <c r="N50" s="66">
        <f>Бюджет!N70</f>
        <v>0</v>
      </c>
      <c r="O50" s="66">
        <f>Бюджет!O70</f>
        <v>0</v>
      </c>
      <c r="P50" s="66">
        <f>Бюджет!P70</f>
        <v>0</v>
      </c>
      <c r="Q50" s="66">
        <f>Бюджет!Q70</f>
        <v>1.7000000000000002</v>
      </c>
      <c r="R50" s="66">
        <f>Бюджет!R70</f>
        <v>0</v>
      </c>
      <c r="S50" s="66">
        <f>Бюджет!S70</f>
        <v>0</v>
      </c>
      <c r="T50" s="66">
        <f>Бюджет!T70</f>
        <v>0</v>
      </c>
      <c r="U50" s="66">
        <f>Бюджет!U70</f>
        <v>0</v>
      </c>
      <c r="V50" s="66">
        <f>Бюджет!V70</f>
        <v>0</v>
      </c>
      <c r="W50" s="66">
        <f>Бюджет!W70</f>
        <v>0</v>
      </c>
      <c r="X50" s="66">
        <f>Бюджет!X70</f>
        <v>0</v>
      </c>
      <c r="Y50" s="66">
        <f>Бюджет!Y70</f>
        <v>0</v>
      </c>
      <c r="Z50" s="66">
        <f>Бюджет!Z70</f>
        <v>0</v>
      </c>
      <c r="AA50" s="66">
        <f>Бюджет!AA70</f>
        <v>0</v>
      </c>
      <c r="AB50" s="66">
        <f>Бюджет!AB70</f>
        <v>0</v>
      </c>
      <c r="AC50" s="66">
        <f>Бюджет!AC70</f>
        <v>0</v>
      </c>
      <c r="AD50" s="66">
        <f>Бюджет!AD70</f>
        <v>0</v>
      </c>
      <c r="AE50" s="66">
        <f>Бюджет!AE70</f>
        <v>0</v>
      </c>
      <c r="AF50" s="66">
        <f>Бюджет!AF70</f>
        <v>0</v>
      </c>
      <c r="AG50" s="66">
        <f>Бюджет!AG70</f>
        <v>0</v>
      </c>
      <c r="AH50" s="66">
        <f>Бюджет!AH70</f>
        <v>0</v>
      </c>
      <c r="AI50" s="66">
        <f>Бюджет!AI70</f>
        <v>0</v>
      </c>
      <c r="AJ50" s="66">
        <f t="shared" si="3"/>
        <v>111.5</v>
      </c>
      <c r="AK50" s="29"/>
    </row>
    <row r="51" spans="1:37" s="30" customFormat="1" ht="15" x14ac:dyDescent="0.2">
      <c r="A51" s="60" t="str">
        <f>Бюджет!A72</f>
        <v>Б1.О.32</v>
      </c>
      <c r="B51" s="60" t="str">
        <f>Бюджет!B72</f>
        <v>Современные проблемы радиофизики</v>
      </c>
      <c r="C51" s="67" t="str">
        <f>Бюджет!C72</f>
        <v>4\8</v>
      </c>
      <c r="D51" s="67">
        <f>Бюджет!D72</f>
        <v>26</v>
      </c>
      <c r="E51" s="67">
        <f>Бюджет!E72</f>
        <v>1</v>
      </c>
      <c r="F51" s="66">
        <f>Бюджет!F72</f>
        <v>24</v>
      </c>
      <c r="G51" s="66">
        <f>Бюджет!G72</f>
        <v>24</v>
      </c>
      <c r="H51" s="66">
        <f>Бюджет!H72</f>
        <v>0</v>
      </c>
      <c r="I51" s="66">
        <f>Бюджет!I72</f>
        <v>0</v>
      </c>
      <c r="J51" s="66">
        <f>Бюджет!J72</f>
        <v>0</v>
      </c>
      <c r="K51" s="66">
        <f>Бюджет!K72</f>
        <v>7.8</v>
      </c>
      <c r="L51" s="66">
        <f>Бюджет!L72</f>
        <v>0</v>
      </c>
      <c r="M51" s="66">
        <f>Бюджет!M72</f>
        <v>0</v>
      </c>
      <c r="N51" s="66">
        <f>Бюджет!N72</f>
        <v>0</v>
      </c>
      <c r="O51" s="66">
        <f>Бюджет!O72</f>
        <v>0</v>
      </c>
      <c r="P51" s="66">
        <f>Бюджет!P72</f>
        <v>0</v>
      </c>
      <c r="Q51" s="66">
        <f>Бюджет!Q72</f>
        <v>1.2000000000000002</v>
      </c>
      <c r="R51" s="66">
        <f>Бюджет!R72</f>
        <v>0</v>
      </c>
      <c r="S51" s="66">
        <f>Бюджет!S72</f>
        <v>0</v>
      </c>
      <c r="T51" s="66">
        <f>Бюджет!T72</f>
        <v>0</v>
      </c>
      <c r="U51" s="66">
        <f>Бюджет!U72</f>
        <v>0</v>
      </c>
      <c r="V51" s="66">
        <f>Бюджет!V72</f>
        <v>0</v>
      </c>
      <c r="W51" s="66">
        <f>Бюджет!W72</f>
        <v>0</v>
      </c>
      <c r="X51" s="66">
        <f>Бюджет!X72</f>
        <v>0</v>
      </c>
      <c r="Y51" s="66">
        <f>Бюджет!Y72</f>
        <v>0</v>
      </c>
      <c r="Z51" s="66">
        <f>Бюджет!Z72</f>
        <v>0</v>
      </c>
      <c r="AA51" s="66">
        <f>Бюджет!AA72</f>
        <v>0</v>
      </c>
      <c r="AB51" s="66">
        <f>Бюджет!AB72</f>
        <v>0</v>
      </c>
      <c r="AC51" s="66">
        <f>Бюджет!AC72</f>
        <v>0</v>
      </c>
      <c r="AD51" s="66">
        <f>Бюджет!AD72</f>
        <v>0</v>
      </c>
      <c r="AE51" s="66">
        <f>Бюджет!AE72</f>
        <v>0</v>
      </c>
      <c r="AF51" s="66">
        <f>Бюджет!AF72</f>
        <v>0</v>
      </c>
      <c r="AG51" s="66">
        <f>Бюджет!AG72</f>
        <v>0</v>
      </c>
      <c r="AH51" s="66">
        <f>Бюджет!AH72</f>
        <v>0</v>
      </c>
      <c r="AI51" s="66">
        <f>Бюджет!AI72</f>
        <v>0</v>
      </c>
      <c r="AJ51" s="66">
        <f t="shared" si="3"/>
        <v>33</v>
      </c>
      <c r="AK51" s="29"/>
    </row>
    <row r="52" spans="1:37" s="30" customFormat="1" ht="15" x14ac:dyDescent="0.2">
      <c r="A52" s="60" t="str">
        <f>Бюджет!A73</f>
        <v>Б1.О.33</v>
      </c>
      <c r="B52" s="60" t="str">
        <f>Бюджет!B73</f>
        <v>Основы теории кодирования</v>
      </c>
      <c r="C52" s="67" t="str">
        <f>Бюджет!C73</f>
        <v>4\7</v>
      </c>
      <c r="D52" s="67">
        <f>Бюджет!D73</f>
        <v>26</v>
      </c>
      <c r="E52" s="67">
        <f>Бюджет!E73</f>
        <v>1</v>
      </c>
      <c r="F52" s="66">
        <f>Бюджет!F73</f>
        <v>16</v>
      </c>
      <c r="G52" s="66">
        <f>Бюджет!G73</f>
        <v>16</v>
      </c>
      <c r="H52" s="66">
        <f>Бюджет!H73</f>
        <v>16</v>
      </c>
      <c r="I52" s="66">
        <f>Бюджет!I73</f>
        <v>16</v>
      </c>
      <c r="J52" s="66">
        <f>Бюджет!J73</f>
        <v>0</v>
      </c>
      <c r="K52" s="66">
        <f>Бюджет!K73</f>
        <v>7.8</v>
      </c>
      <c r="L52" s="66">
        <f>Бюджет!L73</f>
        <v>0</v>
      </c>
      <c r="M52" s="66">
        <f>Бюджет!M73</f>
        <v>0</v>
      </c>
      <c r="N52" s="66">
        <f>Бюджет!N73</f>
        <v>0</v>
      </c>
      <c r="O52" s="66">
        <f>Бюджет!O73</f>
        <v>0</v>
      </c>
      <c r="P52" s="66">
        <f>Бюджет!P73</f>
        <v>0</v>
      </c>
      <c r="Q52" s="66">
        <f>Бюджет!Q73</f>
        <v>0.8</v>
      </c>
      <c r="R52" s="66">
        <f>Бюджет!R73</f>
        <v>0</v>
      </c>
      <c r="S52" s="66">
        <f>Бюджет!S73</f>
        <v>0</v>
      </c>
      <c r="T52" s="66">
        <f>Бюджет!T73</f>
        <v>0</v>
      </c>
      <c r="U52" s="66">
        <f>Бюджет!U73</f>
        <v>0</v>
      </c>
      <c r="V52" s="66">
        <f>Бюджет!V73</f>
        <v>0</v>
      </c>
      <c r="W52" s="66">
        <f>Бюджет!W73</f>
        <v>0</v>
      </c>
      <c r="X52" s="66">
        <f>Бюджет!X73</f>
        <v>0</v>
      </c>
      <c r="Y52" s="66">
        <f>Бюджет!Y73</f>
        <v>0</v>
      </c>
      <c r="Z52" s="66">
        <f>Бюджет!Z73</f>
        <v>0</v>
      </c>
      <c r="AA52" s="66">
        <f>Бюджет!AA73</f>
        <v>0</v>
      </c>
      <c r="AB52" s="66">
        <f>Бюджет!AB73</f>
        <v>0</v>
      </c>
      <c r="AC52" s="66">
        <f>Бюджет!AC73</f>
        <v>0</v>
      </c>
      <c r="AD52" s="66">
        <f>Бюджет!AD73</f>
        <v>0</v>
      </c>
      <c r="AE52" s="66">
        <f>Бюджет!AE73</f>
        <v>0</v>
      </c>
      <c r="AF52" s="66">
        <f>Бюджет!AF73</f>
        <v>0</v>
      </c>
      <c r="AG52" s="66">
        <f>Бюджет!AG73</f>
        <v>0</v>
      </c>
      <c r="AH52" s="66">
        <f>Бюджет!AH73</f>
        <v>0</v>
      </c>
      <c r="AI52" s="66">
        <f>Бюджет!AI73</f>
        <v>0</v>
      </c>
      <c r="AJ52" s="66">
        <f t="shared" si="3"/>
        <v>40.599999999999994</v>
      </c>
      <c r="AK52" s="29"/>
    </row>
    <row r="53" spans="1:37" s="30" customFormat="1" ht="15" x14ac:dyDescent="0.2">
      <c r="A53" s="60" t="str">
        <f>Бюджет!A74</f>
        <v>Б1.В.06</v>
      </c>
      <c r="B53" s="60" t="str">
        <f>Бюджет!B74</f>
        <v>Антенно-фидерные устройства</v>
      </c>
      <c r="C53" s="67" t="str">
        <f>Бюджет!C74</f>
        <v>4\7</v>
      </c>
      <c r="D53" s="67">
        <f>Бюджет!D74</f>
        <v>26</v>
      </c>
      <c r="E53" s="67">
        <f>Бюджет!E74</f>
        <v>1</v>
      </c>
      <c r="F53" s="66">
        <f>Бюджет!F74</f>
        <v>34</v>
      </c>
      <c r="G53" s="66">
        <f>Бюджет!G74</f>
        <v>34</v>
      </c>
      <c r="H53" s="66">
        <f>Бюджет!H74</f>
        <v>16</v>
      </c>
      <c r="I53" s="66">
        <f>Бюджет!I74</f>
        <v>16</v>
      </c>
      <c r="J53" s="66">
        <f>Бюджет!J74</f>
        <v>68</v>
      </c>
      <c r="K53" s="66">
        <f>Бюджет!K74</f>
        <v>0</v>
      </c>
      <c r="L53" s="66">
        <f>Бюджет!L74</f>
        <v>0</v>
      </c>
      <c r="M53" s="66">
        <f>Бюджет!M74</f>
        <v>10.4</v>
      </c>
      <c r="N53" s="66">
        <f>Бюджет!N74</f>
        <v>0</v>
      </c>
      <c r="O53" s="66">
        <f>Бюджет!O74</f>
        <v>0</v>
      </c>
      <c r="P53" s="66">
        <f>Бюджет!P74</f>
        <v>0</v>
      </c>
      <c r="Q53" s="66">
        <f>Бюджет!Q74</f>
        <v>2.7</v>
      </c>
      <c r="R53" s="66">
        <f>Бюджет!R74</f>
        <v>0</v>
      </c>
      <c r="S53" s="66">
        <f>Бюджет!S74</f>
        <v>0</v>
      </c>
      <c r="T53" s="66">
        <f>Бюджет!T74</f>
        <v>0</v>
      </c>
      <c r="U53" s="66">
        <f>Бюджет!U74</f>
        <v>0</v>
      </c>
      <c r="V53" s="66">
        <f>Бюджет!V74</f>
        <v>0</v>
      </c>
      <c r="W53" s="66">
        <f>Бюджет!W74</f>
        <v>0</v>
      </c>
      <c r="X53" s="66">
        <f>Бюджет!X74</f>
        <v>0</v>
      </c>
      <c r="Y53" s="66">
        <f>Бюджет!Y74</f>
        <v>0</v>
      </c>
      <c r="Z53" s="66">
        <f>Бюджет!Z74</f>
        <v>0</v>
      </c>
      <c r="AA53" s="66">
        <f>Бюджет!AA74</f>
        <v>0</v>
      </c>
      <c r="AB53" s="66">
        <f>Бюджет!AB74</f>
        <v>0</v>
      </c>
      <c r="AC53" s="66">
        <f>Бюджет!AC74</f>
        <v>0</v>
      </c>
      <c r="AD53" s="66">
        <f>Бюджет!AD74</f>
        <v>0</v>
      </c>
      <c r="AE53" s="66">
        <f>Бюджет!AE74</f>
        <v>0</v>
      </c>
      <c r="AF53" s="66">
        <f>Бюджет!AF74</f>
        <v>0</v>
      </c>
      <c r="AG53" s="66">
        <f>Бюджет!AG74</f>
        <v>0</v>
      </c>
      <c r="AH53" s="66">
        <f>Бюджет!AH74</f>
        <v>0</v>
      </c>
      <c r="AI53" s="66">
        <f>Бюджет!AI74</f>
        <v>0</v>
      </c>
      <c r="AJ53" s="66">
        <f t="shared" si="3"/>
        <v>131.1</v>
      </c>
      <c r="AK53" s="29"/>
    </row>
    <row r="54" spans="1:37" s="30" customFormat="1" ht="15" x14ac:dyDescent="0.2">
      <c r="A54" s="60" t="str">
        <f>Бюджет!A75</f>
        <v>Б1.В.07</v>
      </c>
      <c r="B54" s="60" t="str">
        <f>Бюджет!B75</f>
        <v>Радиофизический мониторинг</v>
      </c>
      <c r="C54" s="67" t="str">
        <f>Бюджет!C75</f>
        <v>4\7</v>
      </c>
      <c r="D54" s="67">
        <f>Бюджет!D75</f>
        <v>26</v>
      </c>
      <c r="E54" s="67">
        <f>Бюджет!E75</f>
        <v>1</v>
      </c>
      <c r="F54" s="66">
        <f>Бюджет!F75</f>
        <v>34</v>
      </c>
      <c r="G54" s="66">
        <f>Бюджет!G75</f>
        <v>34</v>
      </c>
      <c r="H54" s="66">
        <f>Бюджет!H75</f>
        <v>34</v>
      </c>
      <c r="I54" s="66">
        <f>Бюджет!I75</f>
        <v>34</v>
      </c>
      <c r="J54" s="66">
        <f>Бюджет!J75</f>
        <v>68</v>
      </c>
      <c r="K54" s="66">
        <f>Бюджет!K75</f>
        <v>0</v>
      </c>
      <c r="L54" s="66">
        <f>Бюджет!L75</f>
        <v>0</v>
      </c>
      <c r="M54" s="66">
        <f>Бюджет!M75</f>
        <v>10.4</v>
      </c>
      <c r="N54" s="66">
        <f>Бюджет!N75</f>
        <v>0</v>
      </c>
      <c r="O54" s="66">
        <f>Бюджет!O75</f>
        <v>0</v>
      </c>
      <c r="P54" s="66">
        <f>Бюджет!P75</f>
        <v>0</v>
      </c>
      <c r="Q54" s="66">
        <f>Бюджет!Q75</f>
        <v>2.7</v>
      </c>
      <c r="R54" s="66">
        <f>Бюджет!R75</f>
        <v>0</v>
      </c>
      <c r="S54" s="66">
        <f>Бюджет!S75</f>
        <v>0</v>
      </c>
      <c r="T54" s="66">
        <f>Бюджет!T75</f>
        <v>0</v>
      </c>
      <c r="U54" s="66">
        <f>Бюджет!U75</f>
        <v>0</v>
      </c>
      <c r="V54" s="66">
        <f>Бюджет!V75</f>
        <v>0</v>
      </c>
      <c r="W54" s="66">
        <f>Бюджет!W75</f>
        <v>0</v>
      </c>
      <c r="X54" s="66">
        <f>Бюджет!X75</f>
        <v>0</v>
      </c>
      <c r="Y54" s="66">
        <f>Бюджет!Y75</f>
        <v>0</v>
      </c>
      <c r="Z54" s="66">
        <f>Бюджет!Z75</f>
        <v>0</v>
      </c>
      <c r="AA54" s="66">
        <f>Бюджет!AA75</f>
        <v>0</v>
      </c>
      <c r="AB54" s="66">
        <f>Бюджет!AB75</f>
        <v>0</v>
      </c>
      <c r="AC54" s="66">
        <f>Бюджет!AC75</f>
        <v>0</v>
      </c>
      <c r="AD54" s="66">
        <f>Бюджет!AD75</f>
        <v>0</v>
      </c>
      <c r="AE54" s="66">
        <f>Бюджет!AE75</f>
        <v>0</v>
      </c>
      <c r="AF54" s="66">
        <f>Бюджет!AF75</f>
        <v>0</v>
      </c>
      <c r="AG54" s="66">
        <f>Бюджет!AG75</f>
        <v>0</v>
      </c>
      <c r="AH54" s="66">
        <f>Бюджет!AH75</f>
        <v>0</v>
      </c>
      <c r="AI54" s="66">
        <f>Бюджет!AI75</f>
        <v>0</v>
      </c>
      <c r="AJ54" s="66">
        <f t="shared" si="3"/>
        <v>149.1</v>
      </c>
      <c r="AK54" s="29"/>
    </row>
    <row r="55" spans="1:37" s="30" customFormat="1" ht="15" x14ac:dyDescent="0.2">
      <c r="A55" s="60" t="str">
        <f>Бюджет!A76</f>
        <v>Б1.В.08</v>
      </c>
      <c r="B55" s="60" t="str">
        <f>Бюджет!B76</f>
        <v>Теория передачи сигналов</v>
      </c>
      <c r="C55" s="67" t="str">
        <f>Бюджет!C76</f>
        <v>4\7</v>
      </c>
      <c r="D55" s="67">
        <f>Бюджет!D76</f>
        <v>26</v>
      </c>
      <c r="E55" s="67">
        <f>Бюджет!E76</f>
        <v>1</v>
      </c>
      <c r="F55" s="66">
        <f>Бюджет!F76</f>
        <v>50</v>
      </c>
      <c r="G55" s="66">
        <f>Бюджет!G76</f>
        <v>50</v>
      </c>
      <c r="H55" s="66">
        <f>Бюджет!H76</f>
        <v>16</v>
      </c>
      <c r="I55" s="66">
        <f>Бюджет!I76</f>
        <v>16</v>
      </c>
      <c r="J55" s="66">
        <f>Бюджет!J76</f>
        <v>32</v>
      </c>
      <c r="K55" s="66">
        <f>Бюджет!K76</f>
        <v>0</v>
      </c>
      <c r="L55" s="66">
        <f>Бюджет!L76</f>
        <v>0</v>
      </c>
      <c r="M55" s="66">
        <f>Бюджет!M76</f>
        <v>10.4</v>
      </c>
      <c r="N55" s="66">
        <f>Бюджет!N76</f>
        <v>0</v>
      </c>
      <c r="O55" s="66">
        <f>Бюджет!O76</f>
        <v>0</v>
      </c>
      <c r="P55" s="66">
        <f>Бюджет!P76</f>
        <v>0</v>
      </c>
      <c r="Q55" s="66">
        <f>Бюджет!Q76</f>
        <v>3.5</v>
      </c>
      <c r="R55" s="66">
        <f>Бюджет!R76</f>
        <v>0</v>
      </c>
      <c r="S55" s="66">
        <f>Бюджет!S76</f>
        <v>0</v>
      </c>
      <c r="T55" s="66">
        <f>Бюджет!T76</f>
        <v>0</v>
      </c>
      <c r="U55" s="66">
        <f>Бюджет!U76</f>
        <v>0</v>
      </c>
      <c r="V55" s="66">
        <f>Бюджет!V76</f>
        <v>0</v>
      </c>
      <c r="W55" s="66">
        <f>Бюджет!W76</f>
        <v>0</v>
      </c>
      <c r="X55" s="66">
        <f>Бюджет!X76</f>
        <v>0</v>
      </c>
      <c r="Y55" s="66">
        <f>Бюджет!Y76</f>
        <v>0</v>
      </c>
      <c r="Z55" s="66">
        <f>Бюджет!Z76</f>
        <v>0</v>
      </c>
      <c r="AA55" s="66">
        <f>Бюджет!AA76</f>
        <v>0</v>
      </c>
      <c r="AB55" s="66">
        <f>Бюджет!AB76</f>
        <v>0</v>
      </c>
      <c r="AC55" s="66">
        <f>Бюджет!AC76</f>
        <v>0</v>
      </c>
      <c r="AD55" s="66">
        <f>Бюджет!AD76</f>
        <v>0</v>
      </c>
      <c r="AE55" s="66">
        <f>Бюджет!AE76</f>
        <v>0</v>
      </c>
      <c r="AF55" s="66">
        <f>Бюджет!AF76</f>
        <v>0</v>
      </c>
      <c r="AG55" s="66">
        <f>Бюджет!AG76</f>
        <v>0</v>
      </c>
      <c r="AH55" s="66">
        <f>Бюджет!AH76</f>
        <v>0</v>
      </c>
      <c r="AI55" s="66">
        <f>Бюджет!AI76</f>
        <v>0</v>
      </c>
      <c r="AJ55" s="66">
        <f t="shared" si="3"/>
        <v>111.9</v>
      </c>
      <c r="AK55" s="29"/>
    </row>
    <row r="56" spans="1:37" s="30" customFormat="1" ht="15" x14ac:dyDescent="0.2">
      <c r="A56" s="60" t="str">
        <f>Бюджет!A77</f>
        <v>Б1.В.09</v>
      </c>
      <c r="B56" s="60" t="str">
        <f>Бюджет!B77</f>
        <v>Спутниковые системы радионавигации</v>
      </c>
      <c r="C56" s="67" t="str">
        <f>Бюджет!C77</f>
        <v>4\8</v>
      </c>
      <c r="D56" s="67">
        <f>Бюджет!D77</f>
        <v>26</v>
      </c>
      <c r="E56" s="67">
        <f>Бюджет!E77</f>
        <v>1</v>
      </c>
      <c r="F56" s="66">
        <f>Бюджет!F77</f>
        <v>24</v>
      </c>
      <c r="G56" s="66">
        <f>Бюджет!G77</f>
        <v>24</v>
      </c>
      <c r="H56" s="66">
        <f>Бюджет!H77</f>
        <v>0</v>
      </c>
      <c r="I56" s="66">
        <f>Бюджет!I77</f>
        <v>0</v>
      </c>
      <c r="J56" s="66">
        <f>Бюджет!J77</f>
        <v>48</v>
      </c>
      <c r="K56" s="66">
        <f>Бюджет!K77</f>
        <v>0</v>
      </c>
      <c r="L56" s="66">
        <f>Бюджет!L77</f>
        <v>0</v>
      </c>
      <c r="M56" s="66">
        <f>Бюджет!M77</f>
        <v>10.4</v>
      </c>
      <c r="N56" s="66">
        <f>Бюджет!N77</f>
        <v>0</v>
      </c>
      <c r="O56" s="66">
        <f>Бюджет!O77</f>
        <v>0</v>
      </c>
      <c r="P56" s="66">
        <f>Бюджет!P77</f>
        <v>0</v>
      </c>
      <c r="Q56" s="66">
        <f>Бюджет!Q77</f>
        <v>2.2000000000000002</v>
      </c>
      <c r="R56" s="66">
        <f>Бюджет!R77</f>
        <v>0</v>
      </c>
      <c r="S56" s="66">
        <f>Бюджет!S77</f>
        <v>0</v>
      </c>
      <c r="T56" s="66">
        <f>Бюджет!T77</f>
        <v>0</v>
      </c>
      <c r="U56" s="66">
        <f>Бюджет!U77</f>
        <v>0</v>
      </c>
      <c r="V56" s="66">
        <f>Бюджет!V77</f>
        <v>0</v>
      </c>
      <c r="W56" s="66">
        <f>Бюджет!W77</f>
        <v>0</v>
      </c>
      <c r="X56" s="66">
        <f>Бюджет!X77</f>
        <v>0</v>
      </c>
      <c r="Y56" s="66">
        <f>Бюджет!Y77</f>
        <v>0</v>
      </c>
      <c r="Z56" s="66">
        <f>Бюджет!Z77</f>
        <v>0</v>
      </c>
      <c r="AA56" s="66">
        <f>Бюджет!AA77</f>
        <v>0</v>
      </c>
      <c r="AB56" s="66">
        <f>Бюджет!AB77</f>
        <v>0</v>
      </c>
      <c r="AC56" s="66">
        <f>Бюджет!AC77</f>
        <v>0</v>
      </c>
      <c r="AD56" s="66">
        <f>Бюджет!AD77</f>
        <v>0</v>
      </c>
      <c r="AE56" s="66">
        <f>Бюджет!AE77</f>
        <v>0</v>
      </c>
      <c r="AF56" s="66">
        <f>Бюджет!AF77</f>
        <v>0</v>
      </c>
      <c r="AG56" s="66">
        <f>Бюджет!AG77</f>
        <v>0</v>
      </c>
      <c r="AH56" s="66">
        <f>Бюджет!AH77</f>
        <v>0</v>
      </c>
      <c r="AI56" s="66">
        <f>Бюджет!AI77</f>
        <v>0</v>
      </c>
      <c r="AJ56" s="66">
        <f t="shared" si="3"/>
        <v>84.600000000000009</v>
      </c>
      <c r="AK56" s="29"/>
    </row>
    <row r="57" spans="1:37" s="30" customFormat="1" ht="15" x14ac:dyDescent="0.2">
      <c r="A57" s="60" t="str">
        <f>Бюджет!A78</f>
        <v>Б1.В.09</v>
      </c>
      <c r="B57" s="60" t="str">
        <f>Бюджет!B78</f>
        <v>Волоконно-оптические линии связи</v>
      </c>
      <c r="C57" s="67" t="str">
        <f>Бюджет!C78</f>
        <v>4\8</v>
      </c>
      <c r="D57" s="67">
        <f>Бюджет!D78</f>
        <v>26</v>
      </c>
      <c r="E57" s="67">
        <f>Бюджет!E78</f>
        <v>1</v>
      </c>
      <c r="F57" s="66">
        <f>Бюджет!F78</f>
        <v>12</v>
      </c>
      <c r="G57" s="66">
        <f>Бюджет!G78</f>
        <v>12</v>
      </c>
      <c r="H57" s="66">
        <f>Бюджет!H78</f>
        <v>12</v>
      </c>
      <c r="I57" s="66">
        <f>Бюджет!I78</f>
        <v>12</v>
      </c>
      <c r="J57" s="66">
        <f>Бюджет!J78/2</f>
        <v>24</v>
      </c>
      <c r="K57" s="66">
        <f>Бюджет!K78</f>
        <v>7.8</v>
      </c>
      <c r="L57" s="66">
        <f>Бюджет!L78</f>
        <v>0</v>
      </c>
      <c r="M57" s="66">
        <f>Бюджет!M78</f>
        <v>0</v>
      </c>
      <c r="N57" s="66">
        <f>Бюджет!N78</f>
        <v>0</v>
      </c>
      <c r="O57" s="66">
        <f>Бюджет!O78</f>
        <v>0</v>
      </c>
      <c r="P57" s="66">
        <f>Бюджет!P78</f>
        <v>0</v>
      </c>
      <c r="Q57" s="66">
        <f>Бюджет!Q78</f>
        <v>0.60000000000000009</v>
      </c>
      <c r="R57" s="66">
        <f>Бюджет!R78</f>
        <v>0</v>
      </c>
      <c r="S57" s="66">
        <f>Бюджет!S78</f>
        <v>0</v>
      </c>
      <c r="T57" s="66">
        <f>Бюджет!T78</f>
        <v>0</v>
      </c>
      <c r="U57" s="66">
        <f>Бюджет!U78</f>
        <v>0</v>
      </c>
      <c r="V57" s="66">
        <f>Бюджет!V78</f>
        <v>0</v>
      </c>
      <c r="W57" s="66">
        <f>Бюджет!W78</f>
        <v>0</v>
      </c>
      <c r="X57" s="66">
        <f>Бюджет!X78</f>
        <v>0</v>
      </c>
      <c r="Y57" s="66">
        <f>Бюджет!Y78</f>
        <v>0</v>
      </c>
      <c r="Z57" s="66">
        <f>Бюджет!Z78</f>
        <v>0</v>
      </c>
      <c r="AA57" s="66">
        <f>Бюджет!AA78</f>
        <v>0</v>
      </c>
      <c r="AB57" s="66">
        <f>Бюджет!AB78</f>
        <v>0</v>
      </c>
      <c r="AC57" s="66">
        <f>Бюджет!AC78</f>
        <v>0</v>
      </c>
      <c r="AD57" s="66">
        <f>Бюджет!AD78</f>
        <v>0</v>
      </c>
      <c r="AE57" s="66">
        <f>Бюджет!AE78</f>
        <v>0</v>
      </c>
      <c r="AF57" s="66">
        <f>Бюджет!AF78</f>
        <v>0</v>
      </c>
      <c r="AG57" s="66">
        <f>Бюджет!AG78</f>
        <v>0</v>
      </c>
      <c r="AH57" s="66">
        <f>Бюджет!AH78</f>
        <v>0</v>
      </c>
      <c r="AI57" s="66">
        <f>Бюджет!AI78</f>
        <v>0</v>
      </c>
      <c r="AJ57" s="66">
        <f t="shared" si="3"/>
        <v>56.4</v>
      </c>
      <c r="AK57" s="29"/>
    </row>
    <row r="58" spans="1:37" s="30" customFormat="1" ht="15" x14ac:dyDescent="0.2">
      <c r="A58" s="60" t="str">
        <f>Бюджет!A79</f>
        <v>Б2.В.03(Пд)</v>
      </c>
      <c r="B58" s="60" t="str">
        <f>Бюджет!B79</f>
        <v>Преддипломная практика (5 1/3 нед.)</v>
      </c>
      <c r="C58" s="67" t="str">
        <f>Бюджет!C79</f>
        <v>4\8</v>
      </c>
      <c r="D58" s="67">
        <f>Бюджет!D79</f>
        <v>26</v>
      </c>
      <c r="E58" s="67">
        <f>Бюджет!E79</f>
        <v>1</v>
      </c>
      <c r="F58" s="66">
        <f>Бюджет!F79</f>
        <v>0</v>
      </c>
      <c r="G58" s="66">
        <f>Бюджет!G79</f>
        <v>0</v>
      </c>
      <c r="H58" s="66">
        <f>Бюджет!H79</f>
        <v>0</v>
      </c>
      <c r="I58" s="66">
        <f>Бюджет!I79</f>
        <v>0</v>
      </c>
      <c r="J58" s="66">
        <f>Бюджет!J79</f>
        <v>0</v>
      </c>
      <c r="K58" s="66">
        <f>Бюджет!K79</f>
        <v>0</v>
      </c>
      <c r="L58" s="66">
        <f>Бюджет!L79</f>
        <v>0</v>
      </c>
      <c r="M58" s="66">
        <f>Бюджет!M79</f>
        <v>0</v>
      </c>
      <c r="N58" s="66">
        <f>Бюджет!N79</f>
        <v>0</v>
      </c>
      <c r="O58" s="66">
        <f>Бюджет!O79</f>
        <v>0</v>
      </c>
      <c r="P58" s="66">
        <f>Бюджет!P79</f>
        <v>0</v>
      </c>
      <c r="Q58" s="66">
        <f>Бюджет!Q79</f>
        <v>0</v>
      </c>
      <c r="R58" s="66">
        <f>Бюджет!R79</f>
        <v>0</v>
      </c>
      <c r="S58" s="66">
        <f>Бюджет!S79</f>
        <v>0</v>
      </c>
      <c r="T58" s="66">
        <f>Бюджет!T79</f>
        <v>138.66666666666666</v>
      </c>
      <c r="U58" s="66">
        <f>Бюджет!U79</f>
        <v>0</v>
      </c>
      <c r="V58" s="66">
        <f>Бюджет!V79</f>
        <v>0</v>
      </c>
      <c r="W58" s="66">
        <f>Бюджет!W79</f>
        <v>0</v>
      </c>
      <c r="X58" s="66">
        <f>Бюджет!X79</f>
        <v>0</v>
      </c>
      <c r="Y58" s="66">
        <f>Бюджет!Y79</f>
        <v>0</v>
      </c>
      <c r="Z58" s="66">
        <f>Бюджет!Z79</f>
        <v>0</v>
      </c>
      <c r="AA58" s="66">
        <f>Бюджет!AA79</f>
        <v>0</v>
      </c>
      <c r="AB58" s="66">
        <f>Бюджет!AB79</f>
        <v>0</v>
      </c>
      <c r="AC58" s="66">
        <f>Бюджет!AC79</f>
        <v>0</v>
      </c>
      <c r="AD58" s="66">
        <f>Бюджет!AD79</f>
        <v>0</v>
      </c>
      <c r="AE58" s="66">
        <f>Бюджет!AE79</f>
        <v>0</v>
      </c>
      <c r="AF58" s="66">
        <f>Бюджет!AF79</f>
        <v>0</v>
      </c>
      <c r="AG58" s="66">
        <f>Бюджет!AG79</f>
        <v>0</v>
      </c>
      <c r="AH58" s="66">
        <f>Бюджет!AH79</f>
        <v>0</v>
      </c>
      <c r="AI58" s="66">
        <f>Бюджет!AI79</f>
        <v>0</v>
      </c>
      <c r="AJ58" s="66">
        <f t="shared" si="3"/>
        <v>138.66666666666666</v>
      </c>
      <c r="AK58" s="29"/>
    </row>
    <row r="59" spans="1:37" s="30" customFormat="1" ht="15" x14ac:dyDescent="0.2">
      <c r="A59" s="60">
        <f>Бюджет!A80</f>
        <v>0</v>
      </c>
      <c r="B59" s="60" t="str">
        <f>Бюджет!B80</f>
        <v>Руководство ВКР</v>
      </c>
      <c r="C59" s="67" t="str">
        <f>Бюджет!C80</f>
        <v>4\8</v>
      </c>
      <c r="D59" s="67">
        <f>Бюджет!D80</f>
        <v>26</v>
      </c>
      <c r="E59" s="67">
        <f>Бюджет!E80</f>
        <v>1</v>
      </c>
      <c r="F59" s="66">
        <f>Бюджет!F80</f>
        <v>0</v>
      </c>
      <c r="G59" s="66">
        <f>Бюджет!G80</f>
        <v>0</v>
      </c>
      <c r="H59" s="66">
        <f>Бюджет!H80</f>
        <v>0</v>
      </c>
      <c r="I59" s="66">
        <f>Бюджет!I80</f>
        <v>0</v>
      </c>
      <c r="J59" s="66">
        <f>Бюджет!J80</f>
        <v>0</v>
      </c>
      <c r="K59" s="66">
        <f>Бюджет!K80</f>
        <v>0</v>
      </c>
      <c r="L59" s="66">
        <f>Бюджет!L80</f>
        <v>0</v>
      </c>
      <c r="M59" s="66">
        <f>Бюджет!M80</f>
        <v>0</v>
      </c>
      <c r="N59" s="66">
        <f>Бюджет!N80</f>
        <v>0</v>
      </c>
      <c r="O59" s="66">
        <f>Бюджет!O80</f>
        <v>0</v>
      </c>
      <c r="P59" s="66">
        <f>Бюджет!P80</f>
        <v>0</v>
      </c>
      <c r="Q59" s="66">
        <f>Бюджет!Q80</f>
        <v>0</v>
      </c>
      <c r="R59" s="66">
        <f>Бюджет!R80</f>
        <v>0</v>
      </c>
      <c r="S59" s="66">
        <f>Бюджет!S80</f>
        <v>0</v>
      </c>
      <c r="T59" s="66">
        <f>Бюджет!T80</f>
        <v>0</v>
      </c>
      <c r="U59" s="66">
        <f>Бюджет!U80</f>
        <v>0</v>
      </c>
      <c r="V59" s="66">
        <f>Бюджет!V80</f>
        <v>0</v>
      </c>
      <c r="W59" s="66">
        <f>Бюджет!W80</f>
        <v>416</v>
      </c>
      <c r="X59" s="66">
        <f>Бюджет!X80</f>
        <v>0</v>
      </c>
      <c r="Y59" s="66">
        <f>Бюджет!Y80</f>
        <v>0</v>
      </c>
      <c r="Z59" s="66">
        <f>Бюджет!Z80</f>
        <v>0</v>
      </c>
      <c r="AA59" s="66">
        <f>Бюджет!AA80</f>
        <v>0</v>
      </c>
      <c r="AB59" s="66">
        <f>Бюджет!AB80</f>
        <v>0</v>
      </c>
      <c r="AC59" s="66">
        <f>Бюджет!AC80</f>
        <v>0</v>
      </c>
      <c r="AD59" s="66">
        <f>Бюджет!AD80</f>
        <v>0</v>
      </c>
      <c r="AE59" s="66">
        <f>Бюджет!AE80</f>
        <v>0</v>
      </c>
      <c r="AF59" s="66">
        <f>Бюджет!AF80</f>
        <v>0</v>
      </c>
      <c r="AG59" s="66">
        <f>Бюджет!AG80</f>
        <v>0</v>
      </c>
      <c r="AH59" s="66">
        <f>Бюджет!AH80</f>
        <v>0</v>
      </c>
      <c r="AI59" s="66">
        <f>Бюджет!AI80</f>
        <v>0</v>
      </c>
      <c r="AJ59" s="66">
        <f t="shared" si="3"/>
        <v>416</v>
      </c>
      <c r="AK59" s="29"/>
    </row>
    <row r="60" spans="1:37" s="30" customFormat="1" ht="15" x14ac:dyDescent="0.2">
      <c r="A60" s="60">
        <f>Бюджет!A81</f>
        <v>0</v>
      </c>
      <c r="B60" s="60" t="str">
        <f>Бюджет!B81</f>
        <v>ГЭК (Защита ВКР бакалавра) (7 чел)</v>
      </c>
      <c r="C60" s="67" t="str">
        <f>Бюджет!C81</f>
        <v>4\8</v>
      </c>
      <c r="D60" s="67">
        <f>Бюджет!D81</f>
        <v>26</v>
      </c>
      <c r="E60" s="67">
        <f>Бюджет!E81</f>
        <v>1</v>
      </c>
      <c r="F60" s="66">
        <f>Бюджет!F81</f>
        <v>0</v>
      </c>
      <c r="G60" s="66">
        <f>Бюджет!G81</f>
        <v>0</v>
      </c>
      <c r="H60" s="66">
        <f>Бюджет!H81</f>
        <v>0</v>
      </c>
      <c r="I60" s="66">
        <f>Бюджет!I81</f>
        <v>0</v>
      </c>
      <c r="J60" s="66">
        <f>Бюджет!J81</f>
        <v>0</v>
      </c>
      <c r="K60" s="66">
        <f>Бюджет!K81</f>
        <v>0</v>
      </c>
      <c r="L60" s="66">
        <f>Бюджет!L81</f>
        <v>0</v>
      </c>
      <c r="M60" s="66">
        <f>Бюджет!M81</f>
        <v>0</v>
      </c>
      <c r="N60" s="66">
        <f>Бюджет!N81</f>
        <v>0</v>
      </c>
      <c r="O60" s="66">
        <f>Бюджет!O81</f>
        <v>0</v>
      </c>
      <c r="P60" s="66">
        <f>Бюджет!P81</f>
        <v>0</v>
      </c>
      <c r="Q60" s="66">
        <f>Бюджет!Q81</f>
        <v>0</v>
      </c>
      <c r="R60" s="66">
        <f>Бюджет!R81</f>
        <v>0</v>
      </c>
      <c r="S60" s="66">
        <f>Бюджет!S81</f>
        <v>0</v>
      </c>
      <c r="T60" s="66">
        <f>Бюджет!T81</f>
        <v>0</v>
      </c>
      <c r="U60" s="66">
        <f>Бюджет!U81</f>
        <v>0</v>
      </c>
      <c r="V60" s="66">
        <f>Бюджет!V81</f>
        <v>0</v>
      </c>
      <c r="W60" s="66">
        <f>Бюджет!W81</f>
        <v>0</v>
      </c>
      <c r="X60" s="66">
        <f>Бюджет!X81</f>
        <v>0</v>
      </c>
      <c r="Y60" s="66">
        <f>Бюджет!Y81</f>
        <v>0</v>
      </c>
      <c r="Z60" s="66">
        <f>Бюджет!Z81</f>
        <v>0</v>
      </c>
      <c r="AA60" s="66">
        <f>Бюджет!AA81</f>
        <v>0</v>
      </c>
      <c r="AB60" s="66">
        <f>Бюджет!AB81</f>
        <v>91</v>
      </c>
      <c r="AC60" s="66">
        <f>Бюджет!AC81</f>
        <v>0</v>
      </c>
      <c r="AD60" s="66">
        <f>Бюджет!AD81</f>
        <v>0</v>
      </c>
      <c r="AE60" s="66">
        <f>Бюджет!AE81</f>
        <v>0</v>
      </c>
      <c r="AF60" s="66">
        <f>Бюджет!AF81</f>
        <v>0</v>
      </c>
      <c r="AG60" s="66">
        <f>Бюджет!AG81</f>
        <v>0</v>
      </c>
      <c r="AH60" s="66">
        <f>Бюджет!AH81</f>
        <v>0</v>
      </c>
      <c r="AI60" s="66">
        <f>Бюджет!AI81</f>
        <v>0</v>
      </c>
      <c r="AJ60" s="66">
        <f t="shared" si="3"/>
        <v>91</v>
      </c>
      <c r="AK60" s="29"/>
    </row>
    <row r="61" spans="1:37" s="30" customFormat="1" ht="15.75" x14ac:dyDescent="0.25">
      <c r="A61" s="74"/>
      <c r="B61" s="60"/>
      <c r="C61" s="29"/>
      <c r="D61" s="29"/>
      <c r="E61" s="29"/>
      <c r="F61" s="33"/>
      <c r="G61" s="33"/>
      <c r="H61" s="33"/>
      <c r="I61" s="33"/>
      <c r="J61" s="420" t="str">
        <f>Бюджет!K82</f>
        <v>профиль "Радиофизика в области связи, информационных и телекоммуникационных технологий"</v>
      </c>
      <c r="K61" s="420"/>
      <c r="L61" s="420"/>
      <c r="M61" s="420"/>
      <c r="N61" s="420"/>
      <c r="O61" s="420"/>
      <c r="P61" s="420"/>
      <c r="Q61" s="420"/>
      <c r="R61" s="420"/>
      <c r="S61" s="420"/>
      <c r="T61" s="420"/>
      <c r="U61" s="420"/>
      <c r="V61" s="420"/>
      <c r="W61" s="420"/>
      <c r="X61" s="420"/>
      <c r="Y61" s="420"/>
      <c r="Z61" s="420"/>
      <c r="AA61" s="420"/>
      <c r="AB61" s="420"/>
      <c r="AC61" s="420"/>
      <c r="AD61" s="33"/>
      <c r="AE61" s="33"/>
      <c r="AF61" s="33"/>
      <c r="AG61" s="33"/>
      <c r="AH61" s="33"/>
      <c r="AI61" s="33"/>
      <c r="AJ61" s="66">
        <f t="shared" si="3"/>
        <v>0</v>
      </c>
      <c r="AK61" s="29"/>
    </row>
    <row r="62" spans="1:37" s="30" customFormat="1" ht="15" x14ac:dyDescent="0.2">
      <c r="A62" s="90" t="str">
        <f>Бюджет!A83</f>
        <v>Б1.В.ДВ.01.01</v>
      </c>
      <c r="B62" s="90" t="str">
        <f>Бюджет!B83</f>
        <v>Основы информационной безопасности</v>
      </c>
      <c r="C62" s="74" t="str">
        <f>Бюджет!C83</f>
        <v>4\8</v>
      </c>
      <c r="D62" s="74">
        <f>Бюджет!D83</f>
        <v>15</v>
      </c>
      <c r="E62" s="74">
        <f>Бюджет!E83</f>
        <v>1</v>
      </c>
      <c r="F62" s="70">
        <f>Бюджет!F83</f>
        <v>24</v>
      </c>
      <c r="G62" s="70">
        <f>Бюджет!G83</f>
        <v>24</v>
      </c>
      <c r="H62" s="70">
        <f>Бюджет!H83</f>
        <v>24</v>
      </c>
      <c r="I62" s="70">
        <f>Бюджет!I83</f>
        <v>24</v>
      </c>
      <c r="J62" s="70">
        <f>Бюджет!J83</f>
        <v>0</v>
      </c>
      <c r="K62" s="70">
        <f>Бюджет!K83</f>
        <v>4.5</v>
      </c>
      <c r="L62" s="70">
        <f>Бюджет!L83</f>
        <v>0</v>
      </c>
      <c r="M62" s="70">
        <f>Бюджет!M83</f>
        <v>0</v>
      </c>
      <c r="N62" s="70">
        <f>Бюджет!N83</f>
        <v>0</v>
      </c>
      <c r="O62" s="70">
        <f>Бюджет!O83</f>
        <v>0</v>
      </c>
      <c r="P62" s="70">
        <f>Бюджет!P83</f>
        <v>0</v>
      </c>
      <c r="Q62" s="70">
        <f>Бюджет!Q83</f>
        <v>1.2000000000000002</v>
      </c>
      <c r="R62" s="70">
        <f>Бюджет!R83</f>
        <v>0</v>
      </c>
      <c r="S62" s="70">
        <f>Бюджет!S83</f>
        <v>0</v>
      </c>
      <c r="T62" s="70">
        <f>Бюджет!T83</f>
        <v>0</v>
      </c>
      <c r="U62" s="70">
        <f>Бюджет!U83</f>
        <v>0</v>
      </c>
      <c r="V62" s="70">
        <f>Бюджет!V83</f>
        <v>0</v>
      </c>
      <c r="W62" s="70">
        <f>Бюджет!W83</f>
        <v>0</v>
      </c>
      <c r="X62" s="70">
        <f>Бюджет!X83</f>
        <v>0</v>
      </c>
      <c r="Y62" s="70">
        <f>Бюджет!Y83</f>
        <v>0</v>
      </c>
      <c r="Z62" s="70">
        <f>Бюджет!Z83</f>
        <v>0</v>
      </c>
      <c r="AA62" s="70">
        <f>Бюджет!AA83</f>
        <v>0</v>
      </c>
      <c r="AB62" s="70">
        <f>Бюджет!AB83</f>
        <v>0</v>
      </c>
      <c r="AC62" s="70">
        <f>Бюджет!AC83</f>
        <v>0</v>
      </c>
      <c r="AD62" s="70">
        <f>Бюджет!AD83</f>
        <v>0</v>
      </c>
      <c r="AE62" s="70">
        <f>Бюджет!AE83</f>
        <v>0</v>
      </c>
      <c r="AF62" s="70">
        <f>Бюджет!AF83</f>
        <v>0</v>
      </c>
      <c r="AG62" s="70">
        <f>Бюджет!AG83</f>
        <v>0</v>
      </c>
      <c r="AH62" s="70">
        <f>Бюджет!AH83</f>
        <v>0</v>
      </c>
      <c r="AI62" s="70">
        <f>Бюджет!AI83</f>
        <v>0</v>
      </c>
      <c r="AJ62" s="66">
        <f t="shared" si="3"/>
        <v>53.7</v>
      </c>
      <c r="AK62" s="29"/>
    </row>
    <row r="63" spans="1:37" s="30" customFormat="1" ht="15" x14ac:dyDescent="0.2">
      <c r="A63" s="90" t="str">
        <f>Бюджет!A84</f>
        <v>Б1.В.ДВ.02.01</v>
      </c>
      <c r="B63" s="90" t="str">
        <f>Бюджет!B84</f>
        <v>Космическая радиофизика</v>
      </c>
      <c r="C63" s="74" t="str">
        <f>Бюджет!C84</f>
        <v>4\8</v>
      </c>
      <c r="D63" s="74">
        <f>Бюджет!D84</f>
        <v>15</v>
      </c>
      <c r="E63" s="74">
        <f>Бюджет!E84</f>
        <v>1</v>
      </c>
      <c r="F63" s="70">
        <f>Бюджет!F84</f>
        <v>12</v>
      </c>
      <c r="G63" s="70">
        <f>Бюджет!G84</f>
        <v>12</v>
      </c>
      <c r="H63" s="70">
        <f>Бюджет!H84</f>
        <v>0</v>
      </c>
      <c r="I63" s="70">
        <f>Бюджет!I84</f>
        <v>0</v>
      </c>
      <c r="J63" s="70">
        <f>Бюджет!J84</f>
        <v>48</v>
      </c>
      <c r="K63" s="70">
        <f>Бюджет!K84</f>
        <v>4.5</v>
      </c>
      <c r="L63" s="70">
        <f>Бюджет!L84</f>
        <v>0</v>
      </c>
      <c r="M63" s="70">
        <f>Бюджет!M84</f>
        <v>0</v>
      </c>
      <c r="N63" s="70">
        <f>Бюджет!N84</f>
        <v>0</v>
      </c>
      <c r="O63" s="70">
        <f>Бюджет!O84</f>
        <v>0</v>
      </c>
      <c r="P63" s="70">
        <f>Бюджет!P84</f>
        <v>0</v>
      </c>
      <c r="Q63" s="70">
        <f>Бюджет!Q84</f>
        <v>0.60000000000000009</v>
      </c>
      <c r="R63" s="70">
        <f>Бюджет!R84</f>
        <v>0</v>
      </c>
      <c r="S63" s="70">
        <f>Бюджет!S84</f>
        <v>0</v>
      </c>
      <c r="T63" s="70">
        <f>Бюджет!T84</f>
        <v>0</v>
      </c>
      <c r="U63" s="70">
        <f>Бюджет!U84</f>
        <v>0</v>
      </c>
      <c r="V63" s="70">
        <f>Бюджет!V84</f>
        <v>0</v>
      </c>
      <c r="W63" s="70">
        <f>Бюджет!W84</f>
        <v>0</v>
      </c>
      <c r="X63" s="70">
        <f>Бюджет!X84</f>
        <v>0</v>
      </c>
      <c r="Y63" s="70">
        <f>Бюджет!Y84</f>
        <v>0</v>
      </c>
      <c r="Z63" s="70">
        <f>Бюджет!Z84</f>
        <v>0</v>
      </c>
      <c r="AA63" s="70">
        <f>Бюджет!AA84</f>
        <v>0</v>
      </c>
      <c r="AB63" s="70">
        <f>Бюджет!AB84</f>
        <v>0</v>
      </c>
      <c r="AC63" s="70">
        <f>Бюджет!AC84</f>
        <v>0</v>
      </c>
      <c r="AD63" s="70">
        <f>Бюджет!AD84</f>
        <v>0</v>
      </c>
      <c r="AE63" s="70">
        <f>Бюджет!AE84</f>
        <v>0</v>
      </c>
      <c r="AF63" s="70">
        <f>Бюджет!AF84</f>
        <v>0</v>
      </c>
      <c r="AG63" s="70">
        <f>Бюджет!AG84</f>
        <v>0</v>
      </c>
      <c r="AH63" s="70">
        <f>Бюджет!AH84</f>
        <v>0</v>
      </c>
      <c r="AI63" s="70">
        <f>Бюджет!AI84</f>
        <v>0</v>
      </c>
      <c r="AJ63" s="66">
        <f t="shared" si="3"/>
        <v>65.099999999999994</v>
      </c>
      <c r="AK63" s="29"/>
    </row>
    <row r="64" spans="1:37" s="30" customFormat="1" ht="15.75" x14ac:dyDescent="0.25">
      <c r="A64" s="90"/>
      <c r="B64" s="60"/>
      <c r="C64" s="29"/>
      <c r="D64" s="29"/>
      <c r="E64" s="29"/>
      <c r="F64" s="33"/>
      <c r="G64" s="33"/>
      <c r="H64" s="33"/>
      <c r="I64" s="33"/>
      <c r="J64" s="420" t="str">
        <f>Бюджет!K85</f>
        <v xml:space="preserve">профиль "Радиофизика: радиоэлектронные устройства, обработка сигналов и автоматизация" </v>
      </c>
      <c r="K64" s="420"/>
      <c r="L64" s="420"/>
      <c r="M64" s="420"/>
      <c r="N64" s="420"/>
      <c r="O64" s="420"/>
      <c r="P64" s="420"/>
      <c r="Q64" s="420"/>
      <c r="R64" s="420"/>
      <c r="S64" s="420"/>
      <c r="T64" s="420"/>
      <c r="U64" s="420"/>
      <c r="V64" s="420"/>
      <c r="W64" s="420"/>
      <c r="X64" s="420"/>
      <c r="Y64" s="420"/>
      <c r="Z64" s="420"/>
      <c r="AA64" s="420"/>
      <c r="AB64" s="420"/>
      <c r="AC64" s="420"/>
      <c r="AD64" s="33"/>
      <c r="AE64" s="33"/>
      <c r="AF64" s="33"/>
      <c r="AG64" s="33"/>
      <c r="AH64" s="33"/>
      <c r="AI64" s="33"/>
      <c r="AJ64" s="66">
        <f t="shared" si="3"/>
        <v>0</v>
      </c>
      <c r="AK64" s="29"/>
    </row>
    <row r="65" spans="1:39" s="30" customFormat="1" ht="15" x14ac:dyDescent="0.2">
      <c r="A65" s="90" t="str">
        <f>Бюджет!A86</f>
        <v>Б1.В.ДВ.01.01</v>
      </c>
      <c r="B65" s="90" t="str">
        <f>Бюджет!B86</f>
        <v>Автоматизация физического эксперимента</v>
      </c>
      <c r="C65" s="74" t="str">
        <f>Бюджет!C86</f>
        <v>4\8</v>
      </c>
      <c r="D65" s="74">
        <f>Бюджет!D86</f>
        <v>11</v>
      </c>
      <c r="E65" s="74">
        <f>Бюджет!E86</f>
        <v>1</v>
      </c>
      <c r="F65" s="70">
        <f>Бюджет!F86</f>
        <v>12</v>
      </c>
      <c r="G65" s="70">
        <f>Бюджет!G86</f>
        <v>12</v>
      </c>
      <c r="H65" s="70">
        <f>Бюджет!H86</f>
        <v>0</v>
      </c>
      <c r="I65" s="70">
        <f>Бюджет!I86</f>
        <v>0</v>
      </c>
      <c r="J65" s="70">
        <f>Бюджет!J86</f>
        <v>36</v>
      </c>
      <c r="K65" s="70">
        <f>Бюджет!K86</f>
        <v>3.3</v>
      </c>
      <c r="L65" s="70">
        <f>Бюджет!L86</f>
        <v>0</v>
      </c>
      <c r="M65" s="70">
        <f>Бюджет!M86</f>
        <v>0</v>
      </c>
      <c r="N65" s="70">
        <f>Бюджет!N86</f>
        <v>0</v>
      </c>
      <c r="O65" s="70">
        <f>Бюджет!O86</f>
        <v>0</v>
      </c>
      <c r="P65" s="70">
        <f>Бюджет!P86</f>
        <v>0</v>
      </c>
      <c r="Q65" s="70">
        <f>Бюджет!Q86</f>
        <v>0.60000000000000009</v>
      </c>
      <c r="R65" s="70">
        <f>Бюджет!R86</f>
        <v>0</v>
      </c>
      <c r="S65" s="70">
        <f>Бюджет!S86</f>
        <v>0</v>
      </c>
      <c r="T65" s="70">
        <f>Бюджет!T86</f>
        <v>0</v>
      </c>
      <c r="U65" s="70">
        <f>Бюджет!U86</f>
        <v>0</v>
      </c>
      <c r="V65" s="70">
        <f>Бюджет!V86</f>
        <v>0</v>
      </c>
      <c r="W65" s="70">
        <f>Бюджет!W86</f>
        <v>0</v>
      </c>
      <c r="X65" s="70">
        <f>Бюджет!X86</f>
        <v>0</v>
      </c>
      <c r="Y65" s="70">
        <f>Бюджет!Y86</f>
        <v>0</v>
      </c>
      <c r="Z65" s="70">
        <f>Бюджет!Z86</f>
        <v>0</v>
      </c>
      <c r="AA65" s="70">
        <f>Бюджет!AA86</f>
        <v>0</v>
      </c>
      <c r="AB65" s="70">
        <f>Бюджет!AB86</f>
        <v>0</v>
      </c>
      <c r="AC65" s="70">
        <f>Бюджет!AC86</f>
        <v>0</v>
      </c>
      <c r="AD65" s="70">
        <f>Бюджет!AD86</f>
        <v>0</v>
      </c>
      <c r="AE65" s="70">
        <f>Бюджет!AE86</f>
        <v>0</v>
      </c>
      <c r="AF65" s="70">
        <f>Бюджет!AF86</f>
        <v>0</v>
      </c>
      <c r="AG65" s="70">
        <f>Бюджет!AG86</f>
        <v>0</v>
      </c>
      <c r="AH65" s="70">
        <f>Бюджет!AH86</f>
        <v>0</v>
      </c>
      <c r="AI65" s="70">
        <f>Бюджет!AI86</f>
        <v>0</v>
      </c>
      <c r="AJ65" s="66">
        <f t="shared" si="3"/>
        <v>51.9</v>
      </c>
      <c r="AK65" s="29"/>
    </row>
    <row r="66" spans="1:39" s="30" customFormat="1" ht="15" x14ac:dyDescent="0.2">
      <c r="A66" s="90" t="str">
        <f>Бюджет!A87</f>
        <v>Б1.В.ДВ.02.01</v>
      </c>
      <c r="B66" s="90" t="str">
        <f>Бюджет!B87</f>
        <v>Цифровые сигнальные процессоры</v>
      </c>
      <c r="C66" s="74" t="str">
        <f>Бюджет!C87</f>
        <v>4\8</v>
      </c>
      <c r="D66" s="74">
        <f>Бюджет!D87</f>
        <v>11</v>
      </c>
      <c r="E66" s="74">
        <f>Бюджет!E87</f>
        <v>1</v>
      </c>
      <c r="F66" s="70">
        <f>Бюджет!F87</f>
        <v>12</v>
      </c>
      <c r="G66" s="70">
        <f>Бюджет!G87</f>
        <v>12</v>
      </c>
      <c r="H66" s="70">
        <f>Бюджет!H87</f>
        <v>0</v>
      </c>
      <c r="I66" s="70">
        <f>Бюджет!I87</f>
        <v>0</v>
      </c>
      <c r="J66" s="70">
        <f>Бюджет!J87</f>
        <v>48</v>
      </c>
      <c r="K66" s="70">
        <f>Бюджет!K87</f>
        <v>3.3</v>
      </c>
      <c r="L66" s="70">
        <f>Бюджет!L87</f>
        <v>0</v>
      </c>
      <c r="M66" s="70">
        <f>Бюджет!M87</f>
        <v>0</v>
      </c>
      <c r="N66" s="70">
        <f>Бюджет!N87</f>
        <v>0</v>
      </c>
      <c r="O66" s="70">
        <f>Бюджет!O87</f>
        <v>0</v>
      </c>
      <c r="P66" s="70">
        <f>Бюджет!P87</f>
        <v>0</v>
      </c>
      <c r="Q66" s="70">
        <f>Бюджет!Q87</f>
        <v>0.60000000000000009</v>
      </c>
      <c r="R66" s="70">
        <f>Бюджет!R87</f>
        <v>0</v>
      </c>
      <c r="S66" s="70">
        <f>Бюджет!S87</f>
        <v>0</v>
      </c>
      <c r="T66" s="70">
        <f>Бюджет!T87</f>
        <v>0</v>
      </c>
      <c r="U66" s="70">
        <f>Бюджет!U87</f>
        <v>0</v>
      </c>
      <c r="V66" s="70">
        <f>Бюджет!V87</f>
        <v>0</v>
      </c>
      <c r="W66" s="70">
        <f>Бюджет!W87</f>
        <v>0</v>
      </c>
      <c r="X66" s="70">
        <f>Бюджет!X87</f>
        <v>0</v>
      </c>
      <c r="Y66" s="70">
        <f>Бюджет!Y87</f>
        <v>0</v>
      </c>
      <c r="Z66" s="70">
        <f>Бюджет!Z87</f>
        <v>0</v>
      </c>
      <c r="AA66" s="70">
        <f>Бюджет!AA87</f>
        <v>0</v>
      </c>
      <c r="AB66" s="70">
        <f>Бюджет!AB87</f>
        <v>0</v>
      </c>
      <c r="AC66" s="70">
        <f>Бюджет!AC87</f>
        <v>0</v>
      </c>
      <c r="AD66" s="70">
        <f>Бюджет!AD87</f>
        <v>0</v>
      </c>
      <c r="AE66" s="70">
        <f>Бюджет!AE87</f>
        <v>0</v>
      </c>
      <c r="AF66" s="70">
        <f>Бюджет!AF87</f>
        <v>0</v>
      </c>
      <c r="AG66" s="70">
        <f>Бюджет!AG87</f>
        <v>0</v>
      </c>
      <c r="AH66" s="70">
        <f>Бюджет!AH87</f>
        <v>0</v>
      </c>
      <c r="AI66" s="70">
        <f>Бюджет!AI87</f>
        <v>0</v>
      </c>
      <c r="AJ66" s="66">
        <f t="shared" si="3"/>
        <v>63.9</v>
      </c>
      <c r="AK66" s="29"/>
    </row>
    <row r="67" spans="1:39" s="30" customFormat="1" ht="15.75" x14ac:dyDescent="0.25">
      <c r="A67" s="29"/>
      <c r="B67" s="85" t="s">
        <v>228</v>
      </c>
      <c r="C67" s="86"/>
      <c r="D67" s="86"/>
      <c r="E67" s="86"/>
      <c r="F67" s="88">
        <f>SUM(F23:F66)</f>
        <v>888</v>
      </c>
      <c r="G67" s="88">
        <f t="shared" ref="G67:AJ67" si="5">SUM(G23:G66)</f>
        <v>888</v>
      </c>
      <c r="H67" s="88">
        <f t="shared" si="5"/>
        <v>346</v>
      </c>
      <c r="I67" s="88">
        <f t="shared" si="5"/>
        <v>346</v>
      </c>
      <c r="J67" s="88">
        <f t="shared" si="5"/>
        <v>1488</v>
      </c>
      <c r="K67" s="88">
        <f t="shared" si="5"/>
        <v>146.10000000000002</v>
      </c>
      <c r="L67" s="88">
        <f t="shared" si="5"/>
        <v>0</v>
      </c>
      <c r="M67" s="88">
        <f t="shared" si="5"/>
        <v>47.599999999999994</v>
      </c>
      <c r="N67" s="88">
        <f t="shared" si="5"/>
        <v>0</v>
      </c>
      <c r="O67" s="88">
        <f t="shared" si="5"/>
        <v>0</v>
      </c>
      <c r="P67" s="88">
        <f t="shared" si="5"/>
        <v>0</v>
      </c>
      <c r="Q67" s="88">
        <f t="shared" si="5"/>
        <v>49.400000000000013</v>
      </c>
      <c r="R67" s="88">
        <f t="shared" si="5"/>
        <v>0</v>
      </c>
      <c r="S67" s="88">
        <f t="shared" si="5"/>
        <v>36</v>
      </c>
      <c r="T67" s="88">
        <f t="shared" si="5"/>
        <v>188.66666666666666</v>
      </c>
      <c r="U67" s="88">
        <f t="shared" si="5"/>
        <v>0</v>
      </c>
      <c r="V67" s="88">
        <f t="shared" si="5"/>
        <v>0</v>
      </c>
      <c r="W67" s="88">
        <f t="shared" si="5"/>
        <v>416</v>
      </c>
      <c r="X67" s="88">
        <f t="shared" si="5"/>
        <v>0</v>
      </c>
      <c r="Y67" s="88">
        <f t="shared" si="5"/>
        <v>0</v>
      </c>
      <c r="Z67" s="88">
        <f t="shared" si="5"/>
        <v>0</v>
      </c>
      <c r="AA67" s="88">
        <f t="shared" si="5"/>
        <v>0</v>
      </c>
      <c r="AB67" s="88">
        <f t="shared" si="5"/>
        <v>91</v>
      </c>
      <c r="AC67" s="88">
        <f t="shared" si="5"/>
        <v>0</v>
      </c>
      <c r="AD67" s="88">
        <f t="shared" si="5"/>
        <v>0</v>
      </c>
      <c r="AE67" s="88">
        <f t="shared" si="5"/>
        <v>0</v>
      </c>
      <c r="AF67" s="88">
        <f t="shared" si="5"/>
        <v>0</v>
      </c>
      <c r="AG67" s="88">
        <f t="shared" si="5"/>
        <v>0</v>
      </c>
      <c r="AH67" s="88">
        <f t="shared" si="5"/>
        <v>0</v>
      </c>
      <c r="AI67" s="88">
        <f t="shared" si="5"/>
        <v>0</v>
      </c>
      <c r="AJ67" s="88">
        <f t="shared" si="5"/>
        <v>3696.7666666666664</v>
      </c>
      <c r="AK67" s="29"/>
      <c r="AM67" s="54"/>
    </row>
    <row r="68" spans="1:39" s="30" customFormat="1" ht="15.75" x14ac:dyDescent="0.25">
      <c r="A68" s="29"/>
      <c r="B68" s="114"/>
      <c r="C68" s="79"/>
      <c r="D68" s="79"/>
      <c r="E68" s="79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66">
        <f t="shared" ref="AJ68:AJ71" si="6">SUM(G68,I68:AI68)</f>
        <v>0</v>
      </c>
      <c r="AK68" s="29"/>
      <c r="AM68" s="54"/>
    </row>
    <row r="69" spans="1:39" s="30" customFormat="1" ht="15.75" x14ac:dyDescent="0.25">
      <c r="A69" s="29"/>
      <c r="B69" s="34"/>
      <c r="C69" s="29"/>
      <c r="D69" s="29"/>
      <c r="E69" s="29"/>
      <c r="F69" s="33"/>
      <c r="G69" s="33"/>
      <c r="H69" s="33"/>
      <c r="I69" s="33"/>
      <c r="J69" s="424" t="str">
        <f>Бюджет!L90</f>
        <v>03.03.02 Физика</v>
      </c>
      <c r="K69" s="424"/>
      <c r="L69" s="424"/>
      <c r="M69" s="424"/>
      <c r="N69" s="424"/>
      <c r="O69" s="424"/>
      <c r="P69" s="424"/>
      <c r="Q69" s="424"/>
      <c r="R69" s="424"/>
      <c r="S69" s="424"/>
      <c r="T69" s="424"/>
      <c r="U69" s="424"/>
      <c r="V69" s="424"/>
      <c r="W69" s="424"/>
      <c r="X69" s="424"/>
      <c r="Y69" s="424"/>
      <c r="Z69" s="424"/>
      <c r="AA69" s="424"/>
      <c r="AB69" s="424"/>
      <c r="AC69" s="424"/>
      <c r="AD69" s="33"/>
      <c r="AE69" s="33"/>
      <c r="AF69" s="33"/>
      <c r="AG69" s="33"/>
      <c r="AH69" s="33"/>
      <c r="AI69" s="33"/>
      <c r="AJ69" s="66">
        <f t="shared" si="6"/>
        <v>0</v>
      </c>
      <c r="AK69" s="29"/>
      <c r="AM69" s="54"/>
    </row>
    <row r="70" spans="1:39" s="30" customFormat="1" ht="15.75" x14ac:dyDescent="0.25">
      <c r="A70" s="29"/>
      <c r="B70" s="34"/>
      <c r="C70" s="29"/>
      <c r="D70" s="29"/>
      <c r="E70" s="29"/>
      <c r="F70" s="33"/>
      <c r="G70" s="33"/>
      <c r="H70" s="33"/>
      <c r="I70" s="33"/>
      <c r="J70" s="420" t="str">
        <f>Бюджет!K137</f>
        <v>профиль "Солнечно-земная физика"</v>
      </c>
      <c r="K70" s="420"/>
      <c r="L70" s="420"/>
      <c r="M70" s="420"/>
      <c r="N70" s="420"/>
      <c r="O70" s="420"/>
      <c r="P70" s="420"/>
      <c r="Q70" s="420"/>
      <c r="R70" s="420"/>
      <c r="S70" s="420"/>
      <c r="T70" s="420"/>
      <c r="U70" s="420"/>
      <c r="V70" s="420"/>
      <c r="W70" s="420"/>
      <c r="X70" s="420"/>
      <c r="Y70" s="420"/>
      <c r="Z70" s="420"/>
      <c r="AA70" s="420"/>
      <c r="AB70" s="420"/>
      <c r="AC70" s="420"/>
      <c r="AD70" s="33"/>
      <c r="AE70" s="33"/>
      <c r="AF70" s="33"/>
      <c r="AG70" s="33"/>
      <c r="AH70" s="33"/>
      <c r="AI70" s="33"/>
      <c r="AJ70" s="66">
        <f t="shared" si="6"/>
        <v>0</v>
      </c>
      <c r="AK70" s="29"/>
      <c r="AM70" s="54"/>
    </row>
    <row r="71" spans="1:39" s="30" customFormat="1" ht="15" x14ac:dyDescent="0.2">
      <c r="A71" s="90" t="str">
        <f>Бюджет!A143</f>
        <v>Б1.В.09</v>
      </c>
      <c r="B71" s="90" t="str">
        <f>Бюджет!B143</f>
        <v>Экспериментальные методы в геофизике</v>
      </c>
      <c r="C71" s="74" t="str">
        <f>Бюджет!C143</f>
        <v>3\6</v>
      </c>
      <c r="D71" s="74">
        <f>Бюджет!D143</f>
        <v>6</v>
      </c>
      <c r="E71" s="74">
        <f>Бюджет!E143</f>
        <v>1</v>
      </c>
      <c r="F71" s="70">
        <f>Бюджет!F143</f>
        <v>0</v>
      </c>
      <c r="G71" s="70">
        <f>Бюджет!G143</f>
        <v>0</v>
      </c>
      <c r="H71" s="70">
        <f>Бюджет!H143</f>
        <v>0</v>
      </c>
      <c r="I71" s="70">
        <f>Бюджет!I143</f>
        <v>0</v>
      </c>
      <c r="J71" s="70">
        <f>Бюджет!J143</f>
        <v>54</v>
      </c>
      <c r="K71" s="70">
        <f>Бюджет!K143</f>
        <v>1.7999999999999998</v>
      </c>
      <c r="L71" s="70">
        <f>Бюджет!L143</f>
        <v>0</v>
      </c>
      <c r="M71" s="70">
        <f>Бюджет!M143</f>
        <v>0</v>
      </c>
      <c r="N71" s="70">
        <f>Бюджет!N143</f>
        <v>0</v>
      </c>
      <c r="O71" s="70">
        <f>Бюджет!O143</f>
        <v>0</v>
      </c>
      <c r="P71" s="70">
        <f>Бюджет!P143</f>
        <v>0</v>
      </c>
      <c r="Q71" s="70">
        <f>Бюджет!Q143</f>
        <v>0</v>
      </c>
      <c r="R71" s="70">
        <f>Бюджет!R143</f>
        <v>0</v>
      </c>
      <c r="S71" s="70">
        <f>Бюджет!S143</f>
        <v>0</v>
      </c>
      <c r="T71" s="70">
        <f>Бюджет!T143</f>
        <v>0</v>
      </c>
      <c r="U71" s="70">
        <f>Бюджет!U143</f>
        <v>0</v>
      </c>
      <c r="V71" s="70">
        <f>Бюджет!V143</f>
        <v>0</v>
      </c>
      <c r="W71" s="70">
        <f>Бюджет!W143</f>
        <v>0</v>
      </c>
      <c r="X71" s="70">
        <f>Бюджет!X143</f>
        <v>0</v>
      </c>
      <c r="Y71" s="70">
        <f>Бюджет!Y143</f>
        <v>0</v>
      </c>
      <c r="Z71" s="70">
        <f>Бюджет!Z143</f>
        <v>0</v>
      </c>
      <c r="AA71" s="70">
        <f>Бюджет!AA143</f>
        <v>0</v>
      </c>
      <c r="AB71" s="70">
        <f>Бюджет!AB143</f>
        <v>0</v>
      </c>
      <c r="AC71" s="70">
        <f>Бюджет!AC143</f>
        <v>0</v>
      </c>
      <c r="AD71" s="70">
        <f>Бюджет!AD143</f>
        <v>0</v>
      </c>
      <c r="AE71" s="70">
        <f>Бюджет!AE143</f>
        <v>0</v>
      </c>
      <c r="AF71" s="70">
        <f>Бюджет!AF143</f>
        <v>0</v>
      </c>
      <c r="AG71" s="70">
        <f>Бюджет!AG143</f>
        <v>0</v>
      </c>
      <c r="AH71" s="70">
        <f>Бюджет!AH143</f>
        <v>0</v>
      </c>
      <c r="AI71" s="70">
        <f>Бюджет!AI143</f>
        <v>0</v>
      </c>
      <c r="AJ71" s="66">
        <f t="shared" si="6"/>
        <v>55.8</v>
      </c>
      <c r="AK71" s="56"/>
      <c r="AM71" s="54"/>
    </row>
    <row r="72" spans="1:39" s="30" customFormat="1" ht="15.75" x14ac:dyDescent="0.25">
      <c r="A72" s="29"/>
      <c r="B72" s="85" t="s">
        <v>229</v>
      </c>
      <c r="C72" s="91"/>
      <c r="D72" s="91"/>
      <c r="E72" s="91"/>
      <c r="F72" s="88">
        <f t="shared" ref="F72:AJ72" si="7">SUM(SUM(F71:F71))</f>
        <v>0</v>
      </c>
      <c r="G72" s="88">
        <f t="shared" si="7"/>
        <v>0</v>
      </c>
      <c r="H72" s="88">
        <f t="shared" si="7"/>
        <v>0</v>
      </c>
      <c r="I72" s="88">
        <f t="shared" si="7"/>
        <v>0</v>
      </c>
      <c r="J72" s="88">
        <f t="shared" si="7"/>
        <v>54</v>
      </c>
      <c r="K72" s="88">
        <f t="shared" si="7"/>
        <v>1.7999999999999998</v>
      </c>
      <c r="L72" s="88">
        <f t="shared" si="7"/>
        <v>0</v>
      </c>
      <c r="M72" s="88">
        <f t="shared" si="7"/>
        <v>0</v>
      </c>
      <c r="N72" s="88">
        <f t="shared" si="7"/>
        <v>0</v>
      </c>
      <c r="O72" s="88">
        <f t="shared" si="7"/>
        <v>0</v>
      </c>
      <c r="P72" s="88">
        <f t="shared" si="7"/>
        <v>0</v>
      </c>
      <c r="Q72" s="88">
        <f t="shared" si="7"/>
        <v>0</v>
      </c>
      <c r="R72" s="88">
        <f t="shared" si="7"/>
        <v>0</v>
      </c>
      <c r="S72" s="88">
        <f t="shared" si="7"/>
        <v>0</v>
      </c>
      <c r="T72" s="88">
        <f t="shared" si="7"/>
        <v>0</v>
      </c>
      <c r="U72" s="88">
        <f t="shared" si="7"/>
        <v>0</v>
      </c>
      <c r="V72" s="88">
        <f t="shared" si="7"/>
        <v>0</v>
      </c>
      <c r="W72" s="88">
        <f t="shared" si="7"/>
        <v>0</v>
      </c>
      <c r="X72" s="88">
        <f t="shared" si="7"/>
        <v>0</v>
      </c>
      <c r="Y72" s="88">
        <f t="shared" si="7"/>
        <v>0</v>
      </c>
      <c r="Z72" s="88">
        <f t="shared" si="7"/>
        <v>0</v>
      </c>
      <c r="AA72" s="88">
        <f t="shared" si="7"/>
        <v>0</v>
      </c>
      <c r="AB72" s="88">
        <f t="shared" si="7"/>
        <v>0</v>
      </c>
      <c r="AC72" s="88">
        <f t="shared" si="7"/>
        <v>0</v>
      </c>
      <c r="AD72" s="88">
        <f t="shared" si="7"/>
        <v>0</v>
      </c>
      <c r="AE72" s="88">
        <f t="shared" si="7"/>
        <v>0</v>
      </c>
      <c r="AF72" s="88">
        <f t="shared" si="7"/>
        <v>0</v>
      </c>
      <c r="AG72" s="88">
        <f t="shared" si="7"/>
        <v>0</v>
      </c>
      <c r="AH72" s="88">
        <f t="shared" si="7"/>
        <v>0</v>
      </c>
      <c r="AI72" s="88">
        <f t="shared" si="7"/>
        <v>0</v>
      </c>
      <c r="AJ72" s="88">
        <f t="shared" si="7"/>
        <v>55.8</v>
      </c>
      <c r="AK72" s="29"/>
      <c r="AM72" s="54"/>
    </row>
    <row r="73" spans="1:39" s="30" customFormat="1" ht="15" x14ac:dyDescent="0.2">
      <c r="A73" s="29"/>
      <c r="B73" s="34"/>
      <c r="C73" s="29"/>
      <c r="D73" s="29"/>
      <c r="E73" s="29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66">
        <f t="shared" ref="AJ73:AJ122" si="8">SUM(G73,I73:AI73)</f>
        <v>0</v>
      </c>
      <c r="AK73" s="29"/>
    </row>
    <row r="74" spans="1:39" s="30" customFormat="1" ht="15.75" x14ac:dyDescent="0.25">
      <c r="A74" s="29"/>
      <c r="B74" s="34"/>
      <c r="C74" s="29"/>
      <c r="D74" s="29"/>
      <c r="E74" s="29"/>
      <c r="F74" s="33"/>
      <c r="G74" s="33"/>
      <c r="H74" s="33"/>
      <c r="I74" s="33"/>
      <c r="J74" s="33"/>
      <c r="K74" s="276"/>
      <c r="L74" s="401" t="str">
        <f>Бюджет!L259</f>
        <v>10.03.01 Информационная безопасность</v>
      </c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276"/>
      <c r="AC74" s="33"/>
      <c r="AD74" s="33"/>
      <c r="AE74" s="33"/>
      <c r="AF74" s="33"/>
      <c r="AG74" s="33"/>
      <c r="AH74" s="33"/>
      <c r="AI74" s="33"/>
      <c r="AJ74" s="66">
        <f t="shared" si="8"/>
        <v>0</v>
      </c>
      <c r="AK74" s="74"/>
    </row>
    <row r="75" spans="1:39" s="30" customFormat="1" ht="15.75" customHeight="1" x14ac:dyDescent="0.2">
      <c r="A75" s="29"/>
      <c r="B75" s="34"/>
      <c r="C75" s="29"/>
      <c r="D75" s="29"/>
      <c r="E75" s="29"/>
      <c r="F75" s="33"/>
      <c r="G75" s="33"/>
      <c r="H75" s="33"/>
      <c r="I75" s="33"/>
      <c r="J75" s="417" t="str">
        <f>Бюджет!K260</f>
        <v>профиль "Техническая защита информации"</v>
      </c>
      <c r="K75" s="418"/>
      <c r="L75" s="418"/>
      <c r="M75" s="418"/>
      <c r="N75" s="418"/>
      <c r="O75" s="418"/>
      <c r="P75" s="418"/>
      <c r="Q75" s="418"/>
      <c r="R75" s="418"/>
      <c r="S75" s="418"/>
      <c r="T75" s="418"/>
      <c r="U75" s="418"/>
      <c r="V75" s="418"/>
      <c r="W75" s="418"/>
      <c r="X75" s="418"/>
      <c r="Y75" s="418"/>
      <c r="Z75" s="418"/>
      <c r="AA75" s="418"/>
      <c r="AB75" s="418"/>
      <c r="AC75" s="419"/>
      <c r="AD75" s="33"/>
      <c r="AE75" s="33"/>
      <c r="AF75" s="33"/>
      <c r="AG75" s="33"/>
      <c r="AH75" s="33"/>
      <c r="AI75" s="33"/>
      <c r="AJ75" s="66">
        <f t="shared" si="8"/>
        <v>0</v>
      </c>
      <c r="AK75" s="74"/>
    </row>
    <row r="76" spans="1:39" s="30" customFormat="1" ht="15.75" x14ac:dyDescent="0.2">
      <c r="A76" s="29"/>
      <c r="B76" s="34"/>
      <c r="C76" s="29"/>
      <c r="D76" s="29"/>
      <c r="E76" s="29"/>
      <c r="F76" s="33"/>
      <c r="G76" s="33"/>
      <c r="H76" s="33"/>
      <c r="I76" s="33"/>
      <c r="J76" s="417" t="str">
        <f>Бюджет!K261</f>
        <v>профиль "Безопасность автоматизированных систем (по отрасли или в сфере профессиональной деятельности)"</v>
      </c>
      <c r="K76" s="418"/>
      <c r="L76" s="418"/>
      <c r="M76" s="418"/>
      <c r="N76" s="418"/>
      <c r="O76" s="418"/>
      <c r="P76" s="418"/>
      <c r="Q76" s="418"/>
      <c r="R76" s="418"/>
      <c r="S76" s="418"/>
      <c r="T76" s="418"/>
      <c r="U76" s="418"/>
      <c r="V76" s="418"/>
      <c r="W76" s="418"/>
      <c r="X76" s="418"/>
      <c r="Y76" s="418"/>
      <c r="Z76" s="418"/>
      <c r="AA76" s="418"/>
      <c r="AB76" s="418"/>
      <c r="AC76" s="419"/>
      <c r="AD76" s="33"/>
      <c r="AE76" s="33"/>
      <c r="AF76" s="33"/>
      <c r="AG76" s="33"/>
      <c r="AH76" s="33"/>
      <c r="AI76" s="33"/>
      <c r="AJ76" s="66">
        <f t="shared" si="8"/>
        <v>0</v>
      </c>
      <c r="AK76" s="74"/>
    </row>
    <row r="77" spans="1:39" s="30" customFormat="1" ht="15" x14ac:dyDescent="0.2">
      <c r="A77" s="90" t="str">
        <f>Бюджет!A267</f>
        <v>Б1.О.19</v>
      </c>
      <c r="B77" s="60" t="str">
        <f>Бюджет!B267</f>
        <v>Информатика</v>
      </c>
      <c r="C77" s="74" t="str">
        <f>Бюджет!C267</f>
        <v>1\1</v>
      </c>
      <c r="D77" s="74">
        <f>Бюджет!D267</f>
        <v>27</v>
      </c>
      <c r="E77" s="74">
        <f>Бюджет!E267</f>
        <v>1</v>
      </c>
      <c r="F77" s="70">
        <f>Бюджет!F267</f>
        <v>34</v>
      </c>
      <c r="G77" s="70">
        <f>Бюджет!G267</f>
        <v>34</v>
      </c>
      <c r="H77" s="70">
        <f>Бюджет!H267</f>
        <v>0</v>
      </c>
      <c r="I77" s="70">
        <f>Бюджет!I267</f>
        <v>0</v>
      </c>
      <c r="J77" s="70">
        <f>Бюджет!J267</f>
        <v>136</v>
      </c>
      <c r="K77" s="70">
        <f>Бюджет!K267</f>
        <v>8.1</v>
      </c>
      <c r="L77" s="70">
        <f>Бюджет!L267</f>
        <v>0</v>
      </c>
      <c r="M77" s="70">
        <f>Бюджет!M267</f>
        <v>0</v>
      </c>
      <c r="N77" s="70">
        <f>Бюджет!N267</f>
        <v>0</v>
      </c>
      <c r="O77" s="70">
        <f>Бюджет!O267</f>
        <v>0</v>
      </c>
      <c r="P77" s="70">
        <f>Бюджет!P267</f>
        <v>0</v>
      </c>
      <c r="Q77" s="70">
        <f>Бюджет!Q267</f>
        <v>1.7000000000000002</v>
      </c>
      <c r="R77" s="70">
        <f>Бюджет!R267</f>
        <v>0</v>
      </c>
      <c r="S77" s="70">
        <f>Бюджет!S267</f>
        <v>0</v>
      </c>
      <c r="T77" s="70">
        <f>Бюджет!T267</f>
        <v>0</v>
      </c>
      <c r="U77" s="70">
        <f>Бюджет!U267</f>
        <v>0</v>
      </c>
      <c r="V77" s="70">
        <f>Бюджет!V267</f>
        <v>0</v>
      </c>
      <c r="W77" s="70">
        <f>Бюджет!W267</f>
        <v>0</v>
      </c>
      <c r="X77" s="70">
        <f>Бюджет!X267</f>
        <v>0</v>
      </c>
      <c r="Y77" s="70">
        <f>Бюджет!Y267</f>
        <v>0</v>
      </c>
      <c r="Z77" s="70">
        <f>Бюджет!Z267</f>
        <v>0</v>
      </c>
      <c r="AA77" s="70">
        <f>Бюджет!AA267</f>
        <v>0</v>
      </c>
      <c r="AB77" s="70">
        <f>Бюджет!AB267</f>
        <v>0</v>
      </c>
      <c r="AC77" s="70">
        <f>Бюджет!AC267</f>
        <v>0</v>
      </c>
      <c r="AD77" s="70">
        <f>Бюджет!AD267</f>
        <v>0</v>
      </c>
      <c r="AE77" s="70">
        <f>Бюджет!AE267</f>
        <v>0</v>
      </c>
      <c r="AF77" s="70">
        <f>Бюджет!AF267</f>
        <v>0</v>
      </c>
      <c r="AG77" s="70">
        <f>Бюджет!AG267</f>
        <v>0</v>
      </c>
      <c r="AH77" s="70">
        <f>Бюджет!AH267</f>
        <v>0</v>
      </c>
      <c r="AI77" s="70">
        <f>Бюджет!AI267</f>
        <v>0</v>
      </c>
      <c r="AJ77" s="66">
        <f t="shared" si="8"/>
        <v>179.79999999999998</v>
      </c>
      <c r="AK77" s="74"/>
    </row>
    <row r="78" spans="1:39" s="30" customFormat="1" ht="30" x14ac:dyDescent="0.2">
      <c r="A78" s="90" t="str">
        <f>Бюджет!A268</f>
        <v>Б1.О.25</v>
      </c>
      <c r="B78" s="60" t="str">
        <f>Бюджет!B268</f>
        <v>Программирование на языках высокого уровня</v>
      </c>
      <c r="C78" s="74" t="str">
        <f>Бюджет!C268</f>
        <v>1\2</v>
      </c>
      <c r="D78" s="74">
        <f>Бюджет!D268</f>
        <v>27</v>
      </c>
      <c r="E78" s="74">
        <f>Бюджет!E268</f>
        <v>1</v>
      </c>
      <c r="F78" s="70">
        <f>Бюджет!F268</f>
        <v>20</v>
      </c>
      <c r="G78" s="70">
        <f>Бюджет!G268</f>
        <v>20</v>
      </c>
      <c r="H78" s="70">
        <f>Бюджет!H268</f>
        <v>0</v>
      </c>
      <c r="I78" s="70">
        <f>Бюджет!I268</f>
        <v>0</v>
      </c>
      <c r="J78" s="70">
        <f>Бюджет!J268</f>
        <v>120</v>
      </c>
      <c r="K78" s="70">
        <f>Бюджет!K268</f>
        <v>8.1</v>
      </c>
      <c r="L78" s="70">
        <f>Бюджет!L268</f>
        <v>0</v>
      </c>
      <c r="M78" s="70">
        <f>Бюджет!M268</f>
        <v>0</v>
      </c>
      <c r="N78" s="70">
        <f>Бюджет!N268</f>
        <v>0</v>
      </c>
      <c r="O78" s="70">
        <f>Бюджет!O268</f>
        <v>0</v>
      </c>
      <c r="P78" s="70">
        <f>Бюджет!P268</f>
        <v>0</v>
      </c>
      <c r="Q78" s="70">
        <f>Бюджет!Q268</f>
        <v>1</v>
      </c>
      <c r="R78" s="70">
        <f>Бюджет!R268</f>
        <v>0</v>
      </c>
      <c r="S78" s="70">
        <f>Бюджет!S268</f>
        <v>0</v>
      </c>
      <c r="T78" s="70">
        <f>Бюджет!T268</f>
        <v>0</v>
      </c>
      <c r="U78" s="70">
        <f>Бюджет!U268</f>
        <v>0</v>
      </c>
      <c r="V78" s="70">
        <f>Бюджет!V268</f>
        <v>0</v>
      </c>
      <c r="W78" s="70">
        <f>Бюджет!W268</f>
        <v>0</v>
      </c>
      <c r="X78" s="70">
        <f>Бюджет!X268</f>
        <v>0</v>
      </c>
      <c r="Y78" s="70">
        <f>Бюджет!Y268</f>
        <v>0</v>
      </c>
      <c r="Z78" s="70">
        <f>Бюджет!Z268</f>
        <v>0</v>
      </c>
      <c r="AA78" s="70">
        <f>Бюджет!AA268</f>
        <v>0</v>
      </c>
      <c r="AB78" s="70">
        <f>Бюджет!AB268</f>
        <v>0</v>
      </c>
      <c r="AC78" s="70">
        <f>Бюджет!AC268</f>
        <v>0</v>
      </c>
      <c r="AD78" s="70">
        <f>Бюджет!AD268</f>
        <v>0</v>
      </c>
      <c r="AE78" s="70">
        <f>Бюджет!AE268</f>
        <v>0</v>
      </c>
      <c r="AF78" s="70">
        <f>Бюджет!AF268</f>
        <v>0</v>
      </c>
      <c r="AG78" s="70">
        <f>Бюджет!AG268</f>
        <v>0</v>
      </c>
      <c r="AH78" s="70">
        <f>Бюджет!AH268</f>
        <v>0</v>
      </c>
      <c r="AI78" s="70">
        <f>Бюджет!AI268</f>
        <v>2</v>
      </c>
      <c r="AJ78" s="66">
        <f t="shared" si="8"/>
        <v>151.1</v>
      </c>
      <c r="AK78" s="74"/>
    </row>
    <row r="79" spans="1:39" s="30" customFormat="1" ht="15" x14ac:dyDescent="0.2">
      <c r="A79" s="90" t="str">
        <f>Бюджет!A269</f>
        <v>Б1.О.27</v>
      </c>
      <c r="B79" s="60" t="str">
        <f>Бюджет!B269</f>
        <v>Основы информационной безопасности</v>
      </c>
      <c r="C79" s="74" t="str">
        <f>Бюджет!C269</f>
        <v>1\1</v>
      </c>
      <c r="D79" s="74">
        <f>Бюджет!D269</f>
        <v>27</v>
      </c>
      <c r="E79" s="74">
        <f>Бюджет!E269</f>
        <v>1</v>
      </c>
      <c r="F79" s="70">
        <f>Бюджет!F269</f>
        <v>34</v>
      </c>
      <c r="G79" s="70">
        <f>Бюджет!G269</f>
        <v>34</v>
      </c>
      <c r="H79" s="70">
        <f>Бюджет!H269</f>
        <v>34</v>
      </c>
      <c r="I79" s="70">
        <f>Бюджет!I269</f>
        <v>34</v>
      </c>
      <c r="J79" s="70">
        <f>Бюджет!J269</f>
        <v>68</v>
      </c>
      <c r="K79" s="70">
        <f>Бюджет!K269</f>
        <v>8.1</v>
      </c>
      <c r="L79" s="70">
        <f>Бюджет!L269</f>
        <v>0</v>
      </c>
      <c r="M79" s="70">
        <f>Бюджет!M269</f>
        <v>0</v>
      </c>
      <c r="N79" s="70">
        <f>Бюджет!N269</f>
        <v>0</v>
      </c>
      <c r="O79" s="70">
        <f>Бюджет!O269</f>
        <v>0</v>
      </c>
      <c r="P79" s="70">
        <f>Бюджет!P269</f>
        <v>0</v>
      </c>
      <c r="Q79" s="70">
        <f>Бюджет!Q269</f>
        <v>1.7000000000000002</v>
      </c>
      <c r="R79" s="70">
        <f>Бюджет!R269</f>
        <v>0</v>
      </c>
      <c r="S79" s="70">
        <f>Бюджет!S269</f>
        <v>0</v>
      </c>
      <c r="T79" s="70">
        <f>Бюджет!T269</f>
        <v>0</v>
      </c>
      <c r="U79" s="70">
        <f>Бюджет!U269</f>
        <v>0</v>
      </c>
      <c r="V79" s="70">
        <f>Бюджет!V269</f>
        <v>0</v>
      </c>
      <c r="W79" s="70">
        <f>Бюджет!W269</f>
        <v>0</v>
      </c>
      <c r="X79" s="70">
        <f>Бюджет!X269</f>
        <v>0</v>
      </c>
      <c r="Y79" s="70">
        <f>Бюджет!Y269</f>
        <v>0</v>
      </c>
      <c r="Z79" s="70">
        <f>Бюджет!Z269</f>
        <v>0</v>
      </c>
      <c r="AA79" s="70">
        <f>Бюджет!AA269</f>
        <v>0</v>
      </c>
      <c r="AB79" s="70">
        <f>Бюджет!AB269</f>
        <v>0</v>
      </c>
      <c r="AC79" s="70">
        <f>Бюджет!AC269</f>
        <v>0</v>
      </c>
      <c r="AD79" s="70">
        <f>Бюджет!AD269</f>
        <v>0</v>
      </c>
      <c r="AE79" s="70">
        <f>Бюджет!AE269</f>
        <v>0</v>
      </c>
      <c r="AF79" s="70">
        <f>Бюджет!AF269</f>
        <v>0</v>
      </c>
      <c r="AG79" s="70">
        <f>Бюджет!AG269</f>
        <v>0</v>
      </c>
      <c r="AH79" s="70">
        <f>Бюджет!AH269</f>
        <v>0</v>
      </c>
      <c r="AI79" s="70">
        <f>Бюджет!AI269</f>
        <v>6</v>
      </c>
      <c r="AJ79" s="66">
        <f t="shared" si="8"/>
        <v>151.79999999999998</v>
      </c>
      <c r="AK79" s="74"/>
    </row>
    <row r="80" spans="1:39" s="30" customFormat="1" ht="15" x14ac:dyDescent="0.2">
      <c r="A80" s="90" t="str">
        <f>Бюджет!A270</f>
        <v>Б1.О.27</v>
      </c>
      <c r="B80" s="60" t="str">
        <f>Бюджет!B270</f>
        <v>Основы информационной безопасности</v>
      </c>
      <c r="C80" s="74" t="str">
        <f>Бюджет!C270</f>
        <v>1\2</v>
      </c>
      <c r="D80" s="74">
        <f>Бюджет!D270</f>
        <v>27</v>
      </c>
      <c r="E80" s="74">
        <f>Бюджет!E270</f>
        <v>1</v>
      </c>
      <c r="F80" s="70">
        <f>Бюджет!F270</f>
        <v>40</v>
      </c>
      <c r="G80" s="70">
        <f>Бюджет!G270</f>
        <v>40</v>
      </c>
      <c r="H80" s="70">
        <f>Бюджет!H270</f>
        <v>0</v>
      </c>
      <c r="I80" s="70">
        <f>Бюджет!I270</f>
        <v>0</v>
      </c>
      <c r="J80" s="70">
        <f>Бюджет!J270</f>
        <v>40</v>
      </c>
      <c r="K80" s="70">
        <f>Бюджет!K270</f>
        <v>8.1</v>
      </c>
      <c r="L80" s="70">
        <f>Бюджет!L270</f>
        <v>0</v>
      </c>
      <c r="M80" s="70">
        <f>Бюджет!M270</f>
        <v>0</v>
      </c>
      <c r="N80" s="70">
        <f>Бюджет!N270</f>
        <v>0</v>
      </c>
      <c r="O80" s="70">
        <f>Бюджет!O270</f>
        <v>0</v>
      </c>
      <c r="P80" s="70">
        <f>Бюджет!P270</f>
        <v>0</v>
      </c>
      <c r="Q80" s="70">
        <f>Бюджет!Q270</f>
        <v>2</v>
      </c>
      <c r="R80" s="70">
        <f>Бюджет!R270</f>
        <v>0</v>
      </c>
      <c r="S80" s="70">
        <f>Бюджет!S270</f>
        <v>0</v>
      </c>
      <c r="T80" s="70">
        <f>Бюджет!T270</f>
        <v>0</v>
      </c>
      <c r="U80" s="70">
        <f>Бюджет!U270</f>
        <v>8.1</v>
      </c>
      <c r="V80" s="70">
        <f>Бюджет!V270</f>
        <v>0</v>
      </c>
      <c r="W80" s="70">
        <f>Бюджет!W270</f>
        <v>0</v>
      </c>
      <c r="X80" s="70">
        <f>Бюджет!X270</f>
        <v>0</v>
      </c>
      <c r="Y80" s="70">
        <f>Бюджет!Y270</f>
        <v>0</v>
      </c>
      <c r="Z80" s="70">
        <f>Бюджет!Z270</f>
        <v>0</v>
      </c>
      <c r="AA80" s="70">
        <f>Бюджет!AA270</f>
        <v>0</v>
      </c>
      <c r="AB80" s="70">
        <f>Бюджет!AB270</f>
        <v>0</v>
      </c>
      <c r="AC80" s="70">
        <f>Бюджет!AC270</f>
        <v>0</v>
      </c>
      <c r="AD80" s="70">
        <f>Бюджет!AD270</f>
        <v>0</v>
      </c>
      <c r="AE80" s="70">
        <f>Бюджет!AE270</f>
        <v>0</v>
      </c>
      <c r="AF80" s="70">
        <f>Бюджет!AF270</f>
        <v>0</v>
      </c>
      <c r="AG80" s="70">
        <f>Бюджет!AG270</f>
        <v>0</v>
      </c>
      <c r="AH80" s="70">
        <f>Бюджет!AH270</f>
        <v>0</v>
      </c>
      <c r="AI80" s="70">
        <f>Бюджет!AI270</f>
        <v>2</v>
      </c>
      <c r="AJ80" s="66">
        <f t="shared" si="8"/>
        <v>100.19999999999999</v>
      </c>
      <c r="AK80" s="74"/>
    </row>
    <row r="81" spans="1:37" s="30" customFormat="1" ht="30" x14ac:dyDescent="0.2">
      <c r="A81" s="90" t="str">
        <f>Бюджет!A276</f>
        <v>Б1.О.17</v>
      </c>
      <c r="B81" s="60" t="str">
        <f>Бюджет!B276</f>
        <v>Объектно-ориентированное программирование и моделирование</v>
      </c>
      <c r="C81" s="74" t="str">
        <f>Бюджет!C276</f>
        <v>2\3</v>
      </c>
      <c r="D81" s="74">
        <f>Бюджет!D276</f>
        <v>34</v>
      </c>
      <c r="E81" s="74">
        <f>Бюджет!E276</f>
        <v>1</v>
      </c>
      <c r="F81" s="70">
        <f>Бюджет!F276</f>
        <v>16</v>
      </c>
      <c r="G81" s="70">
        <f>Бюджет!G276</f>
        <v>16</v>
      </c>
      <c r="H81" s="70">
        <f>Бюджет!H276</f>
        <v>0</v>
      </c>
      <c r="I81" s="70">
        <f>Бюджет!I276</f>
        <v>0</v>
      </c>
      <c r="J81" s="70">
        <f>Бюджет!J276</f>
        <v>150</v>
      </c>
      <c r="K81" s="70">
        <f>Бюджет!K276</f>
        <v>10.199999999999999</v>
      </c>
      <c r="L81" s="70">
        <f>Бюджет!L276</f>
        <v>0</v>
      </c>
      <c r="M81" s="70">
        <f>Бюджет!M276</f>
        <v>0</v>
      </c>
      <c r="N81" s="70">
        <f>Бюджет!N276</f>
        <v>0</v>
      </c>
      <c r="O81" s="70">
        <f>Бюджет!O276</f>
        <v>0</v>
      </c>
      <c r="P81" s="70">
        <f>Бюджет!P276</f>
        <v>0</v>
      </c>
      <c r="Q81" s="70">
        <f>Бюджет!Q276</f>
        <v>0.8</v>
      </c>
      <c r="R81" s="70">
        <f>Бюджет!R276</f>
        <v>0</v>
      </c>
      <c r="S81" s="70">
        <f>Бюджет!S276</f>
        <v>0</v>
      </c>
      <c r="T81" s="70">
        <f>Бюджет!T276</f>
        <v>0</v>
      </c>
      <c r="U81" s="70">
        <f>Бюджет!U276</f>
        <v>0</v>
      </c>
      <c r="V81" s="70">
        <f>Бюджет!V276</f>
        <v>0</v>
      </c>
      <c r="W81" s="70">
        <f>Бюджет!W276</f>
        <v>0</v>
      </c>
      <c r="X81" s="70">
        <f>Бюджет!X276</f>
        <v>0</v>
      </c>
      <c r="Y81" s="70">
        <f>Бюджет!Y276</f>
        <v>0</v>
      </c>
      <c r="Z81" s="70">
        <f>Бюджет!Z276</f>
        <v>0</v>
      </c>
      <c r="AA81" s="70">
        <f>Бюджет!AA276</f>
        <v>0</v>
      </c>
      <c r="AB81" s="70">
        <f>Бюджет!AB276</f>
        <v>0</v>
      </c>
      <c r="AC81" s="70">
        <f>Бюджет!AC276</f>
        <v>0</v>
      </c>
      <c r="AD81" s="70">
        <f>Бюджет!AD276</f>
        <v>0</v>
      </c>
      <c r="AE81" s="70">
        <f>Бюджет!AE276</f>
        <v>0</v>
      </c>
      <c r="AF81" s="70">
        <f>Бюджет!AF276</f>
        <v>0</v>
      </c>
      <c r="AG81" s="70">
        <f>Бюджет!AG276</f>
        <v>0</v>
      </c>
      <c r="AH81" s="70">
        <f>Бюджет!AH276</f>
        <v>0</v>
      </c>
      <c r="AI81" s="70">
        <f>Бюджет!AI276</f>
        <v>2</v>
      </c>
      <c r="AJ81" s="66">
        <f t="shared" si="8"/>
        <v>179</v>
      </c>
      <c r="AK81" s="74"/>
    </row>
    <row r="82" spans="1:37" s="30" customFormat="1" ht="15" x14ac:dyDescent="0.2">
      <c r="A82" s="90" t="str">
        <f>Бюджет!A278</f>
        <v>Б1.О.24</v>
      </c>
      <c r="B82" s="60" t="str">
        <f>Бюджет!B278</f>
        <v>Инженерная и компьютерная графика</v>
      </c>
      <c r="C82" s="74" t="str">
        <f>Бюджет!C278</f>
        <v>2\3</v>
      </c>
      <c r="D82" s="74">
        <f>Бюджет!D278</f>
        <v>34</v>
      </c>
      <c r="E82" s="74">
        <f>Бюджет!E278</f>
        <v>1</v>
      </c>
      <c r="F82" s="70">
        <f>Бюджет!F278</f>
        <v>34</v>
      </c>
      <c r="G82" s="70">
        <f>Бюджет!G278</f>
        <v>34</v>
      </c>
      <c r="H82" s="70">
        <f>Бюджет!H278</f>
        <v>0</v>
      </c>
      <c r="I82" s="70">
        <f>Бюджет!I278</f>
        <v>0</v>
      </c>
      <c r="J82" s="70">
        <f>Бюджет!J278</f>
        <v>102</v>
      </c>
      <c r="K82" s="70">
        <f>Бюджет!K278</f>
        <v>10.199999999999999</v>
      </c>
      <c r="L82" s="70">
        <f>Бюджет!L278</f>
        <v>0</v>
      </c>
      <c r="M82" s="70">
        <f>Бюджет!M278</f>
        <v>0</v>
      </c>
      <c r="N82" s="70">
        <f>Бюджет!N278</f>
        <v>0</v>
      </c>
      <c r="O82" s="70">
        <f>Бюджет!O278</f>
        <v>0</v>
      </c>
      <c r="P82" s="70">
        <f>Бюджет!P278</f>
        <v>0</v>
      </c>
      <c r="Q82" s="70">
        <f>Бюджет!Q278</f>
        <v>1.7000000000000002</v>
      </c>
      <c r="R82" s="70">
        <f>Бюджет!R278</f>
        <v>0</v>
      </c>
      <c r="S82" s="70">
        <f>Бюджет!S278</f>
        <v>0</v>
      </c>
      <c r="T82" s="70">
        <f>Бюджет!T278</f>
        <v>0</v>
      </c>
      <c r="U82" s="70">
        <f>Бюджет!U278</f>
        <v>0</v>
      </c>
      <c r="V82" s="70">
        <f>Бюджет!V278</f>
        <v>0</v>
      </c>
      <c r="W82" s="70">
        <f>Бюджет!W278</f>
        <v>0</v>
      </c>
      <c r="X82" s="70">
        <f>Бюджет!X278</f>
        <v>0</v>
      </c>
      <c r="Y82" s="70">
        <f>Бюджет!Y278</f>
        <v>0</v>
      </c>
      <c r="Z82" s="70">
        <f>Бюджет!Z278</f>
        <v>0</v>
      </c>
      <c r="AA82" s="70">
        <f>Бюджет!AA278</f>
        <v>0</v>
      </c>
      <c r="AB82" s="70">
        <f>Бюджет!AB278</f>
        <v>0</v>
      </c>
      <c r="AC82" s="70">
        <f>Бюджет!AC278</f>
        <v>0</v>
      </c>
      <c r="AD82" s="70">
        <f>Бюджет!AD278</f>
        <v>0</v>
      </c>
      <c r="AE82" s="70">
        <f>Бюджет!AE278</f>
        <v>0</v>
      </c>
      <c r="AF82" s="70">
        <f>Бюджет!AF278</f>
        <v>0</v>
      </c>
      <c r="AG82" s="70">
        <f>Бюджет!AG278</f>
        <v>0</v>
      </c>
      <c r="AH82" s="70">
        <f>Бюджет!AH278</f>
        <v>0</v>
      </c>
      <c r="AI82" s="70">
        <f>Бюджет!AI278</f>
        <v>2</v>
      </c>
      <c r="AJ82" s="66">
        <f t="shared" si="8"/>
        <v>149.89999999999998</v>
      </c>
      <c r="AK82" s="74"/>
    </row>
    <row r="83" spans="1:37" s="30" customFormat="1" ht="30" x14ac:dyDescent="0.2">
      <c r="A83" s="90" t="str">
        <f>Бюджет!A279</f>
        <v>Б1.О.31</v>
      </c>
      <c r="B83" s="60" t="str">
        <f>Бюджет!B279</f>
        <v>Документоведение. Нормативные документы в сфере информационной безопасности</v>
      </c>
      <c r="C83" s="74" t="str">
        <f>Бюджет!C279</f>
        <v>2\3</v>
      </c>
      <c r="D83" s="74">
        <f>Бюджет!D279</f>
        <v>34</v>
      </c>
      <c r="E83" s="74">
        <f>Бюджет!E279</f>
        <v>1</v>
      </c>
      <c r="F83" s="70">
        <f>Бюджет!F279</f>
        <v>34</v>
      </c>
      <c r="G83" s="70">
        <f>Бюджет!G279</f>
        <v>34</v>
      </c>
      <c r="H83" s="70">
        <f>Бюджет!H279</f>
        <v>34</v>
      </c>
      <c r="I83" s="70">
        <f>Бюджет!I279</f>
        <v>34</v>
      </c>
      <c r="J83" s="70">
        <f>Бюджет!J279</f>
        <v>0</v>
      </c>
      <c r="K83" s="70">
        <f>Бюджет!K279</f>
        <v>10.199999999999999</v>
      </c>
      <c r="L83" s="70">
        <f>Бюджет!L279</f>
        <v>0</v>
      </c>
      <c r="M83" s="70">
        <f>Бюджет!M279</f>
        <v>0</v>
      </c>
      <c r="N83" s="70">
        <f>Бюджет!N279</f>
        <v>0</v>
      </c>
      <c r="O83" s="70">
        <f>Бюджет!O279</f>
        <v>0</v>
      </c>
      <c r="P83" s="70">
        <f>Бюджет!P279</f>
        <v>0</v>
      </c>
      <c r="Q83" s="70">
        <f>Бюджет!Q279</f>
        <v>1.7000000000000002</v>
      </c>
      <c r="R83" s="70">
        <f>Бюджет!R279</f>
        <v>0</v>
      </c>
      <c r="S83" s="70">
        <f>Бюджет!S279</f>
        <v>0</v>
      </c>
      <c r="T83" s="70">
        <f>Бюджет!T279</f>
        <v>0</v>
      </c>
      <c r="U83" s="70">
        <f>Бюджет!U279</f>
        <v>0</v>
      </c>
      <c r="V83" s="70">
        <f>Бюджет!V279</f>
        <v>0</v>
      </c>
      <c r="W83" s="70">
        <f>Бюджет!W279</f>
        <v>0</v>
      </c>
      <c r="X83" s="70">
        <f>Бюджет!X279</f>
        <v>0</v>
      </c>
      <c r="Y83" s="70">
        <f>Бюджет!Y279</f>
        <v>0</v>
      </c>
      <c r="Z83" s="70">
        <f>Бюджет!Z279</f>
        <v>0</v>
      </c>
      <c r="AA83" s="70">
        <f>Бюджет!AA279</f>
        <v>0</v>
      </c>
      <c r="AB83" s="70">
        <f>Бюджет!AB279</f>
        <v>0</v>
      </c>
      <c r="AC83" s="70">
        <f>Бюджет!AC279</f>
        <v>0</v>
      </c>
      <c r="AD83" s="70">
        <f>Бюджет!AD279</f>
        <v>0</v>
      </c>
      <c r="AE83" s="70">
        <f>Бюджет!AE279</f>
        <v>0</v>
      </c>
      <c r="AF83" s="70">
        <f>Бюджет!AF279</f>
        <v>0</v>
      </c>
      <c r="AG83" s="70">
        <f>Бюджет!AG279</f>
        <v>0</v>
      </c>
      <c r="AH83" s="70">
        <f>Бюджет!AH279</f>
        <v>0</v>
      </c>
      <c r="AI83" s="70">
        <f>Бюджет!AI279</f>
        <v>0</v>
      </c>
      <c r="AJ83" s="66">
        <f t="shared" si="8"/>
        <v>79.900000000000006</v>
      </c>
      <c r="AK83" s="74"/>
    </row>
    <row r="84" spans="1:37" s="30" customFormat="1" ht="15" x14ac:dyDescent="0.2">
      <c r="A84" s="90" t="str">
        <f>Бюджет!A280</f>
        <v>Б1.О.35</v>
      </c>
      <c r="B84" s="60" t="str">
        <f>Бюджет!B280</f>
        <v>Дискретная математика</v>
      </c>
      <c r="C84" s="74" t="str">
        <f>Бюджет!C280</f>
        <v>2\4</v>
      </c>
      <c r="D84" s="74">
        <f>Бюджет!D280</f>
        <v>34</v>
      </c>
      <c r="E84" s="74">
        <f>Бюджет!E280</f>
        <v>1</v>
      </c>
      <c r="F84" s="70">
        <f>Бюджет!F280</f>
        <v>20</v>
      </c>
      <c r="G84" s="70">
        <f>Бюджет!G280</f>
        <v>20</v>
      </c>
      <c r="H84" s="70">
        <f>Бюджет!H280</f>
        <v>40</v>
      </c>
      <c r="I84" s="70">
        <f>Бюджет!I280</f>
        <v>40</v>
      </c>
      <c r="J84" s="70">
        <f>Бюджет!J280</f>
        <v>0</v>
      </c>
      <c r="K84" s="70">
        <f>Бюджет!K280</f>
        <v>10.199999999999999</v>
      </c>
      <c r="L84" s="70">
        <f>Бюджет!L280</f>
        <v>0</v>
      </c>
      <c r="M84" s="70">
        <f>Бюджет!M280</f>
        <v>0</v>
      </c>
      <c r="N84" s="70">
        <f>Бюджет!N280</f>
        <v>0</v>
      </c>
      <c r="O84" s="70">
        <f>Бюджет!O280</f>
        <v>0</v>
      </c>
      <c r="P84" s="70">
        <f>Бюджет!P280</f>
        <v>0</v>
      </c>
      <c r="Q84" s="70">
        <f>Бюджет!Q280</f>
        <v>1</v>
      </c>
      <c r="R84" s="70">
        <f>Бюджет!R280</f>
        <v>0</v>
      </c>
      <c r="S84" s="70">
        <f>Бюджет!S280</f>
        <v>0</v>
      </c>
      <c r="T84" s="70">
        <f>Бюджет!T280</f>
        <v>0</v>
      </c>
      <c r="U84" s="70">
        <f>Бюджет!U280</f>
        <v>10.199999999999999</v>
      </c>
      <c r="V84" s="70">
        <f>Бюджет!V280</f>
        <v>0</v>
      </c>
      <c r="W84" s="70">
        <f>Бюджет!W280</f>
        <v>0</v>
      </c>
      <c r="X84" s="70">
        <f>Бюджет!X280</f>
        <v>0</v>
      </c>
      <c r="Y84" s="70">
        <f>Бюджет!Y280</f>
        <v>0</v>
      </c>
      <c r="Z84" s="70">
        <f>Бюджет!Z280</f>
        <v>0</v>
      </c>
      <c r="AA84" s="70">
        <f>Бюджет!AA280</f>
        <v>0</v>
      </c>
      <c r="AB84" s="70">
        <f>Бюджет!AB280</f>
        <v>0</v>
      </c>
      <c r="AC84" s="70">
        <f>Бюджет!AC280</f>
        <v>0</v>
      </c>
      <c r="AD84" s="70">
        <f>Бюджет!AD280</f>
        <v>0</v>
      </c>
      <c r="AE84" s="70">
        <f>Бюджет!AE280</f>
        <v>0</v>
      </c>
      <c r="AF84" s="70">
        <f>Бюджет!AF280</f>
        <v>0</v>
      </c>
      <c r="AG84" s="70">
        <f>Бюджет!AG280</f>
        <v>0</v>
      </c>
      <c r="AH84" s="70">
        <f>Бюджет!AH280</f>
        <v>0</v>
      </c>
      <c r="AI84" s="70">
        <f>Бюджет!AI280</f>
        <v>4</v>
      </c>
      <c r="AJ84" s="66">
        <f t="shared" si="8"/>
        <v>85.4</v>
      </c>
      <c r="AK84" s="74"/>
    </row>
    <row r="85" spans="1:37" s="30" customFormat="1" ht="15" x14ac:dyDescent="0.2">
      <c r="A85" s="90" t="str">
        <f>Бюджет!A281</f>
        <v>Б2.О.01(У)</v>
      </c>
      <c r="B85" s="60" t="str">
        <f>Бюджет!B281</f>
        <v>Учебная практика. Ознакомительная практика</v>
      </c>
      <c r="C85" s="74" t="str">
        <f>Бюджет!C281</f>
        <v>2\4</v>
      </c>
      <c r="D85" s="74">
        <f>Бюджет!D281</f>
        <v>34</v>
      </c>
      <c r="E85" s="74">
        <f>Бюджет!E281</f>
        <v>1</v>
      </c>
      <c r="F85" s="70">
        <f>Бюджет!F281</f>
        <v>0</v>
      </c>
      <c r="G85" s="70">
        <f>Бюджет!G281</f>
        <v>0</v>
      </c>
      <c r="H85" s="70">
        <f>Бюджет!H281</f>
        <v>40</v>
      </c>
      <c r="I85" s="70">
        <f>Бюджет!I281</f>
        <v>40</v>
      </c>
      <c r="J85" s="70">
        <f>Бюджет!J281</f>
        <v>0</v>
      </c>
      <c r="K85" s="70">
        <f>Бюджет!K281</f>
        <v>10.199999999999999</v>
      </c>
      <c r="L85" s="70">
        <f>Бюджет!L281</f>
        <v>0</v>
      </c>
      <c r="M85" s="70">
        <f>Бюджет!M281</f>
        <v>0</v>
      </c>
      <c r="N85" s="70">
        <f>Бюджет!N281</f>
        <v>0</v>
      </c>
      <c r="O85" s="70">
        <f>Бюджет!O281</f>
        <v>0</v>
      </c>
      <c r="P85" s="70">
        <f>Бюджет!P281</f>
        <v>0</v>
      </c>
      <c r="Q85" s="70">
        <f>Бюджет!Q281</f>
        <v>0</v>
      </c>
      <c r="R85" s="70">
        <f>Бюджет!R281</f>
        <v>0</v>
      </c>
      <c r="S85" s="70">
        <f>Бюджет!S281</f>
        <v>0</v>
      </c>
      <c r="T85" s="70">
        <f>Бюджет!T281</f>
        <v>0</v>
      </c>
      <c r="U85" s="70">
        <f>Бюджет!U281</f>
        <v>0</v>
      </c>
      <c r="V85" s="70">
        <f>Бюджет!V281</f>
        <v>0</v>
      </c>
      <c r="W85" s="70">
        <f>Бюджет!W281</f>
        <v>0</v>
      </c>
      <c r="X85" s="70">
        <f>Бюджет!X281</f>
        <v>0</v>
      </c>
      <c r="Y85" s="70">
        <f>Бюджет!Y281</f>
        <v>0</v>
      </c>
      <c r="Z85" s="70">
        <f>Бюджет!Z281</f>
        <v>0</v>
      </c>
      <c r="AA85" s="70">
        <f>Бюджет!AA281</f>
        <v>0</v>
      </c>
      <c r="AB85" s="70">
        <f>Бюджет!AB281</f>
        <v>0</v>
      </c>
      <c r="AC85" s="70">
        <f>Бюджет!AC281</f>
        <v>0</v>
      </c>
      <c r="AD85" s="70">
        <f>Бюджет!AD281</f>
        <v>0</v>
      </c>
      <c r="AE85" s="70">
        <f>Бюджет!AE281</f>
        <v>0</v>
      </c>
      <c r="AF85" s="70">
        <f>Бюджет!AF281</f>
        <v>0</v>
      </c>
      <c r="AG85" s="70">
        <f>Бюджет!AG281</f>
        <v>0</v>
      </c>
      <c r="AH85" s="70">
        <f>Бюджет!AH281</f>
        <v>0</v>
      </c>
      <c r="AI85" s="70">
        <f>Бюджет!AI281</f>
        <v>0</v>
      </c>
      <c r="AJ85" s="66">
        <f t="shared" si="8"/>
        <v>50.2</v>
      </c>
      <c r="AK85" s="74"/>
    </row>
    <row r="86" spans="1:37" s="30" customFormat="1" ht="30" x14ac:dyDescent="0.2">
      <c r="A86" s="90" t="str">
        <f>Бюджет!A282</f>
        <v>Б1.О.10</v>
      </c>
      <c r="B86" s="60" t="str">
        <f>Бюджет!B282</f>
        <v>Методы и средства криптографической защиты информации</v>
      </c>
      <c r="C86" s="74" t="str">
        <f>Бюджет!C282</f>
        <v>3\6</v>
      </c>
      <c r="D86" s="74">
        <f>Бюджет!D282</f>
        <v>42</v>
      </c>
      <c r="E86" s="74">
        <f>Бюджет!E282</f>
        <v>2</v>
      </c>
      <c r="F86" s="70">
        <f>Бюджет!F282</f>
        <v>32</v>
      </c>
      <c r="G86" s="70">
        <f>Бюджет!G282</f>
        <v>32</v>
      </c>
      <c r="H86" s="70">
        <f>Бюджет!H282</f>
        <v>16</v>
      </c>
      <c r="I86" s="70">
        <f>Бюджет!I282</f>
        <v>32</v>
      </c>
      <c r="J86" s="70">
        <f>Бюджет!J282</f>
        <v>96</v>
      </c>
      <c r="K86" s="70">
        <f>Бюджет!K282</f>
        <v>12.6</v>
      </c>
      <c r="L86" s="70">
        <f>Бюджет!L282</f>
        <v>0</v>
      </c>
      <c r="M86" s="70">
        <f>Бюджет!M282</f>
        <v>0</v>
      </c>
      <c r="N86" s="70">
        <f>Бюджет!N282</f>
        <v>0</v>
      </c>
      <c r="O86" s="70">
        <f>Бюджет!O282</f>
        <v>0</v>
      </c>
      <c r="P86" s="70">
        <f>Бюджет!P282</f>
        <v>0</v>
      </c>
      <c r="Q86" s="70">
        <f>Бюджет!Q282</f>
        <v>1.6</v>
      </c>
      <c r="R86" s="70">
        <f>Бюджет!R282</f>
        <v>0</v>
      </c>
      <c r="S86" s="70">
        <f>Бюджет!S282</f>
        <v>0</v>
      </c>
      <c r="T86" s="70">
        <f>Бюджет!T282</f>
        <v>0</v>
      </c>
      <c r="U86" s="70">
        <f>Бюджет!U282</f>
        <v>12.6</v>
      </c>
      <c r="V86" s="70">
        <f>Бюджет!V282</f>
        <v>0</v>
      </c>
      <c r="W86" s="70">
        <f>Бюджет!W282</f>
        <v>0</v>
      </c>
      <c r="X86" s="70">
        <f>Бюджет!X282</f>
        <v>0</v>
      </c>
      <c r="Y86" s="70">
        <f>Бюджет!Y282</f>
        <v>0</v>
      </c>
      <c r="Z86" s="70">
        <f>Бюджет!Z282</f>
        <v>0</v>
      </c>
      <c r="AA86" s="70">
        <f>Бюджет!AA282</f>
        <v>0</v>
      </c>
      <c r="AB86" s="70">
        <f>Бюджет!AB282</f>
        <v>0</v>
      </c>
      <c r="AC86" s="70">
        <f>Бюджет!AC282</f>
        <v>0</v>
      </c>
      <c r="AD86" s="70">
        <f>Бюджет!AD282</f>
        <v>0</v>
      </c>
      <c r="AE86" s="70">
        <f>Бюджет!AE282</f>
        <v>0</v>
      </c>
      <c r="AF86" s="70">
        <f>Бюджет!AF282</f>
        <v>0</v>
      </c>
      <c r="AG86" s="70">
        <f>Бюджет!AG282</f>
        <v>0</v>
      </c>
      <c r="AH86" s="70">
        <f>Бюджет!AH282</f>
        <v>0</v>
      </c>
      <c r="AI86" s="70">
        <f>Бюджет!AI282</f>
        <v>4</v>
      </c>
      <c r="AJ86" s="66">
        <f t="shared" si="8"/>
        <v>190.79999999999998</v>
      </c>
      <c r="AK86" s="74"/>
    </row>
    <row r="87" spans="1:37" s="30" customFormat="1" ht="30" x14ac:dyDescent="0.2">
      <c r="A87" s="90" t="str">
        <f>Бюджет!A283</f>
        <v>Б1.О.18</v>
      </c>
      <c r="B87" s="60" t="str">
        <f>Бюджет!B283</f>
        <v>Защита и обработка конфиденциальных документов</v>
      </c>
      <c r="C87" s="74" t="str">
        <f>Бюджет!C283</f>
        <v>3\5</v>
      </c>
      <c r="D87" s="74">
        <f>Бюджет!D283</f>
        <v>42</v>
      </c>
      <c r="E87" s="74">
        <f>Бюджет!E283</f>
        <v>2</v>
      </c>
      <c r="F87" s="70">
        <f>Бюджет!F283</f>
        <v>34</v>
      </c>
      <c r="G87" s="70">
        <f>Бюджет!G283</f>
        <v>34</v>
      </c>
      <c r="H87" s="70">
        <f>Бюджет!H283</f>
        <v>34</v>
      </c>
      <c r="I87" s="70">
        <f>Бюджет!I283</f>
        <v>68</v>
      </c>
      <c r="J87" s="70">
        <f>Бюджет!J283</f>
        <v>0</v>
      </c>
      <c r="K87" s="70">
        <f>Бюджет!K283</f>
        <v>12.6</v>
      </c>
      <c r="L87" s="70">
        <f>Бюджет!L283</f>
        <v>0</v>
      </c>
      <c r="M87" s="70">
        <f>Бюджет!M283</f>
        <v>0</v>
      </c>
      <c r="N87" s="70">
        <f>Бюджет!N283</f>
        <v>0</v>
      </c>
      <c r="O87" s="70">
        <f>Бюджет!O283</f>
        <v>0</v>
      </c>
      <c r="P87" s="70">
        <f>Бюджет!P283</f>
        <v>0</v>
      </c>
      <c r="Q87" s="70">
        <f>Бюджет!Q283</f>
        <v>1.7000000000000002</v>
      </c>
      <c r="R87" s="70">
        <f>Бюджет!R283</f>
        <v>0</v>
      </c>
      <c r="S87" s="70">
        <f>Бюджет!S283</f>
        <v>0</v>
      </c>
      <c r="T87" s="70">
        <f>Бюджет!T283</f>
        <v>0</v>
      </c>
      <c r="U87" s="70">
        <f>Бюджет!U283</f>
        <v>0</v>
      </c>
      <c r="V87" s="70">
        <f>Бюджет!V283</f>
        <v>0</v>
      </c>
      <c r="W87" s="70">
        <f>Бюджет!W283</f>
        <v>0</v>
      </c>
      <c r="X87" s="70">
        <f>Бюджет!X283</f>
        <v>0</v>
      </c>
      <c r="Y87" s="70">
        <f>Бюджет!Y283</f>
        <v>0</v>
      </c>
      <c r="Z87" s="70">
        <f>Бюджет!Z283</f>
        <v>0</v>
      </c>
      <c r="AA87" s="70">
        <f>Бюджет!AA283</f>
        <v>0</v>
      </c>
      <c r="AB87" s="70">
        <f>Бюджет!AB283</f>
        <v>0</v>
      </c>
      <c r="AC87" s="70">
        <f>Бюджет!AC283</f>
        <v>0</v>
      </c>
      <c r="AD87" s="70">
        <f>Бюджет!AD283</f>
        <v>0</v>
      </c>
      <c r="AE87" s="70">
        <f>Бюджет!AE283</f>
        <v>0</v>
      </c>
      <c r="AF87" s="70">
        <f>Бюджет!AF283</f>
        <v>0</v>
      </c>
      <c r="AG87" s="70">
        <f>Бюджет!AG283</f>
        <v>0</v>
      </c>
      <c r="AH87" s="70">
        <f>Бюджет!AH283</f>
        <v>0</v>
      </c>
      <c r="AI87" s="70">
        <f>Бюджет!AI283</f>
        <v>0</v>
      </c>
      <c r="AJ87" s="66">
        <f t="shared" si="8"/>
        <v>116.3</v>
      </c>
      <c r="AK87" s="74"/>
    </row>
    <row r="88" spans="1:37" s="30" customFormat="1" ht="30" x14ac:dyDescent="0.2">
      <c r="A88" s="90" t="str">
        <f>Бюджет!A284</f>
        <v>Б1.О.21</v>
      </c>
      <c r="B88" s="60" t="str">
        <f>Бюджет!B284</f>
        <v>Компьютерная защита информации от несанкционированного доступа</v>
      </c>
      <c r="C88" s="74" t="str">
        <f>Бюджет!C284</f>
        <v>3\6</v>
      </c>
      <c r="D88" s="74">
        <f>Бюджет!D284</f>
        <v>42</v>
      </c>
      <c r="E88" s="74">
        <f>Бюджет!E284</f>
        <v>2</v>
      </c>
      <c r="F88" s="70">
        <f>Бюджет!F284</f>
        <v>16</v>
      </c>
      <c r="G88" s="70">
        <f>Бюджет!G284</f>
        <v>16</v>
      </c>
      <c r="H88" s="70">
        <f>Бюджет!H284</f>
        <v>32</v>
      </c>
      <c r="I88" s="70">
        <f>Бюджет!I284</f>
        <v>64</v>
      </c>
      <c r="J88" s="70">
        <f>Бюджет!J284</f>
        <v>0</v>
      </c>
      <c r="K88" s="70">
        <f>Бюджет!K284</f>
        <v>12.6</v>
      </c>
      <c r="L88" s="70">
        <f>Бюджет!L284</f>
        <v>0</v>
      </c>
      <c r="M88" s="70">
        <f>Бюджет!M284</f>
        <v>0</v>
      </c>
      <c r="N88" s="70">
        <f>Бюджет!N284</f>
        <v>0</v>
      </c>
      <c r="O88" s="70">
        <f>Бюджет!O284</f>
        <v>0</v>
      </c>
      <c r="P88" s="70">
        <f>Бюджет!P284</f>
        <v>0</v>
      </c>
      <c r="Q88" s="70">
        <f>Бюджет!Q284</f>
        <v>0.8</v>
      </c>
      <c r="R88" s="70">
        <f>Бюджет!R284</f>
        <v>0</v>
      </c>
      <c r="S88" s="70">
        <f>Бюджет!S284</f>
        <v>0</v>
      </c>
      <c r="T88" s="70">
        <f>Бюджет!T284</f>
        <v>0</v>
      </c>
      <c r="U88" s="70">
        <f>Бюджет!U284</f>
        <v>0</v>
      </c>
      <c r="V88" s="70">
        <f>Бюджет!V284</f>
        <v>0</v>
      </c>
      <c r="W88" s="70">
        <f>Бюджет!W284</f>
        <v>0</v>
      </c>
      <c r="X88" s="70">
        <f>Бюджет!X284</f>
        <v>0</v>
      </c>
      <c r="Y88" s="70">
        <f>Бюджет!Y284</f>
        <v>0</v>
      </c>
      <c r="Z88" s="70">
        <f>Бюджет!Z284</f>
        <v>0</v>
      </c>
      <c r="AA88" s="70">
        <f>Бюджет!AA284</f>
        <v>0</v>
      </c>
      <c r="AB88" s="70">
        <f>Бюджет!AB284</f>
        <v>0</v>
      </c>
      <c r="AC88" s="70">
        <f>Бюджет!AC284</f>
        <v>0</v>
      </c>
      <c r="AD88" s="70">
        <f>Бюджет!AD284</f>
        <v>0</v>
      </c>
      <c r="AE88" s="70">
        <f>Бюджет!AE284</f>
        <v>0</v>
      </c>
      <c r="AF88" s="70">
        <f>Бюджет!AF284</f>
        <v>0</v>
      </c>
      <c r="AG88" s="70">
        <f>Бюджет!AG284</f>
        <v>0</v>
      </c>
      <c r="AH88" s="70">
        <f>Бюджет!AH284</f>
        <v>0</v>
      </c>
      <c r="AI88" s="70">
        <f>Бюджет!AI284</f>
        <v>0</v>
      </c>
      <c r="AJ88" s="66">
        <f t="shared" si="8"/>
        <v>93.399999999999991</v>
      </c>
      <c r="AK88" s="74"/>
    </row>
    <row r="89" spans="1:37" s="30" customFormat="1" ht="15" x14ac:dyDescent="0.2">
      <c r="A89" s="90" t="str">
        <f>Бюджет!A285</f>
        <v>Б1.О.22</v>
      </c>
      <c r="B89" s="60" t="str">
        <f>Бюджет!B285</f>
        <v>Сети и системы передачи информации</v>
      </c>
      <c r="C89" s="74" t="str">
        <f>Бюджет!C285</f>
        <v>3\5</v>
      </c>
      <c r="D89" s="74">
        <f>Бюджет!D285</f>
        <v>42</v>
      </c>
      <c r="E89" s="74">
        <f>Бюджет!E285</f>
        <v>2</v>
      </c>
      <c r="F89" s="70">
        <f>Бюджет!F285</f>
        <v>34</v>
      </c>
      <c r="G89" s="70">
        <f>Бюджет!G285</f>
        <v>34</v>
      </c>
      <c r="H89" s="70">
        <f>Бюджет!H285</f>
        <v>0</v>
      </c>
      <c r="I89" s="70">
        <f>Бюджет!I285</f>
        <v>0</v>
      </c>
      <c r="J89" s="70">
        <f>Бюджет!J285</f>
        <v>150</v>
      </c>
      <c r="K89" s="70">
        <f>Бюджет!K285</f>
        <v>12.6</v>
      </c>
      <c r="L89" s="70">
        <f>Бюджет!L285</f>
        <v>0</v>
      </c>
      <c r="M89" s="70">
        <f>Бюджет!M285</f>
        <v>0</v>
      </c>
      <c r="N89" s="70">
        <f>Бюджет!N285</f>
        <v>0</v>
      </c>
      <c r="O89" s="70">
        <f>Бюджет!O285</f>
        <v>0</v>
      </c>
      <c r="P89" s="70">
        <f>Бюджет!P285</f>
        <v>0</v>
      </c>
      <c r="Q89" s="70">
        <f>Бюджет!Q285</f>
        <v>1.7000000000000002</v>
      </c>
      <c r="R89" s="70">
        <f>Бюджет!R285</f>
        <v>0</v>
      </c>
      <c r="S89" s="70">
        <f>Бюджет!S285</f>
        <v>0</v>
      </c>
      <c r="T89" s="70">
        <f>Бюджет!T285</f>
        <v>0</v>
      </c>
      <c r="U89" s="70">
        <f>Бюджет!U285</f>
        <v>0</v>
      </c>
      <c r="V89" s="70">
        <f>Бюджет!V285</f>
        <v>0</v>
      </c>
      <c r="W89" s="70">
        <f>Бюджет!W285</f>
        <v>0</v>
      </c>
      <c r="X89" s="70">
        <f>Бюджет!X285</f>
        <v>0</v>
      </c>
      <c r="Y89" s="70">
        <f>Бюджет!Y285</f>
        <v>0</v>
      </c>
      <c r="Z89" s="70">
        <f>Бюджет!Z285</f>
        <v>0</v>
      </c>
      <c r="AA89" s="70">
        <f>Бюджет!AA285</f>
        <v>0</v>
      </c>
      <c r="AB89" s="70">
        <f>Бюджет!AB285</f>
        <v>0</v>
      </c>
      <c r="AC89" s="70">
        <f>Бюджет!AC285</f>
        <v>0</v>
      </c>
      <c r="AD89" s="70">
        <f>Бюджет!AD285</f>
        <v>0</v>
      </c>
      <c r="AE89" s="70">
        <f>Бюджет!AE285</f>
        <v>0</v>
      </c>
      <c r="AF89" s="70">
        <f>Бюджет!AF285</f>
        <v>0</v>
      </c>
      <c r="AG89" s="70">
        <f>Бюджет!AG285</f>
        <v>0</v>
      </c>
      <c r="AH89" s="70">
        <f>Бюджет!AH285</f>
        <v>0</v>
      </c>
      <c r="AI89" s="70">
        <f>Бюджет!AI285</f>
        <v>4</v>
      </c>
      <c r="AJ89" s="66">
        <f t="shared" si="8"/>
        <v>202.29999999999998</v>
      </c>
      <c r="AK89" s="74"/>
    </row>
    <row r="90" spans="1:37" s="30" customFormat="1" ht="15" x14ac:dyDescent="0.2">
      <c r="A90" s="90" t="str">
        <f>Бюджет!A286</f>
        <v>Б1.О.29</v>
      </c>
      <c r="B90" s="60" t="str">
        <f>Бюджет!B286</f>
        <v>Аппаратные средства вычислительной техники</v>
      </c>
      <c r="C90" s="74" t="str">
        <f>Бюджет!C286</f>
        <v>3\6</v>
      </c>
      <c r="D90" s="74">
        <f>Бюджет!D286</f>
        <v>42</v>
      </c>
      <c r="E90" s="74">
        <f>Бюджет!E286</f>
        <v>2</v>
      </c>
      <c r="F90" s="70">
        <f>Бюджет!F286</f>
        <v>16</v>
      </c>
      <c r="G90" s="70">
        <f>Бюджет!G286</f>
        <v>16</v>
      </c>
      <c r="H90" s="70">
        <f>Бюджет!H286</f>
        <v>0</v>
      </c>
      <c r="I90" s="70">
        <f>Бюджет!I286</f>
        <v>0</v>
      </c>
      <c r="J90" s="70">
        <f>Бюджет!J286</f>
        <v>96</v>
      </c>
      <c r="K90" s="70">
        <f>Бюджет!K286</f>
        <v>12.6</v>
      </c>
      <c r="L90" s="70">
        <f>Бюджет!L286</f>
        <v>0</v>
      </c>
      <c r="M90" s="70">
        <f>Бюджет!M286</f>
        <v>0</v>
      </c>
      <c r="N90" s="70">
        <f>Бюджет!N286</f>
        <v>0</v>
      </c>
      <c r="O90" s="70">
        <f>Бюджет!O286</f>
        <v>0</v>
      </c>
      <c r="P90" s="70">
        <f>Бюджет!P286</f>
        <v>0</v>
      </c>
      <c r="Q90" s="70">
        <f>Бюджет!Q286</f>
        <v>0.8</v>
      </c>
      <c r="R90" s="70">
        <f>Бюджет!R286</f>
        <v>0</v>
      </c>
      <c r="S90" s="70">
        <f>Бюджет!S286</f>
        <v>0</v>
      </c>
      <c r="T90" s="70">
        <f>Бюджет!T286</f>
        <v>0</v>
      </c>
      <c r="U90" s="70">
        <f>Бюджет!U286</f>
        <v>0</v>
      </c>
      <c r="V90" s="70">
        <f>Бюджет!V286</f>
        <v>0</v>
      </c>
      <c r="W90" s="70">
        <f>Бюджет!W286</f>
        <v>0</v>
      </c>
      <c r="X90" s="70">
        <f>Бюджет!X286</f>
        <v>0</v>
      </c>
      <c r="Y90" s="70">
        <f>Бюджет!Y286</f>
        <v>0</v>
      </c>
      <c r="Z90" s="70">
        <f>Бюджет!Z286</f>
        <v>0</v>
      </c>
      <c r="AA90" s="70">
        <f>Бюджет!AA286</f>
        <v>0</v>
      </c>
      <c r="AB90" s="70">
        <f>Бюджет!AB286</f>
        <v>0</v>
      </c>
      <c r="AC90" s="70">
        <f>Бюджет!AC286</f>
        <v>0</v>
      </c>
      <c r="AD90" s="70">
        <f>Бюджет!AD286</f>
        <v>0</v>
      </c>
      <c r="AE90" s="70">
        <f>Бюджет!AE286</f>
        <v>0</v>
      </c>
      <c r="AF90" s="70">
        <f>Бюджет!AF286</f>
        <v>0</v>
      </c>
      <c r="AG90" s="70">
        <f>Бюджет!AG286</f>
        <v>0</v>
      </c>
      <c r="AH90" s="70">
        <f>Бюджет!AH286</f>
        <v>0</v>
      </c>
      <c r="AI90" s="70">
        <f>Бюджет!AI286</f>
        <v>4</v>
      </c>
      <c r="AJ90" s="66">
        <f t="shared" si="8"/>
        <v>129.39999999999998</v>
      </c>
      <c r="AK90" s="74"/>
    </row>
    <row r="91" spans="1:37" s="30" customFormat="1" ht="15" x14ac:dyDescent="0.2">
      <c r="A91" s="90" t="str">
        <f>Бюджет!A287</f>
        <v>Б1.О.30</v>
      </c>
      <c r="B91" s="60" t="str">
        <f>Бюджет!B287</f>
        <v>Безопасность систем баз данных</v>
      </c>
      <c r="C91" s="74" t="str">
        <f>Бюджет!C287</f>
        <v>3\5</v>
      </c>
      <c r="D91" s="74">
        <f>Бюджет!D287</f>
        <v>42</v>
      </c>
      <c r="E91" s="74">
        <f>Бюджет!E287</f>
        <v>2</v>
      </c>
      <c r="F91" s="70">
        <f>Бюджет!F287</f>
        <v>16</v>
      </c>
      <c r="G91" s="70">
        <f>Бюджет!G287</f>
        <v>16</v>
      </c>
      <c r="H91" s="70">
        <f>Бюджет!H287</f>
        <v>0</v>
      </c>
      <c r="I91" s="70">
        <f>Бюджет!I287</f>
        <v>0</v>
      </c>
      <c r="J91" s="70">
        <f>Бюджет!J287</f>
        <v>108</v>
      </c>
      <c r="K91" s="70">
        <f>Бюджет!K287</f>
        <v>12.6</v>
      </c>
      <c r="L91" s="70">
        <f>Бюджет!L287</f>
        <v>0</v>
      </c>
      <c r="M91" s="70">
        <f>Бюджет!M287</f>
        <v>0</v>
      </c>
      <c r="N91" s="70">
        <f>Бюджет!N287</f>
        <v>0</v>
      </c>
      <c r="O91" s="70">
        <f>Бюджет!O287</f>
        <v>0</v>
      </c>
      <c r="P91" s="70">
        <f>Бюджет!P287</f>
        <v>0</v>
      </c>
      <c r="Q91" s="70">
        <f>Бюджет!Q287</f>
        <v>0.8</v>
      </c>
      <c r="R91" s="70">
        <f>Бюджет!R287</f>
        <v>0</v>
      </c>
      <c r="S91" s="70">
        <f>Бюджет!S287</f>
        <v>0</v>
      </c>
      <c r="T91" s="70">
        <f>Бюджет!T287</f>
        <v>0</v>
      </c>
      <c r="U91" s="70">
        <f>Бюджет!U287</f>
        <v>0</v>
      </c>
      <c r="V91" s="70">
        <f>Бюджет!V287</f>
        <v>0</v>
      </c>
      <c r="W91" s="70">
        <f>Бюджет!W287</f>
        <v>0</v>
      </c>
      <c r="X91" s="70">
        <f>Бюджет!X287</f>
        <v>0</v>
      </c>
      <c r="Y91" s="70">
        <f>Бюджет!Y287</f>
        <v>0</v>
      </c>
      <c r="Z91" s="70">
        <f>Бюджет!Z287</f>
        <v>0</v>
      </c>
      <c r="AA91" s="70">
        <f>Бюджет!AA287</f>
        <v>0</v>
      </c>
      <c r="AB91" s="70">
        <f>Бюджет!AB287</f>
        <v>0</v>
      </c>
      <c r="AC91" s="70">
        <f>Бюджет!AC287</f>
        <v>0</v>
      </c>
      <c r="AD91" s="70">
        <f>Бюджет!AD287</f>
        <v>0</v>
      </c>
      <c r="AE91" s="70">
        <f>Бюджет!AE287</f>
        <v>0</v>
      </c>
      <c r="AF91" s="70">
        <f>Бюджет!AF287</f>
        <v>0</v>
      </c>
      <c r="AG91" s="70">
        <f>Бюджет!AG287</f>
        <v>0</v>
      </c>
      <c r="AH91" s="70">
        <f>Бюджет!AH287</f>
        <v>0</v>
      </c>
      <c r="AI91" s="70">
        <f>Бюджет!AI287</f>
        <v>8</v>
      </c>
      <c r="AJ91" s="66">
        <f t="shared" si="8"/>
        <v>145.4</v>
      </c>
      <c r="AK91" s="74"/>
    </row>
    <row r="92" spans="1:37" s="30" customFormat="1" ht="15" x14ac:dyDescent="0.2">
      <c r="A92" s="90" t="str">
        <f>Бюджет!A288</f>
        <v>Б1.О.32</v>
      </c>
      <c r="B92" s="60" t="str">
        <f>Бюджет!B288</f>
        <v>Основы радиоэлектроники</v>
      </c>
      <c r="C92" s="74" t="str">
        <f>Бюджет!C288</f>
        <v>3\5</v>
      </c>
      <c r="D92" s="74">
        <f>Бюджет!D288</f>
        <v>42</v>
      </c>
      <c r="E92" s="74">
        <f>Бюджет!E288</f>
        <v>2</v>
      </c>
      <c r="F92" s="70">
        <f>Бюджет!F288</f>
        <v>50</v>
      </c>
      <c r="G92" s="70">
        <f>Бюджет!G288</f>
        <v>50</v>
      </c>
      <c r="H92" s="70">
        <f>Бюджет!H288</f>
        <v>0</v>
      </c>
      <c r="I92" s="70">
        <f>Бюджет!I288</f>
        <v>0</v>
      </c>
      <c r="J92" s="70">
        <f>Бюджет!J288</f>
        <v>150</v>
      </c>
      <c r="K92" s="70">
        <f>Бюджет!K288</f>
        <v>0</v>
      </c>
      <c r="L92" s="70">
        <f>Бюджет!L288</f>
        <v>0</v>
      </c>
      <c r="M92" s="70">
        <f>Бюджет!M288</f>
        <v>16.8</v>
      </c>
      <c r="N92" s="70">
        <f>Бюджет!N288</f>
        <v>0</v>
      </c>
      <c r="O92" s="70">
        <f>Бюджет!O288</f>
        <v>0</v>
      </c>
      <c r="P92" s="70">
        <f>Бюджет!P288</f>
        <v>0</v>
      </c>
      <c r="Q92" s="70">
        <f>Бюджет!Q288</f>
        <v>4.5</v>
      </c>
      <c r="R92" s="70">
        <f>Бюджет!R288</f>
        <v>0</v>
      </c>
      <c r="S92" s="70">
        <f>Бюджет!S288</f>
        <v>0</v>
      </c>
      <c r="T92" s="70">
        <f>Бюджет!T288</f>
        <v>0</v>
      </c>
      <c r="U92" s="70">
        <f>Бюджет!U288</f>
        <v>0</v>
      </c>
      <c r="V92" s="70">
        <f>Бюджет!V288</f>
        <v>0</v>
      </c>
      <c r="W92" s="70">
        <f>Бюджет!W288</f>
        <v>0</v>
      </c>
      <c r="X92" s="70">
        <f>Бюджет!X288</f>
        <v>0</v>
      </c>
      <c r="Y92" s="70">
        <f>Бюджет!Y288</f>
        <v>0</v>
      </c>
      <c r="Z92" s="70">
        <f>Бюджет!Z288</f>
        <v>0</v>
      </c>
      <c r="AA92" s="70">
        <f>Бюджет!AA288</f>
        <v>0</v>
      </c>
      <c r="AB92" s="70">
        <f>Бюджет!AB288</f>
        <v>0</v>
      </c>
      <c r="AC92" s="70">
        <f>Бюджет!AC288</f>
        <v>0</v>
      </c>
      <c r="AD92" s="70">
        <f>Бюджет!AD288</f>
        <v>0</v>
      </c>
      <c r="AE92" s="70">
        <f>Бюджет!AE288</f>
        <v>0</v>
      </c>
      <c r="AF92" s="70">
        <f>Бюджет!AF288</f>
        <v>0</v>
      </c>
      <c r="AG92" s="70">
        <f>Бюджет!AG288</f>
        <v>0</v>
      </c>
      <c r="AH92" s="70">
        <f>Бюджет!AH288</f>
        <v>0</v>
      </c>
      <c r="AI92" s="70">
        <f>Бюджет!AI288</f>
        <v>4</v>
      </c>
      <c r="AJ92" s="66">
        <f t="shared" si="8"/>
        <v>225.3</v>
      </c>
      <c r="AK92" s="74"/>
    </row>
    <row r="93" spans="1:37" s="30" customFormat="1" ht="15" x14ac:dyDescent="0.2">
      <c r="A93" s="90" t="str">
        <f>Бюджет!A289</f>
        <v>Б1.О.36</v>
      </c>
      <c r="B93" s="60" t="str">
        <f>Бюджет!B289</f>
        <v>Веб-программирование</v>
      </c>
      <c r="C93" s="74" t="str">
        <f>Бюджет!C289</f>
        <v>3\5</v>
      </c>
      <c r="D93" s="74">
        <f>Бюджет!D289</f>
        <v>42</v>
      </c>
      <c r="E93" s="74">
        <f>Бюджет!E289</f>
        <v>2</v>
      </c>
      <c r="F93" s="70">
        <f>Бюджет!F289</f>
        <v>16</v>
      </c>
      <c r="G93" s="70">
        <f>Бюджет!G289</f>
        <v>16</v>
      </c>
      <c r="H93" s="70">
        <f>Бюджет!H289</f>
        <v>0</v>
      </c>
      <c r="I93" s="70">
        <f>Бюджет!I289</f>
        <v>0</v>
      </c>
      <c r="J93" s="70">
        <f>Бюджет!J289</f>
        <v>102</v>
      </c>
      <c r="K93" s="70">
        <f>Бюджет!K289</f>
        <v>12.6</v>
      </c>
      <c r="L93" s="70">
        <f>Бюджет!L289</f>
        <v>0</v>
      </c>
      <c r="M93" s="70">
        <f>Бюджет!M289</f>
        <v>0</v>
      </c>
      <c r="N93" s="70">
        <f>Бюджет!N289</f>
        <v>0</v>
      </c>
      <c r="O93" s="70">
        <f>Бюджет!O289</f>
        <v>0</v>
      </c>
      <c r="P93" s="70">
        <f>Бюджет!P289</f>
        <v>0</v>
      </c>
      <c r="Q93" s="70">
        <f>Бюджет!Q289</f>
        <v>0.8</v>
      </c>
      <c r="R93" s="70">
        <f>Бюджет!R289</f>
        <v>0</v>
      </c>
      <c r="S93" s="70">
        <f>Бюджет!S289</f>
        <v>0</v>
      </c>
      <c r="T93" s="70">
        <f>Бюджет!T289</f>
        <v>0</v>
      </c>
      <c r="U93" s="70">
        <f>Бюджет!U289</f>
        <v>0</v>
      </c>
      <c r="V93" s="70">
        <f>Бюджет!V289</f>
        <v>0</v>
      </c>
      <c r="W93" s="70">
        <f>Бюджет!W289</f>
        <v>0</v>
      </c>
      <c r="X93" s="70">
        <f>Бюджет!X289</f>
        <v>0</v>
      </c>
      <c r="Y93" s="70">
        <f>Бюджет!Y289</f>
        <v>0</v>
      </c>
      <c r="Z93" s="70">
        <f>Бюджет!Z289</f>
        <v>0</v>
      </c>
      <c r="AA93" s="70">
        <f>Бюджет!AA289</f>
        <v>0</v>
      </c>
      <c r="AB93" s="70">
        <f>Бюджет!AB289</f>
        <v>0</v>
      </c>
      <c r="AC93" s="70">
        <f>Бюджет!AC289</f>
        <v>0</v>
      </c>
      <c r="AD93" s="70">
        <f>Бюджет!AD289</f>
        <v>0</v>
      </c>
      <c r="AE93" s="70">
        <f>Бюджет!AE289</f>
        <v>0</v>
      </c>
      <c r="AF93" s="70">
        <f>Бюджет!AF289</f>
        <v>0</v>
      </c>
      <c r="AG93" s="70">
        <f>Бюджет!AG289</f>
        <v>0</v>
      </c>
      <c r="AH93" s="70">
        <f>Бюджет!AH289</f>
        <v>0</v>
      </c>
      <c r="AI93" s="70">
        <f>Бюджет!AI289</f>
        <v>0</v>
      </c>
      <c r="AJ93" s="66">
        <f t="shared" si="8"/>
        <v>131.4</v>
      </c>
      <c r="AK93" s="74"/>
    </row>
    <row r="94" spans="1:37" s="30" customFormat="1" ht="30" x14ac:dyDescent="0.2">
      <c r="A94" s="90" t="str">
        <f>Бюджет!A290</f>
        <v>Б2.В.01(П)</v>
      </c>
      <c r="B94" s="60" t="str">
        <f>Бюджет!B290</f>
        <v>Производственная практика. Эксплуатационная практика</v>
      </c>
      <c r="C94" s="74" t="str">
        <f>Бюджет!C290</f>
        <v>3\6</v>
      </c>
      <c r="D94" s="74">
        <f>Бюджет!D290</f>
        <v>42</v>
      </c>
      <c r="E94" s="74">
        <f>Бюджет!E290</f>
        <v>2</v>
      </c>
      <c r="F94" s="70">
        <f>Бюджет!F290</f>
        <v>0</v>
      </c>
      <c r="G94" s="70">
        <f>Бюджет!G290</f>
        <v>0</v>
      </c>
      <c r="H94" s="70">
        <f>Бюджет!H290</f>
        <v>0</v>
      </c>
      <c r="I94" s="70">
        <f>Бюджет!I290</f>
        <v>0</v>
      </c>
      <c r="J94" s="70">
        <f>Бюджет!J290</f>
        <v>0</v>
      </c>
      <c r="K94" s="70">
        <f>Бюджет!K290</f>
        <v>0</v>
      </c>
      <c r="L94" s="70">
        <f>Бюджет!L290</f>
        <v>0</v>
      </c>
      <c r="M94" s="70">
        <f>Бюджет!M290</f>
        <v>0</v>
      </c>
      <c r="N94" s="70">
        <f>Бюджет!N290</f>
        <v>0</v>
      </c>
      <c r="O94" s="70">
        <f>Бюджет!O290</f>
        <v>0</v>
      </c>
      <c r="P94" s="70">
        <f>Бюджет!P290</f>
        <v>0</v>
      </c>
      <c r="Q94" s="70">
        <f>Бюджет!Q290</f>
        <v>0</v>
      </c>
      <c r="R94" s="70">
        <f>Бюджет!R290</f>
        <v>0</v>
      </c>
      <c r="S94" s="70">
        <f>Бюджет!S290</f>
        <v>0</v>
      </c>
      <c r="T94" s="70">
        <f>Бюджет!T290</f>
        <v>168</v>
      </c>
      <c r="U94" s="70">
        <f>Бюджет!U290</f>
        <v>0</v>
      </c>
      <c r="V94" s="70">
        <f>Бюджет!V290</f>
        <v>0</v>
      </c>
      <c r="W94" s="70">
        <f>Бюджет!W290</f>
        <v>0</v>
      </c>
      <c r="X94" s="70">
        <f>Бюджет!X290</f>
        <v>0</v>
      </c>
      <c r="Y94" s="70">
        <f>Бюджет!Y290</f>
        <v>0</v>
      </c>
      <c r="Z94" s="70">
        <f>Бюджет!Z290</f>
        <v>0</v>
      </c>
      <c r="AA94" s="70">
        <f>Бюджет!AA290</f>
        <v>0</v>
      </c>
      <c r="AB94" s="70">
        <f>Бюджет!AB290</f>
        <v>0</v>
      </c>
      <c r="AC94" s="70">
        <f>Бюджет!AC290</f>
        <v>0</v>
      </c>
      <c r="AD94" s="70">
        <f>Бюджет!AD290</f>
        <v>0</v>
      </c>
      <c r="AE94" s="70">
        <f>Бюджет!AE290</f>
        <v>0</v>
      </c>
      <c r="AF94" s="70">
        <f>Бюджет!AF290</f>
        <v>0</v>
      </c>
      <c r="AG94" s="70">
        <f>Бюджет!AG290</f>
        <v>0</v>
      </c>
      <c r="AH94" s="70">
        <f>Бюджет!AH290</f>
        <v>0</v>
      </c>
      <c r="AI94" s="70">
        <f>Бюджет!AI290</f>
        <v>0</v>
      </c>
      <c r="AJ94" s="66">
        <f t="shared" si="8"/>
        <v>168</v>
      </c>
      <c r="AK94" s="74"/>
    </row>
    <row r="95" spans="1:37" s="30" customFormat="1" ht="30" x14ac:dyDescent="0.2">
      <c r="A95" s="90" t="str">
        <f>Бюджет!A291</f>
        <v>Б1.О.12</v>
      </c>
      <c r="B95" s="60" t="str">
        <f>Бюджет!B291</f>
        <v>Защита информации от утечки по техническим каналам</v>
      </c>
      <c r="C95" s="74" t="str">
        <f>Бюджет!C291</f>
        <v>4\7</v>
      </c>
      <c r="D95" s="74">
        <f>Бюджет!D291</f>
        <v>15</v>
      </c>
      <c r="E95" s="74">
        <f>Бюджет!E291</f>
        <v>1</v>
      </c>
      <c r="F95" s="70">
        <f>Бюджет!F291</f>
        <v>26</v>
      </c>
      <c r="G95" s="70">
        <f>Бюджет!G291</f>
        <v>26</v>
      </c>
      <c r="H95" s="70">
        <f>Бюджет!H291</f>
        <v>12</v>
      </c>
      <c r="I95" s="70">
        <f>Бюджет!I291</f>
        <v>12</v>
      </c>
      <c r="J95" s="70">
        <f>Бюджет!J291</f>
        <v>52</v>
      </c>
      <c r="K95" s="70">
        <f>Бюджет!K291</f>
        <v>0</v>
      </c>
      <c r="L95" s="70">
        <f>Бюджет!L291</f>
        <v>0</v>
      </c>
      <c r="M95" s="70">
        <f>Бюджет!M291</f>
        <v>6</v>
      </c>
      <c r="N95" s="70">
        <f>Бюджет!N291</f>
        <v>0</v>
      </c>
      <c r="O95" s="70">
        <f>Бюджет!O291</f>
        <v>0</v>
      </c>
      <c r="P95" s="70">
        <f>Бюджет!P291</f>
        <v>0</v>
      </c>
      <c r="Q95" s="70">
        <f>Бюджет!Q291</f>
        <v>2.2999999999999998</v>
      </c>
      <c r="R95" s="70">
        <f>Бюджет!R291</f>
        <v>0</v>
      </c>
      <c r="S95" s="70">
        <f>Бюджет!S291</f>
        <v>0</v>
      </c>
      <c r="T95" s="70">
        <f>Бюджет!T291</f>
        <v>0</v>
      </c>
      <c r="U95" s="70">
        <f>Бюджет!U291</f>
        <v>0</v>
      </c>
      <c r="V95" s="70">
        <f>Бюджет!V291</f>
        <v>0</v>
      </c>
      <c r="W95" s="70">
        <f>Бюджет!W291</f>
        <v>0</v>
      </c>
      <c r="X95" s="70">
        <f>Бюджет!X291</f>
        <v>0</v>
      </c>
      <c r="Y95" s="70">
        <f>Бюджет!Y291</f>
        <v>0</v>
      </c>
      <c r="Z95" s="70">
        <f>Бюджет!Z291</f>
        <v>0</v>
      </c>
      <c r="AA95" s="70">
        <f>Бюджет!AA291</f>
        <v>0</v>
      </c>
      <c r="AB95" s="70">
        <f>Бюджет!AB291</f>
        <v>0</v>
      </c>
      <c r="AC95" s="70">
        <f>Бюджет!AC291</f>
        <v>0</v>
      </c>
      <c r="AD95" s="70">
        <f>Бюджет!AD291</f>
        <v>0</v>
      </c>
      <c r="AE95" s="70">
        <f>Бюджет!AE291</f>
        <v>0</v>
      </c>
      <c r="AF95" s="70">
        <f>Бюджет!AF291</f>
        <v>0</v>
      </c>
      <c r="AG95" s="70">
        <f>Бюджет!AG291</f>
        <v>0</v>
      </c>
      <c r="AH95" s="70">
        <f>Бюджет!AH291</f>
        <v>0</v>
      </c>
      <c r="AI95" s="70">
        <f>Бюджет!AI291</f>
        <v>2</v>
      </c>
      <c r="AJ95" s="66">
        <f t="shared" si="8"/>
        <v>100.3</v>
      </c>
      <c r="AK95" s="74"/>
    </row>
    <row r="96" spans="1:37" s="30" customFormat="1" ht="30" x14ac:dyDescent="0.2">
      <c r="A96" s="90" t="str">
        <f>Бюджет!A292</f>
        <v>Б1.О.20</v>
      </c>
      <c r="B96" s="60" t="str">
        <f>Бюджет!B292</f>
        <v>Организационное и правовое обеспечение информационной безопасности</v>
      </c>
      <c r="C96" s="74" t="str">
        <f>Бюджет!C292</f>
        <v>4\7</v>
      </c>
      <c r="D96" s="74">
        <f>Бюджет!D292</f>
        <v>15</v>
      </c>
      <c r="E96" s="74">
        <f>Бюджет!E292</f>
        <v>1</v>
      </c>
      <c r="F96" s="70">
        <f>Бюджет!F292</f>
        <v>26</v>
      </c>
      <c r="G96" s="70">
        <f>Бюджет!G292</f>
        <v>26</v>
      </c>
      <c r="H96" s="70">
        <f>Бюджет!H292</f>
        <v>26</v>
      </c>
      <c r="I96" s="70">
        <f>Бюджет!I292</f>
        <v>26</v>
      </c>
      <c r="J96" s="70">
        <f>Бюджет!J292</f>
        <v>0</v>
      </c>
      <c r="K96" s="70">
        <f>Бюджет!K292</f>
        <v>0</v>
      </c>
      <c r="L96" s="70">
        <f>Бюджет!L292</f>
        <v>0</v>
      </c>
      <c r="M96" s="70">
        <f>Бюджет!M292</f>
        <v>6</v>
      </c>
      <c r="N96" s="70">
        <f>Бюджет!N292</f>
        <v>0</v>
      </c>
      <c r="O96" s="70">
        <f>Бюджет!O292</f>
        <v>0</v>
      </c>
      <c r="P96" s="70">
        <f>Бюджет!P292</f>
        <v>0</v>
      </c>
      <c r="Q96" s="70">
        <f>Бюджет!Q292</f>
        <v>2.2999999999999998</v>
      </c>
      <c r="R96" s="70">
        <f>Бюджет!R292</f>
        <v>0</v>
      </c>
      <c r="S96" s="70">
        <f>Бюджет!S292</f>
        <v>0</v>
      </c>
      <c r="T96" s="70">
        <f>Бюджет!T292</f>
        <v>0</v>
      </c>
      <c r="U96" s="70">
        <f>Бюджет!U292</f>
        <v>0</v>
      </c>
      <c r="V96" s="70">
        <f>Бюджет!V292</f>
        <v>0</v>
      </c>
      <c r="W96" s="70">
        <f>Бюджет!W292</f>
        <v>0</v>
      </c>
      <c r="X96" s="70">
        <f>Бюджет!X292</f>
        <v>0</v>
      </c>
      <c r="Y96" s="70">
        <f>Бюджет!Y292</f>
        <v>0</v>
      </c>
      <c r="Z96" s="70">
        <f>Бюджет!Z292</f>
        <v>0</v>
      </c>
      <c r="AA96" s="70">
        <f>Бюджет!AA292</f>
        <v>0</v>
      </c>
      <c r="AB96" s="70">
        <f>Бюджет!AB292</f>
        <v>0</v>
      </c>
      <c r="AC96" s="70">
        <f>Бюджет!AC292</f>
        <v>0</v>
      </c>
      <c r="AD96" s="70">
        <f>Бюджет!AD292</f>
        <v>0</v>
      </c>
      <c r="AE96" s="70">
        <f>Бюджет!AE292</f>
        <v>0</v>
      </c>
      <c r="AF96" s="70">
        <f>Бюджет!AF292</f>
        <v>0</v>
      </c>
      <c r="AG96" s="70">
        <f>Бюджет!AG292</f>
        <v>0</v>
      </c>
      <c r="AH96" s="70">
        <f>Бюджет!AH292</f>
        <v>0</v>
      </c>
      <c r="AI96" s="70">
        <f>Бюджет!AI292</f>
        <v>0</v>
      </c>
      <c r="AJ96" s="66">
        <f t="shared" si="8"/>
        <v>60.3</v>
      </c>
      <c r="AK96" s="74"/>
    </row>
    <row r="97" spans="1:37" s="30" customFormat="1" ht="30" x14ac:dyDescent="0.2">
      <c r="A97" s="90" t="str">
        <f>Бюджет!A293</f>
        <v>Б1.О.28</v>
      </c>
      <c r="B97" s="60" t="str">
        <f>Бюджет!B293</f>
        <v>Основы управления инфомрационной безопасностью</v>
      </c>
      <c r="C97" s="74" t="str">
        <f>Бюджет!C293</f>
        <v>4\8</v>
      </c>
      <c r="D97" s="74">
        <f>Бюджет!D293</f>
        <v>15</v>
      </c>
      <c r="E97" s="74">
        <f>Бюджет!E293</f>
        <v>1</v>
      </c>
      <c r="F97" s="70">
        <f>Бюджет!F293</f>
        <v>44</v>
      </c>
      <c r="G97" s="70">
        <f>Бюджет!G293</f>
        <v>44</v>
      </c>
      <c r="H97" s="70">
        <f>Бюджет!H293</f>
        <v>44</v>
      </c>
      <c r="I97" s="70">
        <f>Бюджет!I293</f>
        <v>44</v>
      </c>
      <c r="J97" s="70">
        <f>Бюджет!J293</f>
        <v>0</v>
      </c>
      <c r="K97" s="70">
        <f>Бюджет!K293</f>
        <v>0</v>
      </c>
      <c r="L97" s="70">
        <f>Бюджет!L293</f>
        <v>0</v>
      </c>
      <c r="M97" s="70">
        <f>Бюджет!M293</f>
        <v>6</v>
      </c>
      <c r="N97" s="70">
        <f>Бюджет!N293</f>
        <v>0</v>
      </c>
      <c r="O97" s="70">
        <f>Бюджет!O293</f>
        <v>0</v>
      </c>
      <c r="P97" s="70">
        <f>Бюджет!P293</f>
        <v>0</v>
      </c>
      <c r="Q97" s="70">
        <f>Бюджет!Q293</f>
        <v>3.2</v>
      </c>
      <c r="R97" s="70">
        <f>Бюджет!R293</f>
        <v>0</v>
      </c>
      <c r="S97" s="70">
        <f>Бюджет!S293</f>
        <v>0</v>
      </c>
      <c r="T97" s="70">
        <f>Бюджет!T293</f>
        <v>0</v>
      </c>
      <c r="U97" s="70">
        <f>Бюджет!U293</f>
        <v>0</v>
      </c>
      <c r="V97" s="70">
        <f>Бюджет!V293</f>
        <v>15</v>
      </c>
      <c r="W97" s="70">
        <f>Бюджет!W293</f>
        <v>0</v>
      </c>
      <c r="X97" s="70">
        <f>Бюджет!X293</f>
        <v>0</v>
      </c>
      <c r="Y97" s="70">
        <f>Бюджет!Y293</f>
        <v>0</v>
      </c>
      <c r="Z97" s="70">
        <f>Бюджет!Z293</f>
        <v>0</v>
      </c>
      <c r="AA97" s="70">
        <f>Бюджет!AA293</f>
        <v>0</v>
      </c>
      <c r="AB97" s="70">
        <f>Бюджет!AB293</f>
        <v>0</v>
      </c>
      <c r="AC97" s="70">
        <f>Бюджет!AC293</f>
        <v>0</v>
      </c>
      <c r="AD97" s="70">
        <f>Бюджет!AD293</f>
        <v>0</v>
      </c>
      <c r="AE97" s="70">
        <f>Бюджет!AE293</f>
        <v>0</v>
      </c>
      <c r="AF97" s="70">
        <f>Бюджет!AF293</f>
        <v>0</v>
      </c>
      <c r="AG97" s="70">
        <f>Бюджет!AG293</f>
        <v>0</v>
      </c>
      <c r="AH97" s="70">
        <f>Бюджет!AH293</f>
        <v>0</v>
      </c>
      <c r="AI97" s="70">
        <f>Бюджет!AI293</f>
        <v>4</v>
      </c>
      <c r="AJ97" s="66">
        <f t="shared" si="8"/>
        <v>116.2</v>
      </c>
      <c r="AK97" s="74"/>
    </row>
    <row r="98" spans="1:37" s="30" customFormat="1" ht="30" x14ac:dyDescent="0.2">
      <c r="A98" s="90" t="str">
        <f>Бюджет!A294</f>
        <v>Б1.О.34</v>
      </c>
      <c r="B98" s="60" t="str">
        <f>Бюджет!B294</f>
        <v>Программно-аппаратные средства защиты информации</v>
      </c>
      <c r="C98" s="74" t="str">
        <f>Бюджет!C294</f>
        <v>4\7</v>
      </c>
      <c r="D98" s="74">
        <f>Бюджет!D294</f>
        <v>15</v>
      </c>
      <c r="E98" s="74">
        <f>Бюджет!E294</f>
        <v>1</v>
      </c>
      <c r="F98" s="70">
        <f>Бюджет!F294</f>
        <v>26</v>
      </c>
      <c r="G98" s="70">
        <f>Бюджет!G294</f>
        <v>26</v>
      </c>
      <c r="H98" s="70">
        <f>Бюджет!H294</f>
        <v>0</v>
      </c>
      <c r="I98" s="70">
        <f>Бюджет!I294</f>
        <v>0</v>
      </c>
      <c r="J98" s="70">
        <f>Бюджет!J294</f>
        <v>26</v>
      </c>
      <c r="K98" s="70">
        <f>Бюджет!K294</f>
        <v>4.5</v>
      </c>
      <c r="L98" s="70">
        <f>Бюджет!L294</f>
        <v>0</v>
      </c>
      <c r="M98" s="70">
        <f>Бюджет!M294</f>
        <v>0</v>
      </c>
      <c r="N98" s="70">
        <f>Бюджет!N294</f>
        <v>0</v>
      </c>
      <c r="O98" s="70">
        <f>Бюджет!O294</f>
        <v>0</v>
      </c>
      <c r="P98" s="70">
        <f>Бюджет!P294</f>
        <v>0</v>
      </c>
      <c r="Q98" s="70">
        <f>Бюджет!Q294</f>
        <v>1.3</v>
      </c>
      <c r="R98" s="70">
        <f>Бюджет!R294</f>
        <v>0</v>
      </c>
      <c r="S98" s="70">
        <f>Бюджет!S294</f>
        <v>0</v>
      </c>
      <c r="T98" s="70">
        <f>Бюджет!T294</f>
        <v>0</v>
      </c>
      <c r="U98" s="70">
        <f>Бюджет!U294</f>
        <v>0</v>
      </c>
      <c r="V98" s="70">
        <f>Бюджет!V294</f>
        <v>0</v>
      </c>
      <c r="W98" s="70">
        <f>Бюджет!W294</f>
        <v>0</v>
      </c>
      <c r="X98" s="70">
        <f>Бюджет!X294</f>
        <v>0</v>
      </c>
      <c r="Y98" s="70">
        <f>Бюджет!Y294</f>
        <v>0</v>
      </c>
      <c r="Z98" s="70">
        <f>Бюджет!Z294</f>
        <v>0</v>
      </c>
      <c r="AA98" s="70">
        <f>Бюджет!AA294</f>
        <v>0</v>
      </c>
      <c r="AB98" s="70">
        <f>Бюджет!AB294</f>
        <v>0</v>
      </c>
      <c r="AC98" s="70">
        <f>Бюджет!AC294</f>
        <v>0</v>
      </c>
      <c r="AD98" s="70">
        <f>Бюджет!AD294</f>
        <v>0</v>
      </c>
      <c r="AE98" s="70">
        <f>Бюджет!AE294</f>
        <v>0</v>
      </c>
      <c r="AF98" s="70">
        <f>Бюджет!AF294</f>
        <v>0</v>
      </c>
      <c r="AG98" s="70">
        <f>Бюджет!AG294</f>
        <v>0</v>
      </c>
      <c r="AH98" s="70">
        <f>Бюджет!AH294</f>
        <v>0</v>
      </c>
      <c r="AI98" s="70">
        <f>Бюджет!AI294</f>
        <v>2</v>
      </c>
      <c r="AJ98" s="66">
        <f t="shared" si="8"/>
        <v>59.8</v>
      </c>
      <c r="AK98" s="74"/>
    </row>
    <row r="99" spans="1:37" s="30" customFormat="1" ht="15" x14ac:dyDescent="0.2">
      <c r="A99" s="90" t="str">
        <f>Бюджет!A296</f>
        <v>Б1.О.38</v>
      </c>
      <c r="B99" s="60" t="str">
        <f>Бюджет!B296</f>
        <v>Защита информационно-управляющих систем</v>
      </c>
      <c r="C99" s="74" t="str">
        <f>Бюджет!C296</f>
        <v>4\7</v>
      </c>
      <c r="D99" s="74">
        <f>Бюджет!D296</f>
        <v>15</v>
      </c>
      <c r="E99" s="74">
        <f>Бюджет!E296</f>
        <v>1</v>
      </c>
      <c r="F99" s="70">
        <f>Бюджет!F296</f>
        <v>0</v>
      </c>
      <c r="G99" s="70">
        <f>Бюджет!G296</f>
        <v>0</v>
      </c>
      <c r="H99" s="70">
        <f>Бюджет!H296</f>
        <v>26</v>
      </c>
      <c r="I99" s="70">
        <f>Бюджет!I296</f>
        <v>26</v>
      </c>
      <c r="J99" s="70">
        <f>Бюджет!J296</f>
        <v>0</v>
      </c>
      <c r="K99" s="70">
        <f>Бюджет!K296</f>
        <v>4.5</v>
      </c>
      <c r="L99" s="70">
        <f>Бюджет!L296</f>
        <v>0</v>
      </c>
      <c r="M99" s="70">
        <f>Бюджет!M296</f>
        <v>0</v>
      </c>
      <c r="N99" s="70">
        <f>Бюджет!N296</f>
        <v>0</v>
      </c>
      <c r="O99" s="70">
        <f>Бюджет!O296</f>
        <v>0</v>
      </c>
      <c r="P99" s="70">
        <f>Бюджет!P296</f>
        <v>0</v>
      </c>
      <c r="Q99" s="70">
        <f>Бюджет!Q296</f>
        <v>0</v>
      </c>
      <c r="R99" s="70">
        <f>Бюджет!R296</f>
        <v>0</v>
      </c>
      <c r="S99" s="70">
        <f>Бюджет!S296</f>
        <v>0</v>
      </c>
      <c r="T99" s="70">
        <f>Бюджет!T296</f>
        <v>0</v>
      </c>
      <c r="U99" s="70">
        <f>Бюджет!U296</f>
        <v>0</v>
      </c>
      <c r="V99" s="70">
        <f>Бюджет!V296</f>
        <v>0</v>
      </c>
      <c r="W99" s="70">
        <f>Бюджет!W296</f>
        <v>0</v>
      </c>
      <c r="X99" s="70">
        <f>Бюджет!X296</f>
        <v>0</v>
      </c>
      <c r="Y99" s="70">
        <f>Бюджет!Y296</f>
        <v>0</v>
      </c>
      <c r="Z99" s="70">
        <f>Бюджет!Z296</f>
        <v>0</v>
      </c>
      <c r="AA99" s="70">
        <f>Бюджет!AA296</f>
        <v>0</v>
      </c>
      <c r="AB99" s="70">
        <f>Бюджет!AB296</f>
        <v>0</v>
      </c>
      <c r="AC99" s="70">
        <f>Бюджет!AC296</f>
        <v>0</v>
      </c>
      <c r="AD99" s="70">
        <f>Бюджет!AD296</f>
        <v>0</v>
      </c>
      <c r="AE99" s="70">
        <f>Бюджет!AE296</f>
        <v>0</v>
      </c>
      <c r="AF99" s="70">
        <f>Бюджет!AF296</f>
        <v>0</v>
      </c>
      <c r="AG99" s="70">
        <f>Бюджет!AG296</f>
        <v>0</v>
      </c>
      <c r="AH99" s="70">
        <f>Бюджет!AH296</f>
        <v>0</v>
      </c>
      <c r="AI99" s="70">
        <f>Бюджет!AI296</f>
        <v>0</v>
      </c>
      <c r="AJ99" s="66">
        <f t="shared" si="8"/>
        <v>30.5</v>
      </c>
      <c r="AK99" s="74"/>
    </row>
    <row r="100" spans="1:37" s="30" customFormat="1" ht="15" x14ac:dyDescent="0.2">
      <c r="A100" s="90" t="str">
        <f>Бюджет!A297</f>
        <v>Б1.О.38</v>
      </c>
      <c r="B100" s="60" t="str">
        <f>Бюджет!B297</f>
        <v>Защита информационно-управляющих систем</v>
      </c>
      <c r="C100" s="74" t="str">
        <f>Бюджет!C297</f>
        <v>4\8</v>
      </c>
      <c r="D100" s="74">
        <f>Бюджет!D297</f>
        <v>15</v>
      </c>
      <c r="E100" s="74">
        <f>Бюджет!E297</f>
        <v>1</v>
      </c>
      <c r="F100" s="70">
        <f>Бюджет!F297</f>
        <v>22</v>
      </c>
      <c r="G100" s="70">
        <f>Бюджет!G297</f>
        <v>22</v>
      </c>
      <c r="H100" s="70">
        <f>Бюджет!H297</f>
        <v>22</v>
      </c>
      <c r="I100" s="70">
        <f>Бюджет!I297</f>
        <v>22</v>
      </c>
      <c r="J100" s="70">
        <f>Бюджет!J297</f>
        <v>0</v>
      </c>
      <c r="K100" s="70">
        <f>Бюджет!K297</f>
        <v>4.5</v>
      </c>
      <c r="L100" s="70">
        <f>Бюджет!L297</f>
        <v>0</v>
      </c>
      <c r="M100" s="70">
        <f>Бюджет!M297</f>
        <v>0</v>
      </c>
      <c r="N100" s="70">
        <f>Бюджет!N297</f>
        <v>0</v>
      </c>
      <c r="O100" s="70">
        <f>Бюджет!O297</f>
        <v>0</v>
      </c>
      <c r="P100" s="70">
        <f>Бюджет!P297</f>
        <v>0</v>
      </c>
      <c r="Q100" s="70">
        <f>Бюджет!Q297</f>
        <v>1.1000000000000001</v>
      </c>
      <c r="R100" s="70">
        <f>Бюджет!R297</f>
        <v>0</v>
      </c>
      <c r="S100" s="70">
        <f>Бюджет!S297</f>
        <v>0</v>
      </c>
      <c r="T100" s="70">
        <f>Бюджет!T297</f>
        <v>0</v>
      </c>
      <c r="U100" s="70">
        <f>Бюджет!U297</f>
        <v>0</v>
      </c>
      <c r="V100" s="70">
        <f>Бюджет!V297</f>
        <v>0</v>
      </c>
      <c r="W100" s="70">
        <f>Бюджет!W297</f>
        <v>0</v>
      </c>
      <c r="X100" s="70">
        <f>Бюджет!X297</f>
        <v>0</v>
      </c>
      <c r="Y100" s="70">
        <f>Бюджет!Y297</f>
        <v>0</v>
      </c>
      <c r="Z100" s="70">
        <f>Бюджет!Z297</f>
        <v>0</v>
      </c>
      <c r="AA100" s="70">
        <f>Бюджет!AA297</f>
        <v>0</v>
      </c>
      <c r="AB100" s="70">
        <f>Бюджет!AB297</f>
        <v>0</v>
      </c>
      <c r="AC100" s="70">
        <f>Бюджет!AC297</f>
        <v>0</v>
      </c>
      <c r="AD100" s="70">
        <f>Бюджет!AD297</f>
        <v>0</v>
      </c>
      <c r="AE100" s="70">
        <f>Бюджет!AE297</f>
        <v>0</v>
      </c>
      <c r="AF100" s="70">
        <f>Бюджет!AF297</f>
        <v>0</v>
      </c>
      <c r="AG100" s="70">
        <f>Бюджет!AG297</f>
        <v>0</v>
      </c>
      <c r="AH100" s="70">
        <f>Бюджет!AH297</f>
        <v>0</v>
      </c>
      <c r="AI100" s="70">
        <f>Бюджет!AI297</f>
        <v>0</v>
      </c>
      <c r="AJ100" s="66">
        <f t="shared" si="8"/>
        <v>49.6</v>
      </c>
      <c r="AK100" s="74"/>
    </row>
    <row r="101" spans="1:37" s="30" customFormat="1" ht="30" x14ac:dyDescent="0.2">
      <c r="A101" s="90" t="str">
        <f>Бюджет!A298</f>
        <v>Б2.В.02(П)</v>
      </c>
      <c r="B101" s="60" t="str">
        <f>Бюджет!B298</f>
        <v>Производственная практика. Технологическая практика</v>
      </c>
      <c r="C101" s="74" t="str">
        <f>Бюджет!C298</f>
        <v>4\7</v>
      </c>
      <c r="D101" s="74">
        <f>Бюджет!D298</f>
        <v>15</v>
      </c>
      <c r="E101" s="74">
        <f>Бюджет!E298</f>
        <v>1</v>
      </c>
      <c r="F101" s="70">
        <f>Бюджет!F298</f>
        <v>0</v>
      </c>
      <c r="G101" s="70">
        <f>Бюджет!G298</f>
        <v>0</v>
      </c>
      <c r="H101" s="70">
        <f>Бюджет!H298</f>
        <v>0</v>
      </c>
      <c r="I101" s="70">
        <f>Бюджет!I298</f>
        <v>0</v>
      </c>
      <c r="J101" s="70">
        <f>Бюджет!J298</f>
        <v>0</v>
      </c>
      <c r="K101" s="70">
        <f>Бюджет!K298</f>
        <v>0</v>
      </c>
      <c r="L101" s="70">
        <f>Бюджет!L298</f>
        <v>0</v>
      </c>
      <c r="M101" s="70">
        <f>Бюджет!M298</f>
        <v>0</v>
      </c>
      <c r="N101" s="70">
        <f>Бюджет!N298</f>
        <v>0</v>
      </c>
      <c r="O101" s="70">
        <f>Бюджет!O298</f>
        <v>0</v>
      </c>
      <c r="P101" s="70">
        <f>Бюджет!P298</f>
        <v>0</v>
      </c>
      <c r="Q101" s="70">
        <f>Бюджет!Q298</f>
        <v>0</v>
      </c>
      <c r="R101" s="70">
        <f>Бюджет!R298</f>
        <v>0</v>
      </c>
      <c r="S101" s="70">
        <f>Бюджет!S298</f>
        <v>0</v>
      </c>
      <c r="T101" s="70">
        <f>Бюджет!T298</f>
        <v>60</v>
      </c>
      <c r="U101" s="70">
        <f>Бюджет!U298</f>
        <v>0</v>
      </c>
      <c r="V101" s="70">
        <f>Бюджет!V298</f>
        <v>0</v>
      </c>
      <c r="W101" s="70">
        <f>Бюджет!W298</f>
        <v>0</v>
      </c>
      <c r="X101" s="70">
        <f>Бюджет!X298</f>
        <v>0</v>
      </c>
      <c r="Y101" s="70">
        <f>Бюджет!Y298</f>
        <v>0</v>
      </c>
      <c r="Z101" s="70">
        <f>Бюджет!Z298</f>
        <v>0</v>
      </c>
      <c r="AA101" s="70">
        <f>Бюджет!AA298</f>
        <v>0</v>
      </c>
      <c r="AB101" s="70">
        <f>Бюджет!AB298</f>
        <v>0</v>
      </c>
      <c r="AC101" s="70">
        <f>Бюджет!AC298</f>
        <v>0</v>
      </c>
      <c r="AD101" s="70">
        <f>Бюджет!AD298</f>
        <v>0</v>
      </c>
      <c r="AE101" s="70">
        <f>Бюджет!AE298</f>
        <v>0</v>
      </c>
      <c r="AF101" s="70">
        <f>Бюджет!AF298</f>
        <v>0</v>
      </c>
      <c r="AG101" s="70">
        <f>Бюджет!AG298</f>
        <v>0</v>
      </c>
      <c r="AH101" s="70">
        <f>Бюджет!AH298</f>
        <v>0</v>
      </c>
      <c r="AI101" s="70">
        <f>Бюджет!AI298</f>
        <v>0</v>
      </c>
      <c r="AJ101" s="66">
        <f t="shared" si="8"/>
        <v>60</v>
      </c>
      <c r="AK101" s="74"/>
    </row>
    <row r="102" spans="1:37" s="30" customFormat="1" ht="15" x14ac:dyDescent="0.2">
      <c r="A102" s="90" t="str">
        <f>Бюджет!A299</f>
        <v>Б2.О.02(Пд)</v>
      </c>
      <c r="B102" s="60" t="str">
        <f>Бюджет!B299</f>
        <v>Преддипломная практика</v>
      </c>
      <c r="C102" s="74" t="str">
        <f>Бюджет!C299</f>
        <v>4\8</v>
      </c>
      <c r="D102" s="74">
        <f>Бюджет!D299</f>
        <v>15</v>
      </c>
      <c r="E102" s="74">
        <f>Бюджет!E299</f>
        <v>1</v>
      </c>
      <c r="F102" s="70">
        <f>Бюджет!F299</f>
        <v>0</v>
      </c>
      <c r="G102" s="70">
        <f>Бюджет!G299</f>
        <v>0</v>
      </c>
      <c r="H102" s="70">
        <f>Бюджет!H299</f>
        <v>0</v>
      </c>
      <c r="I102" s="70">
        <f>Бюджет!I299</f>
        <v>0</v>
      </c>
      <c r="J102" s="70">
        <f>Бюджет!J299</f>
        <v>0</v>
      </c>
      <c r="K102" s="70">
        <f>Бюджет!K299</f>
        <v>0</v>
      </c>
      <c r="L102" s="70">
        <f>Бюджет!L299</f>
        <v>0</v>
      </c>
      <c r="M102" s="70">
        <f>Бюджет!M299</f>
        <v>0</v>
      </c>
      <c r="N102" s="70">
        <f>Бюджет!N299</f>
        <v>0</v>
      </c>
      <c r="O102" s="70">
        <f>Бюджет!O299</f>
        <v>0</v>
      </c>
      <c r="P102" s="70">
        <f>Бюджет!P299</f>
        <v>0</v>
      </c>
      <c r="Q102" s="70">
        <f>Бюджет!Q299</f>
        <v>0</v>
      </c>
      <c r="R102" s="70">
        <f>Бюджет!R299</f>
        <v>0</v>
      </c>
      <c r="S102" s="70">
        <f>Бюджет!S299</f>
        <v>0</v>
      </c>
      <c r="T102" s="70">
        <f>Бюджет!T299</f>
        <v>60</v>
      </c>
      <c r="U102" s="70">
        <f>Бюджет!U299</f>
        <v>0</v>
      </c>
      <c r="V102" s="70">
        <f>Бюджет!V299</f>
        <v>0</v>
      </c>
      <c r="W102" s="70">
        <f>Бюджет!W299</f>
        <v>0</v>
      </c>
      <c r="X102" s="70">
        <f>Бюджет!X299</f>
        <v>0</v>
      </c>
      <c r="Y102" s="70">
        <f>Бюджет!Y299</f>
        <v>0</v>
      </c>
      <c r="Z102" s="70">
        <f>Бюджет!Z299</f>
        <v>0</v>
      </c>
      <c r="AA102" s="70">
        <f>Бюджет!AA299</f>
        <v>0</v>
      </c>
      <c r="AB102" s="70">
        <f>Бюджет!AB299</f>
        <v>0</v>
      </c>
      <c r="AC102" s="70">
        <f>Бюджет!AC299</f>
        <v>0</v>
      </c>
      <c r="AD102" s="70">
        <f>Бюджет!AD299</f>
        <v>0</v>
      </c>
      <c r="AE102" s="70">
        <f>Бюджет!AE299</f>
        <v>0</v>
      </c>
      <c r="AF102" s="70">
        <f>Бюджет!AF299</f>
        <v>0</v>
      </c>
      <c r="AG102" s="70">
        <f>Бюджет!AG299</f>
        <v>0</v>
      </c>
      <c r="AH102" s="70">
        <f>Бюджет!AH299</f>
        <v>0</v>
      </c>
      <c r="AI102" s="70">
        <f>Бюджет!AI299</f>
        <v>0</v>
      </c>
      <c r="AJ102" s="66">
        <f t="shared" si="8"/>
        <v>60</v>
      </c>
      <c r="AK102" s="74"/>
    </row>
    <row r="103" spans="1:37" s="30" customFormat="1" ht="15" x14ac:dyDescent="0.2">
      <c r="A103" s="90">
        <f>Бюджет!A300</f>
        <v>0</v>
      </c>
      <c r="B103" s="60" t="str">
        <f>Бюджет!B300</f>
        <v>Руководство ВКР</v>
      </c>
      <c r="C103" s="74" t="str">
        <f>Бюджет!C300</f>
        <v>4\8</v>
      </c>
      <c r="D103" s="74">
        <f>Бюджет!D300</f>
        <v>15</v>
      </c>
      <c r="E103" s="74">
        <f>Бюджет!E300</f>
        <v>1</v>
      </c>
      <c r="F103" s="70">
        <f>Бюджет!F300</f>
        <v>0</v>
      </c>
      <c r="G103" s="70">
        <f>Бюджет!G300</f>
        <v>0</v>
      </c>
      <c r="H103" s="70">
        <f>Бюджет!H300</f>
        <v>0</v>
      </c>
      <c r="I103" s="70">
        <f>Бюджет!I300</f>
        <v>0</v>
      </c>
      <c r="J103" s="70">
        <f>Бюджет!J300</f>
        <v>0</v>
      </c>
      <c r="K103" s="70">
        <f>Бюджет!K300</f>
        <v>0</v>
      </c>
      <c r="L103" s="70">
        <f>Бюджет!L300</f>
        <v>0</v>
      </c>
      <c r="M103" s="70">
        <f>Бюджет!M300</f>
        <v>0</v>
      </c>
      <c r="N103" s="70">
        <f>Бюджет!N300</f>
        <v>0</v>
      </c>
      <c r="O103" s="70">
        <f>Бюджет!O300</f>
        <v>0</v>
      </c>
      <c r="P103" s="70">
        <f>Бюджет!P300</f>
        <v>0</v>
      </c>
      <c r="Q103" s="70">
        <f>Бюджет!Q300</f>
        <v>0</v>
      </c>
      <c r="R103" s="70">
        <f>Бюджет!R300</f>
        <v>0</v>
      </c>
      <c r="S103" s="70">
        <f>Бюджет!S300</f>
        <v>0</v>
      </c>
      <c r="T103" s="70">
        <f>Бюджет!T300</f>
        <v>0</v>
      </c>
      <c r="U103" s="70">
        <f>Бюджет!U300</f>
        <v>0</v>
      </c>
      <c r="V103" s="70">
        <f>Бюджет!V300</f>
        <v>0</v>
      </c>
      <c r="W103" s="70">
        <f>Бюджет!W300</f>
        <v>240</v>
      </c>
      <c r="X103" s="70">
        <f>Бюджет!X300</f>
        <v>0</v>
      </c>
      <c r="Y103" s="70">
        <f>Бюджет!Y300</f>
        <v>0</v>
      </c>
      <c r="Z103" s="70">
        <f>Бюджет!Z300</f>
        <v>0</v>
      </c>
      <c r="AA103" s="70">
        <f>Бюджет!AA300</f>
        <v>0</v>
      </c>
      <c r="AB103" s="70">
        <f>Бюджет!AB300</f>
        <v>0</v>
      </c>
      <c r="AC103" s="70">
        <f>Бюджет!AC300</f>
        <v>0</v>
      </c>
      <c r="AD103" s="70">
        <f>Бюджет!AD300</f>
        <v>0</v>
      </c>
      <c r="AE103" s="70">
        <f>Бюджет!AE300</f>
        <v>0</v>
      </c>
      <c r="AF103" s="70">
        <f>Бюджет!AF300</f>
        <v>0</v>
      </c>
      <c r="AG103" s="70">
        <f>Бюджет!AG300</f>
        <v>0</v>
      </c>
      <c r="AH103" s="70">
        <f>Бюджет!AH300</f>
        <v>0</v>
      </c>
      <c r="AI103" s="70">
        <f>Бюджет!AI300</f>
        <v>0</v>
      </c>
      <c r="AJ103" s="66">
        <f t="shared" si="8"/>
        <v>240</v>
      </c>
      <c r="AK103" s="74"/>
    </row>
    <row r="104" spans="1:37" s="30" customFormat="1" ht="15" x14ac:dyDescent="0.2">
      <c r="A104" s="90">
        <f>Бюджет!A301</f>
        <v>0</v>
      </c>
      <c r="B104" s="60" t="str">
        <f>Бюджет!B301</f>
        <v>ГЭК (Защита ВКР бакалавра) (7 чел)</v>
      </c>
      <c r="C104" s="74" t="str">
        <f>Бюджет!C301</f>
        <v>4\8</v>
      </c>
      <c r="D104" s="74">
        <f>Бюджет!D301</f>
        <v>15</v>
      </c>
      <c r="E104" s="74">
        <f>Бюджет!E301</f>
        <v>1</v>
      </c>
      <c r="F104" s="70">
        <f>Бюджет!F301</f>
        <v>0</v>
      </c>
      <c r="G104" s="70">
        <f>Бюджет!G301</f>
        <v>0</v>
      </c>
      <c r="H104" s="70">
        <f>Бюджет!H301</f>
        <v>0</v>
      </c>
      <c r="I104" s="70">
        <f>Бюджет!I301</f>
        <v>0</v>
      </c>
      <c r="J104" s="70">
        <f>Бюджет!J301</f>
        <v>0</v>
      </c>
      <c r="K104" s="70">
        <f>Бюджет!K301</f>
        <v>0</v>
      </c>
      <c r="L104" s="70">
        <f>Бюджет!L301</f>
        <v>0</v>
      </c>
      <c r="M104" s="70">
        <f>Бюджет!M301</f>
        <v>0</v>
      </c>
      <c r="N104" s="70">
        <f>Бюджет!N301</f>
        <v>0</v>
      </c>
      <c r="O104" s="70">
        <f>Бюджет!O301</f>
        <v>0</v>
      </c>
      <c r="P104" s="70">
        <f>Бюджет!P301</f>
        <v>0</v>
      </c>
      <c r="Q104" s="70">
        <f>Бюджет!Q301</f>
        <v>0</v>
      </c>
      <c r="R104" s="70">
        <f>Бюджет!R301</f>
        <v>0</v>
      </c>
      <c r="S104" s="70">
        <f>Бюджет!S301</f>
        <v>0</v>
      </c>
      <c r="T104" s="70">
        <f>Бюджет!T301</f>
        <v>0</v>
      </c>
      <c r="U104" s="70">
        <f>Бюджет!U301</f>
        <v>0</v>
      </c>
      <c r="V104" s="70">
        <f>Бюджет!V301</f>
        <v>0</v>
      </c>
      <c r="W104" s="70">
        <f>Бюджет!W301</f>
        <v>0</v>
      </c>
      <c r="X104" s="70">
        <f>Бюджет!X301</f>
        <v>0</v>
      </c>
      <c r="Y104" s="70">
        <f>Бюджет!Y301</f>
        <v>0</v>
      </c>
      <c r="Z104" s="70">
        <f>Бюджет!Z301</f>
        <v>0</v>
      </c>
      <c r="AA104" s="70">
        <f>Бюджет!AA301</f>
        <v>0</v>
      </c>
      <c r="AB104" s="70">
        <f>Бюджет!AB301</f>
        <v>52.5</v>
      </c>
      <c r="AC104" s="70">
        <f>Бюджет!AC301</f>
        <v>0</v>
      </c>
      <c r="AD104" s="70">
        <f>Бюджет!AD301</f>
        <v>0</v>
      </c>
      <c r="AE104" s="70">
        <f>Бюджет!AE301</f>
        <v>0</v>
      </c>
      <c r="AF104" s="70">
        <f>Бюджет!AF301</f>
        <v>0</v>
      </c>
      <c r="AG104" s="70">
        <f>Бюджет!AG301</f>
        <v>0</v>
      </c>
      <c r="AH104" s="70">
        <f>Бюджет!AH301</f>
        <v>0</v>
      </c>
      <c r="AI104" s="70">
        <f>Бюджет!AI301</f>
        <v>0</v>
      </c>
      <c r="AJ104" s="66">
        <f t="shared" si="8"/>
        <v>52.5</v>
      </c>
      <c r="AK104" s="74"/>
    </row>
    <row r="105" spans="1:37" s="30" customFormat="1" ht="15.75" x14ac:dyDescent="0.2">
      <c r="A105" s="74"/>
      <c r="B105" s="60"/>
      <c r="C105" s="74"/>
      <c r="D105" s="74"/>
      <c r="E105" s="74"/>
      <c r="F105" s="70"/>
      <c r="G105" s="70"/>
      <c r="H105" s="70"/>
      <c r="I105" s="70"/>
      <c r="J105" s="70"/>
      <c r="K105" s="390" t="str">
        <f>Бюджет!K302</f>
        <v>профиль "Техническая защита информации"</v>
      </c>
      <c r="L105" s="390"/>
      <c r="M105" s="390"/>
      <c r="N105" s="390"/>
      <c r="O105" s="390"/>
      <c r="P105" s="390"/>
      <c r="Q105" s="390"/>
      <c r="R105" s="390"/>
      <c r="S105" s="390"/>
      <c r="T105" s="390"/>
      <c r="U105" s="390"/>
      <c r="V105" s="390"/>
      <c r="W105" s="390"/>
      <c r="X105" s="390"/>
      <c r="Y105" s="390"/>
      <c r="Z105" s="390"/>
      <c r="AA105" s="390"/>
      <c r="AB105" s="390"/>
      <c r="AC105" s="70"/>
      <c r="AD105" s="70"/>
      <c r="AE105" s="70"/>
      <c r="AF105" s="70"/>
      <c r="AG105" s="70"/>
      <c r="AH105" s="70"/>
      <c r="AI105" s="70"/>
      <c r="AJ105" s="66">
        <f t="shared" si="8"/>
        <v>0</v>
      </c>
      <c r="AK105" s="74"/>
    </row>
    <row r="106" spans="1:37" s="30" customFormat="1" ht="30" x14ac:dyDescent="0.2">
      <c r="A106" s="60" t="str">
        <f>Бюджет!A303</f>
        <v>Б1.В.06</v>
      </c>
      <c r="B106" s="60" t="str">
        <f>Бюджет!B303</f>
        <v>Обеспечение безопасности операционных систем (лекции поток ТЗИ и БАС)</v>
      </c>
      <c r="C106" s="67" t="str">
        <f>Бюджет!C303</f>
        <v>2\4</v>
      </c>
      <c r="D106" s="67">
        <f>Бюджет!D303</f>
        <v>17</v>
      </c>
      <c r="E106" s="67">
        <f>Бюджет!E303</f>
        <v>1</v>
      </c>
      <c r="F106" s="66">
        <f>Бюджет!F303</f>
        <v>40</v>
      </c>
      <c r="G106" s="66">
        <f>Бюджет!G303</f>
        <v>40</v>
      </c>
      <c r="H106" s="66">
        <f>Бюджет!H303</f>
        <v>0</v>
      </c>
      <c r="I106" s="66">
        <f>Бюджет!I303</f>
        <v>0</v>
      </c>
      <c r="J106" s="66">
        <f>Бюджет!J303</f>
        <v>80</v>
      </c>
      <c r="K106" s="66">
        <f>Бюджет!K303</f>
        <v>5.0999999999999996</v>
      </c>
      <c r="L106" s="66">
        <f>Бюджет!L303</f>
        <v>0</v>
      </c>
      <c r="M106" s="66">
        <f>Бюджет!M303</f>
        <v>0</v>
      </c>
      <c r="N106" s="66">
        <f>Бюджет!N303</f>
        <v>0</v>
      </c>
      <c r="O106" s="66">
        <f>Бюджет!O303</f>
        <v>0</v>
      </c>
      <c r="P106" s="66">
        <f>Бюджет!P303</f>
        <v>0</v>
      </c>
      <c r="Q106" s="66">
        <f>Бюджет!Q303</f>
        <v>2</v>
      </c>
      <c r="R106" s="66">
        <f>Бюджет!R303</f>
        <v>0</v>
      </c>
      <c r="S106" s="66">
        <f>Бюджет!S303</f>
        <v>0</v>
      </c>
      <c r="T106" s="66">
        <f>Бюджет!T303</f>
        <v>0</v>
      </c>
      <c r="U106" s="66">
        <f>Бюджет!U303</f>
        <v>0</v>
      </c>
      <c r="V106" s="66">
        <f>Бюджет!V303</f>
        <v>0</v>
      </c>
      <c r="W106" s="66">
        <f>Бюджет!W303</f>
        <v>0</v>
      </c>
      <c r="X106" s="66">
        <f>Бюджет!X303</f>
        <v>0</v>
      </c>
      <c r="Y106" s="66">
        <f>Бюджет!Y303</f>
        <v>0</v>
      </c>
      <c r="Z106" s="66">
        <f>Бюджет!Z303</f>
        <v>0</v>
      </c>
      <c r="AA106" s="66">
        <f>Бюджет!AA303</f>
        <v>0</v>
      </c>
      <c r="AB106" s="66">
        <f>Бюджет!AB303</f>
        <v>0</v>
      </c>
      <c r="AC106" s="66">
        <f>Бюджет!AC303</f>
        <v>0</v>
      </c>
      <c r="AD106" s="66">
        <f>Бюджет!AD303</f>
        <v>0</v>
      </c>
      <c r="AE106" s="66">
        <f>Бюджет!AE303</f>
        <v>0</v>
      </c>
      <c r="AF106" s="66">
        <f>Бюджет!AF303</f>
        <v>0</v>
      </c>
      <c r="AG106" s="66">
        <f>Бюджет!AG303</f>
        <v>0</v>
      </c>
      <c r="AH106" s="66">
        <f>Бюджет!AH303</f>
        <v>0</v>
      </c>
      <c r="AI106" s="66">
        <f>Бюджет!AI303</f>
        <v>0</v>
      </c>
      <c r="AJ106" s="66">
        <f t="shared" si="8"/>
        <v>127.1</v>
      </c>
      <c r="AK106" s="74"/>
    </row>
    <row r="107" spans="1:37" s="30" customFormat="1" ht="15" x14ac:dyDescent="0.2">
      <c r="A107" s="60" t="str">
        <f>Бюджет!A304</f>
        <v>Б1.В.01</v>
      </c>
      <c r="B107" s="60" t="str">
        <f>Бюджет!B304</f>
        <v>Распространение радиоволн</v>
      </c>
      <c r="C107" s="67" t="str">
        <f>Бюджет!C304</f>
        <v>3\5</v>
      </c>
      <c r="D107" s="67">
        <f>Бюджет!D304</f>
        <v>19</v>
      </c>
      <c r="E107" s="67">
        <f>Бюджет!E304</f>
        <v>1</v>
      </c>
      <c r="F107" s="66">
        <f>Бюджет!F304</f>
        <v>50</v>
      </c>
      <c r="G107" s="66">
        <f>Бюджет!G304</f>
        <v>50</v>
      </c>
      <c r="H107" s="66">
        <f>Бюджет!H304</f>
        <v>16</v>
      </c>
      <c r="I107" s="66">
        <f>Бюджет!I304</f>
        <v>16</v>
      </c>
      <c r="J107" s="66">
        <f>Бюджет!J304</f>
        <v>68</v>
      </c>
      <c r="K107" s="66">
        <f>Бюджет!K304</f>
        <v>5.7</v>
      </c>
      <c r="L107" s="66">
        <f>Бюджет!L304</f>
        <v>0</v>
      </c>
      <c r="M107" s="66">
        <f>Бюджет!M304</f>
        <v>0</v>
      </c>
      <c r="N107" s="66">
        <f>Бюджет!N304</f>
        <v>0</v>
      </c>
      <c r="O107" s="66">
        <f>Бюджет!O304</f>
        <v>0</v>
      </c>
      <c r="P107" s="66">
        <f>Бюджет!P304</f>
        <v>0</v>
      </c>
      <c r="Q107" s="66">
        <f>Бюджет!Q304</f>
        <v>2.5</v>
      </c>
      <c r="R107" s="66">
        <f>Бюджет!R304</f>
        <v>0</v>
      </c>
      <c r="S107" s="66">
        <f>Бюджет!S304</f>
        <v>0</v>
      </c>
      <c r="T107" s="66">
        <f>Бюджет!T304</f>
        <v>0</v>
      </c>
      <c r="U107" s="66">
        <f>Бюджет!U304</f>
        <v>0</v>
      </c>
      <c r="V107" s="66">
        <f>Бюджет!V304</f>
        <v>0</v>
      </c>
      <c r="W107" s="66">
        <f>Бюджет!W304</f>
        <v>0</v>
      </c>
      <c r="X107" s="66">
        <f>Бюджет!X304</f>
        <v>0</v>
      </c>
      <c r="Y107" s="66">
        <f>Бюджет!Y304</f>
        <v>0</v>
      </c>
      <c r="Z107" s="66">
        <f>Бюджет!Z304</f>
        <v>0</v>
      </c>
      <c r="AA107" s="66">
        <f>Бюджет!AA304</f>
        <v>0</v>
      </c>
      <c r="AB107" s="66">
        <f>Бюджет!AB304</f>
        <v>0</v>
      </c>
      <c r="AC107" s="66">
        <f>Бюджет!AC304</f>
        <v>0</v>
      </c>
      <c r="AD107" s="66">
        <f>Бюджет!AD304</f>
        <v>0</v>
      </c>
      <c r="AE107" s="66">
        <f>Бюджет!AE304</f>
        <v>0</v>
      </c>
      <c r="AF107" s="66">
        <f>Бюджет!AF304</f>
        <v>0</v>
      </c>
      <c r="AG107" s="66">
        <f>Бюджет!AG304</f>
        <v>0</v>
      </c>
      <c r="AH107" s="66">
        <f>Бюджет!AH304</f>
        <v>0</v>
      </c>
      <c r="AI107" s="66">
        <f>Бюджет!AI304</f>
        <v>2</v>
      </c>
      <c r="AJ107" s="66">
        <f t="shared" si="8"/>
        <v>144.19999999999999</v>
      </c>
      <c r="AK107" s="74"/>
    </row>
    <row r="108" spans="1:37" s="30" customFormat="1" ht="15" x14ac:dyDescent="0.2">
      <c r="A108" s="60" t="str">
        <f>Бюджет!A305</f>
        <v>Б1.В.02</v>
      </c>
      <c r="B108" s="60" t="str">
        <f>Бюджет!B305</f>
        <v>Радиотехнические цепи и сигналы</v>
      </c>
      <c r="C108" s="67" t="str">
        <f>Бюджет!C305</f>
        <v>3\6</v>
      </c>
      <c r="D108" s="67">
        <f>Бюджет!D305</f>
        <v>19</v>
      </c>
      <c r="E108" s="67">
        <f>Бюджет!E305</f>
        <v>1</v>
      </c>
      <c r="F108" s="66">
        <f>Бюджет!F305</f>
        <v>32</v>
      </c>
      <c r="G108" s="66">
        <f>Бюджет!G305</f>
        <v>32</v>
      </c>
      <c r="H108" s="66">
        <f>Бюджет!H305</f>
        <v>0</v>
      </c>
      <c r="I108" s="66">
        <f>Бюджет!I305</f>
        <v>0</v>
      </c>
      <c r="J108" s="66">
        <f>Бюджет!J305</f>
        <v>96</v>
      </c>
      <c r="K108" s="66">
        <f>Бюджет!K305</f>
        <v>0</v>
      </c>
      <c r="L108" s="66">
        <f>Бюджет!L305</f>
        <v>0</v>
      </c>
      <c r="M108" s="66">
        <f>Бюджет!M305</f>
        <v>7.6000000000000005</v>
      </c>
      <c r="N108" s="66">
        <f>Бюджет!N305</f>
        <v>0</v>
      </c>
      <c r="O108" s="66">
        <f>Бюджет!O305</f>
        <v>0</v>
      </c>
      <c r="P108" s="66">
        <f>Бюджет!P305</f>
        <v>0</v>
      </c>
      <c r="Q108" s="66">
        <f>Бюджет!Q305</f>
        <v>2.6</v>
      </c>
      <c r="R108" s="66">
        <f>Бюджет!R305</f>
        <v>0</v>
      </c>
      <c r="S108" s="66">
        <f>Бюджет!S305</f>
        <v>0</v>
      </c>
      <c r="T108" s="66">
        <f>Бюджет!T305</f>
        <v>0</v>
      </c>
      <c r="U108" s="66">
        <f>Бюджет!U305</f>
        <v>0</v>
      </c>
      <c r="V108" s="66">
        <f>Бюджет!V305</f>
        <v>0</v>
      </c>
      <c r="W108" s="66">
        <f>Бюджет!W305</f>
        <v>0</v>
      </c>
      <c r="X108" s="66">
        <f>Бюджет!X305</f>
        <v>0</v>
      </c>
      <c r="Y108" s="66">
        <f>Бюджет!Y305</f>
        <v>0</v>
      </c>
      <c r="Z108" s="66">
        <f>Бюджет!Z305</f>
        <v>0</v>
      </c>
      <c r="AA108" s="66">
        <f>Бюджет!AA305</f>
        <v>0</v>
      </c>
      <c r="AB108" s="66">
        <f>Бюджет!AB305</f>
        <v>0</v>
      </c>
      <c r="AC108" s="66">
        <f>Бюджет!AC305</f>
        <v>0</v>
      </c>
      <c r="AD108" s="66">
        <f>Бюджет!AD305</f>
        <v>0</v>
      </c>
      <c r="AE108" s="66">
        <f>Бюджет!AE305</f>
        <v>0</v>
      </c>
      <c r="AF108" s="66">
        <f>Бюджет!AF305</f>
        <v>0</v>
      </c>
      <c r="AG108" s="66">
        <f>Бюджет!AG305</f>
        <v>0</v>
      </c>
      <c r="AH108" s="66">
        <f>Бюджет!AH305</f>
        <v>0</v>
      </c>
      <c r="AI108" s="66">
        <f>Бюджет!AI305</f>
        <v>0</v>
      </c>
      <c r="AJ108" s="66">
        <f t="shared" si="8"/>
        <v>138.19999999999999</v>
      </c>
      <c r="AK108" s="74"/>
    </row>
    <row r="109" spans="1:37" s="30" customFormat="1" ht="15" x14ac:dyDescent="0.2">
      <c r="A109" s="60" t="str">
        <f>Бюджет!A306</f>
        <v>Б1.В.03</v>
      </c>
      <c r="B109" s="60" t="str">
        <f>Бюджет!B306</f>
        <v>Антенно-фидерные устройства</v>
      </c>
      <c r="C109" s="67" t="str">
        <f>Бюджет!C306</f>
        <v>3\6</v>
      </c>
      <c r="D109" s="67">
        <f>Бюджет!D306</f>
        <v>19</v>
      </c>
      <c r="E109" s="67">
        <f>Бюджет!E306</f>
        <v>1</v>
      </c>
      <c r="F109" s="66">
        <f>Бюджет!F306</f>
        <v>32</v>
      </c>
      <c r="G109" s="66">
        <f>Бюджет!G306</f>
        <v>32</v>
      </c>
      <c r="H109" s="66">
        <f>Бюджет!H306</f>
        <v>16</v>
      </c>
      <c r="I109" s="66">
        <f>Бюджет!I306</f>
        <v>16</v>
      </c>
      <c r="J109" s="66">
        <f>Бюджет!J306</f>
        <v>64</v>
      </c>
      <c r="K109" s="66">
        <f>Бюджет!K306</f>
        <v>0</v>
      </c>
      <c r="L109" s="66">
        <f>Бюджет!L306</f>
        <v>0</v>
      </c>
      <c r="M109" s="66">
        <f>Бюджет!M306</f>
        <v>7.6000000000000005</v>
      </c>
      <c r="N109" s="66">
        <f>Бюджет!N306</f>
        <v>0</v>
      </c>
      <c r="O109" s="66">
        <f>Бюджет!O306</f>
        <v>0</v>
      </c>
      <c r="P109" s="66">
        <f>Бюджет!P306</f>
        <v>0</v>
      </c>
      <c r="Q109" s="66">
        <f>Бюджет!Q306</f>
        <v>2.6</v>
      </c>
      <c r="R109" s="66">
        <f>Бюджет!R306</f>
        <v>0</v>
      </c>
      <c r="S109" s="66">
        <f>Бюджет!S306</f>
        <v>0</v>
      </c>
      <c r="T109" s="66">
        <f>Бюджет!T306</f>
        <v>0</v>
      </c>
      <c r="U109" s="66">
        <f>Бюджет!U306</f>
        <v>0</v>
      </c>
      <c r="V109" s="66">
        <f>Бюджет!V306</f>
        <v>0</v>
      </c>
      <c r="W109" s="66">
        <f>Бюджет!W306</f>
        <v>0</v>
      </c>
      <c r="X109" s="66">
        <f>Бюджет!X306</f>
        <v>0</v>
      </c>
      <c r="Y109" s="66">
        <f>Бюджет!Y306</f>
        <v>0</v>
      </c>
      <c r="Z109" s="66">
        <f>Бюджет!Z306</f>
        <v>0</v>
      </c>
      <c r="AA109" s="66">
        <f>Бюджет!AA306</f>
        <v>0</v>
      </c>
      <c r="AB109" s="66">
        <f>Бюджет!AB306</f>
        <v>0</v>
      </c>
      <c r="AC109" s="66">
        <f>Бюджет!AC306</f>
        <v>0</v>
      </c>
      <c r="AD109" s="66">
        <f>Бюджет!AD306</f>
        <v>0</v>
      </c>
      <c r="AE109" s="66">
        <f>Бюджет!AE306</f>
        <v>0</v>
      </c>
      <c r="AF109" s="66">
        <f>Бюджет!AF306</f>
        <v>0</v>
      </c>
      <c r="AG109" s="66">
        <f>Бюджет!AG306</f>
        <v>0</v>
      </c>
      <c r="AH109" s="66">
        <f>Бюджет!AH306</f>
        <v>0</v>
      </c>
      <c r="AI109" s="66">
        <f>Бюджет!AI306</f>
        <v>0</v>
      </c>
      <c r="AJ109" s="66">
        <f t="shared" si="8"/>
        <v>122.19999999999999</v>
      </c>
      <c r="AK109" s="74"/>
    </row>
    <row r="110" spans="1:37" s="30" customFormat="1" ht="30" x14ac:dyDescent="0.2">
      <c r="A110" s="60" t="str">
        <f>Бюджет!A307</f>
        <v>Б1.В.04</v>
      </c>
      <c r="B110" s="60" t="str">
        <f>Бюджет!B307</f>
        <v>Основы построения и функционирования технических средств защиты информации</v>
      </c>
      <c r="C110" s="67" t="str">
        <f>Бюджет!C307</f>
        <v>3\6</v>
      </c>
      <c r="D110" s="67">
        <f>Бюджет!D307</f>
        <v>19</v>
      </c>
      <c r="E110" s="67">
        <f>Бюджет!E307</f>
        <v>1</v>
      </c>
      <c r="F110" s="66">
        <f>Бюджет!F307</f>
        <v>32</v>
      </c>
      <c r="G110" s="66">
        <f>Бюджет!G307</f>
        <v>32</v>
      </c>
      <c r="H110" s="66">
        <f>Бюджет!H307</f>
        <v>16</v>
      </c>
      <c r="I110" s="66">
        <f>Бюджет!I307</f>
        <v>16</v>
      </c>
      <c r="J110" s="66">
        <f>Бюджет!J307</f>
        <v>64</v>
      </c>
      <c r="K110" s="66">
        <f>Бюджет!K307</f>
        <v>5.7</v>
      </c>
      <c r="L110" s="66">
        <f>Бюджет!L307</f>
        <v>0</v>
      </c>
      <c r="M110" s="66">
        <f>Бюджет!M307</f>
        <v>0</v>
      </c>
      <c r="N110" s="66">
        <f>Бюджет!N307</f>
        <v>0</v>
      </c>
      <c r="O110" s="66">
        <f>Бюджет!O307</f>
        <v>0</v>
      </c>
      <c r="P110" s="66">
        <f>Бюджет!P307</f>
        <v>0</v>
      </c>
      <c r="Q110" s="66">
        <f>Бюджет!Q307</f>
        <v>1.6</v>
      </c>
      <c r="R110" s="66">
        <f>Бюджет!R307</f>
        <v>0</v>
      </c>
      <c r="S110" s="66">
        <f>Бюджет!S307</f>
        <v>0</v>
      </c>
      <c r="T110" s="66">
        <f>Бюджет!T307</f>
        <v>0</v>
      </c>
      <c r="U110" s="66">
        <f>Бюджет!U307</f>
        <v>0</v>
      </c>
      <c r="V110" s="66">
        <f>Бюджет!V307</f>
        <v>0</v>
      </c>
      <c r="W110" s="66">
        <f>Бюджет!W307</f>
        <v>0</v>
      </c>
      <c r="X110" s="66">
        <f>Бюджет!X307</f>
        <v>0</v>
      </c>
      <c r="Y110" s="66">
        <f>Бюджет!Y307</f>
        <v>0</v>
      </c>
      <c r="Z110" s="66">
        <f>Бюджет!Z307</f>
        <v>0</v>
      </c>
      <c r="AA110" s="66">
        <f>Бюджет!AA307</f>
        <v>0</v>
      </c>
      <c r="AB110" s="66">
        <f>Бюджет!AB307</f>
        <v>0</v>
      </c>
      <c r="AC110" s="66">
        <f>Бюджет!AC307</f>
        <v>0</v>
      </c>
      <c r="AD110" s="66">
        <f>Бюджет!AD307</f>
        <v>0</v>
      </c>
      <c r="AE110" s="66">
        <f>Бюджет!AE307</f>
        <v>0</v>
      </c>
      <c r="AF110" s="66">
        <f>Бюджет!AF307</f>
        <v>0</v>
      </c>
      <c r="AG110" s="66">
        <f>Бюджет!AG307</f>
        <v>0</v>
      </c>
      <c r="AH110" s="66">
        <f>Бюджет!AH307</f>
        <v>0</v>
      </c>
      <c r="AI110" s="66">
        <f>Бюджет!AI307</f>
        <v>0</v>
      </c>
      <c r="AJ110" s="66">
        <f t="shared" si="8"/>
        <v>119.3</v>
      </c>
      <c r="AK110" s="74"/>
    </row>
    <row r="111" spans="1:37" s="30" customFormat="1" ht="15" x14ac:dyDescent="0.2">
      <c r="A111" s="60" t="str">
        <f>Бюджет!A308</f>
        <v>Б1.В.06</v>
      </c>
      <c r="B111" s="60" t="str">
        <f>Бюджет!B308</f>
        <v>Цифровые системы передачи информации</v>
      </c>
      <c r="C111" s="67" t="str">
        <f>Бюджет!C308</f>
        <v>4\7</v>
      </c>
      <c r="D111" s="67">
        <f>Бюджет!D308</f>
        <v>9</v>
      </c>
      <c r="E111" s="67">
        <f>Бюджет!E308</f>
        <v>1</v>
      </c>
      <c r="F111" s="66">
        <f>Бюджет!F308</f>
        <v>26</v>
      </c>
      <c r="G111" s="66">
        <f>Бюджет!G308</f>
        <v>26</v>
      </c>
      <c r="H111" s="66">
        <f>Бюджет!H308</f>
        <v>0</v>
      </c>
      <c r="I111" s="66">
        <f>Бюджет!I308</f>
        <v>0</v>
      </c>
      <c r="J111" s="66">
        <f>Бюджет!J308</f>
        <v>26</v>
      </c>
      <c r="K111" s="66">
        <f>Бюджет!K308</f>
        <v>2.6999999999999997</v>
      </c>
      <c r="L111" s="66">
        <f>Бюджет!L308</f>
        <v>0</v>
      </c>
      <c r="M111" s="66">
        <f>Бюджет!M308</f>
        <v>0</v>
      </c>
      <c r="N111" s="66">
        <f>Бюджет!N308</f>
        <v>0</v>
      </c>
      <c r="O111" s="66">
        <f>Бюджет!O308</f>
        <v>0</v>
      </c>
      <c r="P111" s="66">
        <f>Бюджет!P308</f>
        <v>0</v>
      </c>
      <c r="Q111" s="66">
        <f>Бюджет!Q308</f>
        <v>1.3</v>
      </c>
      <c r="R111" s="66">
        <f>Бюджет!R308</f>
        <v>0</v>
      </c>
      <c r="S111" s="66">
        <f>Бюджет!S308</f>
        <v>0</v>
      </c>
      <c r="T111" s="66">
        <f>Бюджет!T308</f>
        <v>0</v>
      </c>
      <c r="U111" s="66">
        <f>Бюджет!U308</f>
        <v>0</v>
      </c>
      <c r="V111" s="66">
        <f>Бюджет!V308</f>
        <v>0</v>
      </c>
      <c r="W111" s="66">
        <f>Бюджет!W308</f>
        <v>0</v>
      </c>
      <c r="X111" s="66">
        <f>Бюджет!X308</f>
        <v>0</v>
      </c>
      <c r="Y111" s="66">
        <f>Бюджет!Y308</f>
        <v>0</v>
      </c>
      <c r="Z111" s="66">
        <f>Бюджет!Z308</f>
        <v>0</v>
      </c>
      <c r="AA111" s="66">
        <f>Бюджет!AA308</f>
        <v>0</v>
      </c>
      <c r="AB111" s="66">
        <f>Бюджет!AB308</f>
        <v>0</v>
      </c>
      <c r="AC111" s="66">
        <f>Бюджет!AC308</f>
        <v>0</v>
      </c>
      <c r="AD111" s="66">
        <f>Бюджет!AD308</f>
        <v>0</v>
      </c>
      <c r="AE111" s="66">
        <f>Бюджет!AE308</f>
        <v>0</v>
      </c>
      <c r="AF111" s="66">
        <f>Бюджет!AF308</f>
        <v>0</v>
      </c>
      <c r="AG111" s="66">
        <f>Бюджет!AG308</f>
        <v>0</v>
      </c>
      <c r="AH111" s="66">
        <f>Бюджет!AH308</f>
        <v>0</v>
      </c>
      <c r="AI111" s="66">
        <f>Бюджет!AI308</f>
        <v>0</v>
      </c>
      <c r="AJ111" s="66">
        <f t="shared" si="8"/>
        <v>56</v>
      </c>
      <c r="AK111" s="74"/>
    </row>
    <row r="112" spans="1:37" s="30" customFormat="1" ht="45" x14ac:dyDescent="0.2">
      <c r="A112" s="60" t="str">
        <f>Бюджет!A309</f>
        <v>Б1.В.ДВ.01.01</v>
      </c>
      <c r="B112" s="60" t="str">
        <f>Бюджет!B309</f>
        <v>Техническая защита критической информационной инфраструктуры (лекции поток ТЗИ и БАС)</v>
      </c>
      <c r="C112" s="67" t="str">
        <f>Бюджет!C309</f>
        <v>4\7</v>
      </c>
      <c r="D112" s="67">
        <f>Бюджет!D309</f>
        <v>9</v>
      </c>
      <c r="E112" s="67">
        <f>Бюджет!E309</f>
        <v>1</v>
      </c>
      <c r="F112" s="66">
        <f>Бюджет!F309</f>
        <v>26</v>
      </c>
      <c r="G112" s="66">
        <f>Бюджет!G309</f>
        <v>26</v>
      </c>
      <c r="H112" s="66">
        <f>Бюджет!H309</f>
        <v>26</v>
      </c>
      <c r="I112" s="66">
        <f>Бюджет!I309</f>
        <v>26</v>
      </c>
      <c r="J112" s="66">
        <f>Бюджет!J309</f>
        <v>0</v>
      </c>
      <c r="K112" s="66">
        <f>Бюджет!K309</f>
        <v>2.6999999999999997</v>
      </c>
      <c r="L112" s="66">
        <f>Бюджет!L309</f>
        <v>0</v>
      </c>
      <c r="M112" s="66">
        <f>Бюджет!M309</f>
        <v>0</v>
      </c>
      <c r="N112" s="66">
        <f>Бюджет!N309</f>
        <v>0</v>
      </c>
      <c r="O112" s="66">
        <f>Бюджет!O309</f>
        <v>0</v>
      </c>
      <c r="P112" s="66">
        <f>Бюджет!P309</f>
        <v>0</v>
      </c>
      <c r="Q112" s="66">
        <f>Бюджет!Q309</f>
        <v>1.3</v>
      </c>
      <c r="R112" s="66">
        <f>Бюджет!R309</f>
        <v>0</v>
      </c>
      <c r="S112" s="66">
        <f>Бюджет!S309</f>
        <v>0</v>
      </c>
      <c r="T112" s="66">
        <f>Бюджет!T309</f>
        <v>0</v>
      </c>
      <c r="U112" s="66">
        <f>Бюджет!U309</f>
        <v>0</v>
      </c>
      <c r="V112" s="66">
        <f>Бюджет!V309</f>
        <v>0</v>
      </c>
      <c r="W112" s="66">
        <f>Бюджет!W309</f>
        <v>0</v>
      </c>
      <c r="X112" s="66">
        <f>Бюджет!X309</f>
        <v>0</v>
      </c>
      <c r="Y112" s="66">
        <f>Бюджет!Y309</f>
        <v>0</v>
      </c>
      <c r="Z112" s="66">
        <f>Бюджет!Z309</f>
        <v>0</v>
      </c>
      <c r="AA112" s="66">
        <f>Бюджет!AA309</f>
        <v>0</v>
      </c>
      <c r="AB112" s="66">
        <f>Бюджет!AB309</f>
        <v>0</v>
      </c>
      <c r="AC112" s="66">
        <f>Бюджет!AC309</f>
        <v>0</v>
      </c>
      <c r="AD112" s="66">
        <f>Бюджет!AD309</f>
        <v>0</v>
      </c>
      <c r="AE112" s="66">
        <f>Бюджет!AE309</f>
        <v>0</v>
      </c>
      <c r="AF112" s="66">
        <f>Бюджет!AF309</f>
        <v>0</v>
      </c>
      <c r="AG112" s="66">
        <f>Бюджет!AG309</f>
        <v>0</v>
      </c>
      <c r="AH112" s="66">
        <f>Бюджет!AH309</f>
        <v>0</v>
      </c>
      <c r="AI112" s="66">
        <f>Бюджет!AI309</f>
        <v>4</v>
      </c>
      <c r="AJ112" s="66">
        <f t="shared" si="8"/>
        <v>60</v>
      </c>
      <c r="AK112" s="74"/>
    </row>
    <row r="113" spans="1:37" s="30" customFormat="1" ht="15" x14ac:dyDescent="0.2">
      <c r="A113" s="60" t="str">
        <f>Бюджет!A310</f>
        <v>Б1.В.ДВ.02.01</v>
      </c>
      <c r="B113" s="60" t="str">
        <f>Бюджет!B310</f>
        <v>Электромагнитная совместимость</v>
      </c>
      <c r="C113" s="67" t="str">
        <f>Бюджет!C310</f>
        <v>4\8</v>
      </c>
      <c r="D113" s="67">
        <f>Бюджет!D310</f>
        <v>9</v>
      </c>
      <c r="E113" s="67">
        <f>Бюджет!E310</f>
        <v>1</v>
      </c>
      <c r="F113" s="66">
        <f>Бюджет!F310</f>
        <v>22</v>
      </c>
      <c r="G113" s="66">
        <f>Бюджет!G310</f>
        <v>22</v>
      </c>
      <c r="H113" s="66">
        <f>Бюджет!H310</f>
        <v>12</v>
      </c>
      <c r="I113" s="66">
        <f>Бюджет!I310</f>
        <v>12</v>
      </c>
      <c r="J113" s="66">
        <f>Бюджет!J310</f>
        <v>44</v>
      </c>
      <c r="K113" s="66">
        <f>Бюджет!K310</f>
        <v>2.6999999999999997</v>
      </c>
      <c r="L113" s="66">
        <f>Бюджет!L310</f>
        <v>0</v>
      </c>
      <c r="M113" s="66">
        <f>Бюджет!M310</f>
        <v>0</v>
      </c>
      <c r="N113" s="66">
        <f>Бюджет!N310</f>
        <v>0</v>
      </c>
      <c r="O113" s="66">
        <f>Бюджет!O310</f>
        <v>0</v>
      </c>
      <c r="P113" s="66">
        <f>Бюджет!P310</f>
        <v>0</v>
      </c>
      <c r="Q113" s="66">
        <f>Бюджет!Q310</f>
        <v>1.1000000000000001</v>
      </c>
      <c r="R113" s="66">
        <f>Бюджет!R310</f>
        <v>0</v>
      </c>
      <c r="S113" s="66">
        <f>Бюджет!S310</f>
        <v>0</v>
      </c>
      <c r="T113" s="66">
        <f>Бюджет!T310</f>
        <v>0</v>
      </c>
      <c r="U113" s="66">
        <f>Бюджет!U310</f>
        <v>0</v>
      </c>
      <c r="V113" s="66">
        <f>Бюджет!V310</f>
        <v>0</v>
      </c>
      <c r="W113" s="66">
        <f>Бюджет!W310</f>
        <v>0</v>
      </c>
      <c r="X113" s="66">
        <f>Бюджет!X310</f>
        <v>0</v>
      </c>
      <c r="Y113" s="66">
        <f>Бюджет!Y310</f>
        <v>0</v>
      </c>
      <c r="Z113" s="66">
        <f>Бюджет!Z310</f>
        <v>0</v>
      </c>
      <c r="AA113" s="66">
        <f>Бюджет!AA310</f>
        <v>0</v>
      </c>
      <c r="AB113" s="66">
        <f>Бюджет!AB310</f>
        <v>0</v>
      </c>
      <c r="AC113" s="66">
        <f>Бюджет!AC310</f>
        <v>0</v>
      </c>
      <c r="AD113" s="66">
        <f>Бюджет!AD310</f>
        <v>0</v>
      </c>
      <c r="AE113" s="66">
        <f>Бюджет!AE310</f>
        <v>0</v>
      </c>
      <c r="AF113" s="66">
        <f>Бюджет!AF310</f>
        <v>0</v>
      </c>
      <c r="AG113" s="66">
        <f>Бюджет!AG310</f>
        <v>0</v>
      </c>
      <c r="AH113" s="66">
        <f>Бюджет!AH310</f>
        <v>0</v>
      </c>
      <c r="AI113" s="66">
        <f>Бюджет!AI310</f>
        <v>2</v>
      </c>
      <c r="AJ113" s="66">
        <f t="shared" si="8"/>
        <v>83.8</v>
      </c>
      <c r="AK113" s="74"/>
    </row>
    <row r="114" spans="1:37" s="30" customFormat="1" ht="15.75" x14ac:dyDescent="0.2">
      <c r="A114" s="74"/>
      <c r="B114" s="60"/>
      <c r="C114" s="74"/>
      <c r="D114" s="74"/>
      <c r="E114" s="74"/>
      <c r="F114" s="70"/>
      <c r="G114" s="70"/>
      <c r="H114" s="70"/>
      <c r="I114" s="70"/>
      <c r="J114" s="70"/>
      <c r="K114" s="390" t="str">
        <f>Бюджет!K311</f>
        <v>профиль "Безопасность автоматизированных систем (по отрасли или в сфере профессиональной деятельности)"</v>
      </c>
      <c r="L114" s="390"/>
      <c r="M114" s="390"/>
      <c r="N114" s="390"/>
      <c r="O114" s="390"/>
      <c r="P114" s="390"/>
      <c r="Q114" s="390"/>
      <c r="R114" s="390"/>
      <c r="S114" s="390"/>
      <c r="T114" s="390"/>
      <c r="U114" s="390"/>
      <c r="V114" s="390"/>
      <c r="W114" s="390"/>
      <c r="X114" s="390"/>
      <c r="Y114" s="390"/>
      <c r="Z114" s="390"/>
      <c r="AA114" s="390"/>
      <c r="AB114" s="390"/>
      <c r="AC114" s="70"/>
      <c r="AD114" s="70"/>
      <c r="AE114" s="70"/>
      <c r="AF114" s="70"/>
      <c r="AG114" s="70"/>
      <c r="AH114" s="70"/>
      <c r="AI114" s="70"/>
      <c r="AJ114" s="66">
        <f t="shared" si="8"/>
        <v>0</v>
      </c>
      <c r="AK114" s="74"/>
    </row>
    <row r="115" spans="1:37" s="30" customFormat="1" ht="30" x14ac:dyDescent="0.2">
      <c r="A115" s="60" t="str">
        <f>Бюджет!A312</f>
        <v>Б1.В.04</v>
      </c>
      <c r="B115" s="60" t="str">
        <f>Бюджет!B312</f>
        <v>Безопасность операционных систем (лекции поток ТЗИ и БАС)</v>
      </c>
      <c r="C115" s="67" t="str">
        <f>Бюджет!C312</f>
        <v>2\4</v>
      </c>
      <c r="D115" s="67">
        <f>Бюджет!D312</f>
        <v>17</v>
      </c>
      <c r="E115" s="67">
        <f>Бюджет!E312</f>
        <v>1</v>
      </c>
      <c r="F115" s="66">
        <f>Бюджет!F312</f>
        <v>40</v>
      </c>
      <c r="G115" s="66">
        <f>Бюджет!G312</f>
        <v>0</v>
      </c>
      <c r="H115" s="66">
        <f>Бюджет!H312</f>
        <v>0</v>
      </c>
      <c r="I115" s="66">
        <f>Бюджет!I312</f>
        <v>0</v>
      </c>
      <c r="J115" s="66">
        <f>Бюджет!J312</f>
        <v>80</v>
      </c>
      <c r="K115" s="66">
        <f>Бюджет!K312</f>
        <v>5.0999999999999996</v>
      </c>
      <c r="L115" s="66">
        <f>Бюджет!L312</f>
        <v>0</v>
      </c>
      <c r="M115" s="66">
        <f>Бюджет!M312</f>
        <v>0</v>
      </c>
      <c r="N115" s="66">
        <f>Бюджет!N312</f>
        <v>0</v>
      </c>
      <c r="O115" s="66">
        <f>Бюджет!O312</f>
        <v>0</v>
      </c>
      <c r="P115" s="66">
        <f>Бюджет!P312</f>
        <v>0</v>
      </c>
      <c r="Q115" s="66">
        <f>Бюджет!Q312</f>
        <v>0</v>
      </c>
      <c r="R115" s="66">
        <f>Бюджет!R312</f>
        <v>0</v>
      </c>
      <c r="S115" s="66">
        <f>Бюджет!S312</f>
        <v>0</v>
      </c>
      <c r="T115" s="66">
        <f>Бюджет!T312</f>
        <v>0</v>
      </c>
      <c r="U115" s="66">
        <f>Бюджет!U312</f>
        <v>0</v>
      </c>
      <c r="V115" s="66">
        <f>Бюджет!V312</f>
        <v>0</v>
      </c>
      <c r="W115" s="66">
        <f>Бюджет!W312</f>
        <v>0</v>
      </c>
      <c r="X115" s="66">
        <f>Бюджет!X312</f>
        <v>0</v>
      </c>
      <c r="Y115" s="66">
        <f>Бюджет!Y312</f>
        <v>0</v>
      </c>
      <c r="Z115" s="66">
        <f>Бюджет!Z312</f>
        <v>0</v>
      </c>
      <c r="AA115" s="66">
        <f>Бюджет!AA312</f>
        <v>0</v>
      </c>
      <c r="AB115" s="66">
        <f>Бюджет!AB312</f>
        <v>0</v>
      </c>
      <c r="AC115" s="66">
        <f>Бюджет!AC312</f>
        <v>0</v>
      </c>
      <c r="AD115" s="66">
        <f>Бюджет!AD312</f>
        <v>0</v>
      </c>
      <c r="AE115" s="66">
        <f>Бюджет!AE312</f>
        <v>0</v>
      </c>
      <c r="AF115" s="66">
        <f>Бюджет!AF312</f>
        <v>0</v>
      </c>
      <c r="AG115" s="66">
        <f>Бюджет!AG312</f>
        <v>0</v>
      </c>
      <c r="AH115" s="66">
        <f>Бюджет!AH312</f>
        <v>0</v>
      </c>
      <c r="AI115" s="66">
        <f>Бюджет!AI312</f>
        <v>0</v>
      </c>
      <c r="AJ115" s="66">
        <f t="shared" si="8"/>
        <v>85.1</v>
      </c>
      <c r="AK115" s="74"/>
    </row>
    <row r="116" spans="1:37" s="30" customFormat="1" ht="15" x14ac:dyDescent="0.2">
      <c r="A116" s="60" t="str">
        <f>Бюджет!A313</f>
        <v>Б1.В.01</v>
      </c>
      <c r="B116" s="60" t="str">
        <f>Бюджет!B313</f>
        <v>Безопасность информационных технологий</v>
      </c>
      <c r="C116" s="67" t="str">
        <f>Бюджет!C313</f>
        <v>3\5</v>
      </c>
      <c r="D116" s="67">
        <f>Бюджет!D313</f>
        <v>23</v>
      </c>
      <c r="E116" s="67">
        <f>Бюджет!E313</f>
        <v>1</v>
      </c>
      <c r="F116" s="66">
        <f>Бюджет!F313</f>
        <v>34</v>
      </c>
      <c r="G116" s="66">
        <f>Бюджет!G313</f>
        <v>34</v>
      </c>
      <c r="H116" s="66">
        <f>Бюджет!H313</f>
        <v>34</v>
      </c>
      <c r="I116" s="66">
        <f>Бюджет!I313</f>
        <v>34</v>
      </c>
      <c r="J116" s="66">
        <f>Бюджет!J313</f>
        <v>0</v>
      </c>
      <c r="K116" s="66">
        <f>Бюджет!K313</f>
        <v>0</v>
      </c>
      <c r="L116" s="66">
        <f>Бюджет!L313</f>
        <v>0</v>
      </c>
      <c r="M116" s="66">
        <f>Бюджет!M313</f>
        <v>9.2000000000000011</v>
      </c>
      <c r="N116" s="66">
        <f>Бюджет!N313</f>
        <v>0</v>
      </c>
      <c r="O116" s="66">
        <f>Бюджет!O313</f>
        <v>0</v>
      </c>
      <c r="P116" s="66">
        <f>Бюджет!P313</f>
        <v>0</v>
      </c>
      <c r="Q116" s="66">
        <f>Бюджет!Q313</f>
        <v>2.7</v>
      </c>
      <c r="R116" s="66">
        <f>Бюджет!R313</f>
        <v>0</v>
      </c>
      <c r="S116" s="66">
        <f>Бюджет!S313</f>
        <v>0</v>
      </c>
      <c r="T116" s="66">
        <f>Бюджет!T313</f>
        <v>0</v>
      </c>
      <c r="U116" s="66">
        <f>Бюджет!U313</f>
        <v>0</v>
      </c>
      <c r="V116" s="66">
        <f>Бюджет!V313</f>
        <v>0</v>
      </c>
      <c r="W116" s="66">
        <f>Бюджет!W313</f>
        <v>0</v>
      </c>
      <c r="X116" s="66">
        <f>Бюджет!X313</f>
        <v>0</v>
      </c>
      <c r="Y116" s="66">
        <f>Бюджет!Y313</f>
        <v>0</v>
      </c>
      <c r="Z116" s="66">
        <f>Бюджет!Z313</f>
        <v>0</v>
      </c>
      <c r="AA116" s="66">
        <f>Бюджет!AA313</f>
        <v>0</v>
      </c>
      <c r="AB116" s="66">
        <f>Бюджет!AB313</f>
        <v>0</v>
      </c>
      <c r="AC116" s="66">
        <f>Бюджет!AC313</f>
        <v>0</v>
      </c>
      <c r="AD116" s="66">
        <f>Бюджет!AD313</f>
        <v>0</v>
      </c>
      <c r="AE116" s="66">
        <f>Бюджет!AE313</f>
        <v>0</v>
      </c>
      <c r="AF116" s="66">
        <f>Бюджет!AF313</f>
        <v>0</v>
      </c>
      <c r="AG116" s="66">
        <f>Бюджет!AG313</f>
        <v>0</v>
      </c>
      <c r="AH116" s="66">
        <f>Бюджет!AH313</f>
        <v>0</v>
      </c>
      <c r="AI116" s="66">
        <f>Бюджет!AI313</f>
        <v>0</v>
      </c>
      <c r="AJ116" s="66">
        <f t="shared" si="8"/>
        <v>79.900000000000006</v>
      </c>
      <c r="AK116" s="74"/>
    </row>
    <row r="117" spans="1:37" s="30" customFormat="1" ht="15" x14ac:dyDescent="0.2">
      <c r="A117" s="60" t="str">
        <f>Бюджет!A314</f>
        <v>Б1.В.01</v>
      </c>
      <c r="B117" s="60" t="str">
        <f>Бюджет!B314</f>
        <v>Безопасность информационных технологий</v>
      </c>
      <c r="C117" s="67" t="str">
        <f>Бюджет!C314</f>
        <v>3\6</v>
      </c>
      <c r="D117" s="67">
        <f>Бюджет!D314</f>
        <v>23</v>
      </c>
      <c r="E117" s="67">
        <f>Бюджет!E314</f>
        <v>1</v>
      </c>
      <c r="F117" s="66">
        <f>Бюджет!F314</f>
        <v>32</v>
      </c>
      <c r="G117" s="66">
        <f>Бюджет!G314</f>
        <v>32</v>
      </c>
      <c r="H117" s="66">
        <f>Бюджет!H314</f>
        <v>48</v>
      </c>
      <c r="I117" s="66">
        <f>Бюджет!I314</f>
        <v>48</v>
      </c>
      <c r="J117" s="66">
        <f>Бюджет!J314</f>
        <v>0</v>
      </c>
      <c r="K117" s="66">
        <f>Бюджет!K314</f>
        <v>0</v>
      </c>
      <c r="L117" s="66">
        <f>Бюджет!L314</f>
        <v>0</v>
      </c>
      <c r="M117" s="66">
        <f>Бюджет!M314</f>
        <v>9.2000000000000011</v>
      </c>
      <c r="N117" s="66">
        <f>Бюджет!N314</f>
        <v>0</v>
      </c>
      <c r="O117" s="66">
        <f>Бюджет!O314</f>
        <v>0</v>
      </c>
      <c r="P117" s="66">
        <f>Бюджет!P314</f>
        <v>0</v>
      </c>
      <c r="Q117" s="66">
        <f>Бюджет!Q314</f>
        <v>2.6</v>
      </c>
      <c r="R117" s="66">
        <f>Бюджет!R314</f>
        <v>0</v>
      </c>
      <c r="S117" s="66">
        <f>Бюджет!S314</f>
        <v>0</v>
      </c>
      <c r="T117" s="66">
        <f>Бюджет!T314</f>
        <v>0</v>
      </c>
      <c r="U117" s="66">
        <f>Бюджет!U314</f>
        <v>0</v>
      </c>
      <c r="V117" s="66">
        <f>Бюджет!V314</f>
        <v>0</v>
      </c>
      <c r="W117" s="66">
        <f>Бюджет!W314</f>
        <v>0</v>
      </c>
      <c r="X117" s="66">
        <f>Бюджет!X314</f>
        <v>0</v>
      </c>
      <c r="Y117" s="66">
        <f>Бюджет!Y314</f>
        <v>0</v>
      </c>
      <c r="Z117" s="66">
        <f>Бюджет!Z314</f>
        <v>0</v>
      </c>
      <c r="AA117" s="66">
        <f>Бюджет!AA314</f>
        <v>0</v>
      </c>
      <c r="AB117" s="66">
        <f>Бюджет!AB314</f>
        <v>0</v>
      </c>
      <c r="AC117" s="66">
        <f>Бюджет!AC314</f>
        <v>0</v>
      </c>
      <c r="AD117" s="66">
        <f>Бюджет!AD314</f>
        <v>0</v>
      </c>
      <c r="AE117" s="66">
        <f>Бюджет!AE314</f>
        <v>0</v>
      </c>
      <c r="AF117" s="66">
        <f>Бюджет!AF314</f>
        <v>0</v>
      </c>
      <c r="AG117" s="66">
        <f>Бюджет!AG314</f>
        <v>0</v>
      </c>
      <c r="AH117" s="66">
        <f>Бюджет!AH314</f>
        <v>0</v>
      </c>
      <c r="AI117" s="66">
        <f>Бюджет!AI314</f>
        <v>4</v>
      </c>
      <c r="AJ117" s="66">
        <f t="shared" si="8"/>
        <v>95.8</v>
      </c>
      <c r="AK117" s="74"/>
    </row>
    <row r="118" spans="1:37" s="30" customFormat="1" ht="15" x14ac:dyDescent="0.2">
      <c r="A118" s="60" t="str">
        <f>Бюджет!A316</f>
        <v>Б1.В.05</v>
      </c>
      <c r="B118" s="60" t="str">
        <f>Бюджет!B316</f>
        <v>Безопасность программного обеспечения</v>
      </c>
      <c r="C118" s="67" t="str">
        <f>Бюджет!C316</f>
        <v>3\5</v>
      </c>
      <c r="D118" s="67">
        <f>Бюджет!D316</f>
        <v>23</v>
      </c>
      <c r="E118" s="67">
        <f>Бюджет!E316</f>
        <v>1</v>
      </c>
      <c r="F118" s="66">
        <f>Бюджет!F316</f>
        <v>16</v>
      </c>
      <c r="G118" s="66">
        <f>Бюджет!G316</f>
        <v>16</v>
      </c>
      <c r="H118" s="66">
        <f>Бюджет!H316</f>
        <v>34</v>
      </c>
      <c r="I118" s="66">
        <f>Бюджет!I316</f>
        <v>34</v>
      </c>
      <c r="J118" s="66">
        <f>Бюджет!J316</f>
        <v>0</v>
      </c>
      <c r="K118" s="66">
        <f>Бюджет!K316</f>
        <v>6.8999999999999995</v>
      </c>
      <c r="L118" s="66">
        <f>Бюджет!L316</f>
        <v>0</v>
      </c>
      <c r="M118" s="66">
        <f>Бюджет!M316</f>
        <v>0</v>
      </c>
      <c r="N118" s="66">
        <f>Бюджет!N316</f>
        <v>0</v>
      </c>
      <c r="O118" s="66">
        <f>Бюджет!O316</f>
        <v>0</v>
      </c>
      <c r="P118" s="66">
        <f>Бюджет!P316</f>
        <v>0</v>
      </c>
      <c r="Q118" s="66">
        <f>Бюджет!Q316</f>
        <v>0.8</v>
      </c>
      <c r="R118" s="66">
        <f>Бюджет!R316</f>
        <v>0</v>
      </c>
      <c r="S118" s="66">
        <f>Бюджет!S316</f>
        <v>0</v>
      </c>
      <c r="T118" s="66">
        <f>Бюджет!T316</f>
        <v>0</v>
      </c>
      <c r="U118" s="66">
        <f>Бюджет!U316</f>
        <v>0</v>
      </c>
      <c r="V118" s="66">
        <f>Бюджет!V316</f>
        <v>0</v>
      </c>
      <c r="W118" s="66">
        <f>Бюджет!W316</f>
        <v>0</v>
      </c>
      <c r="X118" s="66">
        <f>Бюджет!X316</f>
        <v>0</v>
      </c>
      <c r="Y118" s="66">
        <f>Бюджет!Y316</f>
        <v>0</v>
      </c>
      <c r="Z118" s="66">
        <f>Бюджет!Z316</f>
        <v>0</v>
      </c>
      <c r="AA118" s="66">
        <f>Бюджет!AA316</f>
        <v>0</v>
      </c>
      <c r="AB118" s="66">
        <f>Бюджет!AB316</f>
        <v>0</v>
      </c>
      <c r="AC118" s="66">
        <f>Бюджет!AC316</f>
        <v>0</v>
      </c>
      <c r="AD118" s="66">
        <f>Бюджет!AD316</f>
        <v>0</v>
      </c>
      <c r="AE118" s="66">
        <f>Бюджет!AE316</f>
        <v>0</v>
      </c>
      <c r="AF118" s="66">
        <f>Бюджет!AF316</f>
        <v>0</v>
      </c>
      <c r="AG118" s="66">
        <f>Бюджет!AG316</f>
        <v>0</v>
      </c>
      <c r="AH118" s="66">
        <f>Бюджет!AH316</f>
        <v>0</v>
      </c>
      <c r="AI118" s="66">
        <f>Бюджет!AI316</f>
        <v>0</v>
      </c>
      <c r="AJ118" s="66">
        <f t="shared" si="8"/>
        <v>57.699999999999996</v>
      </c>
      <c r="AK118" s="74"/>
    </row>
    <row r="119" spans="1:37" s="30" customFormat="1" ht="15" x14ac:dyDescent="0.2">
      <c r="A119" s="60" t="str">
        <f>Бюджет!A317</f>
        <v>Б1.В.05</v>
      </c>
      <c r="B119" s="60" t="str">
        <f>Бюджет!B317</f>
        <v>Безопасность программного обеспечения</v>
      </c>
      <c r="C119" s="67" t="str">
        <f>Бюджет!C317</f>
        <v>3\6</v>
      </c>
      <c r="D119" s="67">
        <f>Бюджет!D317</f>
        <v>23</v>
      </c>
      <c r="E119" s="67">
        <f>Бюджет!E317</f>
        <v>1</v>
      </c>
      <c r="F119" s="66">
        <f>Бюджет!F317</f>
        <v>16</v>
      </c>
      <c r="G119" s="66">
        <f>Бюджет!G317</f>
        <v>16</v>
      </c>
      <c r="H119" s="66">
        <f>Бюджет!H317</f>
        <v>64</v>
      </c>
      <c r="I119" s="66">
        <f>Бюджет!I317</f>
        <v>64</v>
      </c>
      <c r="J119" s="66">
        <f>Бюджет!J317</f>
        <v>0</v>
      </c>
      <c r="K119" s="66">
        <f>Бюджет!K317</f>
        <v>6.8999999999999995</v>
      </c>
      <c r="L119" s="66">
        <f>Бюджет!L317</f>
        <v>0</v>
      </c>
      <c r="M119" s="66">
        <f>Бюджет!M317</f>
        <v>0</v>
      </c>
      <c r="N119" s="66">
        <f>Бюджет!N317</f>
        <v>0</v>
      </c>
      <c r="O119" s="66">
        <f>Бюджет!O317</f>
        <v>0</v>
      </c>
      <c r="P119" s="66">
        <f>Бюджет!P317</f>
        <v>0</v>
      </c>
      <c r="Q119" s="66">
        <f>Бюджет!Q317</f>
        <v>0.8</v>
      </c>
      <c r="R119" s="66">
        <f>Бюджет!R317</f>
        <v>0</v>
      </c>
      <c r="S119" s="66">
        <f>Бюджет!S317</f>
        <v>0</v>
      </c>
      <c r="T119" s="66">
        <f>Бюджет!T317</f>
        <v>0</v>
      </c>
      <c r="U119" s="66">
        <f>Бюджет!U317</f>
        <v>0</v>
      </c>
      <c r="V119" s="66">
        <f>Бюджет!V317</f>
        <v>0</v>
      </c>
      <c r="W119" s="66">
        <f>Бюджет!W317</f>
        <v>0</v>
      </c>
      <c r="X119" s="66">
        <f>Бюджет!X317</f>
        <v>0</v>
      </c>
      <c r="Y119" s="66">
        <f>Бюджет!Y317</f>
        <v>0</v>
      </c>
      <c r="Z119" s="66">
        <f>Бюджет!Z317</f>
        <v>0</v>
      </c>
      <c r="AA119" s="66">
        <f>Бюджет!AA317</f>
        <v>0</v>
      </c>
      <c r="AB119" s="66">
        <f>Бюджет!AB317</f>
        <v>0</v>
      </c>
      <c r="AC119" s="66">
        <f>Бюджет!AC317</f>
        <v>0</v>
      </c>
      <c r="AD119" s="66">
        <f>Бюджет!AD317</f>
        <v>0</v>
      </c>
      <c r="AE119" s="66">
        <f>Бюджет!AE317</f>
        <v>0</v>
      </c>
      <c r="AF119" s="66">
        <f>Бюджет!AF317</f>
        <v>0</v>
      </c>
      <c r="AG119" s="66">
        <f>Бюджет!AG317</f>
        <v>0</v>
      </c>
      <c r="AH119" s="66">
        <f>Бюджет!AH317</f>
        <v>0</v>
      </c>
      <c r="AI119" s="66">
        <f>Бюджет!AI317</f>
        <v>0</v>
      </c>
      <c r="AJ119" s="66">
        <f t="shared" si="8"/>
        <v>87.7</v>
      </c>
      <c r="AK119" s="74"/>
    </row>
    <row r="120" spans="1:37" s="30" customFormat="1" ht="15" x14ac:dyDescent="0.2">
      <c r="A120" s="60" t="str">
        <f>Бюджет!A318</f>
        <v>Б1.В.04</v>
      </c>
      <c r="B120" s="60" t="str">
        <f>Бюджет!B318</f>
        <v>Практикум по программированию</v>
      </c>
      <c r="C120" s="67" t="str">
        <f>Бюджет!C318</f>
        <v>4\7</v>
      </c>
      <c r="D120" s="67">
        <f>Бюджет!D318</f>
        <v>6</v>
      </c>
      <c r="E120" s="67">
        <f>Бюджет!E318</f>
        <v>1</v>
      </c>
      <c r="F120" s="66">
        <f>Бюджет!F318</f>
        <v>0</v>
      </c>
      <c r="G120" s="66">
        <f>Бюджет!G318</f>
        <v>0</v>
      </c>
      <c r="H120" s="66">
        <f>Бюджет!H318</f>
        <v>0</v>
      </c>
      <c r="I120" s="66">
        <f>Бюджет!I318</f>
        <v>0</v>
      </c>
      <c r="J120" s="66">
        <f>Бюджет!J318</f>
        <v>52</v>
      </c>
      <c r="K120" s="66">
        <f>Бюджет!K318</f>
        <v>1.7999999999999998</v>
      </c>
      <c r="L120" s="66">
        <f>Бюджет!L318</f>
        <v>0</v>
      </c>
      <c r="M120" s="66">
        <f>Бюджет!M318</f>
        <v>0</v>
      </c>
      <c r="N120" s="66">
        <f>Бюджет!N318</f>
        <v>0</v>
      </c>
      <c r="O120" s="66">
        <f>Бюджет!O318</f>
        <v>0</v>
      </c>
      <c r="P120" s="66">
        <f>Бюджет!P318</f>
        <v>0</v>
      </c>
      <c r="Q120" s="66">
        <f>Бюджет!Q318</f>
        <v>0</v>
      </c>
      <c r="R120" s="66">
        <f>Бюджет!R318</f>
        <v>0</v>
      </c>
      <c r="S120" s="66">
        <f>Бюджет!S318</f>
        <v>0</v>
      </c>
      <c r="T120" s="66">
        <f>Бюджет!T318</f>
        <v>0</v>
      </c>
      <c r="U120" s="66">
        <f>Бюджет!U318</f>
        <v>0</v>
      </c>
      <c r="V120" s="66">
        <f>Бюджет!V318</f>
        <v>0</v>
      </c>
      <c r="W120" s="66">
        <f>Бюджет!W318</f>
        <v>0</v>
      </c>
      <c r="X120" s="66">
        <f>Бюджет!X318</f>
        <v>0</v>
      </c>
      <c r="Y120" s="66">
        <f>Бюджет!Y318</f>
        <v>0</v>
      </c>
      <c r="Z120" s="66">
        <f>Бюджет!Z318</f>
        <v>0</v>
      </c>
      <c r="AA120" s="66">
        <f>Бюджет!AA318</f>
        <v>0</v>
      </c>
      <c r="AB120" s="66">
        <f>Бюджет!AB318</f>
        <v>0</v>
      </c>
      <c r="AC120" s="66">
        <f>Бюджет!AC318</f>
        <v>0</v>
      </c>
      <c r="AD120" s="66">
        <f>Бюджет!AD318</f>
        <v>0</v>
      </c>
      <c r="AE120" s="66">
        <f>Бюджет!AE318</f>
        <v>0</v>
      </c>
      <c r="AF120" s="66">
        <f>Бюджет!AF318</f>
        <v>0</v>
      </c>
      <c r="AG120" s="66">
        <f>Бюджет!AG318</f>
        <v>0</v>
      </c>
      <c r="AH120" s="66">
        <f>Бюджет!AH318</f>
        <v>0</v>
      </c>
      <c r="AI120" s="66">
        <f>Бюджет!AI318</f>
        <v>2</v>
      </c>
      <c r="AJ120" s="66">
        <f t="shared" si="8"/>
        <v>55.8</v>
      </c>
      <c r="AK120" s="74"/>
    </row>
    <row r="121" spans="1:37" s="30" customFormat="1" ht="45" x14ac:dyDescent="0.2">
      <c r="A121" s="60" t="str">
        <f>Бюджет!A319</f>
        <v>Б1.В.ДВ.01.01</v>
      </c>
      <c r="B121" s="60" t="str">
        <f>Бюджет!B319</f>
        <v>Организация защиты  критической информационной инфраструктуры (лекции поток ТЗИ и БАС)</v>
      </c>
      <c r="C121" s="67" t="str">
        <f>Бюджет!C319</f>
        <v>4\7</v>
      </c>
      <c r="D121" s="67">
        <f>Бюджет!D319</f>
        <v>6</v>
      </c>
      <c r="E121" s="67">
        <f>Бюджет!E319</f>
        <v>1</v>
      </c>
      <c r="F121" s="66">
        <f>Бюджет!F319</f>
        <v>26</v>
      </c>
      <c r="G121" s="66">
        <f>Бюджет!G319</f>
        <v>0</v>
      </c>
      <c r="H121" s="66">
        <f>Бюджет!H319</f>
        <v>26</v>
      </c>
      <c r="I121" s="66">
        <f>Бюджет!I319</f>
        <v>26</v>
      </c>
      <c r="J121" s="66">
        <f>Бюджет!J319</f>
        <v>0</v>
      </c>
      <c r="K121" s="66">
        <f>Бюджет!K319</f>
        <v>1.7999999999999998</v>
      </c>
      <c r="L121" s="66">
        <f>Бюджет!L319</f>
        <v>0</v>
      </c>
      <c r="M121" s="66">
        <f>Бюджет!M319</f>
        <v>0</v>
      </c>
      <c r="N121" s="66">
        <f>Бюджет!N319</f>
        <v>0</v>
      </c>
      <c r="O121" s="66">
        <f>Бюджет!O319</f>
        <v>0</v>
      </c>
      <c r="P121" s="66">
        <f>Бюджет!P319</f>
        <v>0</v>
      </c>
      <c r="Q121" s="66">
        <f>Бюджет!Q319</f>
        <v>0</v>
      </c>
      <c r="R121" s="66">
        <f>Бюджет!R319</f>
        <v>0</v>
      </c>
      <c r="S121" s="66">
        <f>Бюджет!S319</f>
        <v>0</v>
      </c>
      <c r="T121" s="66">
        <f>Бюджет!T319</f>
        <v>0</v>
      </c>
      <c r="U121" s="66">
        <f>Бюджет!U319</f>
        <v>0</v>
      </c>
      <c r="V121" s="66">
        <f>Бюджет!V319</f>
        <v>0</v>
      </c>
      <c r="W121" s="66">
        <f>Бюджет!W319</f>
        <v>0</v>
      </c>
      <c r="X121" s="66">
        <f>Бюджет!X319</f>
        <v>0</v>
      </c>
      <c r="Y121" s="66">
        <f>Бюджет!Y319</f>
        <v>0</v>
      </c>
      <c r="Z121" s="66">
        <f>Бюджет!Z319</f>
        <v>0</v>
      </c>
      <c r="AA121" s="66">
        <f>Бюджет!AA319</f>
        <v>0</v>
      </c>
      <c r="AB121" s="66">
        <f>Бюджет!AB319</f>
        <v>0</v>
      </c>
      <c r="AC121" s="66">
        <f>Бюджет!AC319</f>
        <v>0</v>
      </c>
      <c r="AD121" s="66">
        <f>Бюджет!AD319</f>
        <v>0</v>
      </c>
      <c r="AE121" s="66">
        <f>Бюджет!AE319</f>
        <v>0</v>
      </c>
      <c r="AF121" s="66">
        <f>Бюджет!AF319</f>
        <v>0</v>
      </c>
      <c r="AG121" s="66">
        <f>Бюджет!AG319</f>
        <v>0</v>
      </c>
      <c r="AH121" s="66">
        <f>Бюджет!AH319</f>
        <v>0</v>
      </c>
      <c r="AI121" s="66">
        <f>Бюджет!AI319</f>
        <v>4</v>
      </c>
      <c r="AJ121" s="66">
        <f t="shared" si="8"/>
        <v>31.8</v>
      </c>
      <c r="AK121" s="74"/>
    </row>
    <row r="122" spans="1:37" s="30" customFormat="1" ht="15" x14ac:dyDescent="0.2">
      <c r="A122" s="60" t="str">
        <f>Бюджет!A320</f>
        <v>Б1.В.ДВ.02.01</v>
      </c>
      <c r="B122" s="60" t="str">
        <f>Бюджет!B320</f>
        <v>Основы экономической безопасности</v>
      </c>
      <c r="C122" s="67" t="str">
        <f>Бюджет!C320</f>
        <v>4\8</v>
      </c>
      <c r="D122" s="67">
        <f>Бюджет!D320</f>
        <v>6</v>
      </c>
      <c r="E122" s="67">
        <f>Бюджет!E320</f>
        <v>1</v>
      </c>
      <c r="F122" s="66">
        <f>Бюджет!F320</f>
        <v>22</v>
      </c>
      <c r="G122" s="66">
        <f>Бюджет!G320</f>
        <v>22</v>
      </c>
      <c r="H122" s="66">
        <f>Бюджет!H320</f>
        <v>12</v>
      </c>
      <c r="I122" s="66">
        <f>Бюджет!I320</f>
        <v>12</v>
      </c>
      <c r="J122" s="66">
        <f>Бюджет!J320</f>
        <v>44</v>
      </c>
      <c r="K122" s="66">
        <f>Бюджет!K320</f>
        <v>1.7999999999999998</v>
      </c>
      <c r="L122" s="66">
        <f>Бюджет!L320</f>
        <v>0</v>
      </c>
      <c r="M122" s="66">
        <f>Бюджет!M320</f>
        <v>0</v>
      </c>
      <c r="N122" s="66">
        <f>Бюджет!N320</f>
        <v>0</v>
      </c>
      <c r="O122" s="66">
        <f>Бюджет!O320</f>
        <v>0</v>
      </c>
      <c r="P122" s="66">
        <f>Бюджет!P320</f>
        <v>0</v>
      </c>
      <c r="Q122" s="66">
        <f>Бюджет!Q320</f>
        <v>1.1000000000000001</v>
      </c>
      <c r="R122" s="66">
        <f>Бюджет!R320</f>
        <v>0</v>
      </c>
      <c r="S122" s="66">
        <f>Бюджет!S320</f>
        <v>0</v>
      </c>
      <c r="T122" s="66">
        <f>Бюджет!T320</f>
        <v>0</v>
      </c>
      <c r="U122" s="66">
        <f>Бюджет!U320</f>
        <v>0</v>
      </c>
      <c r="V122" s="66">
        <f>Бюджет!V320</f>
        <v>0</v>
      </c>
      <c r="W122" s="66">
        <f>Бюджет!W320</f>
        <v>0</v>
      </c>
      <c r="X122" s="66">
        <f>Бюджет!X320</f>
        <v>0</v>
      </c>
      <c r="Y122" s="66">
        <f>Бюджет!Y320</f>
        <v>0</v>
      </c>
      <c r="Z122" s="66">
        <f>Бюджет!Z320</f>
        <v>0</v>
      </c>
      <c r="AA122" s="66">
        <f>Бюджет!AA320</f>
        <v>0</v>
      </c>
      <c r="AB122" s="66">
        <f>Бюджет!AB320</f>
        <v>0</v>
      </c>
      <c r="AC122" s="66">
        <f>Бюджет!AC320</f>
        <v>0</v>
      </c>
      <c r="AD122" s="66">
        <f>Бюджет!AD320</f>
        <v>0</v>
      </c>
      <c r="AE122" s="66">
        <f>Бюджет!AE320</f>
        <v>0</v>
      </c>
      <c r="AF122" s="66">
        <f>Бюджет!AF320</f>
        <v>0</v>
      </c>
      <c r="AG122" s="66">
        <f>Бюджет!AG320</f>
        <v>0</v>
      </c>
      <c r="AH122" s="66">
        <f>Бюджет!AH320</f>
        <v>0</v>
      </c>
      <c r="AI122" s="66">
        <f>Бюджет!AI320</f>
        <v>2</v>
      </c>
      <c r="AJ122" s="66">
        <f t="shared" si="8"/>
        <v>82.899999999999991</v>
      </c>
      <c r="AK122" s="74"/>
    </row>
    <row r="123" spans="1:37" s="30" customFormat="1" ht="15.75" x14ac:dyDescent="0.25">
      <c r="A123" s="29"/>
      <c r="B123" s="85" t="s">
        <v>237</v>
      </c>
      <c r="C123" s="94"/>
      <c r="D123" s="94"/>
      <c r="E123" s="94"/>
      <c r="F123" s="88">
        <f>SUM(F77:F122)</f>
        <v>1036</v>
      </c>
      <c r="G123" s="88">
        <f t="shared" ref="G123:AJ123" si="9">SUM(G77:G122)</f>
        <v>970</v>
      </c>
      <c r="H123" s="88">
        <f t="shared" si="9"/>
        <v>664</v>
      </c>
      <c r="I123" s="88">
        <f t="shared" si="9"/>
        <v>746</v>
      </c>
      <c r="J123" s="88">
        <f t="shared" si="9"/>
        <v>2014</v>
      </c>
      <c r="K123" s="88">
        <f t="shared" si="9"/>
        <v>233.99999999999994</v>
      </c>
      <c r="L123" s="88">
        <f t="shared" si="9"/>
        <v>0</v>
      </c>
      <c r="M123" s="88">
        <f t="shared" si="9"/>
        <v>68.400000000000006</v>
      </c>
      <c r="N123" s="88">
        <f t="shared" si="9"/>
        <v>0</v>
      </c>
      <c r="O123" s="88">
        <f t="shared" si="9"/>
        <v>0</v>
      </c>
      <c r="P123" s="88">
        <f t="shared" si="9"/>
        <v>0</v>
      </c>
      <c r="Q123" s="88">
        <f t="shared" si="9"/>
        <v>57.500000000000007</v>
      </c>
      <c r="R123" s="88">
        <f t="shared" si="9"/>
        <v>0</v>
      </c>
      <c r="S123" s="88">
        <f t="shared" si="9"/>
        <v>0</v>
      </c>
      <c r="T123" s="88">
        <f t="shared" si="9"/>
        <v>288</v>
      </c>
      <c r="U123" s="88">
        <f t="shared" si="9"/>
        <v>30.9</v>
      </c>
      <c r="V123" s="88">
        <f t="shared" si="9"/>
        <v>15</v>
      </c>
      <c r="W123" s="88">
        <f t="shared" si="9"/>
        <v>240</v>
      </c>
      <c r="X123" s="88">
        <f t="shared" si="9"/>
        <v>0</v>
      </c>
      <c r="Y123" s="88">
        <f t="shared" si="9"/>
        <v>0</v>
      </c>
      <c r="Z123" s="88">
        <f t="shared" si="9"/>
        <v>0</v>
      </c>
      <c r="AA123" s="88">
        <f t="shared" si="9"/>
        <v>0</v>
      </c>
      <c r="AB123" s="88">
        <f t="shared" si="9"/>
        <v>52.5</v>
      </c>
      <c r="AC123" s="88">
        <f t="shared" si="9"/>
        <v>0</v>
      </c>
      <c r="AD123" s="88">
        <f t="shared" si="9"/>
        <v>0</v>
      </c>
      <c r="AE123" s="88">
        <f t="shared" si="9"/>
        <v>0</v>
      </c>
      <c r="AF123" s="88">
        <f t="shared" si="9"/>
        <v>0</v>
      </c>
      <c r="AG123" s="88">
        <f t="shared" si="9"/>
        <v>0</v>
      </c>
      <c r="AH123" s="88">
        <f t="shared" si="9"/>
        <v>0</v>
      </c>
      <c r="AI123" s="88">
        <f t="shared" si="9"/>
        <v>70</v>
      </c>
      <c r="AJ123" s="88">
        <f t="shared" si="9"/>
        <v>4786.3</v>
      </c>
      <c r="AK123" s="29"/>
    </row>
    <row r="124" spans="1:37" s="30" customFormat="1" ht="15.75" x14ac:dyDescent="0.25">
      <c r="A124" s="29"/>
      <c r="B124" s="34"/>
      <c r="C124" s="29"/>
      <c r="D124" s="29"/>
      <c r="E124" s="29"/>
      <c r="F124" s="33"/>
      <c r="G124" s="33"/>
      <c r="H124" s="33"/>
      <c r="I124" s="33"/>
      <c r="J124" s="33"/>
      <c r="K124" s="33"/>
      <c r="L124" s="33"/>
      <c r="M124" s="33"/>
      <c r="N124" s="276"/>
      <c r="O124" s="276"/>
      <c r="P124" s="276"/>
      <c r="Q124" s="276"/>
      <c r="R124" s="276"/>
      <c r="S124" s="276"/>
      <c r="T124" s="276"/>
      <c r="U124" s="276"/>
      <c r="V124" s="276"/>
      <c r="W124" s="276"/>
      <c r="X124" s="276"/>
      <c r="Y124" s="276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66"/>
      <c r="AK124" s="29"/>
    </row>
    <row r="125" spans="1:37" s="32" customFormat="1" ht="15.75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76"/>
      <c r="L125" s="401" t="str">
        <f>Бюджет!L323</f>
        <v>44.03.05 Педагогическое образование (с двумя профилями подготовки)</v>
      </c>
      <c r="M125" s="401"/>
      <c r="N125" s="401"/>
      <c r="O125" s="401"/>
      <c r="P125" s="401"/>
      <c r="Q125" s="401"/>
      <c r="R125" s="401"/>
      <c r="S125" s="401"/>
      <c r="T125" s="401"/>
      <c r="U125" s="401"/>
      <c r="V125" s="401"/>
      <c r="W125" s="401"/>
      <c r="X125" s="401"/>
      <c r="Y125" s="401"/>
      <c r="Z125" s="401"/>
      <c r="AA125" s="401"/>
      <c r="AB125" s="276"/>
      <c r="AC125" s="29"/>
      <c r="AD125" s="29"/>
      <c r="AE125" s="29"/>
      <c r="AF125" s="29"/>
      <c r="AG125" s="29"/>
      <c r="AH125" s="29"/>
      <c r="AI125" s="29"/>
      <c r="AJ125" s="66">
        <f>SUM(G125,I125:AI125)</f>
        <v>0</v>
      </c>
      <c r="AK125" s="33"/>
    </row>
    <row r="126" spans="1:37" s="32" customFormat="1" ht="15.75" x14ac:dyDescent="0.2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386" t="str">
        <f>Бюджет!K324</f>
        <v>профиль "Физика-Информатика: углубленная подготовка"</v>
      </c>
      <c r="L126" s="386"/>
      <c r="M126" s="386"/>
      <c r="N126" s="386"/>
      <c r="O126" s="386"/>
      <c r="P126" s="386"/>
      <c r="Q126" s="386"/>
      <c r="R126" s="386"/>
      <c r="S126" s="386"/>
      <c r="T126" s="386"/>
      <c r="U126" s="386"/>
      <c r="V126" s="386"/>
      <c r="W126" s="386"/>
      <c r="X126" s="386"/>
      <c r="Y126" s="386"/>
      <c r="Z126" s="386"/>
      <c r="AA126" s="386"/>
      <c r="AB126" s="386"/>
      <c r="AC126" s="29"/>
      <c r="AD126" s="29"/>
      <c r="AE126" s="29"/>
      <c r="AF126" s="29"/>
      <c r="AG126" s="29"/>
      <c r="AH126" s="29"/>
      <c r="AI126" s="29"/>
      <c r="AJ126" s="66">
        <f>SUM(G126,I126:AI126)</f>
        <v>0</v>
      </c>
      <c r="AK126" s="33"/>
    </row>
    <row r="127" spans="1:37" s="32" customFormat="1" ht="15" x14ac:dyDescent="0.2">
      <c r="A127" s="90" t="str">
        <f>Бюджет!A326</f>
        <v>Б1.О.30</v>
      </c>
      <c r="B127" s="60" t="str">
        <f>Бюджет!B326</f>
        <v>Компьютерное моделирование</v>
      </c>
      <c r="C127" s="74" t="str">
        <f>Бюджет!C326</f>
        <v>5\А</v>
      </c>
      <c r="D127" s="74">
        <f>Бюджет!D326</f>
        <v>7</v>
      </c>
      <c r="E127" s="74">
        <f>Бюджет!E326</f>
        <v>1</v>
      </c>
      <c r="F127" s="70">
        <f>Бюджет!F326</f>
        <v>18</v>
      </c>
      <c r="G127" s="70">
        <f>Бюджет!G326</f>
        <v>18</v>
      </c>
      <c r="H127" s="70">
        <f>Бюджет!H326</f>
        <v>0</v>
      </c>
      <c r="I127" s="70">
        <f>Бюджет!I326</f>
        <v>0</v>
      </c>
      <c r="J127" s="70">
        <f>Бюджет!J326</f>
        <v>36</v>
      </c>
      <c r="K127" s="70">
        <f>Бюджет!K326</f>
        <v>0</v>
      </c>
      <c r="L127" s="70">
        <f>Бюджет!L326</f>
        <v>0</v>
      </c>
      <c r="M127" s="70">
        <f>Бюджет!M326</f>
        <v>2.8000000000000003</v>
      </c>
      <c r="N127" s="70">
        <f>Бюджет!N326</f>
        <v>0</v>
      </c>
      <c r="O127" s="70">
        <f>Бюджет!O326</f>
        <v>0</v>
      </c>
      <c r="P127" s="70">
        <f>Бюджет!P326</f>
        <v>0</v>
      </c>
      <c r="Q127" s="70">
        <f>Бюджет!Q326</f>
        <v>1.9</v>
      </c>
      <c r="R127" s="70">
        <f>Бюджет!R326</f>
        <v>0</v>
      </c>
      <c r="S127" s="70">
        <f>Бюджет!S326</f>
        <v>0</v>
      </c>
      <c r="T127" s="70">
        <f>Бюджет!T326</f>
        <v>0</v>
      </c>
      <c r="U127" s="70">
        <f>Бюджет!U326</f>
        <v>0</v>
      </c>
      <c r="V127" s="70">
        <f>Бюджет!V326</f>
        <v>0</v>
      </c>
      <c r="W127" s="70">
        <f>Бюджет!W326</f>
        <v>0</v>
      </c>
      <c r="X127" s="70">
        <f>Бюджет!X326</f>
        <v>0</v>
      </c>
      <c r="Y127" s="70">
        <f>Бюджет!Y326</f>
        <v>0</v>
      </c>
      <c r="Z127" s="70">
        <f>Бюджет!Z326</f>
        <v>0</v>
      </c>
      <c r="AA127" s="70">
        <f>Бюджет!AA326</f>
        <v>0</v>
      </c>
      <c r="AB127" s="70">
        <f>Бюджет!AB326</f>
        <v>0</v>
      </c>
      <c r="AC127" s="70">
        <f>Бюджет!AC326</f>
        <v>0</v>
      </c>
      <c r="AD127" s="70">
        <f>Бюджет!AD326</f>
        <v>0</v>
      </c>
      <c r="AE127" s="70">
        <f>Бюджет!AE326</f>
        <v>0</v>
      </c>
      <c r="AF127" s="70">
        <f>Бюджет!AF326</f>
        <v>0</v>
      </c>
      <c r="AG127" s="70">
        <f>Бюджет!AG326</f>
        <v>0</v>
      </c>
      <c r="AH127" s="70">
        <f>Бюджет!AH326</f>
        <v>0</v>
      </c>
      <c r="AI127" s="70">
        <f>Бюджет!AI326</f>
        <v>0</v>
      </c>
      <c r="AJ127" s="66">
        <f>SUM(G127,I127:AI127)</f>
        <v>58.699999999999996</v>
      </c>
      <c r="AK127" s="33"/>
    </row>
    <row r="128" spans="1:37" s="32" customFormat="1" ht="30" x14ac:dyDescent="0.2">
      <c r="A128" s="90" t="str">
        <f>Бюджет!A328</f>
        <v>Б1.О.37</v>
      </c>
      <c r="B128" s="60" t="str">
        <f>Бюджет!B328</f>
        <v>Теория информации и базы данных (поток лекции и пз РФ 3к и ПЕД 5к)</v>
      </c>
      <c r="C128" s="74" t="str">
        <f>Бюджет!C328</f>
        <v>5\9</v>
      </c>
      <c r="D128" s="74">
        <f>Бюджет!D328</f>
        <v>7</v>
      </c>
      <c r="E128" s="74">
        <f>Бюджет!E328</f>
        <v>1</v>
      </c>
      <c r="F128" s="70">
        <f>Бюджет!F328</f>
        <v>16</v>
      </c>
      <c r="G128" s="70">
        <f>Бюджет!G328</f>
        <v>0</v>
      </c>
      <c r="H128" s="70">
        <f>Бюджет!H328</f>
        <v>34</v>
      </c>
      <c r="I128" s="70">
        <f>Бюджет!I328</f>
        <v>0</v>
      </c>
      <c r="J128" s="70">
        <f>Бюджет!J328</f>
        <v>34</v>
      </c>
      <c r="K128" s="70">
        <f>Бюджет!K328</f>
        <v>2.1</v>
      </c>
      <c r="L128" s="70">
        <f>Бюджет!L328</f>
        <v>0</v>
      </c>
      <c r="M128" s="70">
        <f>Бюджет!M328</f>
        <v>0</v>
      </c>
      <c r="N128" s="70">
        <f>Бюджет!N328</f>
        <v>0</v>
      </c>
      <c r="O128" s="70">
        <f>Бюджет!O328</f>
        <v>0</v>
      </c>
      <c r="P128" s="70">
        <f>Бюджет!P328</f>
        <v>0</v>
      </c>
      <c r="Q128" s="70">
        <f>Бюджет!Q328</f>
        <v>0</v>
      </c>
      <c r="R128" s="70">
        <f>Бюджет!R328</f>
        <v>0</v>
      </c>
      <c r="S128" s="70">
        <f>Бюджет!S328</f>
        <v>0</v>
      </c>
      <c r="T128" s="70">
        <f>Бюджет!T328</f>
        <v>0</v>
      </c>
      <c r="U128" s="70">
        <f>Бюджет!U328</f>
        <v>0</v>
      </c>
      <c r="V128" s="70">
        <f>Бюджет!V328</f>
        <v>0</v>
      </c>
      <c r="W128" s="70">
        <f>Бюджет!W328</f>
        <v>0</v>
      </c>
      <c r="X128" s="70">
        <f>Бюджет!X328</f>
        <v>0</v>
      </c>
      <c r="Y128" s="70">
        <f>Бюджет!Y328</f>
        <v>0</v>
      </c>
      <c r="Z128" s="70">
        <f>Бюджет!Z328</f>
        <v>0</v>
      </c>
      <c r="AA128" s="70">
        <f>Бюджет!AA328</f>
        <v>0</v>
      </c>
      <c r="AB128" s="70">
        <f>Бюджет!AB328</f>
        <v>0</v>
      </c>
      <c r="AC128" s="70">
        <f>Бюджет!AC328</f>
        <v>0</v>
      </c>
      <c r="AD128" s="70">
        <f>Бюджет!AD328</f>
        <v>0</v>
      </c>
      <c r="AE128" s="70">
        <f>Бюджет!AE328</f>
        <v>0</v>
      </c>
      <c r="AF128" s="70">
        <f>Бюджет!AF328</f>
        <v>0</v>
      </c>
      <c r="AG128" s="70">
        <f>Бюджет!AG328</f>
        <v>0</v>
      </c>
      <c r="AH128" s="70">
        <f>Бюджет!AH328</f>
        <v>0</v>
      </c>
      <c r="AI128" s="70">
        <f>Бюджет!AI328</f>
        <v>0</v>
      </c>
      <c r="AJ128" s="66">
        <f t="shared" ref="AJ128" si="10">SUM(G128,I128:AI128)</f>
        <v>36.1</v>
      </c>
      <c r="AK128" s="33"/>
    </row>
    <row r="129" spans="1:37" s="32" customFormat="1" ht="15.75" x14ac:dyDescent="0.25">
      <c r="A129" s="29"/>
      <c r="B129" s="85" t="s">
        <v>272</v>
      </c>
      <c r="C129" s="86"/>
      <c r="D129" s="86"/>
      <c r="E129" s="86"/>
      <c r="F129" s="103">
        <f t="shared" ref="F129:AJ129" si="11">SUM(F127:F128)</f>
        <v>34</v>
      </c>
      <c r="G129" s="103">
        <f t="shared" si="11"/>
        <v>18</v>
      </c>
      <c r="H129" s="103">
        <f t="shared" si="11"/>
        <v>34</v>
      </c>
      <c r="I129" s="103">
        <f t="shared" si="11"/>
        <v>0</v>
      </c>
      <c r="J129" s="103">
        <f t="shared" si="11"/>
        <v>70</v>
      </c>
      <c r="K129" s="103">
        <f t="shared" si="11"/>
        <v>2.1</v>
      </c>
      <c r="L129" s="103">
        <f t="shared" si="11"/>
        <v>0</v>
      </c>
      <c r="M129" s="103">
        <f t="shared" si="11"/>
        <v>2.8000000000000003</v>
      </c>
      <c r="N129" s="103">
        <f t="shared" si="11"/>
        <v>0</v>
      </c>
      <c r="O129" s="103">
        <f t="shared" si="11"/>
        <v>0</v>
      </c>
      <c r="P129" s="103">
        <f t="shared" si="11"/>
        <v>0</v>
      </c>
      <c r="Q129" s="103">
        <f t="shared" si="11"/>
        <v>1.9</v>
      </c>
      <c r="R129" s="103">
        <f t="shared" si="11"/>
        <v>0</v>
      </c>
      <c r="S129" s="103">
        <f t="shared" si="11"/>
        <v>0</v>
      </c>
      <c r="T129" s="103">
        <f t="shared" si="11"/>
        <v>0</v>
      </c>
      <c r="U129" s="103">
        <f t="shared" si="11"/>
        <v>0</v>
      </c>
      <c r="V129" s="103">
        <f t="shared" si="11"/>
        <v>0</v>
      </c>
      <c r="W129" s="103">
        <f t="shared" si="11"/>
        <v>0</v>
      </c>
      <c r="X129" s="103">
        <f t="shared" si="11"/>
        <v>0</v>
      </c>
      <c r="Y129" s="103">
        <f t="shared" si="11"/>
        <v>0</v>
      </c>
      <c r="Z129" s="103">
        <f t="shared" si="11"/>
        <v>0</v>
      </c>
      <c r="AA129" s="103">
        <f t="shared" si="11"/>
        <v>0</v>
      </c>
      <c r="AB129" s="103">
        <f t="shared" si="11"/>
        <v>0</v>
      </c>
      <c r="AC129" s="103">
        <f t="shared" si="11"/>
        <v>0</v>
      </c>
      <c r="AD129" s="103">
        <f t="shared" si="11"/>
        <v>0</v>
      </c>
      <c r="AE129" s="103">
        <f t="shared" si="11"/>
        <v>0</v>
      </c>
      <c r="AF129" s="103">
        <f t="shared" si="11"/>
        <v>0</v>
      </c>
      <c r="AG129" s="103">
        <f t="shared" si="11"/>
        <v>0</v>
      </c>
      <c r="AH129" s="103">
        <f t="shared" si="11"/>
        <v>0</v>
      </c>
      <c r="AI129" s="103">
        <f t="shared" si="11"/>
        <v>0</v>
      </c>
      <c r="AJ129" s="103">
        <f t="shared" si="11"/>
        <v>94.8</v>
      </c>
      <c r="AK129" s="33"/>
    </row>
    <row r="130" spans="1:37" s="30" customFormat="1" ht="15.75" x14ac:dyDescent="0.25">
      <c r="A130" s="29"/>
      <c r="B130" s="34"/>
      <c r="C130" s="29"/>
      <c r="D130" s="29"/>
      <c r="E130" s="29"/>
      <c r="F130" s="33"/>
      <c r="G130" s="33"/>
      <c r="H130" s="33"/>
      <c r="I130" s="33"/>
      <c r="J130" s="33"/>
      <c r="K130" s="33"/>
      <c r="L130" s="33"/>
      <c r="M130" s="33"/>
      <c r="N130" s="276"/>
      <c r="O130" s="276"/>
      <c r="P130" s="276"/>
      <c r="Q130" s="276"/>
      <c r="R130" s="276"/>
      <c r="S130" s="276"/>
      <c r="T130" s="276"/>
      <c r="U130" s="276"/>
      <c r="V130" s="276"/>
      <c r="W130" s="276"/>
      <c r="X130" s="276"/>
      <c r="Y130" s="276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66"/>
      <c r="AK130" s="29"/>
    </row>
    <row r="131" spans="1:37" s="32" customFormat="1" ht="15.75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76"/>
      <c r="L131" s="401" t="str">
        <f>Бюджет!L339</f>
        <v>09.03.02 Информационные системы и технологии</v>
      </c>
      <c r="M131" s="401"/>
      <c r="N131" s="401"/>
      <c r="O131" s="401"/>
      <c r="P131" s="401"/>
      <c r="Q131" s="401"/>
      <c r="R131" s="401"/>
      <c r="S131" s="401"/>
      <c r="T131" s="401"/>
      <c r="U131" s="401"/>
      <c r="V131" s="401"/>
      <c r="W131" s="401"/>
      <c r="X131" s="401"/>
      <c r="Y131" s="401"/>
      <c r="Z131" s="401"/>
      <c r="AA131" s="401"/>
      <c r="AB131" s="276"/>
      <c r="AC131" s="29"/>
      <c r="AD131" s="29"/>
      <c r="AE131" s="29"/>
      <c r="AF131" s="29"/>
      <c r="AG131" s="29"/>
      <c r="AH131" s="29"/>
      <c r="AI131" s="29"/>
      <c r="AJ131" s="66">
        <f t="shared" ref="AJ131:AJ141" si="12">SUM(G131,I131:AI131)</f>
        <v>0</v>
      </c>
      <c r="AK131" s="33"/>
    </row>
    <row r="132" spans="1:37" s="32" customFormat="1" ht="15.75" x14ac:dyDescent="0.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386" t="str">
        <f>Бюджет!K340</f>
        <v>профиль "Электронный инжиниринг"</v>
      </c>
      <c r="L132" s="386"/>
      <c r="M132" s="386"/>
      <c r="N132" s="386"/>
      <c r="O132" s="386"/>
      <c r="P132" s="386"/>
      <c r="Q132" s="386"/>
      <c r="R132" s="386"/>
      <c r="S132" s="386"/>
      <c r="T132" s="386"/>
      <c r="U132" s="386"/>
      <c r="V132" s="386"/>
      <c r="W132" s="386"/>
      <c r="X132" s="386"/>
      <c r="Y132" s="386"/>
      <c r="Z132" s="386"/>
      <c r="AA132" s="386"/>
      <c r="AB132" s="386"/>
      <c r="AC132" s="29"/>
      <c r="AD132" s="29"/>
      <c r="AE132" s="29"/>
      <c r="AF132" s="29"/>
      <c r="AG132" s="29"/>
      <c r="AH132" s="29"/>
      <c r="AI132" s="29"/>
      <c r="AJ132" s="66">
        <f t="shared" si="12"/>
        <v>0</v>
      </c>
      <c r="AK132" s="33"/>
    </row>
    <row r="133" spans="1:37" s="32" customFormat="1" ht="30" x14ac:dyDescent="0.2">
      <c r="A133" s="90" t="str">
        <f>Бюджет!A347</f>
        <v>Б1.О.14.01</v>
      </c>
      <c r="B133" s="60" t="str">
        <f>Бюджет!B347</f>
        <v>Алгоритмы и основы программирования (поток РФ, ИСТ)</v>
      </c>
      <c r="C133" s="74" t="str">
        <f>Бюджет!C347</f>
        <v>1\1</v>
      </c>
      <c r="D133" s="74">
        <f>Бюджет!D347</f>
        <v>25</v>
      </c>
      <c r="E133" s="74">
        <f>Бюджет!E347</f>
        <v>1</v>
      </c>
      <c r="F133" s="70">
        <f>Бюджет!F347</f>
        <v>34</v>
      </c>
      <c r="G133" s="70">
        <f>Бюджет!G347</f>
        <v>0</v>
      </c>
      <c r="H133" s="70">
        <f>Бюджет!H347</f>
        <v>0</v>
      </c>
      <c r="I133" s="70">
        <f>Бюджет!I347</f>
        <v>0</v>
      </c>
      <c r="J133" s="70">
        <f>Бюджет!J347</f>
        <v>136</v>
      </c>
      <c r="K133" s="70">
        <f>Бюджет!K347</f>
        <v>7.5</v>
      </c>
      <c r="L133" s="70">
        <f>Бюджет!L347</f>
        <v>0</v>
      </c>
      <c r="M133" s="70">
        <f>Бюджет!M347</f>
        <v>0</v>
      </c>
      <c r="N133" s="70">
        <f>Бюджет!N347</f>
        <v>0</v>
      </c>
      <c r="O133" s="70">
        <f>Бюджет!O347</f>
        <v>0</v>
      </c>
      <c r="P133" s="70">
        <f>Бюджет!P347</f>
        <v>0</v>
      </c>
      <c r="Q133" s="70">
        <f>Бюджет!Q347</f>
        <v>0</v>
      </c>
      <c r="R133" s="70">
        <f>Бюджет!R347</f>
        <v>0</v>
      </c>
      <c r="S133" s="70">
        <f>Бюджет!S347</f>
        <v>0</v>
      </c>
      <c r="T133" s="70">
        <f>Бюджет!T347</f>
        <v>0</v>
      </c>
      <c r="U133" s="70">
        <f>Бюджет!U347</f>
        <v>0</v>
      </c>
      <c r="V133" s="70">
        <f>Бюджет!V347</f>
        <v>0</v>
      </c>
      <c r="W133" s="70">
        <f>Бюджет!W347</f>
        <v>0</v>
      </c>
      <c r="X133" s="70">
        <f>Бюджет!X347</f>
        <v>0</v>
      </c>
      <c r="Y133" s="70">
        <f>Бюджет!Y347</f>
        <v>0</v>
      </c>
      <c r="Z133" s="70">
        <f>Бюджет!Z347</f>
        <v>0</v>
      </c>
      <c r="AA133" s="70">
        <f>Бюджет!AA347</f>
        <v>0</v>
      </c>
      <c r="AB133" s="70">
        <f>Бюджет!AB347</f>
        <v>0</v>
      </c>
      <c r="AC133" s="70">
        <f>Бюджет!AC347</f>
        <v>0</v>
      </c>
      <c r="AD133" s="70">
        <f>Бюджет!AD347</f>
        <v>0</v>
      </c>
      <c r="AE133" s="70">
        <f>Бюджет!AE347</f>
        <v>0</v>
      </c>
      <c r="AF133" s="70">
        <f>Бюджет!AF347</f>
        <v>0</v>
      </c>
      <c r="AG133" s="70">
        <f>Бюджет!AG347</f>
        <v>0</v>
      </c>
      <c r="AH133" s="70">
        <f>Бюджет!AH347</f>
        <v>0</v>
      </c>
      <c r="AI133" s="70">
        <f>Бюджет!AI347</f>
        <v>0</v>
      </c>
      <c r="AJ133" s="66">
        <f t="shared" si="12"/>
        <v>143.5</v>
      </c>
      <c r="AK133" s="33"/>
    </row>
    <row r="134" spans="1:37" s="32" customFormat="1" ht="30" x14ac:dyDescent="0.2">
      <c r="A134" s="90" t="str">
        <f>Бюджет!A348</f>
        <v>Б1.О.14.02</v>
      </c>
      <c r="B134" s="60" t="str">
        <f>Бюджет!B348</f>
        <v>Численные методы и программирование (поток РФ, ИСТ)</v>
      </c>
      <c r="C134" s="74" t="str">
        <f>Бюджет!C348</f>
        <v>1\2</v>
      </c>
      <c r="D134" s="74">
        <f>Бюджет!D348</f>
        <v>25</v>
      </c>
      <c r="E134" s="74">
        <f>Бюджет!E348</f>
        <v>1</v>
      </c>
      <c r="F134" s="70">
        <f>Бюджет!F348</f>
        <v>20</v>
      </c>
      <c r="G134" s="70">
        <f>Бюджет!G348</f>
        <v>0</v>
      </c>
      <c r="H134" s="70">
        <f>Бюджет!H348</f>
        <v>0</v>
      </c>
      <c r="I134" s="70">
        <f>Бюджет!I348</f>
        <v>0</v>
      </c>
      <c r="J134" s="70">
        <f>Бюджет!J348</f>
        <v>160</v>
      </c>
      <c r="K134" s="70">
        <f>Бюджет!K348</f>
        <v>7.5</v>
      </c>
      <c r="L134" s="70">
        <f>Бюджет!L348</f>
        <v>0</v>
      </c>
      <c r="M134" s="70">
        <f>Бюджет!M348</f>
        <v>0</v>
      </c>
      <c r="N134" s="70">
        <f>Бюджет!N348</f>
        <v>0</v>
      </c>
      <c r="O134" s="70">
        <f>Бюджет!O348</f>
        <v>0</v>
      </c>
      <c r="P134" s="70">
        <f>Бюджет!P348</f>
        <v>0</v>
      </c>
      <c r="Q134" s="70">
        <f>Бюджет!Q348</f>
        <v>0</v>
      </c>
      <c r="R134" s="70">
        <f>Бюджет!R348</f>
        <v>0</v>
      </c>
      <c r="S134" s="70">
        <f>Бюджет!S348</f>
        <v>0</v>
      </c>
      <c r="T134" s="70">
        <f>Бюджет!T348</f>
        <v>0</v>
      </c>
      <c r="U134" s="70">
        <f>Бюджет!U348</f>
        <v>0</v>
      </c>
      <c r="V134" s="70">
        <f>Бюджет!V348</f>
        <v>0</v>
      </c>
      <c r="W134" s="70">
        <f>Бюджет!W348</f>
        <v>0</v>
      </c>
      <c r="X134" s="70">
        <f>Бюджет!X348</f>
        <v>0</v>
      </c>
      <c r="Y134" s="70">
        <f>Бюджет!Y348</f>
        <v>0</v>
      </c>
      <c r="Z134" s="70">
        <f>Бюджет!Z348</f>
        <v>0</v>
      </c>
      <c r="AA134" s="70">
        <f>Бюджет!AA348</f>
        <v>0</v>
      </c>
      <c r="AB134" s="70">
        <f>Бюджет!AB348</f>
        <v>0</v>
      </c>
      <c r="AC134" s="70">
        <f>Бюджет!AC348</f>
        <v>0</v>
      </c>
      <c r="AD134" s="70">
        <f>Бюджет!AD348</f>
        <v>0</v>
      </c>
      <c r="AE134" s="70">
        <f>Бюджет!AE348</f>
        <v>0</v>
      </c>
      <c r="AF134" s="70">
        <f>Бюджет!AF348</f>
        <v>0</v>
      </c>
      <c r="AG134" s="70">
        <f>Бюджет!AG348</f>
        <v>0</v>
      </c>
      <c r="AH134" s="70">
        <f>Бюджет!AH348</f>
        <v>0</v>
      </c>
      <c r="AI134" s="70">
        <f>Бюджет!AI348</f>
        <v>0</v>
      </c>
      <c r="AJ134" s="66">
        <f t="shared" si="12"/>
        <v>167.5</v>
      </c>
      <c r="AK134" s="33"/>
    </row>
    <row r="135" spans="1:37" s="32" customFormat="1" ht="15" x14ac:dyDescent="0.2">
      <c r="A135" s="90" t="str">
        <f>Бюджет!A349</f>
        <v>Б1.О.14.03</v>
      </c>
      <c r="B135" s="60" t="str">
        <f>Бюджет!B349</f>
        <v>Основы робототехники</v>
      </c>
      <c r="C135" s="74" t="str">
        <f>Бюджет!C349</f>
        <v>1\2</v>
      </c>
      <c r="D135" s="74">
        <f>Бюджет!D349</f>
        <v>25</v>
      </c>
      <c r="E135" s="74">
        <f>Бюджет!E349</f>
        <v>1</v>
      </c>
      <c r="F135" s="70">
        <f>Бюджет!F349</f>
        <v>0</v>
      </c>
      <c r="G135" s="70">
        <f>Бюджет!G349</f>
        <v>0</v>
      </c>
      <c r="H135" s="70">
        <f>Бюджет!H349</f>
        <v>0</v>
      </c>
      <c r="I135" s="70">
        <f>Бюджет!I349</f>
        <v>0</v>
      </c>
      <c r="J135" s="70">
        <f>Бюджет!J349</f>
        <v>120</v>
      </c>
      <c r="K135" s="70">
        <f>Бюджет!K349</f>
        <v>7.5</v>
      </c>
      <c r="L135" s="70">
        <f>Бюджет!L349</f>
        <v>0</v>
      </c>
      <c r="M135" s="70">
        <f>Бюджет!M349</f>
        <v>0</v>
      </c>
      <c r="N135" s="70">
        <f>Бюджет!N349</f>
        <v>0</v>
      </c>
      <c r="O135" s="70">
        <f>Бюджет!O349</f>
        <v>0</v>
      </c>
      <c r="P135" s="70">
        <f>Бюджет!P349</f>
        <v>0</v>
      </c>
      <c r="Q135" s="70">
        <f>Бюджет!Q349</f>
        <v>0</v>
      </c>
      <c r="R135" s="70">
        <f>Бюджет!R349</f>
        <v>0</v>
      </c>
      <c r="S135" s="70">
        <f>Бюджет!S349</f>
        <v>0</v>
      </c>
      <c r="T135" s="70">
        <f>Бюджет!T349</f>
        <v>0</v>
      </c>
      <c r="U135" s="70">
        <f>Бюджет!U349</f>
        <v>0</v>
      </c>
      <c r="V135" s="70">
        <f>Бюджет!V349</f>
        <v>0</v>
      </c>
      <c r="W135" s="70">
        <f>Бюджет!W349</f>
        <v>0</v>
      </c>
      <c r="X135" s="70">
        <f>Бюджет!X349</f>
        <v>0</v>
      </c>
      <c r="Y135" s="70">
        <f>Бюджет!Y349</f>
        <v>0</v>
      </c>
      <c r="Z135" s="70">
        <f>Бюджет!Z349</f>
        <v>0</v>
      </c>
      <c r="AA135" s="70">
        <f>Бюджет!AA349</f>
        <v>0</v>
      </c>
      <c r="AB135" s="70">
        <f>Бюджет!AB349</f>
        <v>0</v>
      </c>
      <c r="AC135" s="70">
        <f>Бюджет!AC349</f>
        <v>0</v>
      </c>
      <c r="AD135" s="70">
        <f>Бюджет!AD349</f>
        <v>0</v>
      </c>
      <c r="AE135" s="70">
        <f>Бюджет!AE349</f>
        <v>0</v>
      </c>
      <c r="AF135" s="70">
        <f>Бюджет!AF349</f>
        <v>0</v>
      </c>
      <c r="AG135" s="70">
        <f>Бюджет!AG349</f>
        <v>0</v>
      </c>
      <c r="AH135" s="70">
        <f>Бюджет!AH349</f>
        <v>0</v>
      </c>
      <c r="AI135" s="70">
        <f>Бюджет!AI349</f>
        <v>0</v>
      </c>
      <c r="AJ135" s="66">
        <f t="shared" si="12"/>
        <v>127.5</v>
      </c>
      <c r="AK135" s="33"/>
    </row>
    <row r="136" spans="1:37" s="32" customFormat="1" ht="15" x14ac:dyDescent="0.2">
      <c r="A136" s="90" t="str">
        <f>Бюджет!A354</f>
        <v>Б1.О.15</v>
      </c>
      <c r="B136" s="60" t="str">
        <f>Бюджет!B354</f>
        <v>Теория колебаний (поток РФ и ИСТ)</v>
      </c>
      <c r="C136" s="74" t="str">
        <f>Бюджет!C354</f>
        <v>2\3</v>
      </c>
      <c r="D136" s="74">
        <f>Бюджет!D354</f>
        <v>25</v>
      </c>
      <c r="E136" s="74">
        <f>Бюджет!E354</f>
        <v>1</v>
      </c>
      <c r="F136" s="70">
        <f>Бюджет!F354</f>
        <v>32</v>
      </c>
      <c r="G136" s="70">
        <f>Бюджет!G354</f>
        <v>0</v>
      </c>
      <c r="H136" s="70">
        <f>Бюджет!H354</f>
        <v>16</v>
      </c>
      <c r="I136" s="70">
        <f>Бюджет!I354</f>
        <v>16</v>
      </c>
      <c r="J136" s="70">
        <f>Бюджет!J354</f>
        <v>32</v>
      </c>
      <c r="K136" s="70">
        <f>Бюджет!K354</f>
        <v>0</v>
      </c>
      <c r="L136" s="70">
        <f>Бюджет!L354</f>
        <v>0</v>
      </c>
      <c r="M136" s="70">
        <f>Бюджет!M354</f>
        <v>10</v>
      </c>
      <c r="N136" s="70">
        <f>Бюджет!N354</f>
        <v>0</v>
      </c>
      <c r="O136" s="70">
        <f>Бюджет!O354</f>
        <v>0</v>
      </c>
      <c r="P136" s="70">
        <f>Бюджет!P354</f>
        <v>0</v>
      </c>
      <c r="Q136" s="70">
        <f>Бюджет!Q354</f>
        <v>0</v>
      </c>
      <c r="R136" s="70">
        <f>Бюджет!R354</f>
        <v>0</v>
      </c>
      <c r="S136" s="70">
        <f>Бюджет!S354</f>
        <v>0</v>
      </c>
      <c r="T136" s="70">
        <f>Бюджет!T354</f>
        <v>0</v>
      </c>
      <c r="U136" s="70">
        <f>Бюджет!U354</f>
        <v>0</v>
      </c>
      <c r="V136" s="70">
        <f>Бюджет!V354</f>
        <v>0</v>
      </c>
      <c r="W136" s="70">
        <f>Бюджет!W354</f>
        <v>0</v>
      </c>
      <c r="X136" s="70">
        <f>Бюджет!X354</f>
        <v>0</v>
      </c>
      <c r="Y136" s="70">
        <f>Бюджет!Y354</f>
        <v>0</v>
      </c>
      <c r="Z136" s="70">
        <f>Бюджет!Z354</f>
        <v>0</v>
      </c>
      <c r="AA136" s="70">
        <f>Бюджет!AA354</f>
        <v>0</v>
      </c>
      <c r="AB136" s="70">
        <f>Бюджет!AB354</f>
        <v>0</v>
      </c>
      <c r="AC136" s="70">
        <f>Бюджет!AC354</f>
        <v>0</v>
      </c>
      <c r="AD136" s="70">
        <f>Бюджет!AD354</f>
        <v>0</v>
      </c>
      <c r="AE136" s="70">
        <f>Бюджет!AE354</f>
        <v>0</v>
      </c>
      <c r="AF136" s="70">
        <f>Бюджет!AF354</f>
        <v>0</v>
      </c>
      <c r="AG136" s="70">
        <f>Бюджет!AG354</f>
        <v>0</v>
      </c>
      <c r="AH136" s="70">
        <f>Бюджет!AH354</f>
        <v>0</v>
      </c>
      <c r="AI136" s="70">
        <f>Бюджет!AI354</f>
        <v>0</v>
      </c>
      <c r="AJ136" s="66">
        <f t="shared" si="12"/>
        <v>58</v>
      </c>
      <c r="AK136" s="33"/>
    </row>
    <row r="137" spans="1:37" s="32" customFormat="1" ht="15" x14ac:dyDescent="0.2">
      <c r="A137" s="90" t="str">
        <f>Бюджет!A355</f>
        <v>Б1.О.16</v>
      </c>
      <c r="B137" s="60" t="str">
        <f>Бюджет!B355</f>
        <v>Основы радиоэлектроники (поток РФ и ИСТ)</v>
      </c>
      <c r="C137" s="74" t="str">
        <f>Бюджет!C355</f>
        <v>2\3</v>
      </c>
      <c r="D137" s="74">
        <f>Бюджет!D355</f>
        <v>25</v>
      </c>
      <c r="E137" s="74">
        <f>Бюджет!E355</f>
        <v>1</v>
      </c>
      <c r="F137" s="70">
        <f>Бюджет!F355</f>
        <v>32</v>
      </c>
      <c r="G137" s="70">
        <f>Бюджет!G355</f>
        <v>0</v>
      </c>
      <c r="H137" s="70">
        <f>Бюджет!H355</f>
        <v>16</v>
      </c>
      <c r="I137" s="70">
        <f>Бюджет!I355</f>
        <v>16</v>
      </c>
      <c r="J137" s="70">
        <f>Бюджет!J355</f>
        <v>64</v>
      </c>
      <c r="K137" s="70">
        <f>Бюджет!K355</f>
        <v>7.5</v>
      </c>
      <c r="L137" s="70">
        <f>Бюджет!L355</f>
        <v>0</v>
      </c>
      <c r="M137" s="70">
        <f>Бюджет!M355</f>
        <v>0</v>
      </c>
      <c r="N137" s="70">
        <f>Бюджет!N355</f>
        <v>0</v>
      </c>
      <c r="O137" s="70">
        <f>Бюджет!O355</f>
        <v>0</v>
      </c>
      <c r="P137" s="70">
        <f>Бюджет!P355</f>
        <v>0</v>
      </c>
      <c r="Q137" s="70">
        <f>Бюджет!Q355</f>
        <v>0</v>
      </c>
      <c r="R137" s="70">
        <f>Бюджет!R355</f>
        <v>0</v>
      </c>
      <c r="S137" s="70">
        <f>Бюджет!S355</f>
        <v>0</v>
      </c>
      <c r="T137" s="70">
        <f>Бюджет!T355</f>
        <v>0</v>
      </c>
      <c r="U137" s="70">
        <f>Бюджет!U355</f>
        <v>0</v>
      </c>
      <c r="V137" s="70">
        <f>Бюджет!V355</f>
        <v>0</v>
      </c>
      <c r="W137" s="70">
        <f>Бюджет!W355</f>
        <v>0</v>
      </c>
      <c r="X137" s="70">
        <f>Бюджет!X355</f>
        <v>0</v>
      </c>
      <c r="Y137" s="70">
        <f>Бюджет!Y355</f>
        <v>0</v>
      </c>
      <c r="Z137" s="70">
        <f>Бюджет!Z355</f>
        <v>0</v>
      </c>
      <c r="AA137" s="70">
        <f>Бюджет!AA355</f>
        <v>0</v>
      </c>
      <c r="AB137" s="70">
        <f>Бюджет!AB355</f>
        <v>0</v>
      </c>
      <c r="AC137" s="70">
        <f>Бюджет!AC355</f>
        <v>0</v>
      </c>
      <c r="AD137" s="70">
        <f>Бюджет!AD355</f>
        <v>0</v>
      </c>
      <c r="AE137" s="70">
        <f>Бюджет!AE355</f>
        <v>0</v>
      </c>
      <c r="AF137" s="70">
        <f>Бюджет!AF355</f>
        <v>0</v>
      </c>
      <c r="AG137" s="70">
        <f>Бюджет!AG355</f>
        <v>0</v>
      </c>
      <c r="AH137" s="70">
        <f>Бюджет!AH355</f>
        <v>0</v>
      </c>
      <c r="AI137" s="70">
        <f>Бюджет!AI355</f>
        <v>0</v>
      </c>
      <c r="AJ137" s="66">
        <f t="shared" si="12"/>
        <v>87.5</v>
      </c>
      <c r="AK137" s="33"/>
    </row>
    <row r="138" spans="1:37" s="32" customFormat="1" ht="30" x14ac:dyDescent="0.2">
      <c r="A138" s="90" t="str">
        <f>Бюджет!A356</f>
        <v>Б1.О.18</v>
      </c>
      <c r="B138" s="60" t="str">
        <f>Бюджет!B356</f>
        <v>Радиотехнические цепи и сигналы (поток РФ и ИСТ)</v>
      </c>
      <c r="C138" s="74" t="str">
        <f>Бюджет!C356</f>
        <v>2\4</v>
      </c>
      <c r="D138" s="74">
        <f>Бюджет!D356</f>
        <v>25</v>
      </c>
      <c r="E138" s="74">
        <f>Бюджет!E356</f>
        <v>1</v>
      </c>
      <c r="F138" s="70">
        <f>Бюджет!F356</f>
        <v>40</v>
      </c>
      <c r="G138" s="70">
        <f>Бюджет!G356</f>
        <v>0</v>
      </c>
      <c r="H138" s="70">
        <f>Бюджет!H356</f>
        <v>20</v>
      </c>
      <c r="I138" s="70">
        <f>Бюджет!I356</f>
        <v>20</v>
      </c>
      <c r="J138" s="70">
        <f>Бюджет!J356</f>
        <v>80</v>
      </c>
      <c r="K138" s="70">
        <f>Бюджет!K356</f>
        <v>7.5</v>
      </c>
      <c r="L138" s="70">
        <f>Бюджет!L356</f>
        <v>0</v>
      </c>
      <c r="M138" s="70">
        <f>Бюджет!M356</f>
        <v>0</v>
      </c>
      <c r="N138" s="70">
        <f>Бюджет!N356</f>
        <v>0</v>
      </c>
      <c r="O138" s="70">
        <f>Бюджет!O356</f>
        <v>0</v>
      </c>
      <c r="P138" s="70">
        <f>Бюджет!P356</f>
        <v>0</v>
      </c>
      <c r="Q138" s="70">
        <f>Бюджет!Q356</f>
        <v>0</v>
      </c>
      <c r="R138" s="70">
        <f>Бюджет!R356</f>
        <v>0</v>
      </c>
      <c r="S138" s="70">
        <f>Бюджет!S356</f>
        <v>0</v>
      </c>
      <c r="T138" s="70">
        <f>Бюджет!T356</f>
        <v>0</v>
      </c>
      <c r="U138" s="70">
        <f>Бюджет!U356</f>
        <v>0</v>
      </c>
      <c r="V138" s="70">
        <f>Бюджет!V356</f>
        <v>0</v>
      </c>
      <c r="W138" s="70">
        <f>Бюджет!W356</f>
        <v>0</v>
      </c>
      <c r="X138" s="70">
        <f>Бюджет!X356</f>
        <v>0</v>
      </c>
      <c r="Y138" s="70">
        <f>Бюджет!Y356</f>
        <v>0</v>
      </c>
      <c r="Z138" s="70">
        <f>Бюджет!Z356</f>
        <v>0</v>
      </c>
      <c r="AA138" s="70">
        <f>Бюджет!AA356</f>
        <v>0</v>
      </c>
      <c r="AB138" s="70">
        <f>Бюджет!AB356</f>
        <v>0</v>
      </c>
      <c r="AC138" s="70">
        <f>Бюджет!AC356</f>
        <v>0</v>
      </c>
      <c r="AD138" s="70">
        <f>Бюджет!AD356</f>
        <v>0</v>
      </c>
      <c r="AE138" s="70">
        <f>Бюджет!AE356</f>
        <v>0</v>
      </c>
      <c r="AF138" s="70">
        <f>Бюджет!AF356</f>
        <v>0</v>
      </c>
      <c r="AG138" s="70">
        <f>Бюджет!AG356</f>
        <v>0</v>
      </c>
      <c r="AH138" s="70">
        <f>Бюджет!AH356</f>
        <v>0</v>
      </c>
      <c r="AI138" s="70">
        <f>Бюджет!AI356</f>
        <v>0</v>
      </c>
      <c r="AJ138" s="66">
        <f t="shared" si="12"/>
        <v>107.5</v>
      </c>
      <c r="AK138" s="33"/>
    </row>
    <row r="139" spans="1:37" s="32" customFormat="1" ht="15" x14ac:dyDescent="0.2">
      <c r="A139" s="90" t="str">
        <f>Бюджет!A357</f>
        <v>Б1.О.19</v>
      </c>
      <c r="B139" s="60" t="str">
        <f>Бюджет!B357</f>
        <v>Техническое документоведение</v>
      </c>
      <c r="C139" s="74" t="str">
        <f>Бюджет!C357</f>
        <v>2\4</v>
      </c>
      <c r="D139" s="74">
        <f>Бюджет!D357</f>
        <v>25</v>
      </c>
      <c r="E139" s="74">
        <f>Бюджет!E357</f>
        <v>1</v>
      </c>
      <c r="F139" s="70">
        <f>Бюджет!F357</f>
        <v>20</v>
      </c>
      <c r="G139" s="70">
        <f>Бюджет!G357</f>
        <v>20</v>
      </c>
      <c r="H139" s="70">
        <f>Бюджет!H357</f>
        <v>20</v>
      </c>
      <c r="I139" s="70">
        <f>Бюджет!I357</f>
        <v>20</v>
      </c>
      <c r="J139" s="70">
        <f>Бюджет!J357</f>
        <v>40</v>
      </c>
      <c r="K139" s="70">
        <f>Бюджет!K357</f>
        <v>7.5</v>
      </c>
      <c r="L139" s="70">
        <f>Бюджет!L357</f>
        <v>0</v>
      </c>
      <c r="M139" s="70">
        <f>Бюджет!M357</f>
        <v>0</v>
      </c>
      <c r="N139" s="70">
        <f>Бюджет!N357</f>
        <v>0</v>
      </c>
      <c r="O139" s="70">
        <f>Бюджет!O357</f>
        <v>0</v>
      </c>
      <c r="P139" s="70">
        <f>Бюджет!P357</f>
        <v>0</v>
      </c>
      <c r="Q139" s="70">
        <f>Бюджет!Q357</f>
        <v>1</v>
      </c>
      <c r="R139" s="70">
        <f>Бюджет!R357</f>
        <v>0</v>
      </c>
      <c r="S139" s="70">
        <f>Бюджет!S357</f>
        <v>0</v>
      </c>
      <c r="T139" s="70">
        <f>Бюджет!T357</f>
        <v>0</v>
      </c>
      <c r="U139" s="70">
        <f>Бюджет!U357</f>
        <v>0</v>
      </c>
      <c r="V139" s="70">
        <f>Бюджет!V357</f>
        <v>0</v>
      </c>
      <c r="W139" s="70">
        <f>Бюджет!W357</f>
        <v>0</v>
      </c>
      <c r="X139" s="70">
        <f>Бюджет!X357</f>
        <v>0</v>
      </c>
      <c r="Y139" s="70">
        <f>Бюджет!Y357</f>
        <v>0</v>
      </c>
      <c r="Z139" s="70">
        <f>Бюджет!Z357</f>
        <v>0</v>
      </c>
      <c r="AA139" s="70">
        <f>Бюджет!AA357</f>
        <v>0</v>
      </c>
      <c r="AB139" s="70">
        <f>Бюджет!AB357</f>
        <v>0</v>
      </c>
      <c r="AC139" s="70">
        <f>Бюджет!AC357</f>
        <v>0</v>
      </c>
      <c r="AD139" s="70">
        <f>Бюджет!AD357</f>
        <v>0</v>
      </c>
      <c r="AE139" s="70">
        <f>Бюджет!AE357</f>
        <v>0</v>
      </c>
      <c r="AF139" s="70">
        <f>Бюджет!AF357</f>
        <v>0</v>
      </c>
      <c r="AG139" s="70">
        <f>Бюджет!AG357</f>
        <v>0</v>
      </c>
      <c r="AH139" s="70">
        <f>Бюджет!AH357</f>
        <v>0</v>
      </c>
      <c r="AI139" s="70">
        <f>Бюджет!AI357</f>
        <v>0</v>
      </c>
      <c r="AJ139" s="66">
        <f t="shared" si="12"/>
        <v>88.5</v>
      </c>
      <c r="AK139" s="33"/>
    </row>
    <row r="140" spans="1:37" s="32" customFormat="1" ht="30" x14ac:dyDescent="0.2">
      <c r="A140" s="90" t="str">
        <f>Бюджет!A359</f>
        <v>Б1.О.21</v>
      </c>
      <c r="B140" s="60" t="str">
        <f>Бюджет!B359</f>
        <v>Основы построения вычислительных систем (ЭВМ) (поток РФ 1к и ИСТ 2к)</v>
      </c>
      <c r="C140" s="74" t="str">
        <f>Бюджет!C359</f>
        <v>2\4</v>
      </c>
      <c r="D140" s="74">
        <f>Бюджет!D359</f>
        <v>25</v>
      </c>
      <c r="E140" s="74">
        <f>Бюджет!E359</f>
        <v>1</v>
      </c>
      <c r="F140" s="70">
        <f>Бюджет!F359</f>
        <v>20</v>
      </c>
      <c r="G140" s="70">
        <f>Бюджет!G359</f>
        <v>0</v>
      </c>
      <c r="H140" s="70">
        <f>Бюджет!H359</f>
        <v>0</v>
      </c>
      <c r="I140" s="70">
        <f>Бюджет!I359</f>
        <v>0</v>
      </c>
      <c r="J140" s="70">
        <f>Бюджет!J359</f>
        <v>80</v>
      </c>
      <c r="K140" s="70">
        <f>Бюджет!K359</f>
        <v>7.5</v>
      </c>
      <c r="L140" s="70">
        <f>Бюджет!L359</f>
        <v>0</v>
      </c>
      <c r="M140" s="70">
        <f>Бюджет!M359</f>
        <v>0</v>
      </c>
      <c r="N140" s="70">
        <f>Бюджет!N359</f>
        <v>0</v>
      </c>
      <c r="O140" s="70">
        <f>Бюджет!O359</f>
        <v>0</v>
      </c>
      <c r="P140" s="70">
        <f>Бюджет!P359</f>
        <v>0</v>
      </c>
      <c r="Q140" s="70">
        <f>Бюджет!Q359</f>
        <v>0</v>
      </c>
      <c r="R140" s="70">
        <f>Бюджет!R359</f>
        <v>0</v>
      </c>
      <c r="S140" s="70">
        <f>Бюджет!S359</f>
        <v>0</v>
      </c>
      <c r="T140" s="70">
        <f>Бюджет!T359</f>
        <v>0</v>
      </c>
      <c r="U140" s="70">
        <f>Бюджет!U359</f>
        <v>0</v>
      </c>
      <c r="V140" s="70">
        <f>Бюджет!V359</f>
        <v>0</v>
      </c>
      <c r="W140" s="70">
        <f>Бюджет!W359</f>
        <v>0</v>
      </c>
      <c r="X140" s="70">
        <f>Бюджет!X359</f>
        <v>0</v>
      </c>
      <c r="Y140" s="70">
        <f>Бюджет!Y359</f>
        <v>0</v>
      </c>
      <c r="Z140" s="70">
        <f>Бюджет!Z359</f>
        <v>0</v>
      </c>
      <c r="AA140" s="70">
        <f>Бюджет!AA359</f>
        <v>0</v>
      </c>
      <c r="AB140" s="70">
        <f>Бюджет!AB359</f>
        <v>0</v>
      </c>
      <c r="AC140" s="70">
        <f>Бюджет!AC359</f>
        <v>0</v>
      </c>
      <c r="AD140" s="70">
        <f>Бюджет!AD359</f>
        <v>0</v>
      </c>
      <c r="AE140" s="70">
        <f>Бюджет!AE359</f>
        <v>0</v>
      </c>
      <c r="AF140" s="70">
        <f>Бюджет!AF359</f>
        <v>0</v>
      </c>
      <c r="AG140" s="70">
        <f>Бюджет!AG359</f>
        <v>0</v>
      </c>
      <c r="AH140" s="70">
        <f>Бюджет!AH359</f>
        <v>0</v>
      </c>
      <c r="AI140" s="70">
        <f>Бюджет!AI359</f>
        <v>0</v>
      </c>
      <c r="AJ140" s="66">
        <f t="shared" si="12"/>
        <v>87.5</v>
      </c>
      <c r="AK140" s="33"/>
    </row>
    <row r="141" spans="1:37" s="32" customFormat="1" ht="15" x14ac:dyDescent="0.2">
      <c r="A141" s="90" t="str">
        <f>Бюджет!A360</f>
        <v>Б1.О.01.01(У)</v>
      </c>
      <c r="B141" s="60" t="str">
        <f>Бюджет!B360</f>
        <v>Учебная практика (Ознакомительная)</v>
      </c>
      <c r="C141" s="74" t="str">
        <f>Бюджет!C360</f>
        <v>2\4</v>
      </c>
      <c r="D141" s="74">
        <f>Бюджет!D360</f>
        <v>25</v>
      </c>
      <c r="E141" s="74">
        <f>Бюджет!E360</f>
        <v>1</v>
      </c>
      <c r="F141" s="70">
        <f>Бюджет!F360</f>
        <v>0</v>
      </c>
      <c r="G141" s="70">
        <f>Бюджет!G360</f>
        <v>0</v>
      </c>
      <c r="H141" s="70">
        <f>Бюджет!H360</f>
        <v>0</v>
      </c>
      <c r="I141" s="70">
        <f>Бюджет!I360</f>
        <v>0</v>
      </c>
      <c r="J141" s="70">
        <f>Бюджет!J360</f>
        <v>80</v>
      </c>
      <c r="K141" s="70">
        <f>Бюджет!K360</f>
        <v>7.5</v>
      </c>
      <c r="L141" s="70">
        <f>Бюджет!L360</f>
        <v>0</v>
      </c>
      <c r="M141" s="70">
        <f>Бюджет!M360</f>
        <v>0</v>
      </c>
      <c r="N141" s="70">
        <f>Бюджет!N360</f>
        <v>0</v>
      </c>
      <c r="O141" s="70">
        <f>Бюджет!O360</f>
        <v>0</v>
      </c>
      <c r="P141" s="70">
        <f>Бюджет!P360</f>
        <v>0</v>
      </c>
      <c r="Q141" s="70">
        <f>Бюджет!Q360</f>
        <v>0</v>
      </c>
      <c r="R141" s="70">
        <f>Бюджет!R360</f>
        <v>0</v>
      </c>
      <c r="S141" s="70">
        <f>Бюджет!S360</f>
        <v>0</v>
      </c>
      <c r="T141" s="70">
        <f>Бюджет!T360</f>
        <v>0</v>
      </c>
      <c r="U141" s="70">
        <f>Бюджет!U360</f>
        <v>0</v>
      </c>
      <c r="V141" s="70">
        <f>Бюджет!V360</f>
        <v>0</v>
      </c>
      <c r="W141" s="70">
        <f>Бюджет!W360</f>
        <v>0</v>
      </c>
      <c r="X141" s="70">
        <f>Бюджет!X360</f>
        <v>0</v>
      </c>
      <c r="Y141" s="70">
        <f>Бюджет!Y360</f>
        <v>0</v>
      </c>
      <c r="Z141" s="70">
        <f>Бюджет!Z360</f>
        <v>0</v>
      </c>
      <c r="AA141" s="70">
        <f>Бюджет!AA360</f>
        <v>0</v>
      </c>
      <c r="AB141" s="70">
        <f>Бюджет!AB360</f>
        <v>0</v>
      </c>
      <c r="AC141" s="70">
        <f>Бюджет!AC360</f>
        <v>0</v>
      </c>
      <c r="AD141" s="70">
        <f>Бюджет!AD360</f>
        <v>0</v>
      </c>
      <c r="AE141" s="70">
        <f>Бюджет!AE360</f>
        <v>0</v>
      </c>
      <c r="AF141" s="70">
        <f>Бюджет!AF360</f>
        <v>0</v>
      </c>
      <c r="AG141" s="70">
        <f>Бюджет!AG360</f>
        <v>0</v>
      </c>
      <c r="AH141" s="70">
        <f>Бюджет!AH360</f>
        <v>0</v>
      </c>
      <c r="AI141" s="70">
        <f>Бюджет!AI360</f>
        <v>0</v>
      </c>
      <c r="AJ141" s="66">
        <f t="shared" si="12"/>
        <v>87.5</v>
      </c>
      <c r="AK141" s="33"/>
    </row>
    <row r="142" spans="1:37" s="32" customFormat="1" ht="15.75" x14ac:dyDescent="0.25">
      <c r="A142" s="29"/>
      <c r="B142" s="85" t="s">
        <v>272</v>
      </c>
      <c r="C142" s="91"/>
      <c r="D142" s="91"/>
      <c r="E142" s="91"/>
      <c r="F142" s="103">
        <f t="shared" ref="F142:AJ142" si="13">SUM(F133:F141)</f>
        <v>198</v>
      </c>
      <c r="G142" s="103">
        <f t="shared" si="13"/>
        <v>20</v>
      </c>
      <c r="H142" s="103">
        <f t="shared" si="13"/>
        <v>72</v>
      </c>
      <c r="I142" s="103">
        <f t="shared" si="13"/>
        <v>72</v>
      </c>
      <c r="J142" s="103">
        <f t="shared" si="13"/>
        <v>792</v>
      </c>
      <c r="K142" s="103">
        <f t="shared" si="13"/>
        <v>60</v>
      </c>
      <c r="L142" s="103">
        <f t="shared" si="13"/>
        <v>0</v>
      </c>
      <c r="M142" s="103">
        <f t="shared" si="13"/>
        <v>10</v>
      </c>
      <c r="N142" s="103">
        <f t="shared" si="13"/>
        <v>0</v>
      </c>
      <c r="O142" s="103">
        <f t="shared" si="13"/>
        <v>0</v>
      </c>
      <c r="P142" s="103">
        <f t="shared" si="13"/>
        <v>0</v>
      </c>
      <c r="Q142" s="103">
        <f t="shared" si="13"/>
        <v>1</v>
      </c>
      <c r="R142" s="103">
        <f t="shared" si="13"/>
        <v>0</v>
      </c>
      <c r="S142" s="103">
        <f t="shared" si="13"/>
        <v>0</v>
      </c>
      <c r="T142" s="103">
        <f t="shared" si="13"/>
        <v>0</v>
      </c>
      <c r="U142" s="103">
        <f t="shared" si="13"/>
        <v>0</v>
      </c>
      <c r="V142" s="103">
        <f t="shared" si="13"/>
        <v>0</v>
      </c>
      <c r="W142" s="103">
        <f t="shared" si="13"/>
        <v>0</v>
      </c>
      <c r="X142" s="103">
        <f t="shared" si="13"/>
        <v>0</v>
      </c>
      <c r="Y142" s="103">
        <f t="shared" si="13"/>
        <v>0</v>
      </c>
      <c r="Z142" s="103">
        <f t="shared" si="13"/>
        <v>0</v>
      </c>
      <c r="AA142" s="103">
        <f t="shared" si="13"/>
        <v>0</v>
      </c>
      <c r="AB142" s="103">
        <f t="shared" si="13"/>
        <v>0</v>
      </c>
      <c r="AC142" s="103">
        <f t="shared" si="13"/>
        <v>0</v>
      </c>
      <c r="AD142" s="103">
        <f t="shared" si="13"/>
        <v>0</v>
      </c>
      <c r="AE142" s="103">
        <f t="shared" si="13"/>
        <v>0</v>
      </c>
      <c r="AF142" s="103">
        <f t="shared" si="13"/>
        <v>0</v>
      </c>
      <c r="AG142" s="103">
        <f t="shared" si="13"/>
        <v>0</v>
      </c>
      <c r="AH142" s="103">
        <f t="shared" si="13"/>
        <v>0</v>
      </c>
      <c r="AI142" s="103">
        <f t="shared" si="13"/>
        <v>0</v>
      </c>
      <c r="AJ142" s="103">
        <f t="shared" si="13"/>
        <v>955</v>
      </c>
      <c r="AK142" s="33"/>
    </row>
    <row r="143" spans="1:37" s="30" customFormat="1" ht="15.75" x14ac:dyDescent="0.25">
      <c r="A143" s="29"/>
      <c r="B143" s="34"/>
      <c r="C143" s="29"/>
      <c r="D143" s="29"/>
      <c r="E143" s="29"/>
      <c r="F143" s="33"/>
      <c r="G143" s="33"/>
      <c r="H143" s="33"/>
      <c r="I143" s="33"/>
      <c r="J143" s="33"/>
      <c r="K143" s="33"/>
      <c r="L143" s="33"/>
      <c r="M143" s="33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66">
        <f t="shared" ref="AJ143:AJ162" si="14">SUM(G143,I143:AI143)</f>
        <v>0</v>
      </c>
      <c r="AK143" s="29"/>
    </row>
    <row r="144" spans="1:37" s="30" customFormat="1" ht="15.75" x14ac:dyDescent="0.25">
      <c r="A144" s="29"/>
      <c r="B144" s="34"/>
      <c r="C144" s="29"/>
      <c r="D144" s="29"/>
      <c r="E144" s="29"/>
      <c r="F144" s="33"/>
      <c r="G144" s="33"/>
      <c r="H144" s="33"/>
      <c r="I144" s="33"/>
      <c r="J144" s="33"/>
      <c r="K144" s="276"/>
      <c r="L144" s="401" t="str">
        <f>Бюджет!L363</f>
        <v>03.04.03 Радиофизика</v>
      </c>
      <c r="M144" s="401"/>
      <c r="N144" s="401"/>
      <c r="O144" s="401"/>
      <c r="P144" s="401"/>
      <c r="Q144" s="401"/>
      <c r="R144" s="401"/>
      <c r="S144" s="401"/>
      <c r="T144" s="401"/>
      <c r="U144" s="401"/>
      <c r="V144" s="401"/>
      <c r="W144" s="401"/>
      <c r="X144" s="401"/>
      <c r="Y144" s="401"/>
      <c r="Z144" s="401"/>
      <c r="AA144" s="401"/>
      <c r="AB144" s="276"/>
      <c r="AC144" s="33"/>
      <c r="AD144" s="33"/>
      <c r="AE144" s="33"/>
      <c r="AF144" s="33"/>
      <c r="AG144" s="33"/>
      <c r="AH144" s="33"/>
      <c r="AI144" s="33"/>
      <c r="AJ144" s="66">
        <f t="shared" si="14"/>
        <v>0</v>
      </c>
      <c r="AK144" s="74"/>
    </row>
    <row r="145" spans="1:37" s="32" customFormat="1" ht="15.75" x14ac:dyDescent="0.2">
      <c r="A145" s="29"/>
      <c r="B145" s="34"/>
      <c r="C145" s="29"/>
      <c r="D145" s="29"/>
      <c r="E145" s="29"/>
      <c r="F145" s="33"/>
      <c r="G145" s="33"/>
      <c r="H145" s="33"/>
      <c r="I145" s="33"/>
      <c r="J145" s="33"/>
      <c r="K145" s="386" t="str">
        <f>Бюджет!K364</f>
        <v>профиль "Информационные процессы и системы"</v>
      </c>
      <c r="L145" s="386"/>
      <c r="M145" s="386"/>
      <c r="N145" s="386"/>
      <c r="O145" s="386"/>
      <c r="P145" s="386"/>
      <c r="Q145" s="386"/>
      <c r="R145" s="386"/>
      <c r="S145" s="386"/>
      <c r="T145" s="386"/>
      <c r="U145" s="386"/>
      <c r="V145" s="386"/>
      <c r="W145" s="386"/>
      <c r="X145" s="386"/>
      <c r="Y145" s="386"/>
      <c r="Z145" s="386"/>
      <c r="AA145" s="386"/>
      <c r="AB145" s="386"/>
      <c r="AC145" s="33"/>
      <c r="AD145" s="33"/>
      <c r="AE145" s="33"/>
      <c r="AF145" s="33"/>
      <c r="AG145" s="33"/>
      <c r="AH145" s="33"/>
      <c r="AI145" s="33"/>
      <c r="AJ145" s="66">
        <f t="shared" si="14"/>
        <v>0</v>
      </c>
      <c r="AK145" s="74"/>
    </row>
    <row r="146" spans="1:37" s="32" customFormat="1" ht="15" x14ac:dyDescent="0.2">
      <c r="A146" s="90" t="str">
        <f>Бюджет!A366</f>
        <v>Б1.О.04</v>
      </c>
      <c r="B146" s="60" t="str">
        <f>Бюджет!B366</f>
        <v>Компьютерное моделирование</v>
      </c>
      <c r="C146" s="74" t="str">
        <f>Бюджет!C366</f>
        <v>1\1</v>
      </c>
      <c r="D146" s="74">
        <f>Бюджет!D366</f>
        <v>5</v>
      </c>
      <c r="E146" s="74">
        <f>Бюджет!E366</f>
        <v>1</v>
      </c>
      <c r="F146" s="70">
        <f>Бюджет!F366</f>
        <v>18</v>
      </c>
      <c r="G146" s="70">
        <f>Бюджет!G366</f>
        <v>18</v>
      </c>
      <c r="H146" s="70">
        <f>Бюджет!H366</f>
        <v>18</v>
      </c>
      <c r="I146" s="70">
        <f>Бюджет!I366</f>
        <v>18</v>
      </c>
      <c r="J146" s="70">
        <f>Бюджет!J366</f>
        <v>0</v>
      </c>
      <c r="K146" s="70">
        <f>Бюджет!K366</f>
        <v>1.5</v>
      </c>
      <c r="L146" s="70">
        <f>Бюджет!L366</f>
        <v>0</v>
      </c>
      <c r="M146" s="70">
        <f>Бюджет!M366</f>
        <v>0</v>
      </c>
      <c r="N146" s="70">
        <f>Бюджет!N366</f>
        <v>0</v>
      </c>
      <c r="O146" s="70">
        <f>Бюджет!O366</f>
        <v>0</v>
      </c>
      <c r="P146" s="70">
        <f>Бюджет!P366</f>
        <v>0</v>
      </c>
      <c r="Q146" s="70">
        <f>Бюджет!Q366</f>
        <v>0.9</v>
      </c>
      <c r="R146" s="70">
        <f>Бюджет!R366</f>
        <v>0</v>
      </c>
      <c r="S146" s="70">
        <f>Бюджет!S366</f>
        <v>0</v>
      </c>
      <c r="T146" s="70">
        <f>Бюджет!T366</f>
        <v>0</v>
      </c>
      <c r="U146" s="70">
        <f>Бюджет!U366</f>
        <v>0</v>
      </c>
      <c r="V146" s="70">
        <f>Бюджет!V366</f>
        <v>0</v>
      </c>
      <c r="W146" s="70">
        <f>Бюджет!W366</f>
        <v>0</v>
      </c>
      <c r="X146" s="70">
        <f>Бюджет!X366</f>
        <v>0</v>
      </c>
      <c r="Y146" s="70">
        <f>Бюджет!Y366</f>
        <v>0</v>
      </c>
      <c r="Z146" s="70">
        <f>Бюджет!Z366</f>
        <v>0</v>
      </c>
      <c r="AA146" s="70">
        <f>Бюджет!AA366</f>
        <v>0</v>
      </c>
      <c r="AB146" s="70">
        <f>Бюджет!AB366</f>
        <v>0</v>
      </c>
      <c r="AC146" s="70">
        <f>Бюджет!AC366</f>
        <v>0</v>
      </c>
      <c r="AD146" s="70">
        <f>Бюджет!AD366</f>
        <v>0</v>
      </c>
      <c r="AE146" s="70">
        <f>Бюджет!AE366</f>
        <v>0</v>
      </c>
      <c r="AF146" s="70">
        <f>Бюджет!AF366</f>
        <v>0</v>
      </c>
      <c r="AG146" s="70">
        <f>Бюджет!AG366</f>
        <v>0</v>
      </c>
      <c r="AH146" s="70">
        <f>Бюджет!AH366</f>
        <v>0</v>
      </c>
      <c r="AI146" s="70">
        <f>Бюджет!AI366</f>
        <v>2</v>
      </c>
      <c r="AJ146" s="66">
        <f t="shared" si="14"/>
        <v>40.4</v>
      </c>
      <c r="AK146" s="74"/>
    </row>
    <row r="147" spans="1:37" s="32" customFormat="1" ht="15" x14ac:dyDescent="0.2">
      <c r="A147" s="90" t="str">
        <f>Бюджет!A367</f>
        <v>Б1.О.06</v>
      </c>
      <c r="B147" s="60" t="str">
        <f>Бюджет!B367</f>
        <v>Базы данных в глобальной сети</v>
      </c>
      <c r="C147" s="74" t="str">
        <f>Бюджет!C367</f>
        <v>1\2</v>
      </c>
      <c r="D147" s="74">
        <f>Бюджет!D367</f>
        <v>5</v>
      </c>
      <c r="E147" s="74">
        <f>Бюджет!E367</f>
        <v>1</v>
      </c>
      <c r="F147" s="70">
        <f>Бюджет!F367</f>
        <v>20</v>
      </c>
      <c r="G147" s="70">
        <f>Бюджет!G367</f>
        <v>20</v>
      </c>
      <c r="H147" s="70">
        <f>Бюджет!H367</f>
        <v>0</v>
      </c>
      <c r="I147" s="70">
        <f>Бюджет!I367</f>
        <v>0</v>
      </c>
      <c r="J147" s="70">
        <f>Бюджет!J367</f>
        <v>40</v>
      </c>
      <c r="K147" s="70">
        <f>Бюджет!K367</f>
        <v>0</v>
      </c>
      <c r="L147" s="70">
        <f>Бюджет!L367</f>
        <v>0</v>
      </c>
      <c r="M147" s="70">
        <f>Бюджет!M367</f>
        <v>2</v>
      </c>
      <c r="N147" s="70">
        <f>Бюджет!N367</f>
        <v>0</v>
      </c>
      <c r="O147" s="70">
        <f>Бюджет!O367</f>
        <v>0</v>
      </c>
      <c r="P147" s="70">
        <f>Бюджет!P367</f>
        <v>0</v>
      </c>
      <c r="Q147" s="70">
        <f>Бюджет!Q367</f>
        <v>2</v>
      </c>
      <c r="R147" s="70">
        <f>Бюджет!R367</f>
        <v>0</v>
      </c>
      <c r="S147" s="70">
        <f>Бюджет!S367</f>
        <v>0</v>
      </c>
      <c r="T147" s="70">
        <f>Бюджет!T367</f>
        <v>0</v>
      </c>
      <c r="U147" s="70">
        <f>Бюджет!U367</f>
        <v>0</v>
      </c>
      <c r="V147" s="70">
        <f>Бюджет!V367</f>
        <v>0</v>
      </c>
      <c r="W147" s="70">
        <f>Бюджет!W367</f>
        <v>0</v>
      </c>
      <c r="X147" s="70">
        <f>Бюджет!X367</f>
        <v>0</v>
      </c>
      <c r="Y147" s="70">
        <f>Бюджет!Y367</f>
        <v>0</v>
      </c>
      <c r="Z147" s="70">
        <f>Бюджет!Z367</f>
        <v>0</v>
      </c>
      <c r="AA147" s="70">
        <f>Бюджет!AA367</f>
        <v>0</v>
      </c>
      <c r="AB147" s="70">
        <f>Бюджет!AB367</f>
        <v>0</v>
      </c>
      <c r="AC147" s="70">
        <f>Бюджет!AC367</f>
        <v>0</v>
      </c>
      <c r="AD147" s="70">
        <f>Бюджет!AD367</f>
        <v>0</v>
      </c>
      <c r="AE147" s="70">
        <f>Бюджет!AE367</f>
        <v>0</v>
      </c>
      <c r="AF147" s="70">
        <f>Бюджет!AF367</f>
        <v>0</v>
      </c>
      <c r="AG147" s="70">
        <f>Бюджет!AG367</f>
        <v>0</v>
      </c>
      <c r="AH147" s="70">
        <f>Бюджет!AH367</f>
        <v>0</v>
      </c>
      <c r="AI147" s="70">
        <f>Бюджет!AI367</f>
        <v>4</v>
      </c>
      <c r="AJ147" s="66">
        <f t="shared" si="14"/>
        <v>68</v>
      </c>
      <c r="AK147" s="74"/>
    </row>
    <row r="148" spans="1:37" s="32" customFormat="1" ht="30" x14ac:dyDescent="0.2">
      <c r="A148" s="90" t="str">
        <f>Бюджет!A368</f>
        <v>Б1.О.07</v>
      </c>
      <c r="B148" s="60" t="str">
        <f>Бюджет!B368</f>
        <v>Методы радиозондирования неоднородных сред</v>
      </c>
      <c r="C148" s="74" t="str">
        <f>Бюджет!C368</f>
        <v>1\2</v>
      </c>
      <c r="D148" s="74">
        <f>Бюджет!D368</f>
        <v>5</v>
      </c>
      <c r="E148" s="74">
        <f>Бюджет!E368</f>
        <v>1</v>
      </c>
      <c r="F148" s="70">
        <f>Бюджет!F368</f>
        <v>40</v>
      </c>
      <c r="G148" s="70">
        <f>Бюджет!G368</f>
        <v>40</v>
      </c>
      <c r="H148" s="70">
        <f>Бюджет!H368</f>
        <v>20</v>
      </c>
      <c r="I148" s="70">
        <f>Бюджет!I368</f>
        <v>20</v>
      </c>
      <c r="J148" s="70">
        <f>Бюджет!J368</f>
        <v>0</v>
      </c>
      <c r="K148" s="70">
        <f>Бюджет!K368</f>
        <v>6</v>
      </c>
      <c r="L148" s="70">
        <f>Бюджет!L368</f>
        <v>0</v>
      </c>
      <c r="M148" s="70">
        <f>Бюджет!M368</f>
        <v>0</v>
      </c>
      <c r="N148" s="70">
        <f>Бюджет!N368</f>
        <v>0</v>
      </c>
      <c r="O148" s="70">
        <f>Бюджет!O368</f>
        <v>0</v>
      </c>
      <c r="P148" s="70">
        <f>Бюджет!P368</f>
        <v>0</v>
      </c>
      <c r="Q148" s="70">
        <f>Бюджет!Q368</f>
        <v>2</v>
      </c>
      <c r="R148" s="70">
        <f>Бюджет!R368</f>
        <v>0</v>
      </c>
      <c r="S148" s="70">
        <f>Бюджет!S368</f>
        <v>0</v>
      </c>
      <c r="T148" s="70">
        <f>Бюджет!T368</f>
        <v>0</v>
      </c>
      <c r="U148" s="70">
        <f>Бюджет!U368</f>
        <v>0</v>
      </c>
      <c r="V148" s="70">
        <f>Бюджет!V368</f>
        <v>0</v>
      </c>
      <c r="W148" s="70">
        <f>Бюджет!W368</f>
        <v>0</v>
      </c>
      <c r="X148" s="70">
        <f>Бюджет!X368</f>
        <v>0</v>
      </c>
      <c r="Y148" s="70">
        <f>Бюджет!Y368</f>
        <v>0</v>
      </c>
      <c r="Z148" s="70">
        <f>Бюджет!Z368</f>
        <v>0</v>
      </c>
      <c r="AA148" s="70">
        <f>Бюджет!AA368</f>
        <v>0</v>
      </c>
      <c r="AB148" s="70">
        <f>Бюджет!AB368</f>
        <v>0</v>
      </c>
      <c r="AC148" s="70">
        <f>Бюджет!AC368</f>
        <v>0</v>
      </c>
      <c r="AD148" s="70">
        <f>Бюджет!AD368</f>
        <v>0</v>
      </c>
      <c r="AE148" s="70">
        <f>Бюджет!AE368</f>
        <v>0</v>
      </c>
      <c r="AF148" s="70">
        <f>Бюджет!AF368</f>
        <v>0</v>
      </c>
      <c r="AG148" s="70">
        <f>Бюджет!AG368</f>
        <v>0</v>
      </c>
      <c r="AH148" s="70">
        <f>Бюджет!AH368</f>
        <v>0</v>
      </c>
      <c r="AI148" s="70">
        <f>Бюджет!AI368</f>
        <v>0</v>
      </c>
      <c r="AJ148" s="66">
        <f t="shared" si="14"/>
        <v>68</v>
      </c>
      <c r="AK148" s="74"/>
    </row>
    <row r="149" spans="1:37" s="32" customFormat="1" ht="30" x14ac:dyDescent="0.2">
      <c r="A149" s="90" t="str">
        <f>Бюджет!A369</f>
        <v>Б1.О.08</v>
      </c>
      <c r="B149" s="60" t="str">
        <f>Бюджет!B369</f>
        <v>Радиофизические исследования околоземного космического пространства</v>
      </c>
      <c r="C149" s="74" t="str">
        <f>Бюджет!C369</f>
        <v>1\2</v>
      </c>
      <c r="D149" s="74">
        <f>Бюджет!D369</f>
        <v>5</v>
      </c>
      <c r="E149" s="74">
        <f>Бюджет!E369</f>
        <v>1</v>
      </c>
      <c r="F149" s="70">
        <f>Бюджет!F369</f>
        <v>40</v>
      </c>
      <c r="G149" s="70">
        <f>Бюджет!G369</f>
        <v>40</v>
      </c>
      <c r="H149" s="70">
        <f>Бюджет!H369</f>
        <v>0</v>
      </c>
      <c r="I149" s="70">
        <f>Бюджет!I369</f>
        <v>0</v>
      </c>
      <c r="J149" s="70">
        <f>Бюджет!J369</f>
        <v>40</v>
      </c>
      <c r="K149" s="70">
        <f>Бюджет!K369</f>
        <v>0</v>
      </c>
      <c r="L149" s="70">
        <f>Бюджет!L369</f>
        <v>0</v>
      </c>
      <c r="M149" s="70">
        <f>Бюджет!M369</f>
        <v>2</v>
      </c>
      <c r="N149" s="70">
        <f>Бюджет!N369</f>
        <v>0</v>
      </c>
      <c r="O149" s="70">
        <f>Бюджет!O369</f>
        <v>0</v>
      </c>
      <c r="P149" s="70">
        <f>Бюджет!P369</f>
        <v>0</v>
      </c>
      <c r="Q149" s="70">
        <f>Бюджет!Q369</f>
        <v>3</v>
      </c>
      <c r="R149" s="70">
        <f>Бюджет!R369</f>
        <v>0</v>
      </c>
      <c r="S149" s="70">
        <f>Бюджет!S369</f>
        <v>0</v>
      </c>
      <c r="T149" s="70">
        <f>Бюджет!T369</f>
        <v>0</v>
      </c>
      <c r="U149" s="70">
        <f>Бюджет!U369</f>
        <v>0</v>
      </c>
      <c r="V149" s="70">
        <f>Бюджет!V369</f>
        <v>0</v>
      </c>
      <c r="W149" s="70">
        <f>Бюджет!W369</f>
        <v>0</v>
      </c>
      <c r="X149" s="70">
        <f>Бюджет!X369</f>
        <v>0</v>
      </c>
      <c r="Y149" s="70">
        <f>Бюджет!Y369</f>
        <v>0</v>
      </c>
      <c r="Z149" s="70">
        <f>Бюджет!Z369</f>
        <v>0</v>
      </c>
      <c r="AA149" s="70">
        <f>Бюджет!AA369</f>
        <v>0</v>
      </c>
      <c r="AB149" s="70">
        <f>Бюджет!AB369</f>
        <v>0</v>
      </c>
      <c r="AC149" s="70">
        <f>Бюджет!AC369</f>
        <v>0</v>
      </c>
      <c r="AD149" s="70">
        <f>Бюджет!AD369</f>
        <v>0</v>
      </c>
      <c r="AE149" s="70">
        <f>Бюджет!AE369</f>
        <v>0</v>
      </c>
      <c r="AF149" s="70">
        <f>Бюджет!AF369</f>
        <v>0</v>
      </c>
      <c r="AG149" s="70">
        <f>Бюджет!AG369</f>
        <v>0</v>
      </c>
      <c r="AH149" s="70">
        <f>Бюджет!AH369</f>
        <v>0</v>
      </c>
      <c r="AI149" s="70">
        <f>Бюджет!AI369</f>
        <v>1</v>
      </c>
      <c r="AJ149" s="66">
        <f t="shared" si="14"/>
        <v>86</v>
      </c>
      <c r="AK149" s="74"/>
    </row>
    <row r="150" spans="1:37" s="32" customFormat="1" ht="30" x14ac:dyDescent="0.2">
      <c r="A150" s="90" t="str">
        <f>Бюджет!A370</f>
        <v>Б1.О.09</v>
      </c>
      <c r="B150" s="60" t="str">
        <f>Бюджет!B370</f>
        <v>Методология и современные проблемы радиофизики</v>
      </c>
      <c r="C150" s="74" t="str">
        <f>Бюджет!C370</f>
        <v>1\1</v>
      </c>
      <c r="D150" s="74">
        <f>Бюджет!D370</f>
        <v>5</v>
      </c>
      <c r="E150" s="74">
        <f>Бюджет!E370</f>
        <v>1</v>
      </c>
      <c r="F150" s="70">
        <f>Бюджет!F370</f>
        <v>36</v>
      </c>
      <c r="G150" s="70">
        <f>Бюджет!G370</f>
        <v>36</v>
      </c>
      <c r="H150" s="70">
        <f>Бюджет!H370</f>
        <v>36</v>
      </c>
      <c r="I150" s="70">
        <f>Бюджет!I370</f>
        <v>36</v>
      </c>
      <c r="J150" s="70">
        <f>Бюджет!J370</f>
        <v>0</v>
      </c>
      <c r="K150" s="70">
        <f>Бюджет!K370</f>
        <v>0</v>
      </c>
      <c r="L150" s="70">
        <f>Бюджет!L370</f>
        <v>0</v>
      </c>
      <c r="M150" s="70">
        <f>Бюджет!M370</f>
        <v>2</v>
      </c>
      <c r="N150" s="70">
        <f>Бюджет!N370</f>
        <v>0</v>
      </c>
      <c r="O150" s="70">
        <f>Бюджет!O370</f>
        <v>0</v>
      </c>
      <c r="P150" s="70">
        <f>Бюджет!P370</f>
        <v>0</v>
      </c>
      <c r="Q150" s="70">
        <f>Бюджет!Q370</f>
        <v>2.8</v>
      </c>
      <c r="R150" s="70">
        <f>Бюджет!R370</f>
        <v>0</v>
      </c>
      <c r="S150" s="70">
        <f>Бюджет!S370</f>
        <v>0</v>
      </c>
      <c r="T150" s="70">
        <f>Бюджет!T370</f>
        <v>0</v>
      </c>
      <c r="U150" s="70">
        <f>Бюджет!U370</f>
        <v>0</v>
      </c>
      <c r="V150" s="70">
        <f>Бюджет!V370</f>
        <v>0</v>
      </c>
      <c r="W150" s="70">
        <f>Бюджет!W370</f>
        <v>0</v>
      </c>
      <c r="X150" s="70">
        <f>Бюджет!X370</f>
        <v>0</v>
      </c>
      <c r="Y150" s="70">
        <f>Бюджет!Y370</f>
        <v>0</v>
      </c>
      <c r="Z150" s="70">
        <f>Бюджет!Z370</f>
        <v>0</v>
      </c>
      <c r="AA150" s="70">
        <f>Бюджет!AA370</f>
        <v>0</v>
      </c>
      <c r="AB150" s="70">
        <f>Бюджет!AB370</f>
        <v>0</v>
      </c>
      <c r="AC150" s="70">
        <f>Бюджет!AC370</f>
        <v>0</v>
      </c>
      <c r="AD150" s="70">
        <f>Бюджет!AD370</f>
        <v>0</v>
      </c>
      <c r="AE150" s="70">
        <f>Бюджет!AE370</f>
        <v>0</v>
      </c>
      <c r="AF150" s="70">
        <f>Бюджет!AF370</f>
        <v>0</v>
      </c>
      <c r="AG150" s="70">
        <f>Бюджет!AG370</f>
        <v>0</v>
      </c>
      <c r="AH150" s="70">
        <f>Бюджет!AH370</f>
        <v>0</v>
      </c>
      <c r="AI150" s="70">
        <f>Бюджет!AI370</f>
        <v>4</v>
      </c>
      <c r="AJ150" s="66">
        <f t="shared" si="14"/>
        <v>80.8</v>
      </c>
      <c r="AK150" s="74"/>
    </row>
    <row r="151" spans="1:37" s="32" customFormat="1" ht="30" x14ac:dyDescent="0.2">
      <c r="A151" s="90" t="str">
        <f>Бюджет!A371</f>
        <v>Б1.О.10</v>
      </c>
      <c r="B151" s="60" t="str">
        <f>Бюджет!B371</f>
        <v>Специальные разделы физики (Космическая радиофизика)</v>
      </c>
      <c r="C151" s="74" t="str">
        <f>Бюджет!C371</f>
        <v>1\1</v>
      </c>
      <c r="D151" s="74">
        <f>Бюджет!D371</f>
        <v>5</v>
      </c>
      <c r="E151" s="74">
        <f>Бюджет!E371</f>
        <v>1</v>
      </c>
      <c r="F151" s="70">
        <f>Бюджет!F371</f>
        <v>18</v>
      </c>
      <c r="G151" s="70">
        <f>Бюджет!G371</f>
        <v>18</v>
      </c>
      <c r="H151" s="70">
        <f>Бюджет!H371</f>
        <v>18</v>
      </c>
      <c r="I151" s="70">
        <f>Бюджет!I371</f>
        <v>18</v>
      </c>
      <c r="J151" s="70">
        <f>Бюджет!J371</f>
        <v>0</v>
      </c>
      <c r="K151" s="70">
        <f>Бюджет!K371</f>
        <v>1.5</v>
      </c>
      <c r="L151" s="70">
        <f>Бюджет!L371</f>
        <v>0</v>
      </c>
      <c r="M151" s="70">
        <f>Бюджет!M371</f>
        <v>0</v>
      </c>
      <c r="N151" s="70">
        <f>Бюджет!N371</f>
        <v>0</v>
      </c>
      <c r="O151" s="70">
        <f>Бюджет!O371</f>
        <v>0</v>
      </c>
      <c r="P151" s="70">
        <f>Бюджет!P371</f>
        <v>0</v>
      </c>
      <c r="Q151" s="70">
        <f>Бюджет!Q371</f>
        <v>0.9</v>
      </c>
      <c r="R151" s="70">
        <f>Бюджет!R371</f>
        <v>0</v>
      </c>
      <c r="S151" s="70">
        <f>Бюджет!S371</f>
        <v>0</v>
      </c>
      <c r="T151" s="70">
        <f>Бюджет!T371</f>
        <v>0</v>
      </c>
      <c r="U151" s="70">
        <f>Бюджет!U371</f>
        <v>0</v>
      </c>
      <c r="V151" s="70">
        <f>Бюджет!V371</f>
        <v>0</v>
      </c>
      <c r="W151" s="70">
        <f>Бюджет!W371</f>
        <v>0</v>
      </c>
      <c r="X151" s="70">
        <f>Бюджет!X371</f>
        <v>0</v>
      </c>
      <c r="Y151" s="70">
        <f>Бюджет!Y371</f>
        <v>0</v>
      </c>
      <c r="Z151" s="70">
        <f>Бюджет!Z371</f>
        <v>0</v>
      </c>
      <c r="AA151" s="70">
        <f>Бюджет!AA371</f>
        <v>0</v>
      </c>
      <c r="AB151" s="70">
        <f>Бюджет!AB371</f>
        <v>0</v>
      </c>
      <c r="AC151" s="70">
        <f>Бюджет!AC371</f>
        <v>0</v>
      </c>
      <c r="AD151" s="70">
        <f>Бюджет!AD371</f>
        <v>0</v>
      </c>
      <c r="AE151" s="70">
        <f>Бюджет!AE371</f>
        <v>0</v>
      </c>
      <c r="AF151" s="70">
        <f>Бюджет!AF371</f>
        <v>0</v>
      </c>
      <c r="AG151" s="70">
        <f>Бюджет!AG371</f>
        <v>0</v>
      </c>
      <c r="AH151" s="70">
        <f>Бюджет!AH371</f>
        <v>0</v>
      </c>
      <c r="AI151" s="70">
        <f>Бюджет!AI371</f>
        <v>2</v>
      </c>
      <c r="AJ151" s="66">
        <f t="shared" si="14"/>
        <v>40.4</v>
      </c>
      <c r="AK151" s="74"/>
    </row>
    <row r="152" spans="1:37" s="32" customFormat="1" ht="15" x14ac:dyDescent="0.2">
      <c r="A152" s="90" t="str">
        <f>Бюджет!A372</f>
        <v>Б1.В.01</v>
      </c>
      <c r="B152" s="60" t="str">
        <f>Бюджет!B372</f>
        <v>Цифровые системы передачи информации</v>
      </c>
      <c r="C152" s="74" t="str">
        <f>Бюджет!C372</f>
        <v>1\2</v>
      </c>
      <c r="D152" s="74">
        <f>Бюджет!D372</f>
        <v>5</v>
      </c>
      <c r="E152" s="74">
        <f>Бюджет!E372</f>
        <v>1</v>
      </c>
      <c r="F152" s="70">
        <f>Бюджет!F372</f>
        <v>40</v>
      </c>
      <c r="G152" s="70">
        <f>Бюджет!G372</f>
        <v>40</v>
      </c>
      <c r="H152" s="70">
        <f>Бюджет!H372</f>
        <v>20</v>
      </c>
      <c r="I152" s="70">
        <f>Бюджет!I372</f>
        <v>20</v>
      </c>
      <c r="J152" s="70">
        <f>Бюджет!J372</f>
        <v>0</v>
      </c>
      <c r="K152" s="70">
        <f>Бюджет!K372</f>
        <v>0</v>
      </c>
      <c r="L152" s="70">
        <f>Бюджет!L372</f>
        <v>0</v>
      </c>
      <c r="M152" s="70">
        <f>Бюджет!M372</f>
        <v>2</v>
      </c>
      <c r="N152" s="70">
        <f>Бюджет!N372</f>
        <v>0</v>
      </c>
      <c r="O152" s="70">
        <f>Бюджет!O372</f>
        <v>0</v>
      </c>
      <c r="P152" s="70">
        <f>Бюджет!P372</f>
        <v>0</v>
      </c>
      <c r="Q152" s="70">
        <f>Бюджет!Q372</f>
        <v>3</v>
      </c>
      <c r="R152" s="70">
        <f>Бюджет!R372</f>
        <v>0</v>
      </c>
      <c r="S152" s="70">
        <f>Бюджет!S372</f>
        <v>0</v>
      </c>
      <c r="T152" s="70">
        <f>Бюджет!T372</f>
        <v>0</v>
      </c>
      <c r="U152" s="70">
        <f>Бюджет!U372</f>
        <v>0</v>
      </c>
      <c r="V152" s="70">
        <f>Бюджет!V372</f>
        <v>0</v>
      </c>
      <c r="W152" s="70">
        <f>Бюджет!W372</f>
        <v>0</v>
      </c>
      <c r="X152" s="70">
        <f>Бюджет!X372</f>
        <v>0</v>
      </c>
      <c r="Y152" s="70">
        <f>Бюджет!Y372</f>
        <v>0</v>
      </c>
      <c r="Z152" s="70">
        <f>Бюджет!Z372</f>
        <v>0</v>
      </c>
      <c r="AA152" s="70">
        <f>Бюджет!AA372</f>
        <v>0</v>
      </c>
      <c r="AB152" s="70">
        <f>Бюджет!AB372</f>
        <v>0</v>
      </c>
      <c r="AC152" s="70">
        <f>Бюджет!AC372</f>
        <v>0</v>
      </c>
      <c r="AD152" s="70">
        <f>Бюджет!AD372</f>
        <v>0</v>
      </c>
      <c r="AE152" s="70">
        <f>Бюджет!AE372</f>
        <v>0</v>
      </c>
      <c r="AF152" s="70">
        <f>Бюджет!AF372</f>
        <v>0</v>
      </c>
      <c r="AG152" s="70">
        <f>Бюджет!AG372</f>
        <v>0</v>
      </c>
      <c r="AH152" s="70">
        <f>Бюджет!AH372</f>
        <v>0</v>
      </c>
      <c r="AI152" s="70">
        <f>Бюджет!AI372</f>
        <v>0</v>
      </c>
      <c r="AJ152" s="66">
        <f t="shared" si="14"/>
        <v>65</v>
      </c>
      <c r="AK152" s="74"/>
    </row>
    <row r="153" spans="1:37" s="32" customFormat="1" ht="15" x14ac:dyDescent="0.2">
      <c r="A153" s="90" t="str">
        <f>Бюджет!A373</f>
        <v>Б1.В.03</v>
      </c>
      <c r="B153" s="60" t="str">
        <f>Бюджет!B373</f>
        <v>Компьютерные технологии</v>
      </c>
      <c r="C153" s="74" t="str">
        <f>Бюджет!C373</f>
        <v>1\1</v>
      </c>
      <c r="D153" s="74">
        <f>Бюджет!D373</f>
        <v>5</v>
      </c>
      <c r="E153" s="74">
        <f>Бюджет!E373</f>
        <v>1</v>
      </c>
      <c r="F153" s="70">
        <f>Бюджет!F373</f>
        <v>36</v>
      </c>
      <c r="G153" s="70">
        <f>Бюджет!G373</f>
        <v>36</v>
      </c>
      <c r="H153" s="70">
        <f>Бюджет!H373</f>
        <v>0</v>
      </c>
      <c r="I153" s="70">
        <f>Бюджет!I373</f>
        <v>0</v>
      </c>
      <c r="J153" s="70">
        <f>Бюджет!J373</f>
        <v>36</v>
      </c>
      <c r="K153" s="70">
        <f>Бюджет!K373</f>
        <v>0</v>
      </c>
      <c r="L153" s="70">
        <f>Бюджет!L373</f>
        <v>0</v>
      </c>
      <c r="M153" s="70">
        <f>Бюджет!M373</f>
        <v>2</v>
      </c>
      <c r="N153" s="70">
        <f>Бюджет!N373</f>
        <v>0</v>
      </c>
      <c r="O153" s="70">
        <f>Бюджет!O373</f>
        <v>0</v>
      </c>
      <c r="P153" s="70">
        <f>Бюджет!P373</f>
        <v>0</v>
      </c>
      <c r="Q153" s="70">
        <f>Бюджет!Q373</f>
        <v>2.8</v>
      </c>
      <c r="R153" s="70">
        <f>Бюджет!R373</f>
        <v>0</v>
      </c>
      <c r="S153" s="70">
        <f>Бюджет!S373</f>
        <v>0</v>
      </c>
      <c r="T153" s="70">
        <f>Бюджет!T373</f>
        <v>0</v>
      </c>
      <c r="U153" s="70">
        <f>Бюджет!U373</f>
        <v>0</v>
      </c>
      <c r="V153" s="70">
        <f>Бюджет!V373</f>
        <v>0</v>
      </c>
      <c r="W153" s="70">
        <f>Бюджет!W373</f>
        <v>0</v>
      </c>
      <c r="X153" s="70">
        <f>Бюджет!X373</f>
        <v>0</v>
      </c>
      <c r="Y153" s="70">
        <f>Бюджет!Y373</f>
        <v>0</v>
      </c>
      <c r="Z153" s="70">
        <f>Бюджет!Z373</f>
        <v>0</v>
      </c>
      <c r="AA153" s="70">
        <f>Бюджет!AA373</f>
        <v>0</v>
      </c>
      <c r="AB153" s="70">
        <f>Бюджет!AB373</f>
        <v>0</v>
      </c>
      <c r="AC153" s="70">
        <f>Бюджет!AC373</f>
        <v>0</v>
      </c>
      <c r="AD153" s="70">
        <f>Бюджет!AD373</f>
        <v>0</v>
      </c>
      <c r="AE153" s="70">
        <f>Бюджет!AE373</f>
        <v>0</v>
      </c>
      <c r="AF153" s="70">
        <f>Бюджет!AF373</f>
        <v>0</v>
      </c>
      <c r="AG153" s="70">
        <f>Бюджет!AG373</f>
        <v>0</v>
      </c>
      <c r="AH153" s="70">
        <f>Бюджет!AH373</f>
        <v>0</v>
      </c>
      <c r="AI153" s="70">
        <f>Бюджет!AI373</f>
        <v>2</v>
      </c>
      <c r="AJ153" s="66">
        <f t="shared" si="14"/>
        <v>78.8</v>
      </c>
      <c r="AK153" s="74"/>
    </row>
    <row r="154" spans="1:37" s="32" customFormat="1" ht="15" x14ac:dyDescent="0.2">
      <c r="A154" s="90" t="str">
        <f>Бюджет!A374</f>
        <v>Б1.В.ДВ.01.01</v>
      </c>
      <c r="B154" s="60" t="str">
        <f>Бюджет!B374</f>
        <v>Волны в неоднородных средах</v>
      </c>
      <c r="C154" s="74" t="str">
        <f>Бюджет!C374</f>
        <v>1\1</v>
      </c>
      <c r="D154" s="74">
        <f>Бюджет!D374</f>
        <v>5</v>
      </c>
      <c r="E154" s="74">
        <f>Бюджет!E374</f>
        <v>1</v>
      </c>
      <c r="F154" s="70">
        <f>Бюджет!F374</f>
        <v>18</v>
      </c>
      <c r="G154" s="70">
        <f>Бюджет!G374</f>
        <v>18</v>
      </c>
      <c r="H154" s="70">
        <f>Бюджет!H374</f>
        <v>18</v>
      </c>
      <c r="I154" s="70">
        <f>Бюджет!I374</f>
        <v>18</v>
      </c>
      <c r="J154" s="70">
        <f>Бюджет!J374</f>
        <v>0</v>
      </c>
      <c r="K154" s="70">
        <f>Бюджет!K374</f>
        <v>1.5</v>
      </c>
      <c r="L154" s="70">
        <f>Бюджет!L374</f>
        <v>0</v>
      </c>
      <c r="M154" s="70">
        <f>Бюджет!M374</f>
        <v>0</v>
      </c>
      <c r="N154" s="70">
        <f>Бюджет!N374</f>
        <v>0</v>
      </c>
      <c r="O154" s="70">
        <f>Бюджет!O374</f>
        <v>0</v>
      </c>
      <c r="P154" s="70">
        <f>Бюджет!P374</f>
        <v>0</v>
      </c>
      <c r="Q154" s="70">
        <f>Бюджет!Q374</f>
        <v>0.9</v>
      </c>
      <c r="R154" s="70">
        <f>Бюджет!R374</f>
        <v>0</v>
      </c>
      <c r="S154" s="70">
        <f>Бюджет!S374</f>
        <v>0</v>
      </c>
      <c r="T154" s="70">
        <f>Бюджет!T374</f>
        <v>0</v>
      </c>
      <c r="U154" s="70">
        <f>Бюджет!U374</f>
        <v>0</v>
      </c>
      <c r="V154" s="70">
        <f>Бюджет!V374</f>
        <v>0</v>
      </c>
      <c r="W154" s="70">
        <f>Бюджет!W374</f>
        <v>0</v>
      </c>
      <c r="X154" s="70">
        <f>Бюджет!X374</f>
        <v>0</v>
      </c>
      <c r="Y154" s="70">
        <f>Бюджет!Y374</f>
        <v>0</v>
      </c>
      <c r="Z154" s="70">
        <f>Бюджет!Z374</f>
        <v>0</v>
      </c>
      <c r="AA154" s="70">
        <f>Бюджет!AA374</f>
        <v>0</v>
      </c>
      <c r="AB154" s="70">
        <f>Бюджет!AB374</f>
        <v>0</v>
      </c>
      <c r="AC154" s="70">
        <f>Бюджет!AC374</f>
        <v>0</v>
      </c>
      <c r="AD154" s="70">
        <f>Бюджет!AD374</f>
        <v>0</v>
      </c>
      <c r="AE154" s="70">
        <f>Бюджет!AE374</f>
        <v>0</v>
      </c>
      <c r="AF154" s="70">
        <f>Бюджет!AF374</f>
        <v>0</v>
      </c>
      <c r="AG154" s="70">
        <f>Бюджет!AG374</f>
        <v>0</v>
      </c>
      <c r="AH154" s="70">
        <f>Бюджет!AH374</f>
        <v>0</v>
      </c>
      <c r="AI154" s="70">
        <f>Бюджет!AI374</f>
        <v>0</v>
      </c>
      <c r="AJ154" s="66">
        <f t="shared" si="14"/>
        <v>38.4</v>
      </c>
      <c r="AK154" s="74"/>
    </row>
    <row r="155" spans="1:37" s="32" customFormat="1" ht="30" x14ac:dyDescent="0.2">
      <c r="A155" s="90" t="str">
        <f>Бюджет!A375</f>
        <v>Б2.В.01(У)</v>
      </c>
      <c r="B155" s="60" t="str">
        <f>Бюджет!B375</f>
        <v>Учебная практика (Научно-исследовательская работа)</v>
      </c>
      <c r="C155" s="74" t="str">
        <f>Бюджет!C375</f>
        <v>1\2</v>
      </c>
      <c r="D155" s="74">
        <f>Бюджет!D375</f>
        <v>5</v>
      </c>
      <c r="E155" s="74">
        <f>Бюджет!E375</f>
        <v>1</v>
      </c>
      <c r="F155" s="70">
        <f>Бюджет!F375</f>
        <v>0</v>
      </c>
      <c r="G155" s="70">
        <f>Бюджет!G375</f>
        <v>0</v>
      </c>
      <c r="H155" s="70">
        <f>Бюджет!H375</f>
        <v>0</v>
      </c>
      <c r="I155" s="70">
        <f>Бюджет!I375</f>
        <v>0</v>
      </c>
      <c r="J155" s="70">
        <f>Бюджет!J375</f>
        <v>0</v>
      </c>
      <c r="K155" s="70">
        <f>Бюджет!K375</f>
        <v>0</v>
      </c>
      <c r="L155" s="70">
        <f>Бюджет!L375</f>
        <v>0</v>
      </c>
      <c r="M155" s="70">
        <f>Бюджет!M375</f>
        <v>0</v>
      </c>
      <c r="N155" s="70">
        <f>Бюджет!N375</f>
        <v>0</v>
      </c>
      <c r="O155" s="70">
        <f>Бюджет!O375</f>
        <v>0</v>
      </c>
      <c r="P155" s="70">
        <f>Бюджет!P375</f>
        <v>0</v>
      </c>
      <c r="Q155" s="70">
        <f>Бюджет!Q375</f>
        <v>0</v>
      </c>
      <c r="R155" s="70">
        <f>Бюджет!R375</f>
        <v>0</v>
      </c>
      <c r="S155" s="70">
        <f>Бюджет!S375</f>
        <v>50</v>
      </c>
      <c r="T155" s="70">
        <f>Бюджет!T375</f>
        <v>0</v>
      </c>
      <c r="U155" s="70">
        <f>Бюджет!U375</f>
        <v>0</v>
      </c>
      <c r="V155" s="70">
        <f>Бюджет!V375</f>
        <v>0</v>
      </c>
      <c r="W155" s="70">
        <f>Бюджет!W375</f>
        <v>0</v>
      </c>
      <c r="X155" s="70">
        <f>Бюджет!X375</f>
        <v>0</v>
      </c>
      <c r="Y155" s="70">
        <f>Бюджет!Y375</f>
        <v>0</v>
      </c>
      <c r="Z155" s="70">
        <f>Бюджет!Z375</f>
        <v>0</v>
      </c>
      <c r="AA155" s="70">
        <f>Бюджет!AA375</f>
        <v>0</v>
      </c>
      <c r="AB155" s="70">
        <f>Бюджет!AB375</f>
        <v>0</v>
      </c>
      <c r="AC155" s="70">
        <f>Бюджет!AC375</f>
        <v>0</v>
      </c>
      <c r="AD155" s="70">
        <f>Бюджет!AD375</f>
        <v>0</v>
      </c>
      <c r="AE155" s="70">
        <f>Бюджет!AE375</f>
        <v>0</v>
      </c>
      <c r="AF155" s="70">
        <f>Бюджет!AF375</f>
        <v>0</v>
      </c>
      <c r="AG155" s="70">
        <f>Бюджет!AG375</f>
        <v>0</v>
      </c>
      <c r="AH155" s="70">
        <f>Бюджет!AH375</f>
        <v>0</v>
      </c>
      <c r="AI155" s="70">
        <f>Бюджет!AI375</f>
        <v>0</v>
      </c>
      <c r="AJ155" s="66">
        <f t="shared" si="14"/>
        <v>50</v>
      </c>
      <c r="AK155" s="74"/>
    </row>
    <row r="156" spans="1:37" s="32" customFormat="1" ht="30" x14ac:dyDescent="0.2">
      <c r="A156" s="90">
        <f>Бюджет!A376</f>
        <v>0</v>
      </c>
      <c r="B156" s="60" t="str">
        <f>Бюджет!B376</f>
        <v>Руководство программой магистерской подготовки</v>
      </c>
      <c r="C156" s="74">
        <f>Бюджет!C376</f>
        <v>0</v>
      </c>
      <c r="D156" s="74">
        <f>Бюджет!D376</f>
        <v>0</v>
      </c>
      <c r="E156" s="74">
        <f>Бюджет!E376</f>
        <v>0</v>
      </c>
      <c r="F156" s="70">
        <f>Бюджет!F376</f>
        <v>0</v>
      </c>
      <c r="G156" s="70">
        <f>Бюджет!G376</f>
        <v>0</v>
      </c>
      <c r="H156" s="70">
        <f>Бюджет!H376</f>
        <v>0</v>
      </c>
      <c r="I156" s="70">
        <f>Бюджет!I376</f>
        <v>0</v>
      </c>
      <c r="J156" s="70">
        <f>Бюджет!J376</f>
        <v>0</v>
      </c>
      <c r="K156" s="70">
        <f>Бюджет!K376</f>
        <v>0</v>
      </c>
      <c r="L156" s="70">
        <f>Бюджет!L376</f>
        <v>0</v>
      </c>
      <c r="M156" s="70">
        <f>Бюджет!M376</f>
        <v>0</v>
      </c>
      <c r="N156" s="70">
        <f>Бюджет!N376</f>
        <v>0</v>
      </c>
      <c r="O156" s="70">
        <f>Бюджет!O376</f>
        <v>0</v>
      </c>
      <c r="P156" s="70">
        <f>Бюджет!P376</f>
        <v>0</v>
      </c>
      <c r="Q156" s="70">
        <f>Бюджет!Q376</f>
        <v>0</v>
      </c>
      <c r="R156" s="70">
        <f>Бюджет!R376</f>
        <v>0</v>
      </c>
      <c r="S156" s="70">
        <f>Бюджет!S376</f>
        <v>0</v>
      </c>
      <c r="T156" s="70">
        <f>Бюджет!T376</f>
        <v>0</v>
      </c>
      <c r="U156" s="70">
        <f>Бюджет!U376</f>
        <v>0</v>
      </c>
      <c r="V156" s="70">
        <f>Бюджет!V376</f>
        <v>0</v>
      </c>
      <c r="W156" s="70">
        <f>Бюджет!W376</f>
        <v>0</v>
      </c>
      <c r="X156" s="70">
        <f>Бюджет!X376</f>
        <v>0</v>
      </c>
      <c r="Y156" s="70">
        <f>Бюджет!Y376</f>
        <v>0</v>
      </c>
      <c r="Z156" s="70">
        <f>Бюджет!Z376</f>
        <v>0</v>
      </c>
      <c r="AA156" s="70">
        <f>Бюджет!AA376</f>
        <v>0</v>
      </c>
      <c r="AB156" s="70">
        <f>Бюджет!AB376</f>
        <v>0</v>
      </c>
      <c r="AC156" s="70">
        <f>Бюджет!AC376</f>
        <v>0</v>
      </c>
      <c r="AD156" s="70">
        <f>Бюджет!AD376</f>
        <v>0</v>
      </c>
      <c r="AE156" s="70">
        <f>Бюджет!AE376</f>
        <v>30</v>
      </c>
      <c r="AF156" s="70">
        <f>Бюджет!AF376</f>
        <v>0</v>
      </c>
      <c r="AG156" s="70">
        <f>Бюджет!AG376</f>
        <v>0</v>
      </c>
      <c r="AH156" s="70">
        <f>Бюджет!AH376</f>
        <v>0</v>
      </c>
      <c r="AI156" s="70">
        <f>Бюджет!AI376</f>
        <v>0</v>
      </c>
      <c r="AJ156" s="66">
        <f t="shared" si="14"/>
        <v>30</v>
      </c>
      <c r="AK156" s="74"/>
    </row>
    <row r="157" spans="1:37" s="32" customFormat="1" ht="30" x14ac:dyDescent="0.2">
      <c r="A157" s="90" t="str">
        <f>Бюджет!A377</f>
        <v>Б1.В.02</v>
      </c>
      <c r="B157" s="60" t="str">
        <f>Бюджет!B377</f>
        <v>Автоматизация радиофизического эксперимента</v>
      </c>
      <c r="C157" s="74" t="str">
        <f>Бюджет!C377</f>
        <v>2\3</v>
      </c>
      <c r="D157" s="74">
        <f>Бюджет!D377</f>
        <v>5</v>
      </c>
      <c r="E157" s="74">
        <f>Бюджет!E377</f>
        <v>1</v>
      </c>
      <c r="F157" s="70">
        <f>Бюджет!F377</f>
        <v>36</v>
      </c>
      <c r="G157" s="70">
        <f>Бюджет!G377</f>
        <v>36</v>
      </c>
      <c r="H157" s="70">
        <f>Бюджет!H377</f>
        <v>36</v>
      </c>
      <c r="I157" s="70">
        <f>Бюджет!I377</f>
        <v>36</v>
      </c>
      <c r="J157" s="70">
        <f>Бюджет!J377</f>
        <v>0</v>
      </c>
      <c r="K157" s="70">
        <f>Бюджет!K377</f>
        <v>0</v>
      </c>
      <c r="L157" s="70">
        <f>Бюджет!L377</f>
        <v>0</v>
      </c>
      <c r="M157" s="70">
        <f>Бюджет!M377</f>
        <v>2</v>
      </c>
      <c r="N157" s="70">
        <f>Бюджет!N377</f>
        <v>0</v>
      </c>
      <c r="O157" s="70">
        <f>Бюджет!O377</f>
        <v>0</v>
      </c>
      <c r="P157" s="70">
        <f>Бюджет!P377</f>
        <v>0</v>
      </c>
      <c r="Q157" s="70">
        <f>Бюджет!Q377</f>
        <v>2.8</v>
      </c>
      <c r="R157" s="70">
        <f>Бюджет!R377</f>
        <v>0</v>
      </c>
      <c r="S157" s="70">
        <f>Бюджет!S377</f>
        <v>0</v>
      </c>
      <c r="T157" s="70">
        <f>Бюджет!T377</f>
        <v>0</v>
      </c>
      <c r="U157" s="70">
        <f>Бюджет!U377</f>
        <v>0</v>
      </c>
      <c r="V157" s="70">
        <f>Бюджет!V377</f>
        <v>0</v>
      </c>
      <c r="W157" s="70">
        <f>Бюджет!W377</f>
        <v>0</v>
      </c>
      <c r="X157" s="70">
        <f>Бюджет!X377</f>
        <v>0</v>
      </c>
      <c r="Y157" s="70">
        <f>Бюджет!Y377</f>
        <v>0</v>
      </c>
      <c r="Z157" s="70">
        <f>Бюджет!Z377</f>
        <v>0</v>
      </c>
      <c r="AA157" s="70">
        <f>Бюджет!AA377</f>
        <v>0</v>
      </c>
      <c r="AB157" s="70">
        <f>Бюджет!AB377</f>
        <v>0</v>
      </c>
      <c r="AC157" s="70">
        <f>Бюджет!AC377</f>
        <v>0</v>
      </c>
      <c r="AD157" s="70">
        <f>Бюджет!AD377</f>
        <v>0</v>
      </c>
      <c r="AE157" s="70">
        <f>Бюджет!AE377</f>
        <v>0</v>
      </c>
      <c r="AF157" s="70">
        <f>Бюджет!AF377</f>
        <v>0</v>
      </c>
      <c r="AG157" s="70">
        <f>Бюджет!AG377</f>
        <v>0</v>
      </c>
      <c r="AH157" s="70">
        <f>Бюджет!AH377</f>
        <v>0</v>
      </c>
      <c r="AI157" s="70">
        <f>Бюджет!AI377</f>
        <v>4</v>
      </c>
      <c r="AJ157" s="66">
        <f t="shared" si="14"/>
        <v>80.8</v>
      </c>
      <c r="AK157" s="74"/>
    </row>
    <row r="158" spans="1:37" s="32" customFormat="1" ht="15" x14ac:dyDescent="0.2">
      <c r="A158" s="90" t="str">
        <f>Бюджет!A378</f>
        <v>Б1.В.04</v>
      </c>
      <c r="B158" s="60" t="str">
        <f>Бюджет!B378</f>
        <v>Моделирование распространения радиоволн</v>
      </c>
      <c r="C158" s="74" t="str">
        <f>Бюджет!C378</f>
        <v>2\3</v>
      </c>
      <c r="D158" s="74">
        <f>Бюджет!D378</f>
        <v>5</v>
      </c>
      <c r="E158" s="74">
        <f>Бюджет!E378</f>
        <v>1</v>
      </c>
      <c r="F158" s="70">
        <f>Бюджет!F378</f>
        <v>0</v>
      </c>
      <c r="G158" s="70">
        <f>Бюджет!G378</f>
        <v>0</v>
      </c>
      <c r="H158" s="70">
        <f>Бюджет!H378</f>
        <v>0</v>
      </c>
      <c r="I158" s="70">
        <f>Бюджет!I378</f>
        <v>0</v>
      </c>
      <c r="J158" s="70">
        <f>Бюджет!J378</f>
        <v>72</v>
      </c>
      <c r="K158" s="70">
        <f>Бюджет!K378</f>
        <v>1.5</v>
      </c>
      <c r="L158" s="70">
        <f>Бюджет!L378</f>
        <v>0</v>
      </c>
      <c r="M158" s="70">
        <f>Бюджет!M378</f>
        <v>0</v>
      </c>
      <c r="N158" s="70">
        <f>Бюджет!N378</f>
        <v>0</v>
      </c>
      <c r="O158" s="70">
        <f>Бюджет!O378</f>
        <v>0</v>
      </c>
      <c r="P158" s="70">
        <f>Бюджет!P378</f>
        <v>0</v>
      </c>
      <c r="Q158" s="70">
        <f>Бюджет!Q378</f>
        <v>0</v>
      </c>
      <c r="R158" s="70">
        <f>Бюджет!R378</f>
        <v>0</v>
      </c>
      <c r="S158" s="70">
        <f>Бюджет!S378</f>
        <v>0</v>
      </c>
      <c r="T158" s="70">
        <f>Бюджет!T378</f>
        <v>0</v>
      </c>
      <c r="U158" s="70">
        <f>Бюджет!U378</f>
        <v>0</v>
      </c>
      <c r="V158" s="70">
        <f>Бюджет!V378</f>
        <v>0</v>
      </c>
      <c r="W158" s="70">
        <f>Бюджет!W378</f>
        <v>0</v>
      </c>
      <c r="X158" s="70">
        <f>Бюджет!X378</f>
        <v>0</v>
      </c>
      <c r="Y158" s="70">
        <f>Бюджет!Y378</f>
        <v>0</v>
      </c>
      <c r="Z158" s="70">
        <f>Бюджет!Z378</f>
        <v>0</v>
      </c>
      <c r="AA158" s="70">
        <f>Бюджет!AA378</f>
        <v>0</v>
      </c>
      <c r="AB158" s="70">
        <f>Бюджет!AB378</f>
        <v>0</v>
      </c>
      <c r="AC158" s="70">
        <f>Бюджет!AC378</f>
        <v>0</v>
      </c>
      <c r="AD158" s="70">
        <f>Бюджет!AD378</f>
        <v>0</v>
      </c>
      <c r="AE158" s="70">
        <f>Бюджет!AE378</f>
        <v>0</v>
      </c>
      <c r="AF158" s="70">
        <f>Бюджет!AF378</f>
        <v>0</v>
      </c>
      <c r="AG158" s="70">
        <f>Бюджет!AG378</f>
        <v>0</v>
      </c>
      <c r="AH158" s="70">
        <f>Бюджет!AH378</f>
        <v>0</v>
      </c>
      <c r="AI158" s="70">
        <f>Бюджет!AI378</f>
        <v>0</v>
      </c>
      <c r="AJ158" s="66">
        <f t="shared" si="14"/>
        <v>73.5</v>
      </c>
      <c r="AK158" s="74"/>
    </row>
    <row r="159" spans="1:37" s="32" customFormat="1" ht="30" x14ac:dyDescent="0.2">
      <c r="A159" s="60" t="str">
        <f>Бюджет!A381</f>
        <v>Б2.О.02(Н)</v>
      </c>
      <c r="B159" s="60" t="str">
        <f>Бюджет!B381</f>
        <v>Производственная практика (Научно-исследовательская работа)</v>
      </c>
      <c r="C159" s="67" t="str">
        <f>Бюджет!C381</f>
        <v>2\3</v>
      </c>
      <c r="D159" s="67">
        <v>4</v>
      </c>
      <c r="E159" s="67"/>
      <c r="F159" s="66">
        <f>Бюджет!F381</f>
        <v>0</v>
      </c>
      <c r="G159" s="66">
        <f>Бюджет!G381</f>
        <v>0</v>
      </c>
      <c r="H159" s="66">
        <f>Бюджет!H381</f>
        <v>0</v>
      </c>
      <c r="I159" s="66">
        <f>Бюджет!I381</f>
        <v>0</v>
      </c>
      <c r="J159" s="66">
        <f>Бюджет!J381</f>
        <v>0</v>
      </c>
      <c r="K159" s="66">
        <f>Бюджет!K381</f>
        <v>0</v>
      </c>
      <c r="L159" s="66">
        <f>Бюджет!L381</f>
        <v>0</v>
      </c>
      <c r="M159" s="66">
        <f>Бюджет!M381</f>
        <v>0</v>
      </c>
      <c r="N159" s="66">
        <f>Бюджет!N381</f>
        <v>0</v>
      </c>
      <c r="O159" s="66">
        <f>Бюджет!O381</f>
        <v>0</v>
      </c>
      <c r="P159" s="66">
        <f>Бюджет!P381</f>
        <v>0</v>
      </c>
      <c r="Q159" s="66">
        <f>Бюджет!Q381</f>
        <v>0</v>
      </c>
      <c r="R159" s="66">
        <f>Бюджет!R381</f>
        <v>0</v>
      </c>
      <c r="S159" s="66">
        <f>Бюджет!S381</f>
        <v>0</v>
      </c>
      <c r="T159" s="66">
        <f>Бюджет!T381/5*4</f>
        <v>24</v>
      </c>
      <c r="U159" s="66">
        <f>Бюджет!U381</f>
        <v>0</v>
      </c>
      <c r="V159" s="66">
        <f>Бюджет!V381</f>
        <v>0</v>
      </c>
      <c r="W159" s="66">
        <f>Бюджет!W381</f>
        <v>0</v>
      </c>
      <c r="X159" s="66">
        <f>Бюджет!X381</f>
        <v>0</v>
      </c>
      <c r="Y159" s="66">
        <f>Бюджет!Y381</f>
        <v>0</v>
      </c>
      <c r="Z159" s="66">
        <f>Бюджет!Z381</f>
        <v>0</v>
      </c>
      <c r="AA159" s="66">
        <f>Бюджет!AA381</f>
        <v>0</v>
      </c>
      <c r="AB159" s="66">
        <f>Бюджет!AB381</f>
        <v>0</v>
      </c>
      <c r="AC159" s="66">
        <f>Бюджет!AC381</f>
        <v>0</v>
      </c>
      <c r="AD159" s="66">
        <f>Бюджет!AD381</f>
        <v>0</v>
      </c>
      <c r="AE159" s="66">
        <f>Бюджет!AE381</f>
        <v>0</v>
      </c>
      <c r="AF159" s="66">
        <f>Бюджет!AF381</f>
        <v>0</v>
      </c>
      <c r="AG159" s="66">
        <f>Бюджет!AG381</f>
        <v>0</v>
      </c>
      <c r="AH159" s="66">
        <f>Бюджет!AH381</f>
        <v>0</v>
      </c>
      <c r="AI159" s="66">
        <f>Бюджет!AI381</f>
        <v>0</v>
      </c>
      <c r="AJ159" s="66">
        <f t="shared" si="14"/>
        <v>24</v>
      </c>
      <c r="AK159" s="74"/>
    </row>
    <row r="160" spans="1:37" s="32" customFormat="1" ht="15" x14ac:dyDescent="0.2">
      <c r="A160" s="60" t="str">
        <f>Бюджет!A382</f>
        <v>Б2.О.01(Пд)</v>
      </c>
      <c r="B160" s="60" t="str">
        <f>Бюджет!B382</f>
        <v>Преддипломная практика</v>
      </c>
      <c r="C160" s="67" t="str">
        <f>Бюджет!C382</f>
        <v>2\4</v>
      </c>
      <c r="D160" s="67">
        <v>4</v>
      </c>
      <c r="E160" s="67"/>
      <c r="F160" s="66">
        <f>Бюджет!F382</f>
        <v>0</v>
      </c>
      <c r="G160" s="66">
        <f>Бюджет!G382</f>
        <v>0</v>
      </c>
      <c r="H160" s="66">
        <f>Бюджет!H382</f>
        <v>0</v>
      </c>
      <c r="I160" s="66">
        <f>Бюджет!I382</f>
        <v>0</v>
      </c>
      <c r="J160" s="66">
        <f>Бюджет!J382</f>
        <v>0</v>
      </c>
      <c r="K160" s="66">
        <f>Бюджет!K382</f>
        <v>0</v>
      </c>
      <c r="L160" s="66">
        <f>Бюджет!L382</f>
        <v>0</v>
      </c>
      <c r="M160" s="66">
        <f>Бюджет!M382</f>
        <v>0</v>
      </c>
      <c r="N160" s="66">
        <f>Бюджет!N382</f>
        <v>0</v>
      </c>
      <c r="O160" s="66">
        <f>Бюджет!O382</f>
        <v>0</v>
      </c>
      <c r="P160" s="66">
        <f>Бюджет!P382</f>
        <v>0</v>
      </c>
      <c r="Q160" s="66">
        <f>Бюджет!Q382</f>
        <v>0</v>
      </c>
      <c r="R160" s="66">
        <f>Бюджет!R382</f>
        <v>0</v>
      </c>
      <c r="S160" s="66">
        <f>Бюджет!S382</f>
        <v>0</v>
      </c>
      <c r="T160" s="66">
        <f>Бюджет!T382/5*4</f>
        <v>69.333333333333329</v>
      </c>
      <c r="U160" s="66">
        <f>Бюджет!U382</f>
        <v>0</v>
      </c>
      <c r="V160" s="66">
        <f>Бюджет!V382</f>
        <v>0</v>
      </c>
      <c r="W160" s="66">
        <f>Бюджет!W382</f>
        <v>0</v>
      </c>
      <c r="X160" s="66">
        <f>Бюджет!X382</f>
        <v>0</v>
      </c>
      <c r="Y160" s="66">
        <f>Бюджет!Y382</f>
        <v>0</v>
      </c>
      <c r="Z160" s="66">
        <f>Бюджет!Z382</f>
        <v>0</v>
      </c>
      <c r="AA160" s="66">
        <f>Бюджет!AA382</f>
        <v>0</v>
      </c>
      <c r="AB160" s="66">
        <f>Бюджет!AB382</f>
        <v>0</v>
      </c>
      <c r="AC160" s="66">
        <f>Бюджет!AC382</f>
        <v>0</v>
      </c>
      <c r="AD160" s="66">
        <f>Бюджет!AD382</f>
        <v>0</v>
      </c>
      <c r="AE160" s="66">
        <f>Бюджет!AE382</f>
        <v>0</v>
      </c>
      <c r="AF160" s="66">
        <f>Бюджет!AF382</f>
        <v>0</v>
      </c>
      <c r="AG160" s="66">
        <f>Бюджет!AG382</f>
        <v>0</v>
      </c>
      <c r="AH160" s="66">
        <f>Бюджет!AH382</f>
        <v>0</v>
      </c>
      <c r="AI160" s="66">
        <f>Бюджет!AI382</f>
        <v>0</v>
      </c>
      <c r="AJ160" s="66">
        <f t="shared" si="14"/>
        <v>69.333333333333329</v>
      </c>
      <c r="AK160" s="74"/>
    </row>
    <row r="161" spans="1:37" s="32" customFormat="1" ht="15" x14ac:dyDescent="0.2">
      <c r="A161" s="60">
        <f>Бюджет!A383</f>
        <v>0</v>
      </c>
      <c r="B161" s="60" t="str">
        <f>Бюджет!B383</f>
        <v>ГИА (ВКР защита) комиссия 7 человека</v>
      </c>
      <c r="C161" s="67" t="str">
        <f>Бюджет!C383</f>
        <v>2\4</v>
      </c>
      <c r="D161" s="67">
        <f>Бюджет!D383</f>
        <v>5</v>
      </c>
      <c r="E161" s="67">
        <f>Бюджет!E383</f>
        <v>1</v>
      </c>
      <c r="F161" s="66">
        <f>Бюджет!F383</f>
        <v>0</v>
      </c>
      <c r="G161" s="66">
        <f>Бюджет!G383</f>
        <v>0</v>
      </c>
      <c r="H161" s="66">
        <f>Бюджет!H383</f>
        <v>0</v>
      </c>
      <c r="I161" s="66">
        <f>Бюджет!I383</f>
        <v>0</v>
      </c>
      <c r="J161" s="66">
        <f>Бюджет!J383</f>
        <v>0</v>
      </c>
      <c r="K161" s="66">
        <f>Бюджет!K383</f>
        <v>0</v>
      </c>
      <c r="L161" s="66">
        <f>Бюджет!L383</f>
        <v>0</v>
      </c>
      <c r="M161" s="66">
        <f>Бюджет!M383</f>
        <v>0</v>
      </c>
      <c r="N161" s="66">
        <f>Бюджет!N383</f>
        <v>0</v>
      </c>
      <c r="O161" s="66">
        <f>Бюджет!O383</f>
        <v>0</v>
      </c>
      <c r="P161" s="66">
        <f>Бюджет!P383</f>
        <v>0</v>
      </c>
      <c r="Q161" s="66">
        <f>Бюджет!Q383</f>
        <v>0</v>
      </c>
      <c r="R161" s="66">
        <f>Бюджет!R383</f>
        <v>0</v>
      </c>
      <c r="S161" s="66">
        <f>Бюджет!S383</f>
        <v>0</v>
      </c>
      <c r="T161" s="66">
        <f>Бюджет!T383</f>
        <v>0</v>
      </c>
      <c r="U161" s="66">
        <f>Бюджет!U383</f>
        <v>0</v>
      </c>
      <c r="V161" s="66">
        <f>Бюджет!V383</f>
        <v>0</v>
      </c>
      <c r="W161" s="66">
        <f>Бюджет!W383</f>
        <v>0</v>
      </c>
      <c r="X161" s="66">
        <f>Бюджет!X383</f>
        <v>0</v>
      </c>
      <c r="Y161" s="66">
        <f>Бюджет!Y383</f>
        <v>0</v>
      </c>
      <c r="Z161" s="66">
        <f>Бюджет!Z383</f>
        <v>0</v>
      </c>
      <c r="AA161" s="66">
        <f>Бюджет!AA383</f>
        <v>0</v>
      </c>
      <c r="AB161" s="66">
        <f>Бюджет!AB383</f>
        <v>17.5</v>
      </c>
      <c r="AC161" s="66">
        <f>Бюджет!AC383</f>
        <v>0</v>
      </c>
      <c r="AD161" s="66">
        <f>Бюджет!AD383</f>
        <v>0</v>
      </c>
      <c r="AE161" s="66">
        <f>Бюджет!AE383</f>
        <v>0</v>
      </c>
      <c r="AF161" s="66">
        <f>Бюджет!AF383</f>
        <v>0</v>
      </c>
      <c r="AG161" s="66">
        <f>Бюджет!AG383</f>
        <v>0</v>
      </c>
      <c r="AH161" s="66">
        <f>Бюджет!AH383</f>
        <v>0</v>
      </c>
      <c r="AI161" s="66">
        <f>Бюджет!AI383</f>
        <v>0</v>
      </c>
      <c r="AJ161" s="66">
        <f t="shared" si="14"/>
        <v>17.5</v>
      </c>
      <c r="AK161" s="74"/>
    </row>
    <row r="162" spans="1:37" s="32" customFormat="1" ht="15" x14ac:dyDescent="0.2">
      <c r="A162" s="60">
        <f>Бюджет!A384</f>
        <v>0</v>
      </c>
      <c r="B162" s="60" t="str">
        <f>Бюджет!B384</f>
        <v>Подготовка и рецензирование ВКР</v>
      </c>
      <c r="C162" s="67" t="str">
        <f>Бюджет!C384</f>
        <v>2\4</v>
      </c>
      <c r="D162" s="67">
        <v>4</v>
      </c>
      <c r="E162" s="67"/>
      <c r="F162" s="66">
        <f>Бюджет!F384</f>
        <v>0</v>
      </c>
      <c r="G162" s="66">
        <f>Бюджет!G384</f>
        <v>0</v>
      </c>
      <c r="H162" s="66">
        <f>Бюджет!H384</f>
        <v>0</v>
      </c>
      <c r="I162" s="66">
        <f>Бюджет!I384</f>
        <v>0</v>
      </c>
      <c r="J162" s="66">
        <f>Бюджет!J384</f>
        <v>0</v>
      </c>
      <c r="K162" s="66">
        <f>Бюджет!K384</f>
        <v>0</v>
      </c>
      <c r="L162" s="66">
        <f>Бюджет!L384</f>
        <v>0</v>
      </c>
      <c r="M162" s="66">
        <f>Бюджет!M384</f>
        <v>0</v>
      </c>
      <c r="N162" s="66">
        <f>Бюджет!N384</f>
        <v>0</v>
      </c>
      <c r="O162" s="66">
        <f>Бюджет!O384</f>
        <v>0</v>
      </c>
      <c r="P162" s="66">
        <f>Бюджет!P384</f>
        <v>0</v>
      </c>
      <c r="Q162" s="66">
        <f>Бюджет!Q384</f>
        <v>0</v>
      </c>
      <c r="R162" s="66">
        <f>Бюджет!R384</f>
        <v>0</v>
      </c>
      <c r="S162" s="66">
        <f>Бюджет!S384</f>
        <v>0</v>
      </c>
      <c r="T162" s="66">
        <f>Бюджет!T384</f>
        <v>0</v>
      </c>
      <c r="U162" s="66">
        <f>Бюджет!U384</f>
        <v>0</v>
      </c>
      <c r="V162" s="66">
        <f>Бюджет!V384</f>
        <v>0</v>
      </c>
      <c r="W162" s="66">
        <f>Бюджет!W384/5*4</f>
        <v>120</v>
      </c>
      <c r="X162" s="66">
        <f>Бюджет!X384/5*4</f>
        <v>20</v>
      </c>
      <c r="Y162" s="66">
        <f>Бюджет!Y384</f>
        <v>0</v>
      </c>
      <c r="Z162" s="66">
        <f>Бюджет!Z384</f>
        <v>0</v>
      </c>
      <c r="AA162" s="66">
        <f>Бюджет!AA384</f>
        <v>0</v>
      </c>
      <c r="AB162" s="66">
        <f>Бюджет!AB384</f>
        <v>0</v>
      </c>
      <c r="AC162" s="66">
        <f>Бюджет!AC384</f>
        <v>0</v>
      </c>
      <c r="AD162" s="66">
        <f>Бюджет!AD384</f>
        <v>0</v>
      </c>
      <c r="AE162" s="66">
        <f>Бюджет!AE384</f>
        <v>0</v>
      </c>
      <c r="AF162" s="66">
        <f>Бюджет!AF384</f>
        <v>0</v>
      </c>
      <c r="AG162" s="66">
        <f>Бюджет!AG384</f>
        <v>0</v>
      </c>
      <c r="AH162" s="66">
        <f>Бюджет!AH384</f>
        <v>0</v>
      </c>
      <c r="AI162" s="66">
        <f>Бюджет!AI384</f>
        <v>0</v>
      </c>
      <c r="AJ162" s="66">
        <f t="shared" si="14"/>
        <v>140</v>
      </c>
      <c r="AK162" s="74"/>
    </row>
    <row r="163" spans="1:37" s="32" customFormat="1" ht="15.75" x14ac:dyDescent="0.25">
      <c r="A163" s="29"/>
      <c r="B163" s="85" t="s">
        <v>231</v>
      </c>
      <c r="C163" s="86"/>
      <c r="D163" s="86"/>
      <c r="E163" s="86"/>
      <c r="F163" s="103">
        <f>SUM(F146:F162)</f>
        <v>302</v>
      </c>
      <c r="G163" s="103">
        <f t="shared" ref="G163:AJ163" si="15">SUM(G146:G162)</f>
        <v>302</v>
      </c>
      <c r="H163" s="103">
        <f t="shared" si="15"/>
        <v>166</v>
      </c>
      <c r="I163" s="103">
        <f t="shared" si="15"/>
        <v>166</v>
      </c>
      <c r="J163" s="103">
        <f t="shared" si="15"/>
        <v>188</v>
      </c>
      <c r="K163" s="103">
        <f t="shared" si="15"/>
        <v>12</v>
      </c>
      <c r="L163" s="103">
        <f t="shared" si="15"/>
        <v>0</v>
      </c>
      <c r="M163" s="103">
        <f t="shared" si="15"/>
        <v>12</v>
      </c>
      <c r="N163" s="103">
        <f t="shared" si="15"/>
        <v>0</v>
      </c>
      <c r="O163" s="103">
        <f t="shared" si="15"/>
        <v>0</v>
      </c>
      <c r="P163" s="103">
        <f t="shared" si="15"/>
        <v>0</v>
      </c>
      <c r="Q163" s="103">
        <f t="shared" si="15"/>
        <v>21.099999999999998</v>
      </c>
      <c r="R163" s="103">
        <f t="shared" si="15"/>
        <v>0</v>
      </c>
      <c r="S163" s="103">
        <f t="shared" si="15"/>
        <v>50</v>
      </c>
      <c r="T163" s="103">
        <f t="shared" si="15"/>
        <v>93.333333333333329</v>
      </c>
      <c r="U163" s="103">
        <f t="shared" si="15"/>
        <v>0</v>
      </c>
      <c r="V163" s="103">
        <f t="shared" si="15"/>
        <v>0</v>
      </c>
      <c r="W163" s="103">
        <f t="shared" si="15"/>
        <v>120</v>
      </c>
      <c r="X163" s="103">
        <f t="shared" si="15"/>
        <v>20</v>
      </c>
      <c r="Y163" s="103">
        <f t="shared" si="15"/>
        <v>0</v>
      </c>
      <c r="Z163" s="103">
        <f t="shared" si="15"/>
        <v>0</v>
      </c>
      <c r="AA163" s="103">
        <f t="shared" si="15"/>
        <v>0</v>
      </c>
      <c r="AB163" s="103">
        <f t="shared" si="15"/>
        <v>17.5</v>
      </c>
      <c r="AC163" s="103">
        <f t="shared" si="15"/>
        <v>0</v>
      </c>
      <c r="AD163" s="103">
        <f t="shared" si="15"/>
        <v>0</v>
      </c>
      <c r="AE163" s="103">
        <f t="shared" si="15"/>
        <v>30</v>
      </c>
      <c r="AF163" s="103">
        <f t="shared" si="15"/>
        <v>0</v>
      </c>
      <c r="AG163" s="103">
        <f t="shared" si="15"/>
        <v>0</v>
      </c>
      <c r="AH163" s="103">
        <f t="shared" si="15"/>
        <v>0</v>
      </c>
      <c r="AI163" s="103">
        <f t="shared" si="15"/>
        <v>19</v>
      </c>
      <c r="AJ163" s="103">
        <f t="shared" si="15"/>
        <v>1050.9333333333334</v>
      </c>
      <c r="AK163" s="33"/>
    </row>
    <row r="164" spans="1:37" s="32" customFormat="1" ht="15" x14ac:dyDescent="0.2">
      <c r="A164" s="29"/>
      <c r="B164" s="34"/>
      <c r="C164" s="29"/>
      <c r="D164" s="29"/>
      <c r="E164" s="29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66">
        <f t="shared" ref="AJ164" si="16">SUM(G164,I164:AI164)</f>
        <v>0</v>
      </c>
      <c r="AK164" s="33"/>
    </row>
    <row r="165" spans="1:37" s="32" customFormat="1" ht="15.75" x14ac:dyDescent="0.25">
      <c r="A165" s="31"/>
      <c r="B165" s="97" t="s">
        <v>239</v>
      </c>
      <c r="C165" s="104"/>
      <c r="D165" s="104"/>
      <c r="E165" s="104"/>
      <c r="F165" s="96">
        <f>SUM(F163,F123,F72,F67,F129,F142)</f>
        <v>2458</v>
      </c>
      <c r="G165" s="96">
        <f t="shared" ref="G165:AJ165" si="17">SUM(G163,G123,G72,G67,G129,G142)</f>
        <v>2198</v>
      </c>
      <c r="H165" s="96">
        <f t="shared" si="17"/>
        <v>1282</v>
      </c>
      <c r="I165" s="96">
        <f t="shared" si="17"/>
        <v>1330</v>
      </c>
      <c r="J165" s="96">
        <f t="shared" si="17"/>
        <v>4606</v>
      </c>
      <c r="K165" s="96">
        <f t="shared" si="17"/>
        <v>456</v>
      </c>
      <c r="L165" s="96">
        <f t="shared" si="17"/>
        <v>0</v>
      </c>
      <c r="M165" s="96">
        <f t="shared" si="17"/>
        <v>140.80000000000001</v>
      </c>
      <c r="N165" s="96">
        <f t="shared" si="17"/>
        <v>0</v>
      </c>
      <c r="O165" s="96">
        <f t="shared" si="17"/>
        <v>0</v>
      </c>
      <c r="P165" s="96">
        <f t="shared" si="17"/>
        <v>0</v>
      </c>
      <c r="Q165" s="96">
        <f t="shared" si="17"/>
        <v>130.90000000000003</v>
      </c>
      <c r="R165" s="96">
        <f t="shared" si="17"/>
        <v>0</v>
      </c>
      <c r="S165" s="96">
        <f t="shared" si="17"/>
        <v>86</v>
      </c>
      <c r="T165" s="96">
        <f t="shared" si="17"/>
        <v>570</v>
      </c>
      <c r="U165" s="96">
        <f t="shared" si="17"/>
        <v>30.9</v>
      </c>
      <c r="V165" s="96">
        <f t="shared" si="17"/>
        <v>15</v>
      </c>
      <c r="W165" s="96">
        <f t="shared" si="17"/>
        <v>776</v>
      </c>
      <c r="X165" s="96">
        <f t="shared" si="17"/>
        <v>20</v>
      </c>
      <c r="Y165" s="96">
        <f t="shared" si="17"/>
        <v>0</v>
      </c>
      <c r="Z165" s="96">
        <f t="shared" si="17"/>
        <v>0</v>
      </c>
      <c r="AA165" s="96">
        <f t="shared" si="17"/>
        <v>0</v>
      </c>
      <c r="AB165" s="96">
        <f t="shared" si="17"/>
        <v>161</v>
      </c>
      <c r="AC165" s="96">
        <f t="shared" si="17"/>
        <v>0</v>
      </c>
      <c r="AD165" s="96">
        <f t="shared" si="17"/>
        <v>0</v>
      </c>
      <c r="AE165" s="96">
        <f t="shared" si="17"/>
        <v>30</v>
      </c>
      <c r="AF165" s="96">
        <f t="shared" si="17"/>
        <v>0</v>
      </c>
      <c r="AG165" s="96">
        <f t="shared" si="17"/>
        <v>0</v>
      </c>
      <c r="AH165" s="96">
        <f t="shared" si="17"/>
        <v>0</v>
      </c>
      <c r="AI165" s="96">
        <f t="shared" si="17"/>
        <v>89</v>
      </c>
      <c r="AJ165" s="96">
        <f t="shared" si="17"/>
        <v>10639.599999999999</v>
      </c>
      <c r="AK165" s="31"/>
    </row>
    <row r="166" spans="1:37" s="32" customFormat="1" ht="15" x14ac:dyDescent="0.2">
      <c r="A166" s="29"/>
      <c r="B166" s="34"/>
      <c r="C166" s="29"/>
      <c r="D166" s="29"/>
      <c r="E166" s="29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62"/>
    </row>
    <row r="167" spans="1:37" s="32" customFormat="1" ht="15.75" x14ac:dyDescent="0.25">
      <c r="A167" s="29"/>
      <c r="B167" s="34"/>
      <c r="C167" s="29"/>
      <c r="D167" s="29"/>
      <c r="E167" s="29"/>
      <c r="F167" s="33"/>
      <c r="G167" s="33"/>
      <c r="H167" s="33"/>
      <c r="I167" s="33"/>
      <c r="J167" s="33"/>
      <c r="K167" s="424" t="str">
        <f>Бюджет!K489</f>
        <v>ИМИТ</v>
      </c>
      <c r="L167" s="424"/>
      <c r="M167" s="424"/>
      <c r="N167" s="424"/>
      <c r="O167" s="424"/>
      <c r="P167" s="424"/>
      <c r="Q167" s="424"/>
      <c r="R167" s="424"/>
      <c r="S167" s="424"/>
      <c r="T167" s="424"/>
      <c r="U167" s="424"/>
      <c r="V167" s="424"/>
      <c r="W167" s="424"/>
      <c r="X167" s="424"/>
      <c r="Y167" s="424"/>
      <c r="Z167" s="424"/>
      <c r="AA167" s="424"/>
      <c r="AB167" s="424"/>
      <c r="AC167" s="33"/>
      <c r="AD167" s="33"/>
      <c r="AE167" s="33"/>
      <c r="AF167" s="33"/>
      <c r="AG167" s="33"/>
      <c r="AH167" s="33"/>
      <c r="AI167" s="33"/>
      <c r="AJ167" s="33"/>
      <c r="AK167" s="59"/>
    </row>
    <row r="168" spans="1:37" s="32" customFormat="1" ht="15.75" customHeight="1" x14ac:dyDescent="0.2">
      <c r="A168" s="61"/>
      <c r="B168" s="115"/>
      <c r="C168" s="61"/>
      <c r="D168" s="61"/>
      <c r="E168" s="61"/>
      <c r="F168" s="33"/>
      <c r="G168" s="33"/>
      <c r="H168" s="33"/>
      <c r="I168" s="425" t="str">
        <f>Бюджет!G490</f>
        <v>Направление 01.03.02 "Прикладная математика и информатика", профиль "Системы искусственного интеллекта"</v>
      </c>
      <c r="J168" s="426"/>
      <c r="K168" s="426"/>
      <c r="L168" s="426"/>
      <c r="M168" s="426"/>
      <c r="N168" s="426"/>
      <c r="O168" s="426"/>
      <c r="P168" s="426"/>
      <c r="Q168" s="426"/>
      <c r="R168" s="426"/>
      <c r="S168" s="426"/>
      <c r="T168" s="426"/>
      <c r="U168" s="426"/>
      <c r="V168" s="426"/>
      <c r="W168" s="426"/>
      <c r="X168" s="426"/>
      <c r="Y168" s="426"/>
      <c r="Z168" s="426"/>
      <c r="AA168" s="426"/>
      <c r="AB168" s="426"/>
      <c r="AC168" s="426"/>
      <c r="AD168" s="427"/>
      <c r="AE168" s="33"/>
      <c r="AF168" s="33"/>
      <c r="AG168" s="33"/>
      <c r="AH168" s="33"/>
      <c r="AI168" s="33"/>
      <c r="AJ168" s="33"/>
      <c r="AK168" s="61"/>
    </row>
    <row r="169" spans="1:37" s="32" customFormat="1" ht="30" x14ac:dyDescent="0.2">
      <c r="A169" s="77" t="str">
        <f>Бюджет!A491</f>
        <v>Б1.O.29</v>
      </c>
      <c r="B169" s="116" t="str">
        <f>Бюджет!B491</f>
        <v>Вычислительные системы и компьютерные сети</v>
      </c>
      <c r="C169" s="77" t="str">
        <f>Бюджет!C491</f>
        <v>1/2</v>
      </c>
      <c r="D169" s="77">
        <f>Бюджет!D491</f>
        <v>26</v>
      </c>
      <c r="E169" s="77">
        <f>Бюджет!E491</f>
        <v>1</v>
      </c>
      <c r="F169" s="81">
        <f>Бюджет!F491</f>
        <v>18</v>
      </c>
      <c r="G169" s="81">
        <f>Бюджет!G491</f>
        <v>18</v>
      </c>
      <c r="H169" s="81">
        <f>Бюджет!H491</f>
        <v>0</v>
      </c>
      <c r="I169" s="81">
        <f>Бюджет!I491</f>
        <v>0</v>
      </c>
      <c r="J169" s="81">
        <f>Бюджет!J491</f>
        <v>108</v>
      </c>
      <c r="K169" s="81">
        <f>Бюджет!K491</f>
        <v>7.8</v>
      </c>
      <c r="L169" s="81">
        <f>Бюджет!L491</f>
        <v>0</v>
      </c>
      <c r="M169" s="81">
        <f>Бюджет!M491</f>
        <v>0</v>
      </c>
      <c r="N169" s="81">
        <f>Бюджет!N491</f>
        <v>0</v>
      </c>
      <c r="O169" s="81">
        <f>Бюджет!O491</f>
        <v>0</v>
      </c>
      <c r="P169" s="81">
        <f>Бюджет!P491</f>
        <v>0</v>
      </c>
      <c r="Q169" s="81">
        <f>Бюджет!Q491</f>
        <v>0.9</v>
      </c>
      <c r="R169" s="81">
        <f>Бюджет!R491</f>
        <v>0</v>
      </c>
      <c r="S169" s="81">
        <f>Бюджет!S491</f>
        <v>0</v>
      </c>
      <c r="T169" s="81">
        <f>Бюджет!T491</f>
        <v>0</v>
      </c>
      <c r="U169" s="81">
        <f>Бюджет!U491</f>
        <v>0</v>
      </c>
      <c r="V169" s="81">
        <f>Бюджет!V491</f>
        <v>0</v>
      </c>
      <c r="W169" s="81">
        <f>Бюджет!W491</f>
        <v>0</v>
      </c>
      <c r="X169" s="81">
        <f>Бюджет!X491</f>
        <v>0</v>
      </c>
      <c r="Y169" s="81">
        <f>Бюджет!Y491</f>
        <v>0</v>
      </c>
      <c r="Z169" s="81">
        <f>Бюджет!Z491</f>
        <v>0</v>
      </c>
      <c r="AA169" s="81">
        <f>Бюджет!AA491</f>
        <v>0</v>
      </c>
      <c r="AB169" s="81">
        <f>Бюджет!AB491</f>
        <v>0</v>
      </c>
      <c r="AC169" s="81">
        <f>Бюджет!AC491</f>
        <v>0</v>
      </c>
      <c r="AD169" s="81">
        <f>Бюджет!AD491</f>
        <v>0</v>
      </c>
      <c r="AE169" s="81">
        <f>Бюджет!AE491</f>
        <v>0</v>
      </c>
      <c r="AF169" s="81">
        <f>Бюджет!AF491</f>
        <v>0</v>
      </c>
      <c r="AG169" s="81">
        <f>Бюджет!AG491</f>
        <v>0</v>
      </c>
      <c r="AH169" s="81">
        <f>Бюджет!AH491</f>
        <v>0</v>
      </c>
      <c r="AI169" s="81">
        <f>Бюджет!AI491</f>
        <v>0</v>
      </c>
      <c r="AJ169" s="70">
        <f>SUM(G169,I169:AI169)</f>
        <v>134.70000000000002</v>
      </c>
      <c r="AK169" s="61"/>
    </row>
    <row r="170" spans="1:37" s="32" customFormat="1" ht="15.75" customHeight="1" x14ac:dyDescent="0.2">
      <c r="A170" s="77"/>
      <c r="B170" s="116"/>
      <c r="C170" s="77"/>
      <c r="D170" s="77"/>
      <c r="E170" s="77"/>
      <c r="F170" s="81"/>
      <c r="G170" s="81"/>
      <c r="H170" s="81"/>
      <c r="I170" s="425" t="str">
        <f>Бюджет!G492</f>
        <v>Направление 01.03.02 "Прикладная математика и информатика", профиль "Математическое моделирование и программирование систем управления"</v>
      </c>
      <c r="J170" s="426"/>
      <c r="K170" s="426"/>
      <c r="L170" s="426"/>
      <c r="M170" s="426"/>
      <c r="N170" s="426"/>
      <c r="O170" s="426"/>
      <c r="P170" s="426"/>
      <c r="Q170" s="426"/>
      <c r="R170" s="426"/>
      <c r="S170" s="426"/>
      <c r="T170" s="426"/>
      <c r="U170" s="426"/>
      <c r="V170" s="426"/>
      <c r="W170" s="426"/>
      <c r="X170" s="426"/>
      <c r="Y170" s="426"/>
      <c r="Z170" s="426"/>
      <c r="AA170" s="426"/>
      <c r="AB170" s="426"/>
      <c r="AC170" s="426"/>
      <c r="AD170" s="427"/>
      <c r="AE170" s="81"/>
      <c r="AF170" s="81"/>
      <c r="AG170" s="81"/>
      <c r="AH170" s="81"/>
      <c r="AI170" s="81"/>
      <c r="AJ170" s="70"/>
      <c r="AK170" s="61"/>
    </row>
    <row r="171" spans="1:37" s="32" customFormat="1" ht="30" x14ac:dyDescent="0.2">
      <c r="A171" s="77" t="str">
        <f>Бюджет!A493</f>
        <v>Б1.O.29</v>
      </c>
      <c r="B171" s="116" t="str">
        <f>Бюджет!B493</f>
        <v>Вычислительные системы и компьютерные сети</v>
      </c>
      <c r="C171" s="77" t="str">
        <f>Бюджет!C493</f>
        <v>1/2</v>
      </c>
      <c r="D171" s="77">
        <f>Бюджет!D493</f>
        <v>25</v>
      </c>
      <c r="E171" s="77">
        <f>Бюджет!E493</f>
        <v>1</v>
      </c>
      <c r="F171" s="81">
        <f>Бюджет!F493</f>
        <v>18</v>
      </c>
      <c r="G171" s="81">
        <f>Бюджет!G493</f>
        <v>0</v>
      </c>
      <c r="H171" s="81">
        <f>Бюджет!H493</f>
        <v>0</v>
      </c>
      <c r="I171" s="81">
        <f>Бюджет!I493</f>
        <v>0</v>
      </c>
      <c r="J171" s="81">
        <f>Бюджет!J493</f>
        <v>108</v>
      </c>
      <c r="K171" s="81">
        <f>Бюджет!K493</f>
        <v>7.5</v>
      </c>
      <c r="L171" s="81">
        <f>Бюджет!L493</f>
        <v>0</v>
      </c>
      <c r="M171" s="81">
        <f>Бюджет!M493</f>
        <v>0</v>
      </c>
      <c r="N171" s="81">
        <f>Бюджет!N493</f>
        <v>0</v>
      </c>
      <c r="O171" s="81">
        <f>Бюджет!O493</f>
        <v>0</v>
      </c>
      <c r="P171" s="81">
        <f>Бюджет!P493</f>
        <v>0</v>
      </c>
      <c r="Q171" s="81">
        <f>Бюджет!Q493</f>
        <v>0</v>
      </c>
      <c r="R171" s="81">
        <f>Бюджет!R493</f>
        <v>0</v>
      </c>
      <c r="S171" s="81">
        <f>Бюджет!S493</f>
        <v>0</v>
      </c>
      <c r="T171" s="81">
        <f>Бюджет!T493</f>
        <v>0</v>
      </c>
      <c r="U171" s="81">
        <f>Бюджет!U493</f>
        <v>0</v>
      </c>
      <c r="V171" s="81">
        <f>Бюджет!V493</f>
        <v>0</v>
      </c>
      <c r="W171" s="81">
        <f>Бюджет!W493</f>
        <v>0</v>
      </c>
      <c r="X171" s="81">
        <f>Бюджет!X493</f>
        <v>0</v>
      </c>
      <c r="Y171" s="81">
        <f>Бюджет!Y493</f>
        <v>0</v>
      </c>
      <c r="Z171" s="81">
        <f>Бюджет!Z493</f>
        <v>0</v>
      </c>
      <c r="AA171" s="81">
        <f>Бюджет!AA493</f>
        <v>0</v>
      </c>
      <c r="AB171" s="81">
        <f>Бюджет!AB493</f>
        <v>0</v>
      </c>
      <c r="AC171" s="81">
        <f>Бюджет!AC493</f>
        <v>0</v>
      </c>
      <c r="AD171" s="81">
        <f>Бюджет!AD493</f>
        <v>0</v>
      </c>
      <c r="AE171" s="81">
        <f>Бюджет!AE493</f>
        <v>0</v>
      </c>
      <c r="AF171" s="81">
        <f>Бюджет!AF493</f>
        <v>0</v>
      </c>
      <c r="AG171" s="81">
        <f>Бюджет!AG493</f>
        <v>0</v>
      </c>
      <c r="AH171" s="81">
        <f>Бюджет!AH493</f>
        <v>0</v>
      </c>
      <c r="AI171" s="81">
        <f>Бюджет!AI493</f>
        <v>0</v>
      </c>
      <c r="AJ171" s="70">
        <f>SUM(G171,I171:AI171)</f>
        <v>115.5</v>
      </c>
      <c r="AK171" s="61"/>
    </row>
    <row r="172" spans="1:37" s="32" customFormat="1" ht="15.75" customHeight="1" x14ac:dyDescent="0.2">
      <c r="A172" s="77"/>
      <c r="B172" s="116"/>
      <c r="C172" s="77"/>
      <c r="D172" s="77"/>
      <c r="E172" s="77"/>
      <c r="F172" s="81"/>
      <c r="G172" s="81"/>
      <c r="H172" s="81"/>
      <c r="I172" s="425" t="str">
        <f>Бюджет!G494</f>
        <v>Направление 01.03.02 "Прикладная математика и информатика", профиль "Системная и бизнес-аналитика"</v>
      </c>
      <c r="J172" s="426"/>
      <c r="K172" s="426"/>
      <c r="L172" s="426"/>
      <c r="M172" s="426"/>
      <c r="N172" s="426"/>
      <c r="O172" s="426"/>
      <c r="P172" s="426"/>
      <c r="Q172" s="426"/>
      <c r="R172" s="426"/>
      <c r="S172" s="426"/>
      <c r="T172" s="426"/>
      <c r="U172" s="426"/>
      <c r="V172" s="426"/>
      <c r="W172" s="426"/>
      <c r="X172" s="426"/>
      <c r="Y172" s="426"/>
      <c r="Z172" s="426"/>
      <c r="AA172" s="426"/>
      <c r="AB172" s="426"/>
      <c r="AC172" s="426"/>
      <c r="AD172" s="427"/>
      <c r="AE172" s="81"/>
      <c r="AF172" s="81"/>
      <c r="AG172" s="81"/>
      <c r="AH172" s="81"/>
      <c r="AI172" s="81"/>
      <c r="AJ172" s="70"/>
      <c r="AK172" s="61"/>
    </row>
    <row r="173" spans="1:37" s="32" customFormat="1" ht="30" x14ac:dyDescent="0.2">
      <c r="A173" s="77" t="str">
        <f>Бюджет!A495</f>
        <v>Б1.O.29</v>
      </c>
      <c r="B173" s="116" t="str">
        <f>Бюджет!B495</f>
        <v>Вычислительные системы и компьютерные сети</v>
      </c>
      <c r="C173" s="77" t="str">
        <f>Бюджет!C495</f>
        <v>1/2</v>
      </c>
      <c r="D173" s="77">
        <f>Бюджет!D495</f>
        <v>25</v>
      </c>
      <c r="E173" s="77">
        <f>Бюджет!E495</f>
        <v>1</v>
      </c>
      <c r="F173" s="81">
        <f>Бюджет!F495</f>
        <v>18</v>
      </c>
      <c r="G173" s="81">
        <f>Бюджет!G495</f>
        <v>0</v>
      </c>
      <c r="H173" s="81">
        <f>Бюджет!H495</f>
        <v>0</v>
      </c>
      <c r="I173" s="81">
        <f>Бюджет!I495</f>
        <v>0</v>
      </c>
      <c r="J173" s="81">
        <f>Бюджет!J495</f>
        <v>108</v>
      </c>
      <c r="K173" s="81">
        <f>Бюджет!K495</f>
        <v>7.5</v>
      </c>
      <c r="L173" s="81">
        <f>Бюджет!L495</f>
        <v>0</v>
      </c>
      <c r="M173" s="81">
        <f>Бюджет!M495</f>
        <v>0</v>
      </c>
      <c r="N173" s="81">
        <f>Бюджет!N495</f>
        <v>0</v>
      </c>
      <c r="O173" s="81">
        <f>Бюджет!O495</f>
        <v>0</v>
      </c>
      <c r="P173" s="81">
        <f>Бюджет!P495</f>
        <v>0</v>
      </c>
      <c r="Q173" s="81">
        <f>Бюджет!Q495</f>
        <v>0</v>
      </c>
      <c r="R173" s="81">
        <f>Бюджет!R495</f>
        <v>0</v>
      </c>
      <c r="S173" s="81">
        <f>Бюджет!S495</f>
        <v>0</v>
      </c>
      <c r="T173" s="81">
        <f>Бюджет!T495</f>
        <v>0</v>
      </c>
      <c r="U173" s="81">
        <f>Бюджет!U495</f>
        <v>0</v>
      </c>
      <c r="V173" s="81">
        <f>Бюджет!V495</f>
        <v>0</v>
      </c>
      <c r="W173" s="81">
        <f>Бюджет!W495</f>
        <v>0</v>
      </c>
      <c r="X173" s="81">
        <f>Бюджет!X495</f>
        <v>0</v>
      </c>
      <c r="Y173" s="81">
        <f>Бюджет!Y495</f>
        <v>0</v>
      </c>
      <c r="Z173" s="81">
        <f>Бюджет!Z495</f>
        <v>0</v>
      </c>
      <c r="AA173" s="81">
        <f>Бюджет!AA495</f>
        <v>0</v>
      </c>
      <c r="AB173" s="81">
        <f>Бюджет!AB495</f>
        <v>0</v>
      </c>
      <c r="AC173" s="81">
        <f>Бюджет!AC495</f>
        <v>0</v>
      </c>
      <c r="AD173" s="81">
        <f>Бюджет!AD495</f>
        <v>0</v>
      </c>
      <c r="AE173" s="81">
        <f>Бюджет!AE495</f>
        <v>0</v>
      </c>
      <c r="AF173" s="81">
        <f>Бюджет!AF495</f>
        <v>0</v>
      </c>
      <c r="AG173" s="81">
        <f>Бюджет!AG495</f>
        <v>0</v>
      </c>
      <c r="AH173" s="81">
        <f>Бюджет!AH495</f>
        <v>0</v>
      </c>
      <c r="AI173" s="81">
        <f>Бюджет!AI495</f>
        <v>0</v>
      </c>
      <c r="AJ173" s="70">
        <f>SUM(G173,I173:AI173)</f>
        <v>115.5</v>
      </c>
      <c r="AK173" s="61"/>
    </row>
    <row r="174" spans="1:37" s="32" customFormat="1" ht="15.75" x14ac:dyDescent="0.2">
      <c r="A174" s="29"/>
      <c r="B174" s="80" t="s">
        <v>210</v>
      </c>
      <c r="C174" s="83"/>
      <c r="D174" s="84"/>
      <c r="E174" s="84"/>
      <c r="F174" s="88">
        <f t="shared" ref="F174:AJ174" si="18">SUM(F168:F173)</f>
        <v>54</v>
      </c>
      <c r="G174" s="88">
        <f t="shared" si="18"/>
        <v>18</v>
      </c>
      <c r="H174" s="88">
        <f t="shared" si="18"/>
        <v>0</v>
      </c>
      <c r="I174" s="88">
        <f t="shared" si="18"/>
        <v>0</v>
      </c>
      <c r="J174" s="88">
        <f t="shared" si="18"/>
        <v>324</v>
      </c>
      <c r="K174" s="88">
        <f t="shared" si="18"/>
        <v>22.8</v>
      </c>
      <c r="L174" s="88">
        <f t="shared" si="18"/>
        <v>0</v>
      </c>
      <c r="M174" s="88">
        <f t="shared" si="18"/>
        <v>0</v>
      </c>
      <c r="N174" s="88">
        <f t="shared" si="18"/>
        <v>0</v>
      </c>
      <c r="O174" s="88">
        <f t="shared" si="18"/>
        <v>0</v>
      </c>
      <c r="P174" s="88">
        <f t="shared" si="18"/>
        <v>0</v>
      </c>
      <c r="Q174" s="88">
        <f t="shared" si="18"/>
        <v>0.9</v>
      </c>
      <c r="R174" s="88">
        <f t="shared" si="18"/>
        <v>0</v>
      </c>
      <c r="S174" s="88">
        <f t="shared" si="18"/>
        <v>0</v>
      </c>
      <c r="T174" s="88">
        <f t="shared" si="18"/>
        <v>0</v>
      </c>
      <c r="U174" s="88">
        <f t="shared" si="18"/>
        <v>0</v>
      </c>
      <c r="V174" s="88">
        <f t="shared" si="18"/>
        <v>0</v>
      </c>
      <c r="W174" s="88">
        <f t="shared" si="18"/>
        <v>0</v>
      </c>
      <c r="X174" s="88">
        <f t="shared" si="18"/>
        <v>0</v>
      </c>
      <c r="Y174" s="88">
        <f t="shared" si="18"/>
        <v>0</v>
      </c>
      <c r="Z174" s="88">
        <f t="shared" si="18"/>
        <v>0</v>
      </c>
      <c r="AA174" s="88">
        <f t="shared" si="18"/>
        <v>0</v>
      </c>
      <c r="AB174" s="88">
        <f t="shared" si="18"/>
        <v>0</v>
      </c>
      <c r="AC174" s="88">
        <f t="shared" si="18"/>
        <v>0</v>
      </c>
      <c r="AD174" s="88">
        <f t="shared" si="18"/>
        <v>0</v>
      </c>
      <c r="AE174" s="88">
        <f t="shared" si="18"/>
        <v>0</v>
      </c>
      <c r="AF174" s="88">
        <f t="shared" si="18"/>
        <v>0</v>
      </c>
      <c r="AG174" s="88">
        <f t="shared" si="18"/>
        <v>0</v>
      </c>
      <c r="AH174" s="88">
        <f t="shared" si="18"/>
        <v>0</v>
      </c>
      <c r="AI174" s="88">
        <f t="shared" si="18"/>
        <v>0</v>
      </c>
      <c r="AJ174" s="88">
        <f t="shared" si="18"/>
        <v>365.70000000000005</v>
      </c>
      <c r="AK174" s="59"/>
    </row>
    <row r="175" spans="1:37" s="32" customFormat="1" ht="15" x14ac:dyDescent="0.2">
      <c r="A175" s="31"/>
      <c r="B175" s="34"/>
      <c r="C175" s="31"/>
      <c r="D175" s="31"/>
      <c r="E175" s="31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1"/>
    </row>
    <row r="176" spans="1:37" s="32" customFormat="1" ht="15.75" x14ac:dyDescent="0.25">
      <c r="A176" s="31"/>
      <c r="B176" s="97" t="s">
        <v>240</v>
      </c>
      <c r="C176" s="104"/>
      <c r="D176" s="104"/>
      <c r="E176" s="104"/>
      <c r="F176" s="96">
        <f>SUM(F174)</f>
        <v>54</v>
      </c>
      <c r="G176" s="96">
        <f t="shared" ref="G176:AI176" si="19">SUM(G174)</f>
        <v>18</v>
      </c>
      <c r="H176" s="96">
        <f t="shared" si="19"/>
        <v>0</v>
      </c>
      <c r="I176" s="96">
        <f t="shared" si="19"/>
        <v>0</v>
      </c>
      <c r="J176" s="96">
        <f t="shared" si="19"/>
        <v>324</v>
      </c>
      <c r="K176" s="96">
        <f t="shared" si="19"/>
        <v>22.8</v>
      </c>
      <c r="L176" s="96">
        <f t="shared" si="19"/>
        <v>0</v>
      </c>
      <c r="M176" s="96">
        <f t="shared" si="19"/>
        <v>0</v>
      </c>
      <c r="N176" s="96">
        <f t="shared" si="19"/>
        <v>0</v>
      </c>
      <c r="O176" s="96">
        <f t="shared" si="19"/>
        <v>0</v>
      </c>
      <c r="P176" s="96">
        <f t="shared" si="19"/>
        <v>0</v>
      </c>
      <c r="Q176" s="96">
        <f t="shared" si="19"/>
        <v>0.9</v>
      </c>
      <c r="R176" s="96">
        <f t="shared" si="19"/>
        <v>0</v>
      </c>
      <c r="S176" s="96">
        <f t="shared" si="19"/>
        <v>0</v>
      </c>
      <c r="T176" s="96">
        <f t="shared" si="19"/>
        <v>0</v>
      </c>
      <c r="U176" s="96">
        <f t="shared" si="19"/>
        <v>0</v>
      </c>
      <c r="V176" s="96">
        <f t="shared" si="19"/>
        <v>0</v>
      </c>
      <c r="W176" s="96">
        <f t="shared" si="19"/>
        <v>0</v>
      </c>
      <c r="X176" s="96">
        <f t="shared" si="19"/>
        <v>0</v>
      </c>
      <c r="Y176" s="96">
        <f t="shared" si="19"/>
        <v>0</v>
      </c>
      <c r="Z176" s="96">
        <f t="shared" si="19"/>
        <v>0</v>
      </c>
      <c r="AA176" s="96">
        <f t="shared" si="19"/>
        <v>0</v>
      </c>
      <c r="AB176" s="96">
        <f t="shared" si="19"/>
        <v>0</v>
      </c>
      <c r="AC176" s="96">
        <f t="shared" si="19"/>
        <v>0</v>
      </c>
      <c r="AD176" s="96">
        <f t="shared" si="19"/>
        <v>0</v>
      </c>
      <c r="AE176" s="96">
        <f t="shared" si="19"/>
        <v>0</v>
      </c>
      <c r="AF176" s="96">
        <f t="shared" si="19"/>
        <v>0</v>
      </c>
      <c r="AG176" s="96">
        <f t="shared" si="19"/>
        <v>0</v>
      </c>
      <c r="AH176" s="96">
        <f t="shared" si="19"/>
        <v>0</v>
      </c>
      <c r="AI176" s="96">
        <f t="shared" si="19"/>
        <v>0</v>
      </c>
      <c r="AJ176" s="96">
        <f>SUM(AJ174)</f>
        <v>365.70000000000005</v>
      </c>
      <c r="AK176" s="31"/>
    </row>
    <row r="177" spans="1:37" s="32" customFormat="1" ht="15" x14ac:dyDescent="0.2">
      <c r="A177" s="31"/>
      <c r="B177" s="31"/>
      <c r="C177" s="31"/>
      <c r="D177" s="31"/>
      <c r="E177" s="31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1"/>
    </row>
    <row r="178" spans="1:37" s="32" customFormat="1" ht="15.75" x14ac:dyDescent="0.25">
      <c r="A178" s="105"/>
      <c r="B178" s="37" t="s">
        <v>181</v>
      </c>
      <c r="C178" s="106"/>
      <c r="D178" s="106"/>
      <c r="E178" s="106"/>
      <c r="F178" s="87">
        <f t="shared" ref="F178:AJ178" si="20">SUM(F176,F165)</f>
        <v>2512</v>
      </c>
      <c r="G178" s="87">
        <f t="shared" si="20"/>
        <v>2216</v>
      </c>
      <c r="H178" s="87">
        <f t="shared" si="20"/>
        <v>1282</v>
      </c>
      <c r="I178" s="87">
        <f t="shared" si="20"/>
        <v>1330</v>
      </c>
      <c r="J178" s="87">
        <f t="shared" si="20"/>
        <v>4930</v>
      </c>
      <c r="K178" s="87">
        <f t="shared" si="20"/>
        <v>478.8</v>
      </c>
      <c r="L178" s="87">
        <f t="shared" si="20"/>
        <v>0</v>
      </c>
      <c r="M178" s="87">
        <f t="shared" si="20"/>
        <v>140.80000000000001</v>
      </c>
      <c r="N178" s="87">
        <f t="shared" si="20"/>
        <v>0</v>
      </c>
      <c r="O178" s="87">
        <f t="shared" si="20"/>
        <v>0</v>
      </c>
      <c r="P178" s="87">
        <f t="shared" si="20"/>
        <v>0</v>
      </c>
      <c r="Q178" s="87">
        <f t="shared" si="20"/>
        <v>131.80000000000004</v>
      </c>
      <c r="R178" s="87">
        <f t="shared" si="20"/>
        <v>0</v>
      </c>
      <c r="S178" s="87">
        <f t="shared" si="20"/>
        <v>86</v>
      </c>
      <c r="T178" s="87">
        <f t="shared" si="20"/>
        <v>570</v>
      </c>
      <c r="U178" s="87">
        <f t="shared" si="20"/>
        <v>30.9</v>
      </c>
      <c r="V178" s="87">
        <f t="shared" si="20"/>
        <v>15</v>
      </c>
      <c r="W178" s="87">
        <f t="shared" si="20"/>
        <v>776</v>
      </c>
      <c r="X178" s="87">
        <f t="shared" si="20"/>
        <v>20</v>
      </c>
      <c r="Y178" s="87">
        <f t="shared" si="20"/>
        <v>0</v>
      </c>
      <c r="Z178" s="87">
        <f t="shared" si="20"/>
        <v>0</v>
      </c>
      <c r="AA178" s="87">
        <f t="shared" si="20"/>
        <v>0</v>
      </c>
      <c r="AB178" s="87">
        <f t="shared" si="20"/>
        <v>161</v>
      </c>
      <c r="AC178" s="87">
        <f t="shared" si="20"/>
        <v>0</v>
      </c>
      <c r="AD178" s="87">
        <f t="shared" si="20"/>
        <v>0</v>
      </c>
      <c r="AE178" s="87">
        <f t="shared" si="20"/>
        <v>30</v>
      </c>
      <c r="AF178" s="87">
        <f t="shared" si="20"/>
        <v>0</v>
      </c>
      <c r="AG178" s="87">
        <f t="shared" si="20"/>
        <v>0</v>
      </c>
      <c r="AH178" s="87">
        <f t="shared" si="20"/>
        <v>0</v>
      </c>
      <c r="AI178" s="87">
        <f t="shared" si="20"/>
        <v>89</v>
      </c>
      <c r="AJ178" s="87">
        <f t="shared" si="20"/>
        <v>11005.3</v>
      </c>
      <c r="AK178" s="105"/>
    </row>
    <row r="179" spans="1:37" s="32" customFormat="1" ht="15" x14ac:dyDescent="0.2">
      <c r="AJ179" s="54">
        <f>SUM(G178,I178:AI178)-AJ178</f>
        <v>0</v>
      </c>
    </row>
    <row r="180" spans="1:37" s="32" customFormat="1" ht="15" x14ac:dyDescent="0.2">
      <c r="A180" s="423" t="s">
        <v>394</v>
      </c>
      <c r="B180" s="423"/>
      <c r="C180" s="423"/>
      <c r="D180" s="423"/>
      <c r="E180" s="423"/>
      <c r="F180" s="423"/>
      <c r="G180" s="423"/>
      <c r="H180" s="423"/>
      <c r="I180" s="423"/>
      <c r="J180" s="423"/>
      <c r="K180" s="423"/>
      <c r="L180" s="423"/>
      <c r="M180" s="423"/>
      <c r="N180" s="423"/>
      <c r="O180" s="423"/>
      <c r="P180" s="423"/>
      <c r="Q180" s="423"/>
      <c r="R180" s="423"/>
      <c r="S180" s="423"/>
      <c r="T180" s="423"/>
      <c r="U180" s="423"/>
      <c r="V180" s="423"/>
      <c r="W180" s="423"/>
      <c r="X180" s="423"/>
      <c r="Y180" s="423"/>
      <c r="Z180" s="423"/>
      <c r="AA180" s="423"/>
      <c r="AB180" s="423"/>
    </row>
    <row r="181" spans="1:37" s="32" customFormat="1" ht="15" x14ac:dyDescent="0.2"/>
  </sheetData>
  <protectedRanges>
    <protectedRange sqref="N1:AK11 K10:L11 A1:J11 L1:M9 K1:K8 AD22:AI22 A176 A73:J73 L73:AI73 J70 L70:AC70 A175:AK175 A15:AK20 A22:I22 C176:AK176 A123 A177:AK199 A130:AI130 AK130 L61:AI61 A143:AI143 A165:AK165 A67:A72 AK143 C123:AK123 A23:AI26 A61:J61 L64:AI64 A62:AI63 A64:J64 A65:AI66 B71:AI71 AK124 A124:AI124 AJ169:AJ173 A29:AI60 AD27:AI28 A27:I28 AK22:AK73 AK21 A21:I21 AD21:AI21" name="Диапазон1"/>
    <protectedRange sqref="M22:AC22 J22:K22 M69:AC69 J69:K69 M27:AC28 J27:K28 J21:K21 M21:AC21" name="Диапазон1_1"/>
    <protectedRange sqref="B69:I70 AD69:AI70 C72:AJ72 C68:AI68 C67:AJ67" name="Диапазон1_1_1"/>
    <protectedRange sqref="AK168" name="Диапазон1_2_2"/>
    <protectedRange sqref="I170:J170 AC168:AJ168 AK169:AK173 L169:AI173 I173:K173 I172:J172 I169:K169 I171:K171 A168:H173 J168" name="Диапазон1_2_1"/>
    <protectedRange sqref="B166:B167" name="Диапазон1_5_1"/>
    <protectedRange sqref="B67:B68" name="Диапазон1_5"/>
    <protectedRange sqref="B72" name="Диапазон1_6"/>
    <protectedRange sqref="B123" name="Диапазон1_7"/>
    <protectedRange sqref="B176" name="Диапазон1_9"/>
  </protectedRanges>
  <mergeCells count="66">
    <mergeCell ref="I172:AD172"/>
    <mergeCell ref="I170:AD170"/>
    <mergeCell ref="I168:AD168"/>
    <mergeCell ref="B2:G2"/>
    <mergeCell ref="J21:AC21"/>
    <mergeCell ref="B5:G5"/>
    <mergeCell ref="C12:C13"/>
    <mergeCell ref="D12:D13"/>
    <mergeCell ref="AC7:AK7"/>
    <mergeCell ref="B6:G6"/>
    <mergeCell ref="B3:G3"/>
    <mergeCell ref="N20:Y20"/>
    <mergeCell ref="AC3:AK3"/>
    <mergeCell ref="AI12:AI13"/>
    <mergeCell ref="B4:F4"/>
    <mergeCell ref="F12:G12"/>
    <mergeCell ref="B7:G7"/>
    <mergeCell ref="I9:Z9"/>
    <mergeCell ref="K11:X11"/>
    <mergeCell ref="A180:AB180"/>
    <mergeCell ref="AB12:AB13"/>
    <mergeCell ref="J69:AC69"/>
    <mergeCell ref="J61:AC61"/>
    <mergeCell ref="L74:AA74"/>
    <mergeCell ref="L144:AA144"/>
    <mergeCell ref="K126:AB126"/>
    <mergeCell ref="K114:AB114"/>
    <mergeCell ref="L125:AA125"/>
    <mergeCell ref="K145:AB145"/>
    <mergeCell ref="L131:AA131"/>
    <mergeCell ref="K132:AB132"/>
    <mergeCell ref="K167:AB167"/>
    <mergeCell ref="A12:A13"/>
    <mergeCell ref="E12:E13"/>
    <mergeCell ref="B12:B13"/>
    <mergeCell ref="J12:J13"/>
    <mergeCell ref="H12:I12"/>
    <mergeCell ref="AF1:AK1"/>
    <mergeCell ref="P12:P13"/>
    <mergeCell ref="Q12:R12"/>
    <mergeCell ref="S12:T12"/>
    <mergeCell ref="K10:X10"/>
    <mergeCell ref="Y12:Y13"/>
    <mergeCell ref="W12:X12"/>
    <mergeCell ref="Z12:Z13"/>
    <mergeCell ref="AA12:AA13"/>
    <mergeCell ref="U12:U13"/>
    <mergeCell ref="AJ12:AJ13"/>
    <mergeCell ref="AC6:AK6"/>
    <mergeCell ref="AC5:AK5"/>
    <mergeCell ref="V12:V13"/>
    <mergeCell ref="AE12:AF12"/>
    <mergeCell ref="AK12:AK13"/>
    <mergeCell ref="K105:AB105"/>
    <mergeCell ref="L12:O12"/>
    <mergeCell ref="AF2:AK2"/>
    <mergeCell ref="AG12:AH12"/>
    <mergeCell ref="J76:AC76"/>
    <mergeCell ref="J75:AC75"/>
    <mergeCell ref="J22:AC22"/>
    <mergeCell ref="J64:AC64"/>
    <mergeCell ref="J70:AC70"/>
    <mergeCell ref="AC12:AD12"/>
    <mergeCell ref="K12:K13"/>
    <mergeCell ref="J27:AC27"/>
    <mergeCell ref="J28:AC28"/>
  </mergeCells>
  <conditionalFormatting sqref="A172:I172">
    <cfRule type="cellIs" dxfId="75" priority="33" stopIfTrue="1" operator="equal">
      <formula>0</formula>
    </cfRule>
  </conditionalFormatting>
  <conditionalFormatting sqref="A73:AI74 AK73:XFD76 AJ73:AJ122 A75:J76 AD75:AI76 A77:AI104 AK77:IV122 A105:K105 AC105:AI105 A114:K114 AC114:AI114 A168:I168 AE168:XFD168 A169:XFD169 A170:I170 AE170:IV170 AE172:IV172 A177:XFD65551">
    <cfRule type="cellIs" dxfId="74" priority="34" stopIfTrue="1" operator="equal">
      <formula>0</formula>
    </cfRule>
  </conditionalFormatting>
  <conditionalFormatting sqref="A106:AI113 A115:AI122 A176:IV176">
    <cfRule type="cellIs" dxfId="73" priority="36" stopIfTrue="1" operator="equal">
      <formula>0</formula>
    </cfRule>
  </conditionalFormatting>
  <conditionalFormatting sqref="A1:XFD72">
    <cfRule type="cellIs" dxfId="72" priority="1" stopIfTrue="1" operator="equal">
      <formula>0</formula>
    </cfRule>
  </conditionalFormatting>
  <conditionalFormatting sqref="A123:XFD167">
    <cfRule type="cellIs" dxfId="71" priority="7" stopIfTrue="1" operator="equal">
      <formula>0</formula>
    </cfRule>
  </conditionalFormatting>
  <conditionalFormatting sqref="A171:XFD171">
    <cfRule type="cellIs" dxfId="70" priority="26" stopIfTrue="1" operator="equal">
      <formula>0</formula>
    </cfRule>
  </conditionalFormatting>
  <conditionalFormatting sqref="A173:XFD175">
    <cfRule type="cellIs" dxfId="69" priority="25" stopIfTrue="1" operator="equal">
      <formula>0</formula>
    </cfRule>
  </conditionalFormatting>
  <pageMargins left="0.7" right="0.7" top="0.75" bottom="0.75" header="0.3" footer="0.3"/>
  <pageSetup paperSize="9" scale="3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44"/>
  <sheetViews>
    <sheetView view="pageBreakPreview" zoomScale="70" zoomScaleNormal="80" zoomScaleSheetLayoutView="70" workbookViewId="0"/>
  </sheetViews>
  <sheetFormatPr defaultColWidth="9.140625" defaultRowHeight="12.75" x14ac:dyDescent="0.2"/>
  <cols>
    <col min="1" max="1" width="22.7109375" style="20" customWidth="1"/>
    <col min="2" max="2" width="56.140625" style="20" customWidth="1"/>
    <col min="3" max="5" width="5.5703125" style="20" customWidth="1"/>
    <col min="6" max="6" width="11.140625" style="20" customWidth="1"/>
    <col min="7" max="7" width="11.28515625" style="20" customWidth="1"/>
    <col min="8" max="8" width="11" style="20" customWidth="1"/>
    <col min="9" max="9" width="11.42578125" style="20" customWidth="1"/>
    <col min="10" max="10" width="9.42578125" style="20" customWidth="1"/>
    <col min="11" max="12" width="8.140625" style="20" customWidth="1"/>
    <col min="13" max="13" width="9.5703125" style="20" customWidth="1"/>
    <col min="14" max="14" width="8.85546875" style="20" customWidth="1"/>
    <col min="15" max="15" width="6.42578125" style="20" bestFit="1" customWidth="1"/>
    <col min="16" max="16" width="7.28515625" style="20" customWidth="1"/>
    <col min="17" max="17" width="9" style="20" bestFit="1" customWidth="1"/>
    <col min="18" max="18" width="8.28515625" style="20" customWidth="1"/>
    <col min="19" max="19" width="8.5703125" style="20" customWidth="1"/>
    <col min="20" max="20" width="9.5703125" style="20" customWidth="1"/>
    <col min="21" max="21" width="10.42578125" style="20" customWidth="1"/>
    <col min="22" max="22" width="9.42578125" style="20" customWidth="1"/>
    <col min="23" max="23" width="10" style="20" customWidth="1"/>
    <col min="24" max="24" width="7.42578125" style="20" customWidth="1"/>
    <col min="25" max="27" width="5.5703125" style="20" customWidth="1"/>
    <col min="28" max="28" width="8.5703125" style="20" customWidth="1"/>
    <col min="29" max="30" width="6.140625" style="20" customWidth="1"/>
    <col min="31" max="31" width="6" style="20" customWidth="1"/>
    <col min="32" max="32" width="8" style="20" bestFit="1" customWidth="1"/>
    <col min="33" max="33" width="7.5703125" style="20" customWidth="1"/>
    <col min="34" max="34" width="10.28515625" style="20" customWidth="1"/>
    <col min="35" max="35" width="9.5703125" style="20" customWidth="1"/>
    <col min="36" max="36" width="10.5703125" style="20" customWidth="1"/>
    <col min="37" max="37" width="15.85546875" style="20" bestFit="1" customWidth="1"/>
    <col min="38" max="38" width="9.140625" style="20"/>
    <col min="39" max="39" width="9.5703125" style="20" bestFit="1" customWidth="1"/>
    <col min="40" max="16384" width="9.140625" style="20"/>
  </cols>
  <sheetData>
    <row r="1" spans="1:37" s="205" customFormat="1" ht="15" x14ac:dyDescent="0.2">
      <c r="AF1" s="378" t="s">
        <v>153</v>
      </c>
      <c r="AG1" s="378"/>
      <c r="AH1" s="378"/>
      <c r="AI1" s="378"/>
      <c r="AJ1" s="378"/>
      <c r="AK1" s="378"/>
    </row>
    <row r="2" spans="1:37" s="205" customFormat="1" ht="15" x14ac:dyDescent="0.2">
      <c r="B2" s="378" t="s">
        <v>1</v>
      </c>
      <c r="C2" s="378"/>
      <c r="D2" s="378"/>
      <c r="E2" s="378"/>
      <c r="F2" s="378"/>
      <c r="G2" s="378"/>
      <c r="H2" s="277"/>
      <c r="I2" s="27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377"/>
      <c r="AG2" s="377"/>
      <c r="AH2" s="377"/>
      <c r="AI2" s="377"/>
      <c r="AJ2" s="377"/>
      <c r="AK2" s="377"/>
    </row>
    <row r="3" spans="1:37" s="205" customFormat="1" ht="15" x14ac:dyDescent="0.2">
      <c r="B3" s="378" t="s">
        <v>2</v>
      </c>
      <c r="C3" s="378"/>
      <c r="D3" s="378"/>
      <c r="E3" s="378"/>
      <c r="F3" s="378"/>
      <c r="G3" s="378"/>
      <c r="H3" s="277"/>
      <c r="I3" s="277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377" t="s">
        <v>3</v>
      </c>
      <c r="AD3" s="377"/>
      <c r="AE3" s="377"/>
      <c r="AF3" s="377"/>
      <c r="AG3" s="377"/>
      <c r="AH3" s="377"/>
      <c r="AI3" s="377"/>
      <c r="AJ3" s="377"/>
      <c r="AK3" s="377"/>
    </row>
    <row r="4" spans="1:37" s="205" customFormat="1" ht="15" x14ac:dyDescent="0.2">
      <c r="B4" s="378" t="s">
        <v>154</v>
      </c>
      <c r="C4" s="378"/>
      <c r="D4" s="378"/>
      <c r="E4" s="378"/>
      <c r="F4" s="378"/>
      <c r="G4" s="277"/>
      <c r="H4" s="277"/>
      <c r="I4" s="277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</row>
    <row r="5" spans="1:37" s="205" customFormat="1" ht="15" x14ac:dyDescent="0.2">
      <c r="B5" s="378" t="s">
        <v>6</v>
      </c>
      <c r="C5" s="378"/>
      <c r="D5" s="378"/>
      <c r="E5" s="378"/>
      <c r="F5" s="378"/>
      <c r="G5" s="378"/>
      <c r="H5" s="277"/>
      <c r="I5" s="27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77" t="s">
        <v>155</v>
      </c>
      <c r="AD5" s="377"/>
      <c r="AE5" s="377"/>
      <c r="AF5" s="377"/>
      <c r="AG5" s="377"/>
      <c r="AH5" s="377"/>
      <c r="AI5" s="377"/>
      <c r="AJ5" s="377"/>
      <c r="AK5" s="377"/>
    </row>
    <row r="6" spans="1:37" s="205" customFormat="1" ht="15" x14ac:dyDescent="0.2">
      <c r="B6" s="378" t="s">
        <v>7</v>
      </c>
      <c r="C6" s="378"/>
      <c r="D6" s="378"/>
      <c r="E6" s="378"/>
      <c r="F6" s="378"/>
      <c r="G6" s="378"/>
      <c r="H6" s="277"/>
      <c r="I6" s="277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377" t="s">
        <v>169</v>
      </c>
      <c r="AD6" s="377"/>
      <c r="AE6" s="377"/>
      <c r="AF6" s="377"/>
      <c r="AG6" s="377"/>
      <c r="AH6" s="377"/>
      <c r="AI6" s="377"/>
      <c r="AJ6" s="377"/>
      <c r="AK6" s="377"/>
    </row>
    <row r="7" spans="1:37" s="205" customFormat="1" ht="15" x14ac:dyDescent="0.2">
      <c r="B7" s="378" t="s">
        <v>9</v>
      </c>
      <c r="C7" s="378"/>
      <c r="D7" s="378"/>
      <c r="E7" s="378"/>
      <c r="F7" s="378"/>
      <c r="G7" s="378"/>
      <c r="H7" s="277"/>
      <c r="I7" s="277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377" t="s">
        <v>592</v>
      </c>
      <c r="AD7" s="377"/>
      <c r="AE7" s="377"/>
      <c r="AF7" s="377"/>
      <c r="AG7" s="377"/>
      <c r="AH7" s="377"/>
      <c r="AI7" s="377"/>
      <c r="AJ7" s="377"/>
      <c r="AK7" s="377"/>
    </row>
    <row r="8" spans="1:37" s="205" customFormat="1" ht="15" x14ac:dyDescent="0.2">
      <c r="B8" s="277"/>
      <c r="C8" s="277"/>
      <c r="D8" s="277"/>
      <c r="E8" s="277"/>
      <c r="F8" s="277"/>
      <c r="G8" s="277"/>
      <c r="H8" s="277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</row>
    <row r="9" spans="1:37" s="205" customFormat="1" ht="15.75" x14ac:dyDescent="0.2">
      <c r="B9" s="290" t="s">
        <v>10</v>
      </c>
      <c r="C9" s="277"/>
      <c r="D9" s="277"/>
      <c r="E9" s="277"/>
      <c r="F9" s="277"/>
      <c r="G9" s="277"/>
      <c r="H9" s="277"/>
      <c r="I9" s="403" t="s">
        <v>161</v>
      </c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3"/>
      <c r="AB9" s="278"/>
      <c r="AC9" s="278"/>
      <c r="AD9" s="278"/>
      <c r="AE9" s="278"/>
      <c r="AF9" s="278"/>
      <c r="AG9" s="278"/>
      <c r="AH9" s="278"/>
      <c r="AI9" s="278"/>
      <c r="AJ9" s="278"/>
      <c r="AK9" s="278"/>
    </row>
    <row r="10" spans="1:37" s="205" customFormat="1" ht="15.75" x14ac:dyDescent="0.2">
      <c r="B10" s="277"/>
      <c r="C10" s="277"/>
      <c r="D10" s="277"/>
      <c r="E10" s="277"/>
      <c r="F10" s="277"/>
      <c r="G10" s="277"/>
      <c r="H10" s="277"/>
      <c r="I10" s="277"/>
      <c r="J10" s="278"/>
      <c r="K10" s="403" t="str">
        <f>Бюджет!K10</f>
        <v>на 2025 - 2026 учебный год</v>
      </c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"/>
      <c r="Z10" s="4"/>
      <c r="AA10" s="4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</row>
    <row r="11" spans="1:37" s="205" customFormat="1" ht="15" x14ac:dyDescent="0.2">
      <c r="B11" s="277"/>
      <c r="C11" s="277"/>
      <c r="D11" s="277"/>
      <c r="E11" s="277"/>
      <c r="F11" s="277"/>
      <c r="G11" s="277"/>
      <c r="H11" s="277"/>
      <c r="I11" s="277"/>
      <c r="J11" s="278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291"/>
      <c r="Z11" s="291"/>
      <c r="AA11" s="291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</row>
    <row r="12" spans="1:37" x14ac:dyDescent="0.2">
      <c r="A12" s="394" t="s">
        <v>12</v>
      </c>
      <c r="B12" s="402" t="s">
        <v>13</v>
      </c>
      <c r="C12" s="387" t="s">
        <v>14</v>
      </c>
      <c r="D12" s="392" t="s">
        <v>15</v>
      </c>
      <c r="E12" s="387" t="s">
        <v>16</v>
      </c>
      <c r="F12" s="388" t="s">
        <v>17</v>
      </c>
      <c r="G12" s="388"/>
      <c r="H12" s="388" t="s">
        <v>18</v>
      </c>
      <c r="I12" s="388"/>
      <c r="J12" s="394" t="s">
        <v>19</v>
      </c>
      <c r="K12" s="394" t="s">
        <v>20</v>
      </c>
      <c r="L12" s="388" t="s">
        <v>21</v>
      </c>
      <c r="M12" s="388"/>
      <c r="N12" s="388"/>
      <c r="O12" s="388"/>
      <c r="P12" s="394" t="s">
        <v>22</v>
      </c>
      <c r="Q12" s="388" t="s">
        <v>23</v>
      </c>
      <c r="R12" s="388"/>
      <c r="S12" s="388" t="s">
        <v>24</v>
      </c>
      <c r="T12" s="388"/>
      <c r="U12" s="394" t="s">
        <v>25</v>
      </c>
      <c r="V12" s="394" t="s">
        <v>26</v>
      </c>
      <c r="W12" s="388" t="s">
        <v>27</v>
      </c>
      <c r="X12" s="388"/>
      <c r="Y12" s="394" t="s">
        <v>28</v>
      </c>
      <c r="Z12" s="394" t="s">
        <v>29</v>
      </c>
      <c r="AA12" s="394" t="s">
        <v>30</v>
      </c>
      <c r="AB12" s="394" t="s">
        <v>31</v>
      </c>
      <c r="AC12" s="388" t="s">
        <v>32</v>
      </c>
      <c r="AD12" s="388"/>
      <c r="AE12" s="388" t="s">
        <v>33</v>
      </c>
      <c r="AF12" s="388"/>
      <c r="AG12" s="388" t="s">
        <v>34</v>
      </c>
      <c r="AH12" s="388"/>
      <c r="AI12" s="394" t="s">
        <v>35</v>
      </c>
      <c r="AJ12" s="394" t="s">
        <v>36</v>
      </c>
      <c r="AK12" s="394" t="s">
        <v>156</v>
      </c>
    </row>
    <row r="13" spans="1:37" ht="122.25" x14ac:dyDescent="0.2">
      <c r="A13" s="394"/>
      <c r="B13" s="402"/>
      <c r="C13" s="387"/>
      <c r="D13" s="392"/>
      <c r="E13" s="387"/>
      <c r="F13" s="192" t="s">
        <v>38</v>
      </c>
      <c r="G13" s="193" t="s">
        <v>39</v>
      </c>
      <c r="H13" s="193" t="s">
        <v>38</v>
      </c>
      <c r="I13" s="193" t="s">
        <v>39</v>
      </c>
      <c r="J13" s="394"/>
      <c r="K13" s="394"/>
      <c r="L13" s="191" t="s">
        <v>40</v>
      </c>
      <c r="M13" s="191" t="s">
        <v>41</v>
      </c>
      <c r="N13" s="191" t="s">
        <v>42</v>
      </c>
      <c r="O13" s="191" t="s">
        <v>43</v>
      </c>
      <c r="P13" s="394"/>
      <c r="Q13" s="191" t="s">
        <v>44</v>
      </c>
      <c r="R13" s="191" t="s">
        <v>45</v>
      </c>
      <c r="S13" s="191" t="s">
        <v>46</v>
      </c>
      <c r="T13" s="191" t="s">
        <v>47</v>
      </c>
      <c r="U13" s="394"/>
      <c r="V13" s="394"/>
      <c r="W13" s="191" t="s">
        <v>33</v>
      </c>
      <c r="X13" s="191" t="s">
        <v>48</v>
      </c>
      <c r="Y13" s="394"/>
      <c r="Z13" s="394"/>
      <c r="AA13" s="394"/>
      <c r="AB13" s="394"/>
      <c r="AC13" s="191" t="s">
        <v>49</v>
      </c>
      <c r="AD13" s="191" t="s">
        <v>50</v>
      </c>
      <c r="AE13" s="191" t="s">
        <v>51</v>
      </c>
      <c r="AF13" s="191" t="s">
        <v>52</v>
      </c>
      <c r="AG13" s="191" t="s">
        <v>53</v>
      </c>
      <c r="AH13" s="191" t="s">
        <v>157</v>
      </c>
      <c r="AI13" s="394"/>
      <c r="AJ13" s="394"/>
      <c r="AK13" s="394"/>
    </row>
    <row r="14" spans="1:37" x14ac:dyDescent="0.2">
      <c r="A14" s="41">
        <v>1</v>
      </c>
      <c r="B14" s="41">
        <v>2</v>
      </c>
      <c r="C14" s="41">
        <v>3</v>
      </c>
      <c r="D14" s="41">
        <v>4</v>
      </c>
      <c r="E14" s="41">
        <v>5</v>
      </c>
      <c r="F14" s="41">
        <v>6</v>
      </c>
      <c r="G14" s="41">
        <v>7</v>
      </c>
      <c r="H14" s="41">
        <v>8</v>
      </c>
      <c r="I14" s="41">
        <v>9</v>
      </c>
      <c r="J14" s="41">
        <v>10</v>
      </c>
      <c r="K14" s="41">
        <v>11</v>
      </c>
      <c r="L14" s="41">
        <v>12</v>
      </c>
      <c r="M14" s="41">
        <v>13</v>
      </c>
      <c r="N14" s="41">
        <v>14</v>
      </c>
      <c r="O14" s="41">
        <v>15</v>
      </c>
      <c r="P14" s="41">
        <v>16</v>
      </c>
      <c r="Q14" s="41">
        <v>17</v>
      </c>
      <c r="R14" s="41">
        <v>18</v>
      </c>
      <c r="S14" s="41">
        <v>19</v>
      </c>
      <c r="T14" s="41">
        <v>20</v>
      </c>
      <c r="U14" s="41">
        <v>21</v>
      </c>
      <c r="V14" s="41">
        <v>22</v>
      </c>
      <c r="W14" s="41">
        <v>23</v>
      </c>
      <c r="X14" s="41">
        <v>24</v>
      </c>
      <c r="Y14" s="41">
        <v>25</v>
      </c>
      <c r="Z14" s="41">
        <v>26</v>
      </c>
      <c r="AA14" s="41">
        <v>27</v>
      </c>
      <c r="AB14" s="41">
        <v>28</v>
      </c>
      <c r="AC14" s="41">
        <v>29</v>
      </c>
      <c r="AD14" s="41">
        <v>30</v>
      </c>
      <c r="AE14" s="41">
        <v>31</v>
      </c>
      <c r="AF14" s="41">
        <v>32</v>
      </c>
      <c r="AG14" s="41">
        <v>33</v>
      </c>
      <c r="AH14" s="41">
        <v>34</v>
      </c>
      <c r="AI14" s="41">
        <v>35</v>
      </c>
      <c r="AJ14" s="41">
        <v>36</v>
      </c>
      <c r="AK14" s="41">
        <v>37</v>
      </c>
    </row>
    <row r="15" spans="1:37" s="207" customFormat="1" ht="15" x14ac:dyDescent="0.2">
      <c r="A15" s="194"/>
      <c r="B15" s="195" t="s">
        <v>55</v>
      </c>
      <c r="C15" s="195"/>
      <c r="D15" s="195"/>
      <c r="E15" s="195"/>
      <c r="F15" s="112">
        <f>F141</f>
        <v>2284</v>
      </c>
      <c r="G15" s="112">
        <f>G135</f>
        <v>1412</v>
      </c>
      <c r="H15" s="112">
        <f t="shared" ref="H15:AJ15" si="0">H135</f>
        <v>2442</v>
      </c>
      <c r="I15" s="112">
        <f t="shared" si="0"/>
        <v>2318</v>
      </c>
      <c r="J15" s="112">
        <f t="shared" si="0"/>
        <v>150</v>
      </c>
      <c r="K15" s="112">
        <f t="shared" si="0"/>
        <v>63.6</v>
      </c>
      <c r="L15" s="112">
        <f t="shared" si="0"/>
        <v>0</v>
      </c>
      <c r="M15" s="112">
        <f t="shared" si="0"/>
        <v>343.2</v>
      </c>
      <c r="N15" s="112">
        <f t="shared" si="0"/>
        <v>0</v>
      </c>
      <c r="O15" s="112">
        <f t="shared" si="0"/>
        <v>0</v>
      </c>
      <c r="P15" s="112">
        <f t="shared" si="0"/>
        <v>0</v>
      </c>
      <c r="Q15" s="112">
        <f t="shared" si="0"/>
        <v>94.6</v>
      </c>
      <c r="R15" s="112">
        <f t="shared" si="0"/>
        <v>0</v>
      </c>
      <c r="S15" s="112">
        <f t="shared" si="0"/>
        <v>0</v>
      </c>
      <c r="T15" s="112">
        <f t="shared" si="0"/>
        <v>57.333333333333329</v>
      </c>
      <c r="U15" s="112">
        <f t="shared" si="0"/>
        <v>254.7</v>
      </c>
      <c r="V15" s="112">
        <f t="shared" si="0"/>
        <v>24</v>
      </c>
      <c r="W15" s="112">
        <f t="shared" si="0"/>
        <v>112</v>
      </c>
      <c r="X15" s="112">
        <f t="shared" si="0"/>
        <v>0</v>
      </c>
      <c r="Y15" s="112">
        <f t="shared" si="0"/>
        <v>0</v>
      </c>
      <c r="Z15" s="112">
        <f t="shared" si="0"/>
        <v>0</v>
      </c>
      <c r="AA15" s="112">
        <f t="shared" si="0"/>
        <v>0</v>
      </c>
      <c r="AB15" s="112">
        <f t="shared" si="0"/>
        <v>13.5</v>
      </c>
      <c r="AC15" s="112">
        <f t="shared" si="0"/>
        <v>0</v>
      </c>
      <c r="AD15" s="112">
        <f t="shared" si="0"/>
        <v>0</v>
      </c>
      <c r="AE15" s="112">
        <f t="shared" si="0"/>
        <v>0</v>
      </c>
      <c r="AF15" s="112">
        <f t="shared" si="0"/>
        <v>0</v>
      </c>
      <c r="AG15" s="112">
        <f t="shared" si="0"/>
        <v>0</v>
      </c>
      <c r="AH15" s="112">
        <f t="shared" si="0"/>
        <v>0</v>
      </c>
      <c r="AI15" s="112">
        <f t="shared" si="0"/>
        <v>314</v>
      </c>
      <c r="AJ15" s="112">
        <f t="shared" si="0"/>
        <v>5156.9333333333343</v>
      </c>
      <c r="AK15" s="194"/>
    </row>
    <row r="16" spans="1:37" s="207" customFormat="1" ht="15" x14ac:dyDescent="0.2">
      <c r="A16" s="194"/>
      <c r="B16" s="195" t="s">
        <v>56</v>
      </c>
      <c r="C16" s="195"/>
      <c r="D16" s="195"/>
      <c r="E16" s="195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94"/>
    </row>
    <row r="17" spans="1:37" s="207" customFormat="1" ht="15" x14ac:dyDescent="0.2">
      <c r="A17" s="194"/>
      <c r="B17" s="195" t="s">
        <v>57</v>
      </c>
      <c r="C17" s="195"/>
      <c r="D17" s="195"/>
      <c r="E17" s="195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94"/>
    </row>
    <row r="18" spans="1:37" s="207" customFormat="1" ht="15" x14ac:dyDescent="0.2">
      <c r="A18" s="194"/>
      <c r="B18" s="195" t="s">
        <v>58</v>
      </c>
      <c r="C18" s="195"/>
      <c r="D18" s="195"/>
      <c r="E18" s="195"/>
      <c r="F18" s="112">
        <f>G18</f>
        <v>0</v>
      </c>
      <c r="G18" s="112">
        <f t="shared" ref="G18:AJ18" si="1">G139</f>
        <v>0</v>
      </c>
      <c r="H18" s="112">
        <f t="shared" si="1"/>
        <v>0</v>
      </c>
      <c r="I18" s="112">
        <f t="shared" si="1"/>
        <v>0</v>
      </c>
      <c r="J18" s="112">
        <f t="shared" si="1"/>
        <v>0</v>
      </c>
      <c r="K18" s="112">
        <f t="shared" si="1"/>
        <v>0</v>
      </c>
      <c r="L18" s="112">
        <f t="shared" si="1"/>
        <v>0</v>
      </c>
      <c r="M18" s="112">
        <f t="shared" si="1"/>
        <v>0</v>
      </c>
      <c r="N18" s="112">
        <f t="shared" si="1"/>
        <v>0</v>
      </c>
      <c r="O18" s="112">
        <f t="shared" si="1"/>
        <v>0</v>
      </c>
      <c r="P18" s="112">
        <f t="shared" si="1"/>
        <v>0</v>
      </c>
      <c r="Q18" s="112">
        <f t="shared" si="1"/>
        <v>0</v>
      </c>
      <c r="R18" s="112">
        <f t="shared" si="1"/>
        <v>0</v>
      </c>
      <c r="S18" s="112">
        <f t="shared" si="1"/>
        <v>0</v>
      </c>
      <c r="T18" s="112">
        <f t="shared" si="1"/>
        <v>0</v>
      </c>
      <c r="U18" s="112">
        <f t="shared" si="1"/>
        <v>0</v>
      </c>
      <c r="V18" s="112">
        <f t="shared" si="1"/>
        <v>0</v>
      </c>
      <c r="W18" s="112">
        <f t="shared" si="1"/>
        <v>0</v>
      </c>
      <c r="X18" s="112">
        <f t="shared" si="1"/>
        <v>0</v>
      </c>
      <c r="Y18" s="112">
        <f t="shared" si="1"/>
        <v>0</v>
      </c>
      <c r="Z18" s="112">
        <f t="shared" si="1"/>
        <v>0</v>
      </c>
      <c r="AA18" s="112">
        <f t="shared" si="1"/>
        <v>0</v>
      </c>
      <c r="AB18" s="112">
        <f t="shared" si="1"/>
        <v>0</v>
      </c>
      <c r="AC18" s="112">
        <f t="shared" si="1"/>
        <v>0</v>
      </c>
      <c r="AD18" s="112">
        <f t="shared" si="1"/>
        <v>0</v>
      </c>
      <c r="AE18" s="112">
        <f t="shared" si="1"/>
        <v>0</v>
      </c>
      <c r="AF18" s="112">
        <f t="shared" si="1"/>
        <v>0</v>
      </c>
      <c r="AG18" s="112">
        <f t="shared" si="1"/>
        <v>0</v>
      </c>
      <c r="AH18" s="112">
        <f t="shared" si="1"/>
        <v>0</v>
      </c>
      <c r="AI18" s="112">
        <f t="shared" si="1"/>
        <v>0</v>
      </c>
      <c r="AJ18" s="112">
        <f t="shared" si="1"/>
        <v>0</v>
      </c>
      <c r="AK18" s="194"/>
    </row>
    <row r="19" spans="1:37" s="208" customFormat="1" ht="15.75" x14ac:dyDescent="0.2">
      <c r="A19" s="196"/>
      <c r="B19" s="196" t="s">
        <v>59</v>
      </c>
      <c r="C19" s="196"/>
      <c r="D19" s="196"/>
      <c r="E19" s="196"/>
      <c r="F19" s="113">
        <f t="shared" ref="F19:AI19" si="2">SUM(F15:F18)</f>
        <v>2284</v>
      </c>
      <c r="G19" s="113">
        <f t="shared" si="2"/>
        <v>1412</v>
      </c>
      <c r="H19" s="113">
        <f t="shared" si="2"/>
        <v>2442</v>
      </c>
      <c r="I19" s="113">
        <f t="shared" si="2"/>
        <v>2318</v>
      </c>
      <c r="J19" s="113">
        <f t="shared" si="2"/>
        <v>150</v>
      </c>
      <c r="K19" s="113">
        <f t="shared" si="2"/>
        <v>63.6</v>
      </c>
      <c r="L19" s="113">
        <f t="shared" si="2"/>
        <v>0</v>
      </c>
      <c r="M19" s="113">
        <f t="shared" si="2"/>
        <v>343.2</v>
      </c>
      <c r="N19" s="113">
        <f t="shared" si="2"/>
        <v>0</v>
      </c>
      <c r="O19" s="113">
        <f t="shared" si="2"/>
        <v>0</v>
      </c>
      <c r="P19" s="113">
        <f t="shared" si="2"/>
        <v>0</v>
      </c>
      <c r="Q19" s="113">
        <f t="shared" si="2"/>
        <v>94.6</v>
      </c>
      <c r="R19" s="113">
        <f t="shared" si="2"/>
        <v>0</v>
      </c>
      <c r="S19" s="113">
        <f t="shared" si="2"/>
        <v>0</v>
      </c>
      <c r="T19" s="113">
        <f t="shared" si="2"/>
        <v>57.333333333333329</v>
      </c>
      <c r="U19" s="113">
        <f t="shared" si="2"/>
        <v>254.7</v>
      </c>
      <c r="V19" s="113">
        <f t="shared" si="2"/>
        <v>24</v>
      </c>
      <c r="W19" s="113">
        <f t="shared" si="2"/>
        <v>112</v>
      </c>
      <c r="X19" s="113">
        <f t="shared" si="2"/>
        <v>0</v>
      </c>
      <c r="Y19" s="113">
        <f t="shared" si="2"/>
        <v>0</v>
      </c>
      <c r="Z19" s="113">
        <f t="shared" si="2"/>
        <v>0</v>
      </c>
      <c r="AA19" s="113">
        <f t="shared" si="2"/>
        <v>0</v>
      </c>
      <c r="AB19" s="113">
        <f t="shared" si="2"/>
        <v>13.5</v>
      </c>
      <c r="AC19" s="113">
        <f t="shared" si="2"/>
        <v>0</v>
      </c>
      <c r="AD19" s="113">
        <f t="shared" si="2"/>
        <v>0</v>
      </c>
      <c r="AE19" s="113">
        <f t="shared" si="2"/>
        <v>0</v>
      </c>
      <c r="AF19" s="113">
        <f t="shared" si="2"/>
        <v>0</v>
      </c>
      <c r="AG19" s="113">
        <f t="shared" si="2"/>
        <v>0</v>
      </c>
      <c r="AH19" s="113">
        <f t="shared" si="2"/>
        <v>0</v>
      </c>
      <c r="AI19" s="113">
        <f t="shared" si="2"/>
        <v>314</v>
      </c>
      <c r="AJ19" s="113">
        <f>SUM(AJ15:AJ18)</f>
        <v>5156.9333333333343</v>
      </c>
      <c r="AK19" s="196"/>
    </row>
    <row r="20" spans="1:37" s="109" customFormat="1" ht="15.75" x14ac:dyDescent="0.2">
      <c r="A20" s="74"/>
      <c r="B20" s="74"/>
      <c r="C20" s="74"/>
      <c r="D20" s="74"/>
      <c r="E20" s="74"/>
      <c r="F20" s="70"/>
      <c r="G20" s="70"/>
      <c r="H20" s="70"/>
      <c r="I20" s="70"/>
      <c r="J20" s="70"/>
      <c r="K20" s="70"/>
      <c r="L20" s="70"/>
      <c r="M20" s="70"/>
      <c r="N20" s="391" t="s">
        <v>55</v>
      </c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4"/>
    </row>
    <row r="21" spans="1:37" s="109" customFormat="1" ht="15.75" x14ac:dyDescent="0.2">
      <c r="A21" s="74"/>
      <c r="B21" s="74"/>
      <c r="C21" s="74"/>
      <c r="D21" s="74"/>
      <c r="E21" s="74"/>
      <c r="F21" s="70"/>
      <c r="G21" s="70"/>
      <c r="H21" s="70"/>
      <c r="I21" s="70"/>
      <c r="J21" s="389" t="str">
        <f>Бюджет!L23</f>
        <v>03.03.03 Радиофизика</v>
      </c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  <c r="X21" s="389"/>
      <c r="Y21" s="389"/>
      <c r="Z21" s="389"/>
      <c r="AA21" s="389"/>
      <c r="AB21" s="389"/>
      <c r="AC21" s="389"/>
      <c r="AD21" s="70"/>
      <c r="AE21" s="70"/>
      <c r="AF21" s="70"/>
      <c r="AG21" s="70"/>
      <c r="AH21" s="70"/>
      <c r="AI21" s="70"/>
      <c r="AJ21" s="66">
        <f t="shared" ref="AJ21:AJ35" si="3">SUM(G21,I21:AI21)</f>
        <v>0</v>
      </c>
      <c r="AK21" s="74"/>
    </row>
    <row r="22" spans="1:37" s="109" customFormat="1" ht="15.75" x14ac:dyDescent="0.2">
      <c r="A22" s="74"/>
      <c r="B22" s="74"/>
      <c r="C22" s="74"/>
      <c r="D22" s="74"/>
      <c r="E22" s="74"/>
      <c r="F22" s="70"/>
      <c r="G22" s="70"/>
      <c r="H22" s="70"/>
      <c r="I22" s="70"/>
      <c r="J22" s="390" t="str">
        <f>Бюджет!K24</f>
        <v xml:space="preserve">профиль "Радиоинжиниринг и телекоммуникации" </v>
      </c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70"/>
      <c r="AE22" s="70"/>
      <c r="AF22" s="70"/>
      <c r="AG22" s="70"/>
      <c r="AH22" s="70"/>
      <c r="AI22" s="70"/>
      <c r="AJ22" s="66">
        <f t="shared" si="3"/>
        <v>0</v>
      </c>
      <c r="AK22" s="74"/>
    </row>
    <row r="23" spans="1:37" s="109" customFormat="1" ht="15" x14ac:dyDescent="0.2">
      <c r="A23" s="60" t="str">
        <f>Бюджет!A28</f>
        <v>Б1.О.13.01</v>
      </c>
      <c r="B23" s="60" t="str">
        <f>Бюджет!B28</f>
        <v>Математический анализ (поток РФ, ИБ, НЭ, ИСТ)</v>
      </c>
      <c r="C23" s="67" t="str">
        <f>Бюджет!C28</f>
        <v>1\1</v>
      </c>
      <c r="D23" s="67">
        <f>Бюджет!D28</f>
        <v>21</v>
      </c>
      <c r="E23" s="67">
        <f>Бюджет!E28</f>
        <v>1</v>
      </c>
      <c r="F23" s="66">
        <f>Бюджет!F28</f>
        <v>50</v>
      </c>
      <c r="G23" s="66">
        <f>Бюджет!G28</f>
        <v>50</v>
      </c>
      <c r="H23" s="66">
        <f>Бюджет!H28</f>
        <v>68</v>
      </c>
      <c r="I23" s="66">
        <f>Бюджет!I28</f>
        <v>68</v>
      </c>
      <c r="J23" s="66">
        <f>Бюджет!J28</f>
        <v>0</v>
      </c>
      <c r="K23" s="66">
        <f>Бюджет!K28</f>
        <v>0</v>
      </c>
      <c r="L23" s="66">
        <f>Бюджет!L28</f>
        <v>0</v>
      </c>
      <c r="M23" s="66">
        <f>Бюджет!M28</f>
        <v>8.4</v>
      </c>
      <c r="N23" s="66">
        <f>Бюджет!N28</f>
        <v>0</v>
      </c>
      <c r="O23" s="66">
        <f>Бюджет!O28</f>
        <v>0</v>
      </c>
      <c r="P23" s="66">
        <f>Бюджет!P28</f>
        <v>0</v>
      </c>
      <c r="Q23" s="66">
        <f>Бюджет!Q28</f>
        <v>3.5</v>
      </c>
      <c r="R23" s="66">
        <f>Бюджет!R28</f>
        <v>0</v>
      </c>
      <c r="S23" s="66">
        <f>Бюджет!S28</f>
        <v>0</v>
      </c>
      <c r="T23" s="66">
        <f>Бюджет!T28</f>
        <v>0</v>
      </c>
      <c r="U23" s="66">
        <f>Бюджет!U28</f>
        <v>6.3</v>
      </c>
      <c r="V23" s="66">
        <f>Бюджет!V28</f>
        <v>0</v>
      </c>
      <c r="W23" s="66">
        <f>Бюджет!W28</f>
        <v>0</v>
      </c>
      <c r="X23" s="66">
        <f>Бюджет!X28</f>
        <v>0</v>
      </c>
      <c r="Y23" s="66">
        <f>Бюджет!Y28</f>
        <v>0</v>
      </c>
      <c r="Z23" s="66">
        <f>Бюджет!Z28</f>
        <v>0</v>
      </c>
      <c r="AA23" s="66">
        <f>Бюджет!AA28</f>
        <v>0</v>
      </c>
      <c r="AB23" s="66">
        <f>Бюджет!AB28</f>
        <v>0</v>
      </c>
      <c r="AC23" s="66">
        <f>Бюджет!AC28</f>
        <v>0</v>
      </c>
      <c r="AD23" s="66">
        <f>Бюджет!AD28</f>
        <v>0</v>
      </c>
      <c r="AE23" s="66">
        <f>Бюджет!AE28</f>
        <v>0</v>
      </c>
      <c r="AF23" s="66">
        <f>Бюджет!AF28</f>
        <v>0</v>
      </c>
      <c r="AG23" s="66">
        <f>Бюджет!AG28</f>
        <v>0</v>
      </c>
      <c r="AH23" s="66">
        <f>Бюджет!AH28</f>
        <v>0</v>
      </c>
      <c r="AI23" s="66">
        <f>Бюджет!AI28</f>
        <v>8</v>
      </c>
      <c r="AJ23" s="66">
        <f t="shared" si="3"/>
        <v>144.20000000000002</v>
      </c>
      <c r="AK23" s="74"/>
    </row>
    <row r="24" spans="1:37" s="109" customFormat="1" ht="15" x14ac:dyDescent="0.2">
      <c r="A24" s="60" t="str">
        <f>Бюджет!A29</f>
        <v>Б1.О.13.01</v>
      </c>
      <c r="B24" s="60" t="str">
        <f>Бюджет!B29</f>
        <v>Математический анализ (поток РФ, ИБ, НЭ, ИСТ)</v>
      </c>
      <c r="C24" s="67" t="str">
        <f>Бюджет!C29</f>
        <v>1\2</v>
      </c>
      <c r="D24" s="67">
        <f>Бюджет!D29</f>
        <v>21</v>
      </c>
      <c r="E24" s="67">
        <f>Бюджет!E29</f>
        <v>1</v>
      </c>
      <c r="F24" s="66">
        <f>Бюджет!F29</f>
        <v>40</v>
      </c>
      <c r="G24" s="66">
        <f>Бюджет!G29</f>
        <v>40</v>
      </c>
      <c r="H24" s="66">
        <f>Бюджет!H29</f>
        <v>60</v>
      </c>
      <c r="I24" s="66">
        <f>Бюджет!I29</f>
        <v>60</v>
      </c>
      <c r="J24" s="66">
        <f>Бюджет!J29</f>
        <v>0</v>
      </c>
      <c r="K24" s="66">
        <f>Бюджет!K29</f>
        <v>0</v>
      </c>
      <c r="L24" s="66">
        <f>Бюджет!L29</f>
        <v>0</v>
      </c>
      <c r="M24" s="66">
        <f>Бюджет!M29</f>
        <v>8.4</v>
      </c>
      <c r="N24" s="66">
        <f>Бюджет!N29</f>
        <v>0</v>
      </c>
      <c r="O24" s="66">
        <f>Бюджет!O29</f>
        <v>0</v>
      </c>
      <c r="P24" s="66">
        <f>Бюджет!P29</f>
        <v>0</v>
      </c>
      <c r="Q24" s="66">
        <f>Бюджет!Q29</f>
        <v>3</v>
      </c>
      <c r="R24" s="66">
        <f>Бюджет!R29</f>
        <v>0</v>
      </c>
      <c r="S24" s="66">
        <f>Бюджет!S29</f>
        <v>0</v>
      </c>
      <c r="T24" s="66">
        <f>Бюджет!T29</f>
        <v>0</v>
      </c>
      <c r="U24" s="66">
        <f>Бюджет!U29</f>
        <v>6.3</v>
      </c>
      <c r="V24" s="66">
        <f>Бюджет!V29</f>
        <v>0</v>
      </c>
      <c r="W24" s="66">
        <f>Бюджет!W29</f>
        <v>0</v>
      </c>
      <c r="X24" s="66">
        <f>Бюджет!X29</f>
        <v>0</v>
      </c>
      <c r="Y24" s="66">
        <f>Бюджет!Y29</f>
        <v>0</v>
      </c>
      <c r="Z24" s="66">
        <f>Бюджет!Z29</f>
        <v>0</v>
      </c>
      <c r="AA24" s="66">
        <f>Бюджет!AA29</f>
        <v>0</v>
      </c>
      <c r="AB24" s="66">
        <f>Бюджет!AB29</f>
        <v>0</v>
      </c>
      <c r="AC24" s="66">
        <f>Бюджет!AC29</f>
        <v>0</v>
      </c>
      <c r="AD24" s="66">
        <f>Бюджет!AD29</f>
        <v>0</v>
      </c>
      <c r="AE24" s="66">
        <f>Бюджет!AE29</f>
        <v>0</v>
      </c>
      <c r="AF24" s="66">
        <f>Бюджет!AF29</f>
        <v>0</v>
      </c>
      <c r="AG24" s="66">
        <f>Бюджет!AG29</f>
        <v>0</v>
      </c>
      <c r="AH24" s="66">
        <f>Бюджет!AH29</f>
        <v>0</v>
      </c>
      <c r="AI24" s="66">
        <f>Бюджет!AI29</f>
        <v>8</v>
      </c>
      <c r="AJ24" s="66">
        <f t="shared" si="3"/>
        <v>125.7</v>
      </c>
      <c r="AK24" s="74"/>
    </row>
    <row r="25" spans="1:37" s="109" customFormat="1" ht="30" x14ac:dyDescent="0.2">
      <c r="A25" s="60" t="str">
        <f>Бюджет!A30</f>
        <v>Б1.О.13.02</v>
      </c>
      <c r="B25" s="60" t="str">
        <f>Бюджет!B30</f>
        <v>Аналитическая геометрия и линейная алгебра (поток РФ, НЭ, ИСТ)</v>
      </c>
      <c r="C25" s="67" t="str">
        <f>Бюджет!C30</f>
        <v>1\1</v>
      </c>
      <c r="D25" s="67">
        <f>Бюджет!D30</f>
        <v>21</v>
      </c>
      <c r="E25" s="67">
        <f>Бюджет!E30</f>
        <v>1</v>
      </c>
      <c r="F25" s="66">
        <f>Бюджет!F30</f>
        <v>34</v>
      </c>
      <c r="G25" s="66">
        <f>Бюджет!G30</f>
        <v>34</v>
      </c>
      <c r="H25" s="66">
        <f>Бюджет!H30</f>
        <v>34</v>
      </c>
      <c r="I25" s="66">
        <f>Бюджет!I30</f>
        <v>34</v>
      </c>
      <c r="J25" s="66">
        <f>Бюджет!J30</f>
        <v>0</v>
      </c>
      <c r="K25" s="66">
        <f>Бюджет!K30</f>
        <v>6.3</v>
      </c>
      <c r="L25" s="66">
        <f>Бюджет!L30</f>
        <v>0</v>
      </c>
      <c r="M25" s="66">
        <f>Бюджет!M30</f>
        <v>0</v>
      </c>
      <c r="N25" s="66">
        <f>Бюджет!N30</f>
        <v>0</v>
      </c>
      <c r="O25" s="66">
        <f>Бюджет!O30</f>
        <v>0</v>
      </c>
      <c r="P25" s="66">
        <f>Бюджет!P30</f>
        <v>0</v>
      </c>
      <c r="Q25" s="66">
        <f>Бюджет!Q30</f>
        <v>1.7000000000000002</v>
      </c>
      <c r="R25" s="66">
        <f>Бюджет!R30</f>
        <v>0</v>
      </c>
      <c r="S25" s="66">
        <f>Бюджет!S30</f>
        <v>0</v>
      </c>
      <c r="T25" s="66">
        <f>Бюджет!T30</f>
        <v>0</v>
      </c>
      <c r="U25" s="66">
        <f>Бюджет!U30</f>
        <v>6.3</v>
      </c>
      <c r="V25" s="66">
        <f>Бюджет!V30</f>
        <v>0</v>
      </c>
      <c r="W25" s="66">
        <f>Бюджет!W30</f>
        <v>0</v>
      </c>
      <c r="X25" s="66">
        <f>Бюджет!X30</f>
        <v>0</v>
      </c>
      <c r="Y25" s="66">
        <f>Бюджет!Y30</f>
        <v>0</v>
      </c>
      <c r="Z25" s="66">
        <f>Бюджет!Z30</f>
        <v>0</v>
      </c>
      <c r="AA25" s="66">
        <f>Бюджет!AA30</f>
        <v>0</v>
      </c>
      <c r="AB25" s="66">
        <f>Бюджет!AB30</f>
        <v>0</v>
      </c>
      <c r="AC25" s="66">
        <f>Бюджет!AC30</f>
        <v>0</v>
      </c>
      <c r="AD25" s="66">
        <f>Бюджет!AD30</f>
        <v>0</v>
      </c>
      <c r="AE25" s="66">
        <f>Бюджет!AE30</f>
        <v>0</v>
      </c>
      <c r="AF25" s="66">
        <f>Бюджет!AF30</f>
        <v>0</v>
      </c>
      <c r="AG25" s="66">
        <f>Бюджет!AG30</f>
        <v>0</v>
      </c>
      <c r="AH25" s="66">
        <f>Бюджет!AH30</f>
        <v>0</v>
      </c>
      <c r="AI25" s="66">
        <f>Бюджет!AI30</f>
        <v>8</v>
      </c>
      <c r="AJ25" s="66">
        <f t="shared" si="3"/>
        <v>90.3</v>
      </c>
      <c r="AK25" s="74"/>
    </row>
    <row r="26" spans="1:37" s="109" customFormat="1" ht="15.75" x14ac:dyDescent="0.2">
      <c r="A26" s="74"/>
      <c r="B26" s="74"/>
      <c r="C26" s="74"/>
      <c r="D26" s="74"/>
      <c r="E26" s="74"/>
      <c r="F26" s="70"/>
      <c r="G26" s="70"/>
      <c r="H26" s="70"/>
      <c r="I26" s="70"/>
      <c r="J26" s="390" t="str">
        <f>Бюджет!K35</f>
        <v>профиль "Радиофизика в области связи, информационных и телекоммуникационных технологий"</v>
      </c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390"/>
      <c r="X26" s="390"/>
      <c r="Y26" s="390"/>
      <c r="Z26" s="390"/>
      <c r="AA26" s="390"/>
      <c r="AB26" s="390"/>
      <c r="AC26" s="390"/>
      <c r="AD26" s="70"/>
      <c r="AE26" s="70"/>
      <c r="AF26" s="70"/>
      <c r="AG26" s="70"/>
      <c r="AH26" s="70"/>
      <c r="AI26" s="70"/>
      <c r="AJ26" s="66">
        <f t="shared" ref="AJ26:AJ27" si="4">SUM(G26,I26:AI26)</f>
        <v>0</v>
      </c>
      <c r="AK26" s="74"/>
    </row>
    <row r="27" spans="1:37" s="109" customFormat="1" ht="15.75" x14ac:dyDescent="0.2">
      <c r="A27" s="74"/>
      <c r="B27" s="74"/>
      <c r="C27" s="74"/>
      <c r="D27" s="74"/>
      <c r="E27" s="74"/>
      <c r="F27" s="70"/>
      <c r="G27" s="70"/>
      <c r="H27" s="70"/>
      <c r="I27" s="70"/>
      <c r="J27" s="390" t="str">
        <f>Бюджет!K36</f>
        <v xml:space="preserve">профиль "Радиофизика: радиоэлектронные устройства, обработка сигналов и автоматизация" </v>
      </c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390"/>
      <c r="AA27" s="390"/>
      <c r="AB27" s="390"/>
      <c r="AC27" s="390"/>
      <c r="AD27" s="70"/>
      <c r="AE27" s="70"/>
      <c r="AF27" s="70"/>
      <c r="AG27" s="70"/>
      <c r="AH27" s="70"/>
      <c r="AI27" s="70"/>
      <c r="AJ27" s="66">
        <f t="shared" si="4"/>
        <v>0</v>
      </c>
      <c r="AK27" s="74"/>
    </row>
    <row r="28" spans="1:37" s="109" customFormat="1" ht="15" x14ac:dyDescent="0.2">
      <c r="A28" s="60" t="str">
        <f>Бюджет!A39</f>
        <v>Б1.О.13.01</v>
      </c>
      <c r="B28" s="60" t="str">
        <f>Бюджет!B39</f>
        <v>Математический анализ (поток РФ, НЭ, ИБ, ИСТ)</v>
      </c>
      <c r="C28" s="67" t="str">
        <f>Бюджет!C39</f>
        <v>2\3</v>
      </c>
      <c r="D28" s="67">
        <f>Бюджет!D39</f>
        <v>12</v>
      </c>
      <c r="E28" s="67">
        <f>Бюджет!E39</f>
        <v>1</v>
      </c>
      <c r="F28" s="66">
        <f>Бюджет!F39</f>
        <v>32</v>
      </c>
      <c r="G28" s="66">
        <f>Бюджет!G39</f>
        <v>32</v>
      </c>
      <c r="H28" s="66">
        <f>Бюджет!H39</f>
        <v>32</v>
      </c>
      <c r="I28" s="66">
        <f>Бюджет!I39</f>
        <v>32</v>
      </c>
      <c r="J28" s="66">
        <f>Бюджет!J39</f>
        <v>0</v>
      </c>
      <c r="K28" s="66">
        <f>Бюджет!K39</f>
        <v>0</v>
      </c>
      <c r="L28" s="66">
        <f>Бюджет!L39</f>
        <v>0</v>
      </c>
      <c r="M28" s="66">
        <f>Бюджет!M39</f>
        <v>4.8000000000000007</v>
      </c>
      <c r="N28" s="66">
        <f>Бюджет!N39</f>
        <v>0</v>
      </c>
      <c r="O28" s="66">
        <f>Бюджет!O39</f>
        <v>0</v>
      </c>
      <c r="P28" s="66">
        <f>Бюджет!P39</f>
        <v>0</v>
      </c>
      <c r="Q28" s="66">
        <f>Бюджет!Q39</f>
        <v>2.6</v>
      </c>
      <c r="R28" s="66">
        <f>Бюджет!R39</f>
        <v>0</v>
      </c>
      <c r="S28" s="66">
        <f>Бюджет!S39</f>
        <v>0</v>
      </c>
      <c r="T28" s="66">
        <f>Бюджет!T39</f>
        <v>0</v>
      </c>
      <c r="U28" s="66">
        <f>Бюджет!U39</f>
        <v>3.5999999999999996</v>
      </c>
      <c r="V28" s="66">
        <f>Бюджет!V39</f>
        <v>0</v>
      </c>
      <c r="W28" s="66">
        <f>Бюджет!W39</f>
        <v>0</v>
      </c>
      <c r="X28" s="66">
        <f>Бюджет!X39</f>
        <v>0</v>
      </c>
      <c r="Y28" s="66">
        <f>Бюджет!Y39</f>
        <v>0</v>
      </c>
      <c r="Z28" s="66">
        <f>Бюджет!Z39</f>
        <v>0</v>
      </c>
      <c r="AA28" s="66">
        <f>Бюджет!AA39</f>
        <v>0</v>
      </c>
      <c r="AB28" s="66">
        <f>Бюджет!AB39</f>
        <v>0</v>
      </c>
      <c r="AC28" s="66">
        <f>Бюджет!AC39</f>
        <v>0</v>
      </c>
      <c r="AD28" s="66">
        <f>Бюджет!AD39</f>
        <v>0</v>
      </c>
      <c r="AE28" s="66">
        <f>Бюджет!AE39</f>
        <v>0</v>
      </c>
      <c r="AF28" s="66">
        <f>Бюджет!AF39</f>
        <v>0</v>
      </c>
      <c r="AG28" s="66">
        <f>Бюджет!AG39</f>
        <v>0</v>
      </c>
      <c r="AH28" s="66">
        <f>Бюджет!AH39</f>
        <v>0</v>
      </c>
      <c r="AI28" s="66">
        <f>Бюджет!AI39</f>
        <v>12</v>
      </c>
      <c r="AJ28" s="66">
        <f t="shared" si="3"/>
        <v>86.999999999999986</v>
      </c>
      <c r="AK28" s="74"/>
    </row>
    <row r="29" spans="1:37" s="109" customFormat="1" ht="30" x14ac:dyDescent="0.2">
      <c r="A29" s="60" t="str">
        <f>Бюджет!A40</f>
        <v>Б1.О.13.03</v>
      </c>
      <c r="B29" s="60" t="str">
        <f>Бюджет!B40</f>
        <v>Дифференциальные уравнения (поток РФ, ФИЗ, НЭ, ИСТ лекц, поток РФ, ФИЗ пз)</v>
      </c>
      <c r="C29" s="67" t="str">
        <f>Бюджет!C40</f>
        <v>2\3</v>
      </c>
      <c r="D29" s="67">
        <f>Бюджет!D40</f>
        <v>12</v>
      </c>
      <c r="E29" s="67">
        <f>Бюджет!E40</f>
        <v>1</v>
      </c>
      <c r="F29" s="66">
        <f>Бюджет!F40</f>
        <v>32</v>
      </c>
      <c r="G29" s="66">
        <f>Бюджет!G40</f>
        <v>32</v>
      </c>
      <c r="H29" s="66">
        <f>Бюджет!H40</f>
        <v>32</v>
      </c>
      <c r="I29" s="66">
        <f>Бюджет!I40</f>
        <v>32</v>
      </c>
      <c r="J29" s="66">
        <f>Бюджет!J40</f>
        <v>0</v>
      </c>
      <c r="K29" s="66">
        <f>Бюджет!K40</f>
        <v>3.5999999999999996</v>
      </c>
      <c r="L29" s="66">
        <f>Бюджет!L40</f>
        <v>0</v>
      </c>
      <c r="M29" s="66">
        <f>Бюджет!M40</f>
        <v>0</v>
      </c>
      <c r="N29" s="66">
        <f>Бюджет!N40</f>
        <v>0</v>
      </c>
      <c r="O29" s="66">
        <f>Бюджет!O40</f>
        <v>0</v>
      </c>
      <c r="P29" s="66">
        <f>Бюджет!P40</f>
        <v>0</v>
      </c>
      <c r="Q29" s="66">
        <f>Бюджет!Q40</f>
        <v>1.6</v>
      </c>
      <c r="R29" s="66">
        <f>Бюджет!R40</f>
        <v>0</v>
      </c>
      <c r="S29" s="66">
        <f>Бюджет!S40</f>
        <v>0</v>
      </c>
      <c r="T29" s="66">
        <f>Бюджет!T40</f>
        <v>0</v>
      </c>
      <c r="U29" s="66">
        <f>Бюджет!U40</f>
        <v>3.5999999999999996</v>
      </c>
      <c r="V29" s="66">
        <f>Бюджет!V40</f>
        <v>0</v>
      </c>
      <c r="W29" s="66">
        <f>Бюджет!W40</f>
        <v>0</v>
      </c>
      <c r="X29" s="66">
        <f>Бюджет!X40</f>
        <v>0</v>
      </c>
      <c r="Y29" s="66">
        <f>Бюджет!Y40</f>
        <v>0</v>
      </c>
      <c r="Z29" s="66">
        <f>Бюджет!Z40</f>
        <v>0</v>
      </c>
      <c r="AA29" s="66">
        <f>Бюджет!AA40</f>
        <v>0</v>
      </c>
      <c r="AB29" s="66">
        <f>Бюджет!AB40</f>
        <v>0</v>
      </c>
      <c r="AC29" s="66">
        <f>Бюджет!AC40</f>
        <v>0</v>
      </c>
      <c r="AD29" s="66">
        <f>Бюджет!AD40</f>
        <v>0</v>
      </c>
      <c r="AE29" s="66">
        <f>Бюджет!AE40</f>
        <v>0</v>
      </c>
      <c r="AF29" s="66">
        <f>Бюджет!AF40</f>
        <v>0</v>
      </c>
      <c r="AG29" s="66">
        <f>Бюджет!AG40</f>
        <v>0</v>
      </c>
      <c r="AH29" s="66">
        <f>Бюджет!AH40</f>
        <v>0</v>
      </c>
      <c r="AI29" s="66">
        <f>Бюджет!AI40</f>
        <v>12</v>
      </c>
      <c r="AJ29" s="66">
        <f t="shared" si="3"/>
        <v>84.799999999999983</v>
      </c>
      <c r="AK29" s="74"/>
    </row>
    <row r="30" spans="1:37" s="109" customFormat="1" ht="15" x14ac:dyDescent="0.2">
      <c r="A30" s="60" t="str">
        <f>Бюджет!A41</f>
        <v>Б1.О.13.04</v>
      </c>
      <c r="B30" s="60" t="str">
        <f>Бюджет!B41</f>
        <v>Методы математической физики</v>
      </c>
      <c r="C30" s="67" t="str">
        <f>Бюджет!C41</f>
        <v>2\4</v>
      </c>
      <c r="D30" s="67">
        <f>Бюджет!D41</f>
        <v>12</v>
      </c>
      <c r="E30" s="67">
        <f>Бюджет!E41</f>
        <v>1</v>
      </c>
      <c r="F30" s="66">
        <f>Бюджет!F41</f>
        <v>40</v>
      </c>
      <c r="G30" s="66">
        <f>Бюджет!G41</f>
        <v>40</v>
      </c>
      <c r="H30" s="66">
        <f>Бюджет!H41</f>
        <v>40</v>
      </c>
      <c r="I30" s="66">
        <f>Бюджет!I41</f>
        <v>40</v>
      </c>
      <c r="J30" s="66">
        <f>Бюджет!J41</f>
        <v>0</v>
      </c>
      <c r="K30" s="66">
        <f>Бюджет!K41</f>
        <v>0</v>
      </c>
      <c r="L30" s="66">
        <f>Бюджет!L41</f>
        <v>0</v>
      </c>
      <c r="M30" s="66">
        <f>Бюджет!M41</f>
        <v>4.8000000000000007</v>
      </c>
      <c r="N30" s="66">
        <f>Бюджет!N41</f>
        <v>0</v>
      </c>
      <c r="O30" s="66">
        <f>Бюджет!O41</f>
        <v>0</v>
      </c>
      <c r="P30" s="66">
        <f>Бюджет!P41</f>
        <v>0</v>
      </c>
      <c r="Q30" s="66">
        <f>Бюджет!Q41</f>
        <v>3</v>
      </c>
      <c r="R30" s="66">
        <f>Бюджет!R41</f>
        <v>0</v>
      </c>
      <c r="S30" s="66">
        <f>Бюджет!S41</f>
        <v>0</v>
      </c>
      <c r="T30" s="66">
        <f>Бюджет!T41</f>
        <v>0</v>
      </c>
      <c r="U30" s="66">
        <f>Бюджет!U41</f>
        <v>3.5999999999999996</v>
      </c>
      <c r="V30" s="66">
        <f>Бюджет!V41</f>
        <v>0</v>
      </c>
      <c r="W30" s="66">
        <f>Бюджет!W41</f>
        <v>0</v>
      </c>
      <c r="X30" s="66">
        <f>Бюджет!X41</f>
        <v>0</v>
      </c>
      <c r="Y30" s="66">
        <f>Бюджет!Y41</f>
        <v>0</v>
      </c>
      <c r="Z30" s="66">
        <f>Бюджет!Z41</f>
        <v>0</v>
      </c>
      <c r="AA30" s="66">
        <f>Бюджет!AA41</f>
        <v>0</v>
      </c>
      <c r="AB30" s="66">
        <f>Бюджет!AB41</f>
        <v>0</v>
      </c>
      <c r="AC30" s="66">
        <f>Бюджет!AC41</f>
        <v>0</v>
      </c>
      <c r="AD30" s="66">
        <f>Бюджет!AD41</f>
        <v>0</v>
      </c>
      <c r="AE30" s="66">
        <f>Бюджет!AE41</f>
        <v>0</v>
      </c>
      <c r="AF30" s="66">
        <f>Бюджет!AF41</f>
        <v>0</v>
      </c>
      <c r="AG30" s="66">
        <f>Бюджет!AG41</f>
        <v>0</v>
      </c>
      <c r="AH30" s="66">
        <f>Бюджет!AH41</f>
        <v>0</v>
      </c>
      <c r="AI30" s="66">
        <f>Бюджет!AI41</f>
        <v>0</v>
      </c>
      <c r="AJ30" s="66">
        <f t="shared" si="3"/>
        <v>91.399999999999991</v>
      </c>
      <c r="AK30" s="74"/>
    </row>
    <row r="31" spans="1:37" s="109" customFormat="1" ht="15" x14ac:dyDescent="0.2">
      <c r="A31" s="60" t="str">
        <f>Бюджет!A42</f>
        <v>Б1.О.15.01</v>
      </c>
      <c r="B31" s="60" t="str">
        <f>Бюджет!B42</f>
        <v>Теоретическая механика (поток РФ, ФИЗ лекц+пз)</v>
      </c>
      <c r="C31" s="67" t="str">
        <f>Бюджет!C42</f>
        <v>2\3</v>
      </c>
      <c r="D31" s="67">
        <f>Бюджет!D42</f>
        <v>12</v>
      </c>
      <c r="E31" s="67">
        <f>Бюджет!E42</f>
        <v>1</v>
      </c>
      <c r="F31" s="66">
        <f>Бюджет!F42</f>
        <v>32</v>
      </c>
      <c r="G31" s="66">
        <f>Бюджет!G42</f>
        <v>32</v>
      </c>
      <c r="H31" s="66">
        <f>Бюджет!H42</f>
        <v>32</v>
      </c>
      <c r="I31" s="66">
        <f>Бюджет!I42</f>
        <v>32</v>
      </c>
      <c r="J31" s="66">
        <f>Бюджет!J42</f>
        <v>0</v>
      </c>
      <c r="K31" s="66">
        <f>Бюджет!K42</f>
        <v>3.5999999999999996</v>
      </c>
      <c r="L31" s="66">
        <f>Бюджет!L42</f>
        <v>0</v>
      </c>
      <c r="M31" s="66">
        <f>Бюджет!M42</f>
        <v>0</v>
      </c>
      <c r="N31" s="66">
        <f>Бюджет!N42</f>
        <v>0</v>
      </c>
      <c r="O31" s="66">
        <f>Бюджет!O42</f>
        <v>0</v>
      </c>
      <c r="P31" s="66">
        <f>Бюджет!P42</f>
        <v>0</v>
      </c>
      <c r="Q31" s="66">
        <f>Бюджет!Q42</f>
        <v>1.6</v>
      </c>
      <c r="R31" s="66">
        <f>Бюджет!R42</f>
        <v>0</v>
      </c>
      <c r="S31" s="66">
        <f>Бюджет!S42</f>
        <v>0</v>
      </c>
      <c r="T31" s="66">
        <f>Бюджет!T42</f>
        <v>0</v>
      </c>
      <c r="U31" s="66">
        <f>Бюджет!U42</f>
        <v>3.5999999999999996</v>
      </c>
      <c r="V31" s="66">
        <f>Бюджет!V42</f>
        <v>0</v>
      </c>
      <c r="W31" s="66">
        <f>Бюджет!W42</f>
        <v>0</v>
      </c>
      <c r="X31" s="66">
        <f>Бюджет!X42</f>
        <v>0</v>
      </c>
      <c r="Y31" s="66">
        <f>Бюджет!Y42</f>
        <v>0</v>
      </c>
      <c r="Z31" s="66">
        <f>Бюджет!Z42</f>
        <v>0</v>
      </c>
      <c r="AA31" s="66">
        <f>Бюджет!AA42</f>
        <v>0</v>
      </c>
      <c r="AB31" s="66">
        <f>Бюджет!AB42</f>
        <v>0</v>
      </c>
      <c r="AC31" s="66">
        <f>Бюджет!AC42</f>
        <v>0</v>
      </c>
      <c r="AD31" s="66">
        <f>Бюджет!AD42</f>
        <v>0</v>
      </c>
      <c r="AE31" s="66">
        <f>Бюджет!AE42</f>
        <v>0</v>
      </c>
      <c r="AF31" s="66">
        <f>Бюджет!AF42</f>
        <v>0</v>
      </c>
      <c r="AG31" s="66">
        <f>Бюджет!AG42</f>
        <v>0</v>
      </c>
      <c r="AH31" s="66">
        <f>Бюджет!AH42</f>
        <v>0</v>
      </c>
      <c r="AI31" s="66">
        <f>Бюджет!AI42</f>
        <v>2</v>
      </c>
      <c r="AJ31" s="66">
        <f t="shared" si="3"/>
        <v>74.799999999999983</v>
      </c>
      <c r="AK31" s="74"/>
    </row>
    <row r="32" spans="1:37" s="109" customFormat="1" ht="30" x14ac:dyDescent="0.2">
      <c r="A32" s="60" t="str">
        <f>Бюджет!A43</f>
        <v>Б1.О.15.02</v>
      </c>
      <c r="B32" s="60" t="str">
        <f>Бюджет!B43</f>
        <v>Электродинамика (поток РФ, НЭ, ИСТ лекц, поток РФ и НЭ пз)</v>
      </c>
      <c r="C32" s="67" t="str">
        <f>Бюджет!C43</f>
        <v>2\4</v>
      </c>
      <c r="D32" s="67">
        <f>Бюджет!D43</f>
        <v>12</v>
      </c>
      <c r="E32" s="67">
        <f>Бюджет!E43</f>
        <v>1</v>
      </c>
      <c r="F32" s="66">
        <f>Бюджет!F43</f>
        <v>40</v>
      </c>
      <c r="G32" s="66">
        <f>Бюджет!G43</f>
        <v>40</v>
      </c>
      <c r="H32" s="66">
        <f>Бюджет!H43</f>
        <v>40</v>
      </c>
      <c r="I32" s="66">
        <f>Бюджет!I43</f>
        <v>40</v>
      </c>
      <c r="J32" s="66">
        <f>Бюджет!J43</f>
        <v>0</v>
      </c>
      <c r="K32" s="66">
        <f>Бюджет!K43</f>
        <v>3.5999999999999996</v>
      </c>
      <c r="L32" s="66">
        <f>Бюджет!L43</f>
        <v>0</v>
      </c>
      <c r="M32" s="66">
        <f>Бюджет!M43</f>
        <v>0</v>
      </c>
      <c r="N32" s="66">
        <f>Бюджет!N43</f>
        <v>0</v>
      </c>
      <c r="O32" s="66">
        <f>Бюджет!O43</f>
        <v>0</v>
      </c>
      <c r="P32" s="66">
        <f>Бюджет!P43</f>
        <v>0</v>
      </c>
      <c r="Q32" s="66">
        <f>Бюджет!Q43</f>
        <v>2</v>
      </c>
      <c r="R32" s="66">
        <f>Бюджет!R43</f>
        <v>0</v>
      </c>
      <c r="S32" s="66">
        <f>Бюджет!S43</f>
        <v>0</v>
      </c>
      <c r="T32" s="66">
        <f>Бюджет!T43</f>
        <v>0</v>
      </c>
      <c r="U32" s="66">
        <f>Бюджет!U43</f>
        <v>3.5999999999999996</v>
      </c>
      <c r="V32" s="66">
        <f>Бюджет!V43</f>
        <v>0</v>
      </c>
      <c r="W32" s="66">
        <f>Бюджет!W43</f>
        <v>0</v>
      </c>
      <c r="X32" s="66">
        <f>Бюджет!X43</f>
        <v>0</v>
      </c>
      <c r="Y32" s="66">
        <f>Бюджет!Y43</f>
        <v>0</v>
      </c>
      <c r="Z32" s="66">
        <f>Бюджет!Z43</f>
        <v>0</v>
      </c>
      <c r="AA32" s="66">
        <f>Бюджет!AA43</f>
        <v>0</v>
      </c>
      <c r="AB32" s="66">
        <f>Бюджет!AB43</f>
        <v>0</v>
      </c>
      <c r="AC32" s="66">
        <f>Бюджет!AC43</f>
        <v>0</v>
      </c>
      <c r="AD32" s="66">
        <f>Бюджет!AD43</f>
        <v>0</v>
      </c>
      <c r="AE32" s="66">
        <f>Бюджет!AE43</f>
        <v>0</v>
      </c>
      <c r="AF32" s="66">
        <f>Бюджет!AF43</f>
        <v>0</v>
      </c>
      <c r="AG32" s="66">
        <f>Бюджет!AG43</f>
        <v>0</v>
      </c>
      <c r="AH32" s="66">
        <f>Бюджет!AH43</f>
        <v>0</v>
      </c>
      <c r="AI32" s="66">
        <f>Бюджет!AI43</f>
        <v>0</v>
      </c>
      <c r="AJ32" s="66">
        <f t="shared" si="3"/>
        <v>89.199999999999989</v>
      </c>
      <c r="AK32" s="74"/>
    </row>
    <row r="33" spans="1:37" s="109" customFormat="1" ht="30" x14ac:dyDescent="0.2">
      <c r="A33" s="60" t="str">
        <f>Бюджет!A46</f>
        <v>Б1.О.20</v>
      </c>
      <c r="B33" s="60" t="str">
        <f>Бюджет!B46</f>
        <v>Теория функций комплексного переменного (поток РФ, НЭ лекц+пз)</v>
      </c>
      <c r="C33" s="67" t="str">
        <f>Бюджет!C46</f>
        <v>2\4</v>
      </c>
      <c r="D33" s="67">
        <f>Бюджет!D46</f>
        <v>12</v>
      </c>
      <c r="E33" s="67">
        <f>Бюджет!E46</f>
        <v>1</v>
      </c>
      <c r="F33" s="66">
        <f>Бюджет!F46</f>
        <v>20</v>
      </c>
      <c r="G33" s="66">
        <f>Бюджет!G46</f>
        <v>20</v>
      </c>
      <c r="H33" s="66">
        <f>Бюджет!H46</f>
        <v>20</v>
      </c>
      <c r="I33" s="66">
        <f>Бюджет!I46</f>
        <v>20</v>
      </c>
      <c r="J33" s="66">
        <f>Бюджет!J46</f>
        <v>0</v>
      </c>
      <c r="K33" s="66">
        <f>Бюджет!K46</f>
        <v>3.5999999999999996</v>
      </c>
      <c r="L33" s="66">
        <f>Бюджет!L46</f>
        <v>0</v>
      </c>
      <c r="M33" s="66">
        <f>Бюджет!M46</f>
        <v>0</v>
      </c>
      <c r="N33" s="66">
        <f>Бюджет!N46</f>
        <v>0</v>
      </c>
      <c r="O33" s="66">
        <f>Бюджет!O46</f>
        <v>0</v>
      </c>
      <c r="P33" s="66">
        <f>Бюджет!P46</f>
        <v>0</v>
      </c>
      <c r="Q33" s="66">
        <f>Бюджет!Q46</f>
        <v>1</v>
      </c>
      <c r="R33" s="66">
        <f>Бюджет!R46</f>
        <v>0</v>
      </c>
      <c r="S33" s="66">
        <f>Бюджет!S46</f>
        <v>0</v>
      </c>
      <c r="T33" s="66">
        <f>Бюджет!T46</f>
        <v>0</v>
      </c>
      <c r="U33" s="66">
        <f>Бюджет!U46</f>
        <v>0</v>
      </c>
      <c r="V33" s="66">
        <f>Бюджет!V46</f>
        <v>0</v>
      </c>
      <c r="W33" s="66">
        <f>Бюджет!W46</f>
        <v>0</v>
      </c>
      <c r="X33" s="66">
        <f>Бюджет!X46</f>
        <v>0</v>
      </c>
      <c r="Y33" s="66">
        <f>Бюджет!Y46</f>
        <v>0</v>
      </c>
      <c r="Z33" s="66">
        <f>Бюджет!Z46</f>
        <v>0</v>
      </c>
      <c r="AA33" s="66">
        <f>Бюджет!AA46</f>
        <v>0</v>
      </c>
      <c r="AB33" s="66">
        <f>Бюджет!AB46</f>
        <v>0</v>
      </c>
      <c r="AC33" s="66">
        <f>Бюджет!AC46</f>
        <v>0</v>
      </c>
      <c r="AD33" s="66">
        <f>Бюджет!AD46</f>
        <v>0</v>
      </c>
      <c r="AE33" s="66">
        <f>Бюджет!AE46</f>
        <v>0</v>
      </c>
      <c r="AF33" s="66">
        <f>Бюджет!AF46</f>
        <v>0</v>
      </c>
      <c r="AG33" s="66">
        <f>Бюджет!AG46</f>
        <v>0</v>
      </c>
      <c r="AH33" s="66">
        <f>Бюджет!AH46</f>
        <v>0</v>
      </c>
      <c r="AI33" s="66">
        <f>Бюджет!AI46</f>
        <v>0</v>
      </c>
      <c r="AJ33" s="66">
        <f t="shared" si="3"/>
        <v>44.6</v>
      </c>
      <c r="AK33" s="74"/>
    </row>
    <row r="34" spans="1:37" s="109" customFormat="1" ht="15" x14ac:dyDescent="0.2">
      <c r="A34" s="60" t="str">
        <f>Бюджет!A53</f>
        <v>Б1.О.15.03</v>
      </c>
      <c r="B34" s="60" t="str">
        <f>Бюджет!B53</f>
        <v>Квантовая механика</v>
      </c>
      <c r="C34" s="67" t="str">
        <f>Бюджет!C53</f>
        <v>3\5</v>
      </c>
      <c r="D34" s="67">
        <f>Бюджет!D53</f>
        <v>15</v>
      </c>
      <c r="E34" s="67">
        <f>Бюджет!E53</f>
        <v>1</v>
      </c>
      <c r="F34" s="66">
        <f>Бюджет!F53</f>
        <v>34</v>
      </c>
      <c r="G34" s="66">
        <f>Бюджет!G53</f>
        <v>34</v>
      </c>
      <c r="H34" s="66">
        <f>Бюджет!H53</f>
        <v>34</v>
      </c>
      <c r="I34" s="66">
        <f>Бюджет!I53</f>
        <v>34</v>
      </c>
      <c r="J34" s="66">
        <f>Бюджет!J53</f>
        <v>0</v>
      </c>
      <c r="K34" s="66">
        <f>Бюджет!K53</f>
        <v>0</v>
      </c>
      <c r="L34" s="66">
        <f>Бюджет!L53</f>
        <v>0</v>
      </c>
      <c r="M34" s="66">
        <f>Бюджет!M53</f>
        <v>6</v>
      </c>
      <c r="N34" s="66">
        <f>Бюджет!N53</f>
        <v>0</v>
      </c>
      <c r="O34" s="66">
        <f>Бюджет!O53</f>
        <v>0</v>
      </c>
      <c r="P34" s="66">
        <f>Бюджет!P53</f>
        <v>0</v>
      </c>
      <c r="Q34" s="66">
        <f>Бюджет!Q53</f>
        <v>2.7</v>
      </c>
      <c r="R34" s="66">
        <f>Бюджет!R53</f>
        <v>0</v>
      </c>
      <c r="S34" s="66">
        <f>Бюджет!S53</f>
        <v>0</v>
      </c>
      <c r="T34" s="66">
        <f>Бюджет!T53</f>
        <v>0</v>
      </c>
      <c r="U34" s="66">
        <f>Бюджет!U53</f>
        <v>4.5</v>
      </c>
      <c r="V34" s="66">
        <f>Бюджет!V53</f>
        <v>0</v>
      </c>
      <c r="W34" s="66">
        <f>Бюджет!W53</f>
        <v>0</v>
      </c>
      <c r="X34" s="66">
        <f>Бюджет!X53</f>
        <v>0</v>
      </c>
      <c r="Y34" s="66">
        <f>Бюджет!Y53</f>
        <v>0</v>
      </c>
      <c r="Z34" s="66">
        <f>Бюджет!Z53</f>
        <v>0</v>
      </c>
      <c r="AA34" s="66">
        <f>Бюджет!AA53</f>
        <v>0</v>
      </c>
      <c r="AB34" s="66">
        <f>Бюджет!AB53</f>
        <v>0</v>
      </c>
      <c r="AC34" s="66">
        <f>Бюджет!AC53</f>
        <v>0</v>
      </c>
      <c r="AD34" s="66">
        <f>Бюджет!AD53</f>
        <v>0</v>
      </c>
      <c r="AE34" s="66">
        <f>Бюджет!AE53</f>
        <v>0</v>
      </c>
      <c r="AF34" s="66">
        <f>Бюджет!AF53</f>
        <v>0</v>
      </c>
      <c r="AG34" s="66">
        <f>Бюджет!AG53</f>
        <v>0</v>
      </c>
      <c r="AH34" s="66">
        <f>Бюджет!AH53</f>
        <v>0</v>
      </c>
      <c r="AI34" s="66">
        <f>Бюджет!AI53</f>
        <v>4</v>
      </c>
      <c r="AJ34" s="66">
        <f t="shared" si="3"/>
        <v>85.2</v>
      </c>
      <c r="AK34" s="74"/>
    </row>
    <row r="35" spans="1:37" s="109" customFormat="1" ht="30" x14ac:dyDescent="0.2">
      <c r="A35" s="60" t="str">
        <f>Бюджет!A54</f>
        <v>Б1.О.15.04</v>
      </c>
      <c r="B35" s="60" t="str">
        <f>Бюджет!B54</f>
        <v>Термодинамика и статистическая физика (поток РФ, НЭ)</v>
      </c>
      <c r="C35" s="67" t="str">
        <f>Бюджет!C54</f>
        <v>3\6</v>
      </c>
      <c r="D35" s="67">
        <f>Бюджет!D54</f>
        <v>15</v>
      </c>
      <c r="E35" s="67">
        <f>Бюджет!E54</f>
        <v>1</v>
      </c>
      <c r="F35" s="66">
        <f>Бюджет!F54</f>
        <v>36</v>
      </c>
      <c r="G35" s="66">
        <f>Бюджет!G54</f>
        <v>36</v>
      </c>
      <c r="H35" s="66">
        <f>Бюджет!H54</f>
        <v>36</v>
      </c>
      <c r="I35" s="66">
        <f>Бюджет!I54</f>
        <v>36</v>
      </c>
      <c r="J35" s="66">
        <f>Бюджет!J54</f>
        <v>0</v>
      </c>
      <c r="K35" s="66">
        <f>Бюджет!K54</f>
        <v>0</v>
      </c>
      <c r="L35" s="66">
        <f>Бюджет!L54</f>
        <v>0</v>
      </c>
      <c r="M35" s="66">
        <f>Бюджет!M54</f>
        <v>6</v>
      </c>
      <c r="N35" s="66">
        <f>Бюджет!N54</f>
        <v>0</v>
      </c>
      <c r="O35" s="66">
        <f>Бюджет!O54</f>
        <v>0</v>
      </c>
      <c r="P35" s="66">
        <f>Бюджет!P54</f>
        <v>0</v>
      </c>
      <c r="Q35" s="66">
        <f>Бюджет!Q54</f>
        <v>2.8</v>
      </c>
      <c r="R35" s="66">
        <f>Бюджет!R54</f>
        <v>0</v>
      </c>
      <c r="S35" s="66">
        <f>Бюджет!S54</f>
        <v>0</v>
      </c>
      <c r="T35" s="66">
        <f>Бюджет!T54</f>
        <v>0</v>
      </c>
      <c r="U35" s="66">
        <f>Бюджет!U54</f>
        <v>4.5</v>
      </c>
      <c r="V35" s="66">
        <f>Бюджет!V54</f>
        <v>0</v>
      </c>
      <c r="W35" s="66">
        <f>Бюджет!W54</f>
        <v>0</v>
      </c>
      <c r="X35" s="66">
        <f>Бюджет!X54</f>
        <v>0</v>
      </c>
      <c r="Y35" s="66">
        <f>Бюджет!Y54</f>
        <v>0</v>
      </c>
      <c r="Z35" s="66">
        <f>Бюджет!Z54</f>
        <v>0</v>
      </c>
      <c r="AA35" s="66">
        <f>Бюджет!AA54</f>
        <v>0</v>
      </c>
      <c r="AB35" s="66">
        <f>Бюджет!AB54</f>
        <v>0</v>
      </c>
      <c r="AC35" s="66">
        <f>Бюджет!AC54</f>
        <v>0</v>
      </c>
      <c r="AD35" s="66">
        <f>Бюджет!AD54</f>
        <v>0</v>
      </c>
      <c r="AE35" s="66">
        <f>Бюджет!AE54</f>
        <v>0</v>
      </c>
      <c r="AF35" s="66">
        <f>Бюджет!AF54</f>
        <v>0</v>
      </c>
      <c r="AG35" s="66">
        <f>Бюджет!AG54</f>
        <v>0</v>
      </c>
      <c r="AH35" s="66">
        <f>Бюджет!AH54</f>
        <v>0</v>
      </c>
      <c r="AI35" s="66">
        <f>Бюджет!AI54</f>
        <v>14</v>
      </c>
      <c r="AJ35" s="66">
        <f t="shared" si="3"/>
        <v>99.3</v>
      </c>
      <c r="AK35" s="74"/>
    </row>
    <row r="36" spans="1:37" s="109" customFormat="1" ht="15.75" x14ac:dyDescent="0.2">
      <c r="A36" s="74"/>
      <c r="B36" s="214" t="s">
        <v>228</v>
      </c>
      <c r="C36" s="91"/>
      <c r="D36" s="91"/>
      <c r="E36" s="91"/>
      <c r="F36" s="88">
        <f>SUM(F23:F35)</f>
        <v>390</v>
      </c>
      <c r="G36" s="88">
        <f t="shared" ref="G36:AJ36" si="5">SUM(G23:G35)</f>
        <v>390</v>
      </c>
      <c r="H36" s="88">
        <f t="shared" si="5"/>
        <v>428</v>
      </c>
      <c r="I36" s="88">
        <f t="shared" si="5"/>
        <v>428</v>
      </c>
      <c r="J36" s="88">
        <f t="shared" si="5"/>
        <v>0</v>
      </c>
      <c r="K36" s="88">
        <f t="shared" si="5"/>
        <v>20.699999999999996</v>
      </c>
      <c r="L36" s="88">
        <f t="shared" si="5"/>
        <v>0</v>
      </c>
      <c r="M36" s="88">
        <f t="shared" si="5"/>
        <v>38.400000000000006</v>
      </c>
      <c r="N36" s="88">
        <f t="shared" si="5"/>
        <v>0</v>
      </c>
      <c r="O36" s="88">
        <f t="shared" si="5"/>
        <v>0</v>
      </c>
      <c r="P36" s="88">
        <f t="shared" si="5"/>
        <v>0</v>
      </c>
      <c r="Q36" s="88">
        <f t="shared" si="5"/>
        <v>25.5</v>
      </c>
      <c r="R36" s="88">
        <f t="shared" si="5"/>
        <v>0</v>
      </c>
      <c r="S36" s="88">
        <f t="shared" si="5"/>
        <v>0</v>
      </c>
      <c r="T36" s="88">
        <f t="shared" si="5"/>
        <v>0</v>
      </c>
      <c r="U36" s="88">
        <f t="shared" si="5"/>
        <v>45.900000000000006</v>
      </c>
      <c r="V36" s="88">
        <f t="shared" si="5"/>
        <v>0</v>
      </c>
      <c r="W36" s="88">
        <f t="shared" si="5"/>
        <v>0</v>
      </c>
      <c r="X36" s="88">
        <f t="shared" si="5"/>
        <v>0</v>
      </c>
      <c r="Y36" s="88">
        <f t="shared" si="5"/>
        <v>0</v>
      </c>
      <c r="Z36" s="88">
        <f t="shared" si="5"/>
        <v>0</v>
      </c>
      <c r="AA36" s="88">
        <f t="shared" si="5"/>
        <v>0</v>
      </c>
      <c r="AB36" s="88">
        <f t="shared" si="5"/>
        <v>0</v>
      </c>
      <c r="AC36" s="88">
        <f t="shared" si="5"/>
        <v>0</v>
      </c>
      <c r="AD36" s="88">
        <f t="shared" si="5"/>
        <v>0</v>
      </c>
      <c r="AE36" s="88">
        <f t="shared" si="5"/>
        <v>0</v>
      </c>
      <c r="AF36" s="88">
        <f t="shared" si="5"/>
        <v>0</v>
      </c>
      <c r="AG36" s="88">
        <f t="shared" si="5"/>
        <v>0</v>
      </c>
      <c r="AH36" s="88">
        <f t="shared" si="5"/>
        <v>0</v>
      </c>
      <c r="AI36" s="88">
        <f t="shared" si="5"/>
        <v>68</v>
      </c>
      <c r="AJ36" s="88">
        <f t="shared" si="5"/>
        <v>1016.4999999999999</v>
      </c>
      <c r="AK36" s="70"/>
    </row>
    <row r="37" spans="1:37" s="109" customFormat="1" ht="15.75" x14ac:dyDescent="0.2">
      <c r="A37" s="74"/>
      <c r="B37" s="107"/>
      <c r="C37" s="275"/>
      <c r="D37" s="275"/>
      <c r="E37" s="275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66">
        <f t="shared" ref="AJ37:AJ89" si="6">SUM(G37,I37:AI37)</f>
        <v>0</v>
      </c>
      <c r="AK37" s="70"/>
    </row>
    <row r="38" spans="1:37" s="109" customFormat="1" ht="15.75" x14ac:dyDescent="0.2">
      <c r="A38" s="74"/>
      <c r="B38" s="60"/>
      <c r="C38" s="74"/>
      <c r="D38" s="74"/>
      <c r="E38" s="74"/>
      <c r="F38" s="70"/>
      <c r="G38" s="70"/>
      <c r="H38" s="70"/>
      <c r="I38" s="70"/>
      <c r="J38" s="389" t="str">
        <f>Бюджет!L90</f>
        <v>03.03.02 Физика</v>
      </c>
      <c r="K38" s="389"/>
      <c r="L38" s="389"/>
      <c r="M38" s="389"/>
      <c r="N38" s="389"/>
      <c r="O38" s="389"/>
      <c r="P38" s="389"/>
      <c r="Q38" s="389"/>
      <c r="R38" s="389"/>
      <c r="S38" s="389"/>
      <c r="T38" s="389"/>
      <c r="U38" s="389"/>
      <c r="V38" s="389"/>
      <c r="W38" s="389"/>
      <c r="X38" s="389"/>
      <c r="Y38" s="389"/>
      <c r="Z38" s="389"/>
      <c r="AA38" s="389"/>
      <c r="AB38" s="389"/>
      <c r="AC38" s="389"/>
      <c r="AD38" s="70"/>
      <c r="AE38" s="70"/>
      <c r="AF38" s="70"/>
      <c r="AG38" s="70"/>
      <c r="AH38" s="70"/>
      <c r="AI38" s="70"/>
      <c r="AJ38" s="66">
        <f t="shared" si="6"/>
        <v>0</v>
      </c>
      <c r="AK38" s="70"/>
    </row>
    <row r="39" spans="1:37" s="109" customFormat="1" ht="15.75" x14ac:dyDescent="0.2">
      <c r="A39" s="74"/>
      <c r="B39" s="60"/>
      <c r="C39" s="74"/>
      <c r="D39" s="74"/>
      <c r="E39" s="74"/>
      <c r="F39" s="70"/>
      <c r="G39" s="70"/>
      <c r="H39" s="70"/>
      <c r="I39" s="70"/>
      <c r="J39" s="390" t="str">
        <f>Бюджет!K91</f>
        <v>профиль "Фундаментальная физика и физика Космоса"</v>
      </c>
      <c r="K39" s="390"/>
      <c r="L39" s="390"/>
      <c r="M39" s="390"/>
      <c r="N39" s="390"/>
      <c r="O39" s="390"/>
      <c r="P39" s="390"/>
      <c r="Q39" s="390"/>
      <c r="R39" s="390"/>
      <c r="S39" s="390"/>
      <c r="T39" s="390"/>
      <c r="U39" s="390"/>
      <c r="V39" s="390"/>
      <c r="W39" s="390"/>
      <c r="X39" s="390"/>
      <c r="Y39" s="390"/>
      <c r="Z39" s="390"/>
      <c r="AA39" s="390"/>
      <c r="AB39" s="390"/>
      <c r="AC39" s="390"/>
      <c r="AD39" s="70"/>
      <c r="AE39" s="70"/>
      <c r="AF39" s="70"/>
      <c r="AG39" s="70"/>
      <c r="AH39" s="70"/>
      <c r="AI39" s="70"/>
      <c r="AJ39" s="66">
        <f t="shared" si="6"/>
        <v>0</v>
      </c>
      <c r="AK39" s="70"/>
    </row>
    <row r="40" spans="1:37" s="109" customFormat="1" ht="15.75" x14ac:dyDescent="0.2">
      <c r="A40" s="74"/>
      <c r="B40" s="60"/>
      <c r="C40" s="74"/>
      <c r="D40" s="74"/>
      <c r="E40" s="74"/>
      <c r="F40" s="70"/>
      <c r="G40" s="70"/>
      <c r="H40" s="70"/>
      <c r="I40" s="70"/>
      <c r="J40" s="390" t="str">
        <f>Бюджет!K92</f>
        <v>профиль "Экспериментальная физика"</v>
      </c>
      <c r="K40" s="390"/>
      <c r="L40" s="390"/>
      <c r="M40" s="390"/>
      <c r="N40" s="390"/>
      <c r="O40" s="390"/>
      <c r="P40" s="390"/>
      <c r="Q40" s="390"/>
      <c r="R40" s="390"/>
      <c r="S40" s="390"/>
      <c r="T40" s="390"/>
      <c r="U40" s="390"/>
      <c r="V40" s="390"/>
      <c r="W40" s="390"/>
      <c r="X40" s="390"/>
      <c r="Y40" s="390"/>
      <c r="Z40" s="390"/>
      <c r="AA40" s="390"/>
      <c r="AB40" s="390"/>
      <c r="AC40" s="390"/>
      <c r="AD40" s="70"/>
      <c r="AE40" s="70"/>
      <c r="AF40" s="70"/>
      <c r="AG40" s="70"/>
      <c r="AH40" s="70"/>
      <c r="AI40" s="70"/>
      <c r="AJ40" s="66">
        <f t="shared" si="6"/>
        <v>0</v>
      </c>
      <c r="AK40" s="70"/>
    </row>
    <row r="41" spans="1:37" s="109" customFormat="1" ht="15" x14ac:dyDescent="0.2">
      <c r="A41" s="60" t="str">
        <f>Бюджет!A93</f>
        <v>Б1.О.01</v>
      </c>
      <c r="B41" s="60" t="str">
        <f>Бюджет!B93</f>
        <v>Основы высшей математики</v>
      </c>
      <c r="C41" s="67" t="str">
        <f>Бюджет!C93</f>
        <v>1\1</v>
      </c>
      <c r="D41" s="67">
        <f>Бюджет!D93</f>
        <v>23</v>
      </c>
      <c r="E41" s="67">
        <f>Бюджет!E93</f>
        <v>1</v>
      </c>
      <c r="F41" s="66">
        <f>Бюджет!F93</f>
        <v>0</v>
      </c>
      <c r="G41" s="66">
        <f>Бюджет!G93</f>
        <v>0</v>
      </c>
      <c r="H41" s="66">
        <f>Бюджет!H93</f>
        <v>34</v>
      </c>
      <c r="I41" s="66">
        <f>Бюджет!I93</f>
        <v>34</v>
      </c>
      <c r="J41" s="66">
        <f>Бюджет!J93</f>
        <v>0</v>
      </c>
      <c r="K41" s="66">
        <f>Бюджет!K93</f>
        <v>6.8999999999999995</v>
      </c>
      <c r="L41" s="66">
        <f>Бюджет!L93</f>
        <v>0</v>
      </c>
      <c r="M41" s="66">
        <f>Бюджет!M93</f>
        <v>0</v>
      </c>
      <c r="N41" s="66">
        <f>Бюджет!N93</f>
        <v>0</v>
      </c>
      <c r="O41" s="66">
        <f>Бюджет!O93</f>
        <v>0</v>
      </c>
      <c r="P41" s="66">
        <f>Бюджет!P93</f>
        <v>0</v>
      </c>
      <c r="Q41" s="66">
        <f>Бюджет!Q93</f>
        <v>0</v>
      </c>
      <c r="R41" s="66">
        <f>Бюджет!R93</f>
        <v>0</v>
      </c>
      <c r="S41" s="66">
        <f>Бюджет!S93</f>
        <v>0</v>
      </c>
      <c r="T41" s="66">
        <f>Бюджет!T93</f>
        <v>0</v>
      </c>
      <c r="U41" s="66">
        <f>Бюджет!U93</f>
        <v>0</v>
      </c>
      <c r="V41" s="66">
        <f>Бюджет!V93</f>
        <v>0</v>
      </c>
      <c r="W41" s="66">
        <f>Бюджет!W93</f>
        <v>0</v>
      </c>
      <c r="X41" s="66">
        <f>Бюджет!X93</f>
        <v>0</v>
      </c>
      <c r="Y41" s="66">
        <f>Бюджет!Y93</f>
        <v>0</v>
      </c>
      <c r="Z41" s="66">
        <f>Бюджет!Z93</f>
        <v>0</v>
      </c>
      <c r="AA41" s="66">
        <f>Бюджет!AA93</f>
        <v>0</v>
      </c>
      <c r="AB41" s="66">
        <f>Бюджет!AB93</f>
        <v>0</v>
      </c>
      <c r="AC41" s="66">
        <f>Бюджет!AC93</f>
        <v>0</v>
      </c>
      <c r="AD41" s="66">
        <f>Бюджет!AD93</f>
        <v>0</v>
      </c>
      <c r="AE41" s="66">
        <f>Бюджет!AE93</f>
        <v>0</v>
      </c>
      <c r="AF41" s="66">
        <f>Бюджет!AF93</f>
        <v>0</v>
      </c>
      <c r="AG41" s="66">
        <f>Бюджет!AG93</f>
        <v>0</v>
      </c>
      <c r="AH41" s="66">
        <f>Бюджет!AH93</f>
        <v>0</v>
      </c>
      <c r="AI41" s="66">
        <f>Бюджет!AI93</f>
        <v>0</v>
      </c>
      <c r="AJ41" s="66">
        <f t="shared" si="6"/>
        <v>40.9</v>
      </c>
      <c r="AK41" s="70"/>
    </row>
    <row r="42" spans="1:37" s="109" customFormat="1" ht="15" x14ac:dyDescent="0.2">
      <c r="A42" s="60" t="str">
        <f>Бюджет!A97</f>
        <v>Б1.О.13.01</v>
      </c>
      <c r="B42" s="60" t="str">
        <f>Бюджет!B97</f>
        <v>Математический анализ</v>
      </c>
      <c r="C42" s="67" t="str">
        <f>Бюджет!C97</f>
        <v>1\1</v>
      </c>
      <c r="D42" s="67">
        <f>Бюджет!D97</f>
        <v>23</v>
      </c>
      <c r="E42" s="67">
        <f>Бюджет!E97</f>
        <v>1</v>
      </c>
      <c r="F42" s="66">
        <f>Бюджет!F97</f>
        <v>60</v>
      </c>
      <c r="G42" s="66">
        <f>Бюджет!G97</f>
        <v>60</v>
      </c>
      <c r="H42" s="66">
        <f>Бюджет!H97</f>
        <v>60</v>
      </c>
      <c r="I42" s="66">
        <f>Бюджет!I97</f>
        <v>60</v>
      </c>
      <c r="J42" s="66">
        <f>Бюджет!J97</f>
        <v>0</v>
      </c>
      <c r="K42" s="66">
        <f>Бюджет!K97</f>
        <v>0</v>
      </c>
      <c r="L42" s="66">
        <f>Бюджет!L97</f>
        <v>0</v>
      </c>
      <c r="M42" s="66">
        <f>Бюджет!M97</f>
        <v>9.2000000000000011</v>
      </c>
      <c r="N42" s="66">
        <f>Бюджет!N97</f>
        <v>0</v>
      </c>
      <c r="O42" s="66">
        <f>Бюджет!O97</f>
        <v>0</v>
      </c>
      <c r="P42" s="66">
        <f>Бюджет!P97</f>
        <v>0</v>
      </c>
      <c r="Q42" s="66">
        <f>Бюджет!Q97</f>
        <v>4</v>
      </c>
      <c r="R42" s="66">
        <f>Бюджет!R97</f>
        <v>0</v>
      </c>
      <c r="S42" s="66">
        <f>Бюджет!S97</f>
        <v>0</v>
      </c>
      <c r="T42" s="66">
        <f>Бюджет!T97</f>
        <v>0</v>
      </c>
      <c r="U42" s="66">
        <f>Бюджет!U97</f>
        <v>6.8999999999999995</v>
      </c>
      <c r="V42" s="66">
        <f>Бюджет!V97</f>
        <v>0</v>
      </c>
      <c r="W42" s="66">
        <f>Бюджет!W97</f>
        <v>0</v>
      </c>
      <c r="X42" s="66">
        <f>Бюджет!X97</f>
        <v>0</v>
      </c>
      <c r="Y42" s="66">
        <f>Бюджет!Y97</f>
        <v>0</v>
      </c>
      <c r="Z42" s="66">
        <f>Бюджет!Z97</f>
        <v>0</v>
      </c>
      <c r="AA42" s="66">
        <f>Бюджет!AA97</f>
        <v>0</v>
      </c>
      <c r="AB42" s="66">
        <f>Бюджет!AB97</f>
        <v>0</v>
      </c>
      <c r="AC42" s="66">
        <f>Бюджет!AC97</f>
        <v>0</v>
      </c>
      <c r="AD42" s="66">
        <f>Бюджет!AD97</f>
        <v>0</v>
      </c>
      <c r="AE42" s="66">
        <f>Бюджет!AE97</f>
        <v>0</v>
      </c>
      <c r="AF42" s="66">
        <f>Бюджет!AF97</f>
        <v>0</v>
      </c>
      <c r="AG42" s="66">
        <f>Бюджет!AG97</f>
        <v>0</v>
      </c>
      <c r="AH42" s="66">
        <f>Бюджет!AH97</f>
        <v>0</v>
      </c>
      <c r="AI42" s="66">
        <f>Бюджет!AI97</f>
        <v>12</v>
      </c>
      <c r="AJ42" s="66">
        <f t="shared" si="6"/>
        <v>152.1</v>
      </c>
      <c r="AK42" s="70"/>
    </row>
    <row r="43" spans="1:37" s="109" customFormat="1" ht="15" x14ac:dyDescent="0.2">
      <c r="A43" s="60" t="str">
        <f>Бюджет!A98</f>
        <v>Б1.О.13.01</v>
      </c>
      <c r="B43" s="60" t="str">
        <f>Бюджет!B98</f>
        <v>Математический анализ</v>
      </c>
      <c r="C43" s="67" t="str">
        <f>Бюджет!C98</f>
        <v>1\2</v>
      </c>
      <c r="D43" s="67">
        <f>Бюджет!D98</f>
        <v>23</v>
      </c>
      <c r="E43" s="67">
        <f>Бюджет!E98</f>
        <v>1</v>
      </c>
      <c r="F43" s="66">
        <f>Бюджет!F98</f>
        <v>60</v>
      </c>
      <c r="G43" s="66">
        <f>Бюджет!G98</f>
        <v>60</v>
      </c>
      <c r="H43" s="66">
        <f>Бюджет!H98</f>
        <v>60</v>
      </c>
      <c r="I43" s="66">
        <f>Бюджет!I98</f>
        <v>60</v>
      </c>
      <c r="J43" s="66">
        <f>Бюджет!J98</f>
        <v>0</v>
      </c>
      <c r="K43" s="66">
        <f>Бюджет!K98</f>
        <v>0</v>
      </c>
      <c r="L43" s="66">
        <f>Бюджет!L98</f>
        <v>0</v>
      </c>
      <c r="M43" s="66">
        <f>Бюджет!M98</f>
        <v>9.2000000000000011</v>
      </c>
      <c r="N43" s="66">
        <f>Бюджет!N98</f>
        <v>0</v>
      </c>
      <c r="O43" s="66">
        <f>Бюджет!O98</f>
        <v>0</v>
      </c>
      <c r="P43" s="66">
        <f>Бюджет!P98</f>
        <v>0</v>
      </c>
      <c r="Q43" s="66">
        <f>Бюджет!Q98</f>
        <v>4</v>
      </c>
      <c r="R43" s="66">
        <f>Бюджет!R98</f>
        <v>0</v>
      </c>
      <c r="S43" s="66">
        <f>Бюджет!S98</f>
        <v>0</v>
      </c>
      <c r="T43" s="66">
        <f>Бюджет!T98</f>
        <v>0</v>
      </c>
      <c r="U43" s="66">
        <f>Бюджет!U98</f>
        <v>6.8999999999999995</v>
      </c>
      <c r="V43" s="66">
        <f>Бюджет!V98</f>
        <v>0</v>
      </c>
      <c r="W43" s="66">
        <f>Бюджет!W98</f>
        <v>0</v>
      </c>
      <c r="X43" s="66">
        <f>Бюджет!X98</f>
        <v>0</v>
      </c>
      <c r="Y43" s="66">
        <f>Бюджет!Y98</f>
        <v>0</v>
      </c>
      <c r="Z43" s="66">
        <f>Бюджет!Z98</f>
        <v>0</v>
      </c>
      <c r="AA43" s="66">
        <f>Бюджет!AA98</f>
        <v>0</v>
      </c>
      <c r="AB43" s="66">
        <f>Бюджет!AB98</f>
        <v>0</v>
      </c>
      <c r="AC43" s="66">
        <f>Бюджет!AC98</f>
        <v>0</v>
      </c>
      <c r="AD43" s="66">
        <f>Бюджет!AD98</f>
        <v>0</v>
      </c>
      <c r="AE43" s="66">
        <f>Бюджет!AE98</f>
        <v>0</v>
      </c>
      <c r="AF43" s="66">
        <f>Бюджет!AF98</f>
        <v>0</v>
      </c>
      <c r="AG43" s="66">
        <f>Бюджет!AG98</f>
        <v>0</v>
      </c>
      <c r="AH43" s="66">
        <f>Бюджет!AH98</f>
        <v>0</v>
      </c>
      <c r="AI43" s="66">
        <f>Бюджет!AI98</f>
        <v>4</v>
      </c>
      <c r="AJ43" s="66">
        <f t="shared" si="6"/>
        <v>144.1</v>
      </c>
      <c r="AK43" s="70"/>
    </row>
    <row r="44" spans="1:37" s="109" customFormat="1" ht="15" x14ac:dyDescent="0.2">
      <c r="A44" s="60" t="str">
        <f>Бюджет!A99</f>
        <v>Б1.О.13.02</v>
      </c>
      <c r="B44" s="60" t="str">
        <f>Бюджет!B99</f>
        <v>Аналитическая геометрия</v>
      </c>
      <c r="C44" s="67" t="str">
        <f>Бюджет!C99</f>
        <v>1\1</v>
      </c>
      <c r="D44" s="67">
        <f>Бюджет!D99</f>
        <v>23</v>
      </c>
      <c r="E44" s="67">
        <f>Бюджет!E99</f>
        <v>1</v>
      </c>
      <c r="F44" s="66">
        <f>Бюджет!F99</f>
        <v>14</v>
      </c>
      <c r="G44" s="66">
        <f>Бюджет!G99</f>
        <v>14</v>
      </c>
      <c r="H44" s="66">
        <f>Бюджет!H99</f>
        <v>30</v>
      </c>
      <c r="I44" s="66">
        <f>Бюджет!I99</f>
        <v>30</v>
      </c>
      <c r="J44" s="66">
        <f>Бюджет!J99</f>
        <v>0</v>
      </c>
      <c r="K44" s="66">
        <f>Бюджет!K99</f>
        <v>0</v>
      </c>
      <c r="L44" s="66">
        <f>Бюджет!L99</f>
        <v>0</v>
      </c>
      <c r="M44" s="66">
        <f>Бюджет!M99</f>
        <v>9.2000000000000011</v>
      </c>
      <c r="N44" s="66">
        <f>Бюджет!N99</f>
        <v>0</v>
      </c>
      <c r="O44" s="66">
        <f>Бюджет!O99</f>
        <v>0</v>
      </c>
      <c r="P44" s="66">
        <f>Бюджет!P99</f>
        <v>0</v>
      </c>
      <c r="Q44" s="66">
        <f>Бюджет!Q99</f>
        <v>1.7000000000000002</v>
      </c>
      <c r="R44" s="66">
        <f>Бюджет!R99</f>
        <v>0</v>
      </c>
      <c r="S44" s="66">
        <f>Бюджет!S99</f>
        <v>0</v>
      </c>
      <c r="T44" s="66">
        <f>Бюджет!T99</f>
        <v>0</v>
      </c>
      <c r="U44" s="66">
        <f>Бюджет!U99</f>
        <v>6.8999999999999995</v>
      </c>
      <c r="V44" s="66">
        <f>Бюджет!V99</f>
        <v>0</v>
      </c>
      <c r="W44" s="66">
        <f>Бюджет!W99</f>
        <v>0</v>
      </c>
      <c r="X44" s="66">
        <f>Бюджет!X99</f>
        <v>0</v>
      </c>
      <c r="Y44" s="66">
        <f>Бюджет!Y99</f>
        <v>0</v>
      </c>
      <c r="Z44" s="66">
        <f>Бюджет!Z99</f>
        <v>0</v>
      </c>
      <c r="AA44" s="66">
        <f>Бюджет!AA99</f>
        <v>0</v>
      </c>
      <c r="AB44" s="66">
        <f>Бюджет!AB99</f>
        <v>0</v>
      </c>
      <c r="AC44" s="66">
        <f>Бюджет!AC99</f>
        <v>0</v>
      </c>
      <c r="AD44" s="66">
        <f>Бюджет!AD99</f>
        <v>0</v>
      </c>
      <c r="AE44" s="66">
        <f>Бюджет!AE99</f>
        <v>0</v>
      </c>
      <c r="AF44" s="66">
        <f>Бюджет!AF99</f>
        <v>0</v>
      </c>
      <c r="AG44" s="66">
        <f>Бюджет!AG99</f>
        <v>0</v>
      </c>
      <c r="AH44" s="66">
        <f>Бюджет!AH99</f>
        <v>0</v>
      </c>
      <c r="AI44" s="66">
        <f>Бюджет!AI99</f>
        <v>6</v>
      </c>
      <c r="AJ44" s="66">
        <f t="shared" si="6"/>
        <v>67.800000000000011</v>
      </c>
      <c r="AK44" s="70"/>
    </row>
    <row r="45" spans="1:37" s="109" customFormat="1" ht="15" x14ac:dyDescent="0.2">
      <c r="A45" s="60" t="str">
        <f>Бюджет!A100</f>
        <v>Б1.О.13.03</v>
      </c>
      <c r="B45" s="60" t="str">
        <f>Бюджет!B100</f>
        <v>Линейная алгебра</v>
      </c>
      <c r="C45" s="67" t="str">
        <f>Бюджет!C100</f>
        <v>1\2</v>
      </c>
      <c r="D45" s="67">
        <f>Бюджет!D100</f>
        <v>23</v>
      </c>
      <c r="E45" s="67">
        <f>Бюджет!E100</f>
        <v>1</v>
      </c>
      <c r="F45" s="66">
        <f>Бюджет!F100</f>
        <v>40</v>
      </c>
      <c r="G45" s="66">
        <f>Бюджет!G100</f>
        <v>40</v>
      </c>
      <c r="H45" s="66">
        <f>Бюджет!H100</f>
        <v>40</v>
      </c>
      <c r="I45" s="66">
        <f>Бюджет!I100</f>
        <v>40</v>
      </c>
      <c r="J45" s="66">
        <f>Бюджет!J100</f>
        <v>0</v>
      </c>
      <c r="K45" s="66">
        <f>Бюджет!K100</f>
        <v>0</v>
      </c>
      <c r="L45" s="66">
        <f>Бюджет!L100</f>
        <v>0</v>
      </c>
      <c r="M45" s="66">
        <f>Бюджет!M100</f>
        <v>9.2000000000000011</v>
      </c>
      <c r="N45" s="66">
        <f>Бюджет!N100</f>
        <v>0</v>
      </c>
      <c r="O45" s="66">
        <f>Бюджет!O100</f>
        <v>0</v>
      </c>
      <c r="P45" s="66">
        <f>Бюджет!P100</f>
        <v>0</v>
      </c>
      <c r="Q45" s="66">
        <f>Бюджет!Q100</f>
        <v>3</v>
      </c>
      <c r="R45" s="66">
        <f>Бюджет!R100</f>
        <v>0</v>
      </c>
      <c r="S45" s="66">
        <f>Бюджет!S100</f>
        <v>0</v>
      </c>
      <c r="T45" s="66">
        <f>Бюджет!T100</f>
        <v>0</v>
      </c>
      <c r="U45" s="66">
        <f>Бюджет!U100</f>
        <v>6.8999999999999995</v>
      </c>
      <c r="V45" s="66">
        <f>Бюджет!V100</f>
        <v>0</v>
      </c>
      <c r="W45" s="66">
        <f>Бюджет!W100</f>
        <v>0</v>
      </c>
      <c r="X45" s="66">
        <f>Бюджет!X100</f>
        <v>0</v>
      </c>
      <c r="Y45" s="66">
        <f>Бюджет!Y100</f>
        <v>0</v>
      </c>
      <c r="Z45" s="66">
        <f>Бюджет!Z100</f>
        <v>0</v>
      </c>
      <c r="AA45" s="66">
        <f>Бюджет!AA100</f>
        <v>0</v>
      </c>
      <c r="AB45" s="66">
        <f>Бюджет!AB100</f>
        <v>0</v>
      </c>
      <c r="AC45" s="66">
        <f>Бюджет!AC100</f>
        <v>0</v>
      </c>
      <c r="AD45" s="66">
        <f>Бюджет!AD100</f>
        <v>0</v>
      </c>
      <c r="AE45" s="66">
        <f>Бюджет!AE100</f>
        <v>0</v>
      </c>
      <c r="AF45" s="66">
        <f>Бюджет!AF100</f>
        <v>0</v>
      </c>
      <c r="AG45" s="66">
        <f>Бюджет!AG100</f>
        <v>0</v>
      </c>
      <c r="AH45" s="66">
        <f>Бюджет!AH100</f>
        <v>0</v>
      </c>
      <c r="AI45" s="66">
        <f>Бюджет!AI100</f>
        <v>4</v>
      </c>
      <c r="AJ45" s="66">
        <f t="shared" si="6"/>
        <v>103.10000000000001</v>
      </c>
      <c r="AK45" s="70"/>
    </row>
    <row r="46" spans="1:37" s="109" customFormat="1" ht="15.75" x14ac:dyDescent="0.2">
      <c r="A46" s="74"/>
      <c r="B46" s="60"/>
      <c r="C46" s="74"/>
      <c r="D46" s="74"/>
      <c r="E46" s="74"/>
      <c r="F46" s="70"/>
      <c r="G46" s="70"/>
      <c r="H46" s="70"/>
      <c r="I46" s="70"/>
      <c r="J46" s="390" t="str">
        <f>Бюджет!K103</f>
        <v>профиль "Солнечно-земная физика"</v>
      </c>
      <c r="K46" s="390"/>
      <c r="L46" s="390"/>
      <c r="M46" s="390"/>
      <c r="N46" s="390"/>
      <c r="O46" s="390"/>
      <c r="P46" s="390"/>
      <c r="Q46" s="390"/>
      <c r="R46" s="390"/>
      <c r="S46" s="390"/>
      <c r="T46" s="390"/>
      <c r="U46" s="390"/>
      <c r="V46" s="390"/>
      <c r="W46" s="390"/>
      <c r="X46" s="390"/>
      <c r="Y46" s="390"/>
      <c r="Z46" s="390"/>
      <c r="AA46" s="390"/>
      <c r="AB46" s="390"/>
      <c r="AC46" s="390"/>
      <c r="AD46" s="70"/>
      <c r="AE46" s="70"/>
      <c r="AF46" s="70"/>
      <c r="AG46" s="70"/>
      <c r="AH46" s="70"/>
      <c r="AI46" s="70"/>
      <c r="AJ46" s="66">
        <f t="shared" ref="AJ46:AJ48" si="7">SUM(G46,I46:AI46)</f>
        <v>0</v>
      </c>
      <c r="AK46" s="70"/>
    </row>
    <row r="47" spans="1:37" s="109" customFormat="1" ht="15.75" x14ac:dyDescent="0.2">
      <c r="A47" s="74"/>
      <c r="B47" s="60"/>
      <c r="C47" s="74"/>
      <c r="D47" s="74"/>
      <c r="E47" s="74"/>
      <c r="F47" s="70"/>
      <c r="G47" s="70"/>
      <c r="H47" s="70"/>
      <c r="I47" s="70"/>
      <c r="J47" s="390" t="str">
        <f>Бюджет!K104</f>
        <v>профиль "Физика материалов твердотельной электроники и фотоники"</v>
      </c>
      <c r="K47" s="390"/>
      <c r="L47" s="390"/>
      <c r="M47" s="390"/>
      <c r="N47" s="390"/>
      <c r="O47" s="390"/>
      <c r="P47" s="390"/>
      <c r="Q47" s="390"/>
      <c r="R47" s="390"/>
      <c r="S47" s="390"/>
      <c r="T47" s="390"/>
      <c r="U47" s="390"/>
      <c r="V47" s="390"/>
      <c r="W47" s="390"/>
      <c r="X47" s="390"/>
      <c r="Y47" s="390"/>
      <c r="Z47" s="390"/>
      <c r="AA47" s="390"/>
      <c r="AB47" s="390"/>
      <c r="AC47" s="390"/>
      <c r="AD47" s="70"/>
      <c r="AE47" s="70"/>
      <c r="AF47" s="70"/>
      <c r="AG47" s="70"/>
      <c r="AH47" s="70"/>
      <c r="AI47" s="70"/>
      <c r="AJ47" s="66">
        <f t="shared" si="7"/>
        <v>0</v>
      </c>
      <c r="AK47" s="70"/>
    </row>
    <row r="48" spans="1:37" s="109" customFormat="1" ht="15.75" x14ac:dyDescent="0.2">
      <c r="A48" s="74"/>
      <c r="B48" s="60"/>
      <c r="C48" s="74"/>
      <c r="D48" s="74"/>
      <c r="E48" s="74"/>
      <c r="F48" s="70"/>
      <c r="G48" s="70"/>
      <c r="H48" s="70"/>
      <c r="I48" s="70"/>
      <c r="J48" s="390" t="str">
        <f>Бюджет!K105</f>
        <v>профиль "Фундаментальная физика"</v>
      </c>
      <c r="K48" s="390"/>
      <c r="L48" s="390"/>
      <c r="M48" s="390"/>
      <c r="N48" s="390"/>
      <c r="O48" s="390"/>
      <c r="P48" s="390"/>
      <c r="Q48" s="390"/>
      <c r="R48" s="390"/>
      <c r="S48" s="390"/>
      <c r="T48" s="390"/>
      <c r="U48" s="390"/>
      <c r="V48" s="390"/>
      <c r="W48" s="390"/>
      <c r="X48" s="390"/>
      <c r="Y48" s="390"/>
      <c r="Z48" s="390"/>
      <c r="AA48" s="390"/>
      <c r="AB48" s="390"/>
      <c r="AC48" s="390"/>
      <c r="AD48" s="70"/>
      <c r="AE48" s="70"/>
      <c r="AF48" s="70"/>
      <c r="AG48" s="70"/>
      <c r="AH48" s="70"/>
      <c r="AI48" s="70"/>
      <c r="AJ48" s="66">
        <f t="shared" si="7"/>
        <v>0</v>
      </c>
      <c r="AK48" s="70"/>
    </row>
    <row r="49" spans="1:37" s="109" customFormat="1" ht="15" x14ac:dyDescent="0.2">
      <c r="A49" s="60" t="str">
        <f>Бюджет!A108</f>
        <v>Б1.Б.13.01</v>
      </c>
      <c r="B49" s="60" t="str">
        <f>Бюджет!B108</f>
        <v>Математический анализ</v>
      </c>
      <c r="C49" s="67" t="str">
        <f>Бюджет!C108</f>
        <v>2\3</v>
      </c>
      <c r="D49" s="67">
        <f>Бюджет!D108</f>
        <v>18</v>
      </c>
      <c r="E49" s="67">
        <f>Бюджет!E108</f>
        <v>1</v>
      </c>
      <c r="F49" s="66">
        <f>Бюджет!F108</f>
        <v>48</v>
      </c>
      <c r="G49" s="66">
        <f>Бюджет!G108</f>
        <v>48</v>
      </c>
      <c r="H49" s="66">
        <f>Бюджет!H108</f>
        <v>64</v>
      </c>
      <c r="I49" s="66">
        <f>Бюджет!I108</f>
        <v>64</v>
      </c>
      <c r="J49" s="66">
        <f>Бюджет!J108</f>
        <v>0</v>
      </c>
      <c r="K49" s="66">
        <f>Бюджет!K108</f>
        <v>0</v>
      </c>
      <c r="L49" s="66">
        <f>Бюджет!L108</f>
        <v>0</v>
      </c>
      <c r="M49" s="66">
        <f>Бюджет!M108</f>
        <v>7.2</v>
      </c>
      <c r="N49" s="66">
        <f>Бюджет!N108</f>
        <v>0</v>
      </c>
      <c r="O49" s="66">
        <f>Бюджет!O108</f>
        <v>0</v>
      </c>
      <c r="P49" s="66">
        <f>Бюджет!P108</f>
        <v>0</v>
      </c>
      <c r="Q49" s="66">
        <f>Бюджет!Q108</f>
        <v>3.4000000000000004</v>
      </c>
      <c r="R49" s="66">
        <f>Бюджет!R108</f>
        <v>0</v>
      </c>
      <c r="S49" s="66">
        <f>Бюджет!S108</f>
        <v>0</v>
      </c>
      <c r="T49" s="66">
        <f>Бюджет!T108</f>
        <v>0</v>
      </c>
      <c r="U49" s="66">
        <f>Бюджет!U108</f>
        <v>5.3999999999999995</v>
      </c>
      <c r="V49" s="66">
        <f>Бюджет!V108</f>
        <v>0</v>
      </c>
      <c r="W49" s="66">
        <f>Бюджет!W108</f>
        <v>0</v>
      </c>
      <c r="X49" s="66">
        <f>Бюджет!X108</f>
        <v>0</v>
      </c>
      <c r="Y49" s="66">
        <f>Бюджет!Y108</f>
        <v>0</v>
      </c>
      <c r="Z49" s="66">
        <f>Бюджет!Z108</f>
        <v>0</v>
      </c>
      <c r="AA49" s="66">
        <f>Бюджет!AA108</f>
        <v>0</v>
      </c>
      <c r="AB49" s="66">
        <f>Бюджет!AB108</f>
        <v>0</v>
      </c>
      <c r="AC49" s="66">
        <f>Бюджет!AC108</f>
        <v>0</v>
      </c>
      <c r="AD49" s="66">
        <f>Бюджет!AD108</f>
        <v>0</v>
      </c>
      <c r="AE49" s="66">
        <f>Бюджет!AE108</f>
        <v>0</v>
      </c>
      <c r="AF49" s="66">
        <f>Бюджет!AF108</f>
        <v>0</v>
      </c>
      <c r="AG49" s="66">
        <f>Бюджет!AG108</f>
        <v>0</v>
      </c>
      <c r="AH49" s="66">
        <f>Бюджет!AH108</f>
        <v>0</v>
      </c>
      <c r="AI49" s="66">
        <f>Бюджет!AI108</f>
        <v>12</v>
      </c>
      <c r="AJ49" s="66">
        <f t="shared" si="6"/>
        <v>140</v>
      </c>
      <c r="AK49" s="70"/>
    </row>
    <row r="50" spans="1:37" s="109" customFormat="1" ht="30" x14ac:dyDescent="0.2">
      <c r="A50" s="60" t="str">
        <f>Бюджет!A109</f>
        <v>Б1.О.13.04</v>
      </c>
      <c r="B50" s="60" t="str">
        <f>Бюджет!B109</f>
        <v>Дифференциальные уравнения (поток РФ, ФИЗ, НЭ, ИСТ лекц, поток РФ, ФИЗ пз)</v>
      </c>
      <c r="C50" s="67" t="str">
        <f>Бюджет!C109</f>
        <v>2\3</v>
      </c>
      <c r="D50" s="67">
        <f>Бюджет!D109</f>
        <v>18</v>
      </c>
      <c r="E50" s="67">
        <f>Бюджет!E109</f>
        <v>1</v>
      </c>
      <c r="F50" s="66">
        <f>Бюджет!F109</f>
        <v>32</v>
      </c>
      <c r="G50" s="66">
        <f>Бюджет!G109</f>
        <v>0</v>
      </c>
      <c r="H50" s="66">
        <f>Бюджет!H109</f>
        <v>32</v>
      </c>
      <c r="I50" s="66">
        <f>Бюджет!I109</f>
        <v>0</v>
      </c>
      <c r="J50" s="66">
        <f>Бюджет!J109</f>
        <v>0</v>
      </c>
      <c r="K50" s="66">
        <f>Бюджет!K109</f>
        <v>0</v>
      </c>
      <c r="L50" s="66">
        <f>Бюджет!L109</f>
        <v>0</v>
      </c>
      <c r="M50" s="66">
        <f>Бюджет!M109</f>
        <v>7.2</v>
      </c>
      <c r="N50" s="66">
        <f>Бюджет!N109</f>
        <v>0</v>
      </c>
      <c r="O50" s="66">
        <f>Бюджет!O109</f>
        <v>0</v>
      </c>
      <c r="P50" s="66">
        <f>Бюджет!P109</f>
        <v>0</v>
      </c>
      <c r="Q50" s="66">
        <f>Бюджет!Q109</f>
        <v>0</v>
      </c>
      <c r="R50" s="66">
        <f>Бюджет!R109</f>
        <v>0</v>
      </c>
      <c r="S50" s="66">
        <f>Бюджет!S109</f>
        <v>0</v>
      </c>
      <c r="T50" s="66">
        <f>Бюджет!T109</f>
        <v>0</v>
      </c>
      <c r="U50" s="66">
        <f>Бюджет!U109</f>
        <v>5.3999999999999995</v>
      </c>
      <c r="V50" s="66">
        <f>Бюджет!V109</f>
        <v>0</v>
      </c>
      <c r="W50" s="66">
        <f>Бюджет!W109</f>
        <v>0</v>
      </c>
      <c r="X50" s="66">
        <f>Бюджет!X109</f>
        <v>0</v>
      </c>
      <c r="Y50" s="66">
        <f>Бюджет!Y109</f>
        <v>0</v>
      </c>
      <c r="Z50" s="66">
        <f>Бюджет!Z109</f>
        <v>0</v>
      </c>
      <c r="AA50" s="66">
        <f>Бюджет!AA109</f>
        <v>0</v>
      </c>
      <c r="AB50" s="66">
        <f>Бюджет!AB109</f>
        <v>0</v>
      </c>
      <c r="AC50" s="66">
        <f>Бюджет!AC109</f>
        <v>0</v>
      </c>
      <c r="AD50" s="66">
        <f>Бюджет!AD109</f>
        <v>0</v>
      </c>
      <c r="AE50" s="66">
        <f>Бюджет!AE109</f>
        <v>0</v>
      </c>
      <c r="AF50" s="66">
        <f>Бюджет!AF109</f>
        <v>0</v>
      </c>
      <c r="AG50" s="66">
        <f>Бюджет!AG109</f>
        <v>0</v>
      </c>
      <c r="AH50" s="66">
        <f>Бюджет!AH109</f>
        <v>0</v>
      </c>
      <c r="AI50" s="66">
        <f>Бюджет!AI109</f>
        <v>0</v>
      </c>
      <c r="AJ50" s="66">
        <f t="shared" si="6"/>
        <v>12.6</v>
      </c>
      <c r="AK50" s="70"/>
    </row>
    <row r="51" spans="1:37" s="109" customFormat="1" ht="15" x14ac:dyDescent="0.2">
      <c r="A51" s="60" t="str">
        <f>Бюджет!A110</f>
        <v>Б1.Б.13.05</v>
      </c>
      <c r="B51" s="60" t="str">
        <f>Бюджет!B110</f>
        <v>Теория функций комплексного переменного</v>
      </c>
      <c r="C51" s="67" t="str">
        <f>Бюджет!C110</f>
        <v>2\4</v>
      </c>
      <c r="D51" s="67">
        <f>Бюджет!D110</f>
        <v>18</v>
      </c>
      <c r="E51" s="67">
        <f>Бюджет!E110</f>
        <v>1</v>
      </c>
      <c r="F51" s="66">
        <f>Бюджет!F110</f>
        <v>40</v>
      </c>
      <c r="G51" s="66">
        <f>Бюджет!G110</f>
        <v>40</v>
      </c>
      <c r="H51" s="66">
        <f>Бюджет!H110</f>
        <v>60</v>
      </c>
      <c r="I51" s="66">
        <f>Бюджет!I110</f>
        <v>60</v>
      </c>
      <c r="J51" s="66">
        <f>Бюджет!J110</f>
        <v>0</v>
      </c>
      <c r="K51" s="66">
        <f>Бюджет!K110</f>
        <v>0</v>
      </c>
      <c r="L51" s="66">
        <f>Бюджет!L110</f>
        <v>0</v>
      </c>
      <c r="M51" s="66">
        <f>Бюджет!M110</f>
        <v>7.2</v>
      </c>
      <c r="N51" s="66">
        <f>Бюджет!N110</f>
        <v>0</v>
      </c>
      <c r="O51" s="66">
        <f>Бюджет!O110</f>
        <v>0</v>
      </c>
      <c r="P51" s="66">
        <f>Бюджет!P110</f>
        <v>0</v>
      </c>
      <c r="Q51" s="66">
        <f>Бюджет!Q110</f>
        <v>3</v>
      </c>
      <c r="R51" s="66">
        <f>Бюджет!R110</f>
        <v>0</v>
      </c>
      <c r="S51" s="66">
        <f>Бюджет!S110</f>
        <v>0</v>
      </c>
      <c r="T51" s="66">
        <f>Бюджет!T110</f>
        <v>0</v>
      </c>
      <c r="U51" s="66">
        <f>Бюджет!U110</f>
        <v>5.3999999999999995</v>
      </c>
      <c r="V51" s="66">
        <f>Бюджет!V110</f>
        <v>0</v>
      </c>
      <c r="W51" s="66">
        <f>Бюджет!W110</f>
        <v>0</v>
      </c>
      <c r="X51" s="66">
        <f>Бюджет!X110</f>
        <v>0</v>
      </c>
      <c r="Y51" s="66">
        <f>Бюджет!Y110</f>
        <v>0</v>
      </c>
      <c r="Z51" s="66">
        <f>Бюджет!Z110</f>
        <v>0</v>
      </c>
      <c r="AA51" s="66">
        <f>Бюджет!AA110</f>
        <v>0</v>
      </c>
      <c r="AB51" s="66">
        <f>Бюджет!AB110</f>
        <v>0</v>
      </c>
      <c r="AC51" s="66">
        <f>Бюджет!AC110</f>
        <v>0</v>
      </c>
      <c r="AD51" s="66">
        <f>Бюджет!AD110</f>
        <v>0</v>
      </c>
      <c r="AE51" s="66">
        <f>Бюджет!AE110</f>
        <v>0</v>
      </c>
      <c r="AF51" s="66">
        <f>Бюджет!AF110</f>
        <v>0</v>
      </c>
      <c r="AG51" s="66">
        <f>Бюджет!AG110</f>
        <v>0</v>
      </c>
      <c r="AH51" s="66">
        <f>Бюджет!AH110</f>
        <v>0</v>
      </c>
      <c r="AI51" s="66">
        <f>Бюджет!AI110</f>
        <v>0</v>
      </c>
      <c r="AJ51" s="66">
        <f t="shared" si="6"/>
        <v>115.60000000000001</v>
      </c>
      <c r="AK51" s="70"/>
    </row>
    <row r="52" spans="1:37" s="109" customFormat="1" ht="15" x14ac:dyDescent="0.2">
      <c r="A52" s="60" t="str">
        <f>Бюджет!A113</f>
        <v>Б1.О.15.01</v>
      </c>
      <c r="B52" s="60" t="str">
        <f>Бюджет!B113</f>
        <v>Теоретическая механика (поток РФ, ФИЗ лекц+пз)</v>
      </c>
      <c r="C52" s="67" t="str">
        <f>Бюджет!C113</f>
        <v>2\3</v>
      </c>
      <c r="D52" s="67">
        <f>Бюджет!D113</f>
        <v>18</v>
      </c>
      <c r="E52" s="67">
        <f>Бюджет!E113</f>
        <v>1</v>
      </c>
      <c r="F52" s="66">
        <f>Бюджет!F113</f>
        <v>32</v>
      </c>
      <c r="G52" s="66">
        <f>Бюджет!G113</f>
        <v>0</v>
      </c>
      <c r="H52" s="66">
        <f>Бюджет!H113</f>
        <v>32</v>
      </c>
      <c r="I52" s="66">
        <f>Бюджет!I113</f>
        <v>0</v>
      </c>
      <c r="J52" s="66">
        <f>Бюджет!J113</f>
        <v>0</v>
      </c>
      <c r="K52" s="66">
        <f>Бюджет!K113</f>
        <v>0</v>
      </c>
      <c r="L52" s="66">
        <f>Бюджет!L113</f>
        <v>0</v>
      </c>
      <c r="M52" s="66">
        <f>Бюджет!M113</f>
        <v>7.2</v>
      </c>
      <c r="N52" s="66">
        <f>Бюджет!N113</f>
        <v>0</v>
      </c>
      <c r="O52" s="66">
        <f>Бюджет!O113</f>
        <v>0</v>
      </c>
      <c r="P52" s="66">
        <f>Бюджет!P113</f>
        <v>0</v>
      </c>
      <c r="Q52" s="66">
        <f>Бюджет!Q113</f>
        <v>0</v>
      </c>
      <c r="R52" s="66">
        <f>Бюджет!R113</f>
        <v>0</v>
      </c>
      <c r="S52" s="66">
        <f>Бюджет!S113</f>
        <v>0</v>
      </c>
      <c r="T52" s="66">
        <f>Бюджет!T113</f>
        <v>0</v>
      </c>
      <c r="U52" s="66">
        <f>Бюджет!U113</f>
        <v>5.3999999999999995</v>
      </c>
      <c r="V52" s="66">
        <f>Бюджет!V113</f>
        <v>0</v>
      </c>
      <c r="W52" s="66">
        <f>Бюджет!W113</f>
        <v>0</v>
      </c>
      <c r="X52" s="66">
        <f>Бюджет!X113</f>
        <v>0</v>
      </c>
      <c r="Y52" s="66">
        <f>Бюджет!Y113</f>
        <v>0</v>
      </c>
      <c r="Z52" s="66">
        <f>Бюджет!Z113</f>
        <v>0</v>
      </c>
      <c r="AA52" s="66">
        <f>Бюджет!AA113</f>
        <v>0</v>
      </c>
      <c r="AB52" s="66">
        <f>Бюджет!AB113</f>
        <v>0</v>
      </c>
      <c r="AC52" s="66">
        <f>Бюджет!AC113</f>
        <v>0</v>
      </c>
      <c r="AD52" s="66">
        <f>Бюджет!AD113</f>
        <v>0</v>
      </c>
      <c r="AE52" s="66">
        <f>Бюджет!AE113</f>
        <v>0</v>
      </c>
      <c r="AF52" s="66">
        <f>Бюджет!AF113</f>
        <v>0</v>
      </c>
      <c r="AG52" s="66">
        <f>Бюджет!AG113</f>
        <v>0</v>
      </c>
      <c r="AH52" s="66">
        <f>Бюджет!AH113</f>
        <v>0</v>
      </c>
      <c r="AI52" s="66">
        <f>Бюджет!AI113</f>
        <v>0</v>
      </c>
      <c r="AJ52" s="66">
        <f t="shared" si="6"/>
        <v>12.6</v>
      </c>
      <c r="AK52" s="70"/>
    </row>
    <row r="53" spans="1:37" s="109" customFormat="1" ht="15" x14ac:dyDescent="0.2">
      <c r="A53" s="60" t="str">
        <f>Бюджет!A114</f>
        <v>Б1.О.15.02</v>
      </c>
      <c r="B53" s="60" t="str">
        <f>Бюджет!B114</f>
        <v>Электродинамика</v>
      </c>
      <c r="C53" s="67" t="str">
        <f>Бюджет!C114</f>
        <v>2\4</v>
      </c>
      <c r="D53" s="67">
        <f>Бюджет!D114</f>
        <v>18</v>
      </c>
      <c r="E53" s="67">
        <f>Бюджет!E114</f>
        <v>1</v>
      </c>
      <c r="F53" s="66">
        <f>Бюджет!F114</f>
        <v>60</v>
      </c>
      <c r="G53" s="66">
        <f>Бюджет!G114</f>
        <v>60</v>
      </c>
      <c r="H53" s="66">
        <f>Бюджет!H114</f>
        <v>60</v>
      </c>
      <c r="I53" s="66">
        <f>Бюджет!I114</f>
        <v>60</v>
      </c>
      <c r="J53" s="66">
        <f>Бюджет!J114</f>
        <v>0</v>
      </c>
      <c r="K53" s="66">
        <f>Бюджет!K114</f>
        <v>0</v>
      </c>
      <c r="L53" s="66">
        <f>Бюджет!L114</f>
        <v>0</v>
      </c>
      <c r="M53" s="66">
        <f>Бюджет!M114</f>
        <v>7.2</v>
      </c>
      <c r="N53" s="66">
        <f>Бюджет!N114</f>
        <v>0</v>
      </c>
      <c r="O53" s="66">
        <f>Бюджет!O114</f>
        <v>0</v>
      </c>
      <c r="P53" s="66">
        <f>Бюджет!P114</f>
        <v>0</v>
      </c>
      <c r="Q53" s="66">
        <f>Бюджет!Q114</f>
        <v>4</v>
      </c>
      <c r="R53" s="66">
        <f>Бюджет!R114</f>
        <v>0</v>
      </c>
      <c r="S53" s="66">
        <f>Бюджет!S114</f>
        <v>0</v>
      </c>
      <c r="T53" s="66">
        <f>Бюджет!T114</f>
        <v>0</v>
      </c>
      <c r="U53" s="66">
        <f>Бюджет!U114</f>
        <v>5.3999999999999995</v>
      </c>
      <c r="V53" s="66">
        <f>Бюджет!V114</f>
        <v>0</v>
      </c>
      <c r="W53" s="66">
        <f>Бюджет!W114</f>
        <v>0</v>
      </c>
      <c r="X53" s="66">
        <f>Бюджет!X114</f>
        <v>0</v>
      </c>
      <c r="Y53" s="66">
        <f>Бюджет!Y114</f>
        <v>0</v>
      </c>
      <c r="Z53" s="66">
        <f>Бюджет!Z114</f>
        <v>0</v>
      </c>
      <c r="AA53" s="66">
        <f>Бюджет!AA114</f>
        <v>0</v>
      </c>
      <c r="AB53" s="66">
        <f>Бюджет!AB114</f>
        <v>0</v>
      </c>
      <c r="AC53" s="66">
        <f>Бюджет!AC114</f>
        <v>0</v>
      </c>
      <c r="AD53" s="66">
        <f>Бюджет!AD114</f>
        <v>0</v>
      </c>
      <c r="AE53" s="66">
        <f>Бюджет!AE114</f>
        <v>0</v>
      </c>
      <c r="AF53" s="66">
        <f>Бюджет!AF114</f>
        <v>0</v>
      </c>
      <c r="AG53" s="66">
        <f>Бюджет!AG114</f>
        <v>0</v>
      </c>
      <c r="AH53" s="66">
        <f>Бюджет!AH114</f>
        <v>0</v>
      </c>
      <c r="AI53" s="66">
        <f>Бюджет!AI114</f>
        <v>0</v>
      </c>
      <c r="AJ53" s="66">
        <f t="shared" si="6"/>
        <v>136.6</v>
      </c>
      <c r="AK53" s="70"/>
    </row>
    <row r="54" spans="1:37" s="109" customFormat="1" ht="15.75" x14ac:dyDescent="0.2">
      <c r="A54" s="74"/>
      <c r="B54" s="60"/>
      <c r="C54" s="74"/>
      <c r="D54" s="74"/>
      <c r="E54" s="74"/>
      <c r="F54" s="70"/>
      <c r="G54" s="70"/>
      <c r="H54" s="70"/>
      <c r="I54" s="70"/>
      <c r="J54" s="390" t="str">
        <f>Бюджет!K103</f>
        <v>профиль "Солнечно-земная физика"</v>
      </c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  <c r="AA54" s="390"/>
      <c r="AB54" s="390"/>
      <c r="AC54" s="390"/>
      <c r="AD54" s="70"/>
      <c r="AE54" s="70"/>
      <c r="AF54" s="70"/>
      <c r="AG54" s="70"/>
      <c r="AH54" s="70"/>
      <c r="AI54" s="70"/>
      <c r="AJ54" s="66">
        <f t="shared" ref="AJ54:AJ56" si="8">SUM(G54,I54:AI54)</f>
        <v>0</v>
      </c>
      <c r="AK54" s="70"/>
    </row>
    <row r="55" spans="1:37" s="109" customFormat="1" ht="15.75" x14ac:dyDescent="0.2">
      <c r="A55" s="74"/>
      <c r="B55" s="60"/>
      <c r="C55" s="74"/>
      <c r="D55" s="74"/>
      <c r="E55" s="74"/>
      <c r="F55" s="70"/>
      <c r="G55" s="70"/>
      <c r="H55" s="70"/>
      <c r="I55" s="70"/>
      <c r="J55" s="390" t="str">
        <f>Бюджет!K104</f>
        <v>профиль "Физика материалов твердотельной электроники и фотоники"</v>
      </c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  <c r="AD55" s="70"/>
      <c r="AE55" s="70"/>
      <c r="AF55" s="70"/>
      <c r="AG55" s="70"/>
      <c r="AH55" s="70"/>
      <c r="AI55" s="70"/>
      <c r="AJ55" s="66">
        <f t="shared" si="8"/>
        <v>0</v>
      </c>
      <c r="AK55" s="70"/>
    </row>
    <row r="56" spans="1:37" s="109" customFormat="1" ht="15.75" x14ac:dyDescent="0.2">
      <c r="A56" s="74"/>
      <c r="B56" s="60"/>
      <c r="C56" s="74"/>
      <c r="D56" s="74"/>
      <c r="E56" s="74"/>
      <c r="F56" s="70"/>
      <c r="G56" s="70"/>
      <c r="H56" s="70"/>
      <c r="I56" s="70"/>
      <c r="J56" s="390" t="str">
        <f>Бюджет!K105</f>
        <v>профиль "Фундаментальная физика"</v>
      </c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0"/>
      <c r="AB56" s="390"/>
      <c r="AC56" s="390"/>
      <c r="AD56" s="70"/>
      <c r="AE56" s="70"/>
      <c r="AF56" s="70"/>
      <c r="AG56" s="70"/>
      <c r="AH56" s="70"/>
      <c r="AI56" s="70"/>
      <c r="AJ56" s="66">
        <f t="shared" si="8"/>
        <v>0</v>
      </c>
      <c r="AK56" s="70"/>
    </row>
    <row r="57" spans="1:37" s="109" customFormat="1" ht="15" x14ac:dyDescent="0.2">
      <c r="A57" s="60" t="str">
        <f>Бюджет!A122</f>
        <v>Б1.О.13.06</v>
      </c>
      <c r="B57" s="60" t="str">
        <f>Бюджет!B122</f>
        <v>Методы математической физики (поток ФИЗ, НЭ)</v>
      </c>
      <c r="C57" s="67" t="str">
        <f>Бюджет!C122</f>
        <v>3\5</v>
      </c>
      <c r="D57" s="67">
        <f>Бюджет!D122</f>
        <v>17</v>
      </c>
      <c r="E57" s="67">
        <f>Бюджет!E122</f>
        <v>1</v>
      </c>
      <c r="F57" s="66">
        <f>Бюджет!F122</f>
        <v>50</v>
      </c>
      <c r="G57" s="66">
        <f>Бюджет!G122</f>
        <v>50</v>
      </c>
      <c r="H57" s="66">
        <f>Бюджет!H122</f>
        <v>50</v>
      </c>
      <c r="I57" s="66">
        <f>Бюджет!I122</f>
        <v>50</v>
      </c>
      <c r="J57" s="66">
        <f>Бюджет!J122</f>
        <v>0</v>
      </c>
      <c r="K57" s="66">
        <f>Бюджет!K122</f>
        <v>0</v>
      </c>
      <c r="L57" s="66">
        <f>Бюджет!L122</f>
        <v>0</v>
      </c>
      <c r="M57" s="66">
        <f>Бюджет!M122</f>
        <v>6.8000000000000007</v>
      </c>
      <c r="N57" s="66">
        <f>Бюджет!N122</f>
        <v>0</v>
      </c>
      <c r="O57" s="66">
        <f>Бюджет!O122</f>
        <v>0</v>
      </c>
      <c r="P57" s="66">
        <f>Бюджет!P122</f>
        <v>0</v>
      </c>
      <c r="Q57" s="66">
        <f>Бюджет!Q122</f>
        <v>3.5</v>
      </c>
      <c r="R57" s="66">
        <f>Бюджет!R122</f>
        <v>0</v>
      </c>
      <c r="S57" s="66">
        <f>Бюджет!S122</f>
        <v>0</v>
      </c>
      <c r="T57" s="66">
        <f>Бюджет!T122</f>
        <v>0</v>
      </c>
      <c r="U57" s="66">
        <f>Бюджет!U122</f>
        <v>5.0999999999999996</v>
      </c>
      <c r="V57" s="66">
        <f>Бюджет!V122</f>
        <v>0</v>
      </c>
      <c r="W57" s="66">
        <f>Бюджет!W122</f>
        <v>0</v>
      </c>
      <c r="X57" s="66">
        <f>Бюджет!X122</f>
        <v>0</v>
      </c>
      <c r="Y57" s="66">
        <f>Бюджет!Y122</f>
        <v>0</v>
      </c>
      <c r="Z57" s="66">
        <f>Бюджет!Z122</f>
        <v>0</v>
      </c>
      <c r="AA57" s="66">
        <f>Бюджет!AA122</f>
        <v>0</v>
      </c>
      <c r="AB57" s="66">
        <f>Бюджет!AB122</f>
        <v>0</v>
      </c>
      <c r="AC57" s="66">
        <f>Бюджет!AC122</f>
        <v>0</v>
      </c>
      <c r="AD57" s="66">
        <f>Бюджет!AD122</f>
        <v>0</v>
      </c>
      <c r="AE57" s="66">
        <f>Бюджет!AE122</f>
        <v>0</v>
      </c>
      <c r="AF57" s="66">
        <f>Бюджет!AF122</f>
        <v>0</v>
      </c>
      <c r="AG57" s="66">
        <f>Бюджет!AG122</f>
        <v>0</v>
      </c>
      <c r="AH57" s="66">
        <f>Бюджет!AH122</f>
        <v>0</v>
      </c>
      <c r="AI57" s="66">
        <f>Бюджет!AI122</f>
        <v>0</v>
      </c>
      <c r="AJ57" s="66">
        <f t="shared" si="6"/>
        <v>115.39999999999999</v>
      </c>
      <c r="AK57" s="70"/>
    </row>
    <row r="58" spans="1:37" s="109" customFormat="1" ht="15" x14ac:dyDescent="0.2">
      <c r="A58" s="60" t="str">
        <f>Бюджет!A123</f>
        <v>Б1.О.15.03</v>
      </c>
      <c r="B58" s="60" t="str">
        <f>Бюджет!B123</f>
        <v>Квантовая механика (поток ФИЗ, НЭ)</v>
      </c>
      <c r="C58" s="67" t="str">
        <f>Бюджет!C123</f>
        <v>3\5</v>
      </c>
      <c r="D58" s="67">
        <f>Бюджет!D123</f>
        <v>17</v>
      </c>
      <c r="E58" s="67">
        <f>Бюджет!E123</f>
        <v>1</v>
      </c>
      <c r="F58" s="66">
        <f>Бюджет!F123</f>
        <v>50</v>
      </c>
      <c r="G58" s="66">
        <f>Бюджет!G123</f>
        <v>50</v>
      </c>
      <c r="H58" s="66">
        <f>Бюджет!H123</f>
        <v>50</v>
      </c>
      <c r="I58" s="66">
        <f>Бюджет!I123</f>
        <v>50</v>
      </c>
      <c r="J58" s="66">
        <f>Бюджет!J123</f>
        <v>0</v>
      </c>
      <c r="K58" s="66">
        <f>Бюджет!K123</f>
        <v>0</v>
      </c>
      <c r="L58" s="66">
        <f>Бюджет!L123</f>
        <v>0</v>
      </c>
      <c r="M58" s="66">
        <f>Бюджет!M123</f>
        <v>6.8000000000000007</v>
      </c>
      <c r="N58" s="66">
        <f>Бюджет!N123</f>
        <v>0</v>
      </c>
      <c r="O58" s="66">
        <f>Бюджет!O123</f>
        <v>0</v>
      </c>
      <c r="P58" s="66">
        <f>Бюджет!P123</f>
        <v>0</v>
      </c>
      <c r="Q58" s="66">
        <f>Бюджет!Q123</f>
        <v>3.5</v>
      </c>
      <c r="R58" s="66">
        <f>Бюджет!R123</f>
        <v>0</v>
      </c>
      <c r="S58" s="66">
        <f>Бюджет!S123</f>
        <v>0</v>
      </c>
      <c r="T58" s="66">
        <f>Бюджет!T123</f>
        <v>0</v>
      </c>
      <c r="U58" s="66">
        <f>Бюджет!U123</f>
        <v>5.0999999999999996</v>
      </c>
      <c r="V58" s="66">
        <f>Бюджет!V123</f>
        <v>0</v>
      </c>
      <c r="W58" s="66">
        <f>Бюджет!W123</f>
        <v>0</v>
      </c>
      <c r="X58" s="66">
        <f>Бюджет!X123</f>
        <v>0</v>
      </c>
      <c r="Y58" s="66">
        <f>Бюджет!Y123</f>
        <v>0</v>
      </c>
      <c r="Z58" s="66">
        <f>Бюджет!Z123</f>
        <v>0</v>
      </c>
      <c r="AA58" s="66">
        <f>Бюджет!AA123</f>
        <v>0</v>
      </c>
      <c r="AB58" s="66">
        <f>Бюджет!AB123</f>
        <v>0</v>
      </c>
      <c r="AC58" s="66">
        <f>Бюджет!AC123</f>
        <v>0</v>
      </c>
      <c r="AD58" s="66">
        <f>Бюджет!AD123</f>
        <v>0</v>
      </c>
      <c r="AE58" s="66">
        <f>Бюджет!AE123</f>
        <v>0</v>
      </c>
      <c r="AF58" s="66">
        <f>Бюджет!AF123</f>
        <v>0</v>
      </c>
      <c r="AG58" s="66">
        <f>Бюджет!AG123</f>
        <v>0</v>
      </c>
      <c r="AH58" s="66">
        <f>Бюджет!AH123</f>
        <v>0</v>
      </c>
      <c r="AI58" s="66">
        <f>Бюджет!AI123</f>
        <v>4</v>
      </c>
      <c r="AJ58" s="66">
        <f t="shared" si="6"/>
        <v>119.39999999999999</v>
      </c>
      <c r="AK58" s="70"/>
    </row>
    <row r="59" spans="1:37" s="109" customFormat="1" ht="15" x14ac:dyDescent="0.2">
      <c r="A59" s="60" t="str">
        <f>Бюджет!A124</f>
        <v>Б1.О.15.04</v>
      </c>
      <c r="B59" s="60" t="str">
        <f>Бюджет!B124</f>
        <v>Термодинамика и статистическая физика</v>
      </c>
      <c r="C59" s="67" t="str">
        <f>Бюджет!C124</f>
        <v>3\6</v>
      </c>
      <c r="D59" s="67">
        <f>Бюджет!D124</f>
        <v>17</v>
      </c>
      <c r="E59" s="67">
        <f>Бюджет!E124</f>
        <v>1</v>
      </c>
      <c r="F59" s="66">
        <f>Бюджет!F124</f>
        <v>54</v>
      </c>
      <c r="G59" s="66">
        <f>Бюджет!G124</f>
        <v>54</v>
      </c>
      <c r="H59" s="66">
        <f>Бюджет!H124</f>
        <v>54</v>
      </c>
      <c r="I59" s="66">
        <f>Бюджет!I124</f>
        <v>54</v>
      </c>
      <c r="J59" s="66">
        <f>Бюджет!J124</f>
        <v>0</v>
      </c>
      <c r="K59" s="66">
        <f>Бюджет!K124</f>
        <v>0</v>
      </c>
      <c r="L59" s="66">
        <f>Бюджет!L124</f>
        <v>0</v>
      </c>
      <c r="M59" s="66">
        <f>Бюджет!M124</f>
        <v>6.8000000000000007</v>
      </c>
      <c r="N59" s="66">
        <f>Бюджет!N124</f>
        <v>0</v>
      </c>
      <c r="O59" s="66">
        <f>Бюджет!O124</f>
        <v>0</v>
      </c>
      <c r="P59" s="66">
        <f>Бюджет!P124</f>
        <v>0</v>
      </c>
      <c r="Q59" s="66">
        <f>Бюджет!Q124</f>
        <v>3.7</v>
      </c>
      <c r="R59" s="66">
        <f>Бюджет!R124</f>
        <v>0</v>
      </c>
      <c r="S59" s="66">
        <f>Бюджет!S124</f>
        <v>0</v>
      </c>
      <c r="T59" s="66">
        <f>Бюджет!T124</f>
        <v>0</v>
      </c>
      <c r="U59" s="66">
        <f>Бюджет!U124</f>
        <v>5.0999999999999996</v>
      </c>
      <c r="V59" s="66">
        <f>Бюджет!V124</f>
        <v>0</v>
      </c>
      <c r="W59" s="66">
        <f>Бюджет!W124</f>
        <v>0</v>
      </c>
      <c r="X59" s="66">
        <f>Бюджет!X124</f>
        <v>0</v>
      </c>
      <c r="Y59" s="66">
        <f>Бюджет!Y124</f>
        <v>0</v>
      </c>
      <c r="Z59" s="66">
        <f>Бюджет!Z124</f>
        <v>0</v>
      </c>
      <c r="AA59" s="66">
        <f>Бюджет!AA124</f>
        <v>0</v>
      </c>
      <c r="AB59" s="66">
        <f>Бюджет!AB124</f>
        <v>0</v>
      </c>
      <c r="AC59" s="66">
        <f>Бюджет!AC124</f>
        <v>0</v>
      </c>
      <c r="AD59" s="66">
        <f>Бюджет!AD124</f>
        <v>0</v>
      </c>
      <c r="AE59" s="66">
        <f>Бюджет!AE124</f>
        <v>0</v>
      </c>
      <c r="AF59" s="66">
        <f>Бюджет!AF124</f>
        <v>0</v>
      </c>
      <c r="AG59" s="66">
        <f>Бюджет!AG124</f>
        <v>0</v>
      </c>
      <c r="AH59" s="66">
        <f>Бюджет!AH124</f>
        <v>0</v>
      </c>
      <c r="AI59" s="66">
        <f>Бюджет!AI124</f>
        <v>18</v>
      </c>
      <c r="AJ59" s="66">
        <f t="shared" si="6"/>
        <v>141.6</v>
      </c>
      <c r="AK59" s="70"/>
    </row>
    <row r="60" spans="1:37" s="109" customFormat="1" ht="15" x14ac:dyDescent="0.2">
      <c r="A60" s="60" t="str">
        <f>Бюджет!A131</f>
        <v>Б1.В.01</v>
      </c>
      <c r="B60" s="60" t="str">
        <f>Бюджет!B131</f>
        <v>Физика конденсированного состояния</v>
      </c>
      <c r="C60" s="67" t="str">
        <f>Бюджет!C131</f>
        <v>4\7</v>
      </c>
      <c r="D60" s="67">
        <f>Бюджет!D131</f>
        <v>14</v>
      </c>
      <c r="E60" s="67">
        <f>Бюджет!E131</f>
        <v>1</v>
      </c>
      <c r="F60" s="66">
        <f>Бюджет!F131</f>
        <v>50</v>
      </c>
      <c r="G60" s="66">
        <f>Бюджет!G131</f>
        <v>50</v>
      </c>
      <c r="H60" s="66">
        <f>Бюджет!H131</f>
        <v>34</v>
      </c>
      <c r="I60" s="66">
        <f>Бюджет!I131</f>
        <v>34</v>
      </c>
      <c r="J60" s="66">
        <f>Бюджет!J131</f>
        <v>0</v>
      </c>
      <c r="K60" s="66">
        <f>Бюджет!K131</f>
        <v>0</v>
      </c>
      <c r="L60" s="66">
        <f>Бюджет!L131</f>
        <v>0</v>
      </c>
      <c r="M60" s="66">
        <f>Бюджет!M131</f>
        <v>5.6000000000000005</v>
      </c>
      <c r="N60" s="66">
        <f>Бюджет!N131</f>
        <v>0</v>
      </c>
      <c r="O60" s="66">
        <f>Бюджет!O131</f>
        <v>0</v>
      </c>
      <c r="P60" s="66">
        <f>Бюджет!P131</f>
        <v>0</v>
      </c>
      <c r="Q60" s="66">
        <f>Бюджет!Q131</f>
        <v>3.5</v>
      </c>
      <c r="R60" s="66">
        <f>Бюджет!R131</f>
        <v>0</v>
      </c>
      <c r="S60" s="66">
        <f>Бюджет!S131</f>
        <v>0</v>
      </c>
      <c r="T60" s="66">
        <f>Бюджет!T131</f>
        <v>0</v>
      </c>
      <c r="U60" s="66">
        <f>Бюджет!U131</f>
        <v>4.2</v>
      </c>
      <c r="V60" s="66">
        <f>Бюджет!V131</f>
        <v>0</v>
      </c>
      <c r="W60" s="66">
        <f>Бюджет!W131</f>
        <v>0</v>
      </c>
      <c r="X60" s="66">
        <f>Бюджет!X131</f>
        <v>0</v>
      </c>
      <c r="Y60" s="66">
        <f>Бюджет!Y131</f>
        <v>0</v>
      </c>
      <c r="Z60" s="66">
        <f>Бюджет!Z131</f>
        <v>0</v>
      </c>
      <c r="AA60" s="66">
        <f>Бюджет!AA131</f>
        <v>0</v>
      </c>
      <c r="AB60" s="66">
        <f>Бюджет!AB131</f>
        <v>0</v>
      </c>
      <c r="AC60" s="66">
        <f>Бюджет!AC131</f>
        <v>0</v>
      </c>
      <c r="AD60" s="66">
        <f>Бюджет!AD131</f>
        <v>0</v>
      </c>
      <c r="AE60" s="66">
        <f>Бюджет!AE131</f>
        <v>0</v>
      </c>
      <c r="AF60" s="66">
        <f>Бюджет!AF131</f>
        <v>0</v>
      </c>
      <c r="AG60" s="66">
        <f>Бюджет!AG131</f>
        <v>0</v>
      </c>
      <c r="AH60" s="66">
        <f>Бюджет!AH131</f>
        <v>0</v>
      </c>
      <c r="AI60" s="66">
        <f>Бюджет!AI131</f>
        <v>4</v>
      </c>
      <c r="AJ60" s="66">
        <f t="shared" si="6"/>
        <v>101.3</v>
      </c>
      <c r="AK60" s="70"/>
    </row>
    <row r="61" spans="1:37" s="109" customFormat="1" ht="15" x14ac:dyDescent="0.2">
      <c r="A61" s="60">
        <f>Бюджет!A136</f>
        <v>0</v>
      </c>
      <c r="B61" s="60" t="str">
        <f>Бюджет!B136</f>
        <v>ГЭК (Защита ВКР бакалавра) (7 чел)</v>
      </c>
      <c r="C61" s="67" t="str">
        <f>Бюджет!C136</f>
        <v>4\8</v>
      </c>
      <c r="D61" s="67">
        <f>Бюджет!D136</f>
        <v>14</v>
      </c>
      <c r="E61" s="67">
        <f>Бюджет!E136</f>
        <v>1</v>
      </c>
      <c r="F61" s="66">
        <f>Бюджет!F136</f>
        <v>0</v>
      </c>
      <c r="G61" s="66">
        <f>Бюджет!G136</f>
        <v>0</v>
      </c>
      <c r="H61" s="66">
        <f>Бюджет!H136</f>
        <v>0</v>
      </c>
      <c r="I61" s="66">
        <f>Бюджет!I136</f>
        <v>0</v>
      </c>
      <c r="J61" s="66">
        <f>Бюджет!J136</f>
        <v>0</v>
      </c>
      <c r="K61" s="66">
        <f>Бюджет!K136</f>
        <v>0</v>
      </c>
      <c r="L61" s="66">
        <f>Бюджет!L136</f>
        <v>0</v>
      </c>
      <c r="M61" s="66">
        <f>Бюджет!M136</f>
        <v>0</v>
      </c>
      <c r="N61" s="66">
        <f>Бюджет!N136</f>
        <v>0</v>
      </c>
      <c r="O61" s="66">
        <f>Бюджет!O136</f>
        <v>0</v>
      </c>
      <c r="P61" s="66">
        <f>Бюджет!P136</f>
        <v>0</v>
      </c>
      <c r="Q61" s="66">
        <f>Бюджет!Q136</f>
        <v>0</v>
      </c>
      <c r="R61" s="66">
        <f>Бюджет!R136</f>
        <v>0</v>
      </c>
      <c r="S61" s="66">
        <f>Бюджет!S136</f>
        <v>0</v>
      </c>
      <c r="T61" s="66">
        <f>Бюджет!T136</f>
        <v>0</v>
      </c>
      <c r="U61" s="66">
        <f>Бюджет!U136</f>
        <v>0</v>
      </c>
      <c r="V61" s="66">
        <f>Бюджет!V136</f>
        <v>0</v>
      </c>
      <c r="W61" s="66">
        <f>Бюджет!W136</f>
        <v>0</v>
      </c>
      <c r="X61" s="66">
        <f>Бюджет!X136</f>
        <v>0</v>
      </c>
      <c r="Y61" s="66">
        <f>Бюджет!Y136</f>
        <v>0</v>
      </c>
      <c r="Z61" s="66">
        <f>Бюджет!Z136</f>
        <v>0</v>
      </c>
      <c r="AA61" s="66">
        <f>Бюджет!AA136</f>
        <v>0</v>
      </c>
      <c r="AB61" s="66">
        <f>Бюджет!AB136/7*1</f>
        <v>7</v>
      </c>
      <c r="AC61" s="66">
        <f>Бюджет!AC136</f>
        <v>0</v>
      </c>
      <c r="AD61" s="66">
        <f>Бюджет!AD136</f>
        <v>0</v>
      </c>
      <c r="AE61" s="66">
        <f>Бюджет!AE136</f>
        <v>0</v>
      </c>
      <c r="AF61" s="66">
        <f>Бюджет!AF136</f>
        <v>0</v>
      </c>
      <c r="AG61" s="66">
        <f>Бюджет!AG136</f>
        <v>0</v>
      </c>
      <c r="AH61" s="66">
        <f>Бюджет!AH136</f>
        <v>0</v>
      </c>
      <c r="AI61" s="66">
        <f>Бюджет!AI136</f>
        <v>0</v>
      </c>
      <c r="AJ61" s="66">
        <f t="shared" si="6"/>
        <v>7</v>
      </c>
      <c r="AK61" s="70"/>
    </row>
    <row r="62" spans="1:37" s="109" customFormat="1" ht="15.75" x14ac:dyDescent="0.2">
      <c r="A62" s="60"/>
      <c r="B62" s="60"/>
      <c r="C62" s="67"/>
      <c r="D62" s="67"/>
      <c r="E62" s="67"/>
      <c r="F62" s="66"/>
      <c r="G62" s="66"/>
      <c r="H62" s="66"/>
      <c r="I62" s="66"/>
      <c r="J62" s="390" t="str">
        <f>Бюджет!K137</f>
        <v>профиль "Солнечно-земная физика"</v>
      </c>
      <c r="K62" s="390"/>
      <c r="L62" s="390"/>
      <c r="M62" s="390"/>
      <c r="N62" s="390"/>
      <c r="O62" s="390"/>
      <c r="P62" s="390"/>
      <c r="Q62" s="390"/>
      <c r="R62" s="390"/>
      <c r="S62" s="390"/>
      <c r="T62" s="390"/>
      <c r="U62" s="390"/>
      <c r="V62" s="390"/>
      <c r="W62" s="390"/>
      <c r="X62" s="390"/>
      <c r="Y62" s="390"/>
      <c r="Z62" s="390"/>
      <c r="AA62" s="390"/>
      <c r="AB62" s="390"/>
      <c r="AC62" s="390"/>
      <c r="AD62" s="66"/>
      <c r="AE62" s="66"/>
      <c r="AF62" s="66"/>
      <c r="AG62" s="66"/>
      <c r="AH62" s="66"/>
      <c r="AI62" s="66"/>
      <c r="AJ62" s="66">
        <f t="shared" si="6"/>
        <v>0</v>
      </c>
      <c r="AK62" s="70"/>
    </row>
    <row r="63" spans="1:37" s="109" customFormat="1" ht="15" x14ac:dyDescent="0.2">
      <c r="A63" s="60" t="str">
        <f>Бюджет!A151</f>
        <v>Б1.В.19</v>
      </c>
      <c r="B63" s="60" t="str">
        <f>Бюджет!B151</f>
        <v>Астрофизика высоких энергий (поток СЗФ и ФФ)</v>
      </c>
      <c r="C63" s="67" t="str">
        <f>Бюджет!C151</f>
        <v>4\7</v>
      </c>
      <c r="D63" s="67">
        <f>Бюджет!D151</f>
        <v>3</v>
      </c>
      <c r="E63" s="67">
        <f>Бюджет!E151</f>
        <v>1</v>
      </c>
      <c r="F63" s="66">
        <f>Бюджет!F151</f>
        <v>50</v>
      </c>
      <c r="G63" s="66">
        <f>Бюджет!G151</f>
        <v>50</v>
      </c>
      <c r="H63" s="66">
        <f>Бюджет!H151</f>
        <v>0</v>
      </c>
      <c r="I63" s="66">
        <f>Бюджет!I151</f>
        <v>0</v>
      </c>
      <c r="J63" s="66">
        <f>Бюджет!J151</f>
        <v>0</v>
      </c>
      <c r="K63" s="66">
        <f>Бюджет!K151</f>
        <v>0</v>
      </c>
      <c r="L63" s="66">
        <f>Бюджет!L151</f>
        <v>0</v>
      </c>
      <c r="M63" s="66">
        <f>Бюджет!M151</f>
        <v>1.2000000000000002</v>
      </c>
      <c r="N63" s="66">
        <f>Бюджет!N151</f>
        <v>0</v>
      </c>
      <c r="O63" s="66">
        <f>Бюджет!O151</f>
        <v>0</v>
      </c>
      <c r="P63" s="66">
        <f>Бюджет!P151</f>
        <v>0</v>
      </c>
      <c r="Q63" s="66">
        <f>Бюджет!Q151</f>
        <v>3.5</v>
      </c>
      <c r="R63" s="66">
        <f>Бюджет!R151</f>
        <v>0</v>
      </c>
      <c r="S63" s="66">
        <f>Бюджет!S151</f>
        <v>0</v>
      </c>
      <c r="T63" s="66">
        <f>Бюджет!T151</f>
        <v>0</v>
      </c>
      <c r="U63" s="66">
        <f>Бюджет!U151</f>
        <v>0</v>
      </c>
      <c r="V63" s="66">
        <f>Бюджет!V151</f>
        <v>0</v>
      </c>
      <c r="W63" s="66">
        <f>Бюджет!W151</f>
        <v>0</v>
      </c>
      <c r="X63" s="66">
        <f>Бюджет!X151</f>
        <v>0</v>
      </c>
      <c r="Y63" s="66">
        <f>Бюджет!Y151</f>
        <v>0</v>
      </c>
      <c r="Z63" s="66">
        <f>Бюджет!Z151</f>
        <v>0</v>
      </c>
      <c r="AA63" s="66">
        <f>Бюджет!AA151</f>
        <v>0</v>
      </c>
      <c r="AB63" s="66">
        <f>Бюджет!AB151</f>
        <v>0</v>
      </c>
      <c r="AC63" s="66">
        <f>Бюджет!AC151</f>
        <v>0</v>
      </c>
      <c r="AD63" s="66">
        <f>Бюджет!AD151</f>
        <v>0</v>
      </c>
      <c r="AE63" s="66">
        <f>Бюджет!AE151</f>
        <v>0</v>
      </c>
      <c r="AF63" s="66">
        <f>Бюджет!AF151</f>
        <v>0</v>
      </c>
      <c r="AG63" s="66">
        <f>Бюджет!AG151</f>
        <v>0</v>
      </c>
      <c r="AH63" s="66">
        <f>Бюджет!AH151</f>
        <v>0</v>
      </c>
      <c r="AI63" s="66">
        <f>Бюджет!AI151</f>
        <v>0</v>
      </c>
      <c r="AJ63" s="66">
        <f t="shared" si="6"/>
        <v>54.7</v>
      </c>
      <c r="AK63" s="70"/>
    </row>
    <row r="64" spans="1:37" s="109" customFormat="1" ht="15" x14ac:dyDescent="0.2">
      <c r="A64" s="60" t="str">
        <f>Бюджет!A152</f>
        <v>Б1.В.20</v>
      </c>
      <c r="B64" s="60" t="str">
        <f>Бюджет!B152</f>
        <v>Нейтринная астрофизика (поток СЗФ и ФФ)</v>
      </c>
      <c r="C64" s="67" t="str">
        <f>Бюджет!C152</f>
        <v>4\7</v>
      </c>
      <c r="D64" s="67">
        <f>Бюджет!D152</f>
        <v>3</v>
      </c>
      <c r="E64" s="67">
        <f>Бюджет!E152</f>
        <v>1</v>
      </c>
      <c r="F64" s="66">
        <f>Бюджет!F152</f>
        <v>24</v>
      </c>
      <c r="G64" s="66">
        <f>Бюджет!G152</f>
        <v>24</v>
      </c>
      <c r="H64" s="66">
        <f>Бюджет!H152</f>
        <v>0</v>
      </c>
      <c r="I64" s="66">
        <f>Бюджет!I152</f>
        <v>0</v>
      </c>
      <c r="J64" s="66">
        <f>Бюджет!J152</f>
        <v>0</v>
      </c>
      <c r="K64" s="66">
        <f>Бюджет!K152</f>
        <v>0</v>
      </c>
      <c r="L64" s="66">
        <f>Бюджет!L152</f>
        <v>0</v>
      </c>
      <c r="M64" s="66">
        <f>Бюджет!M152</f>
        <v>1.2000000000000002</v>
      </c>
      <c r="N64" s="66">
        <f>Бюджет!N152</f>
        <v>0</v>
      </c>
      <c r="O64" s="66">
        <f>Бюджет!O152</f>
        <v>0</v>
      </c>
      <c r="P64" s="66">
        <f>Бюджет!P152</f>
        <v>0</v>
      </c>
      <c r="Q64" s="66">
        <f>Бюджет!Q152</f>
        <v>2.2000000000000002</v>
      </c>
      <c r="R64" s="66">
        <f>Бюджет!R152</f>
        <v>0</v>
      </c>
      <c r="S64" s="66">
        <f>Бюджет!S152</f>
        <v>0</v>
      </c>
      <c r="T64" s="66">
        <f>Бюджет!T152</f>
        <v>0</v>
      </c>
      <c r="U64" s="66">
        <f>Бюджет!U152</f>
        <v>0</v>
      </c>
      <c r="V64" s="66">
        <f>Бюджет!V152</f>
        <v>0</v>
      </c>
      <c r="W64" s="66">
        <f>Бюджет!W152</f>
        <v>0</v>
      </c>
      <c r="X64" s="66">
        <f>Бюджет!X152</f>
        <v>0</v>
      </c>
      <c r="Y64" s="66">
        <f>Бюджет!Y152</f>
        <v>0</v>
      </c>
      <c r="Z64" s="66">
        <f>Бюджет!Z152</f>
        <v>0</v>
      </c>
      <c r="AA64" s="66">
        <f>Бюджет!AA152</f>
        <v>0</v>
      </c>
      <c r="AB64" s="66">
        <f>Бюджет!AB152</f>
        <v>0</v>
      </c>
      <c r="AC64" s="66">
        <f>Бюджет!AC152</f>
        <v>0</v>
      </c>
      <c r="AD64" s="66">
        <f>Бюджет!AD152</f>
        <v>0</v>
      </c>
      <c r="AE64" s="66">
        <f>Бюджет!AE152</f>
        <v>0</v>
      </c>
      <c r="AF64" s="66">
        <f>Бюджет!AF152</f>
        <v>0</v>
      </c>
      <c r="AG64" s="66">
        <f>Бюджет!AG152</f>
        <v>0</v>
      </c>
      <c r="AH64" s="66">
        <f>Бюджет!AH152</f>
        <v>0</v>
      </c>
      <c r="AI64" s="66">
        <f>Бюджет!AI152</f>
        <v>0</v>
      </c>
      <c r="AJ64" s="66">
        <f t="shared" si="6"/>
        <v>27.4</v>
      </c>
      <c r="AK64" s="70"/>
    </row>
    <row r="65" spans="1:37" s="109" customFormat="1" ht="15.75" x14ac:dyDescent="0.2">
      <c r="A65" s="74"/>
      <c r="B65" s="60"/>
      <c r="C65" s="74"/>
      <c r="D65" s="74"/>
      <c r="E65" s="74"/>
      <c r="F65" s="70"/>
      <c r="G65" s="70"/>
      <c r="H65" s="70"/>
      <c r="I65" s="70"/>
      <c r="J65" s="390" t="str">
        <f>Бюджет!K176</f>
        <v>профиль "Фундаментальная физика"</v>
      </c>
      <c r="K65" s="390"/>
      <c r="L65" s="390"/>
      <c r="M65" s="390"/>
      <c r="N65" s="390"/>
      <c r="O65" s="390"/>
      <c r="P65" s="390"/>
      <c r="Q65" s="390"/>
      <c r="R65" s="390"/>
      <c r="S65" s="390"/>
      <c r="T65" s="390"/>
      <c r="U65" s="390"/>
      <c r="V65" s="390"/>
      <c r="W65" s="390"/>
      <c r="X65" s="390"/>
      <c r="Y65" s="390"/>
      <c r="Z65" s="390"/>
      <c r="AA65" s="390"/>
      <c r="AB65" s="390"/>
      <c r="AC65" s="390"/>
      <c r="AD65" s="70"/>
      <c r="AE65" s="70"/>
      <c r="AF65" s="70"/>
      <c r="AG65" s="70"/>
      <c r="AH65" s="70"/>
      <c r="AI65" s="70"/>
      <c r="AJ65" s="66">
        <f t="shared" si="6"/>
        <v>0</v>
      </c>
      <c r="AK65" s="70"/>
    </row>
    <row r="66" spans="1:37" s="109" customFormat="1" ht="15" x14ac:dyDescent="0.2">
      <c r="A66" s="60" t="str">
        <f>Бюджет!A177</f>
        <v>Б1.В.03</v>
      </c>
      <c r="B66" s="60" t="str">
        <f>Бюджет!B177</f>
        <v>Курсовая работа (по профилю)</v>
      </c>
      <c r="C66" s="67" t="str">
        <f>Бюджет!C177</f>
        <v>2\4</v>
      </c>
      <c r="D66" s="67">
        <f>Бюджет!D177</f>
        <v>6</v>
      </c>
      <c r="E66" s="67">
        <f>Бюджет!E177</f>
        <v>1</v>
      </c>
      <c r="F66" s="66">
        <f>Бюджет!F177</f>
        <v>0</v>
      </c>
      <c r="G66" s="66">
        <f>Бюджет!G177</f>
        <v>0</v>
      </c>
      <c r="H66" s="66">
        <f>Бюджет!H177</f>
        <v>0</v>
      </c>
      <c r="I66" s="66">
        <f>Бюджет!I177</f>
        <v>0</v>
      </c>
      <c r="J66" s="66">
        <f>Бюджет!J177</f>
        <v>0</v>
      </c>
      <c r="K66" s="66">
        <f>Бюджет!K177</f>
        <v>0</v>
      </c>
      <c r="L66" s="66">
        <f>Бюджет!L177</f>
        <v>0</v>
      </c>
      <c r="M66" s="66">
        <f>Бюджет!M177</f>
        <v>0</v>
      </c>
      <c r="N66" s="66">
        <f>Бюджет!N177</f>
        <v>0</v>
      </c>
      <c r="O66" s="66">
        <f>Бюджет!O177</f>
        <v>0</v>
      </c>
      <c r="P66" s="66">
        <f>Бюджет!P177</f>
        <v>0</v>
      </c>
      <c r="Q66" s="66">
        <f>Бюджет!Q177</f>
        <v>0</v>
      </c>
      <c r="R66" s="66">
        <f>Бюджет!R177</f>
        <v>0</v>
      </c>
      <c r="S66" s="66">
        <f>Бюджет!S177</f>
        <v>0</v>
      </c>
      <c r="T66" s="66">
        <f>Бюджет!T177</f>
        <v>0</v>
      </c>
      <c r="U66" s="66">
        <f>Бюджет!U177</f>
        <v>0</v>
      </c>
      <c r="V66" s="66">
        <f>Бюджет!V177</f>
        <v>24</v>
      </c>
      <c r="W66" s="66">
        <f>Бюджет!W177</f>
        <v>0</v>
      </c>
      <c r="X66" s="66">
        <f>Бюджет!X177</f>
        <v>0</v>
      </c>
      <c r="Y66" s="66">
        <f>Бюджет!Y177</f>
        <v>0</v>
      </c>
      <c r="Z66" s="66">
        <f>Бюджет!Z177</f>
        <v>0</v>
      </c>
      <c r="AA66" s="66">
        <f>Бюджет!AA177</f>
        <v>0</v>
      </c>
      <c r="AB66" s="66">
        <f>Бюджет!AB177</f>
        <v>0</v>
      </c>
      <c r="AC66" s="66">
        <f>Бюджет!AC177</f>
        <v>0</v>
      </c>
      <c r="AD66" s="66">
        <f>Бюджет!AD177</f>
        <v>0</v>
      </c>
      <c r="AE66" s="66">
        <f>Бюджет!AE177</f>
        <v>0</v>
      </c>
      <c r="AF66" s="66">
        <f>Бюджет!AF177</f>
        <v>0</v>
      </c>
      <c r="AG66" s="66">
        <f>Бюджет!AG177</f>
        <v>0</v>
      </c>
      <c r="AH66" s="66">
        <f>Бюджет!AH177</f>
        <v>0</v>
      </c>
      <c r="AI66" s="66">
        <f>Бюджет!AI177</f>
        <v>0</v>
      </c>
      <c r="AJ66" s="66">
        <f t="shared" si="6"/>
        <v>24</v>
      </c>
      <c r="AK66" s="70"/>
    </row>
    <row r="67" spans="1:37" s="109" customFormat="1" ht="15" x14ac:dyDescent="0.2">
      <c r="A67" s="60" t="str">
        <f>Бюджет!A178</f>
        <v>Б1.В.16</v>
      </c>
      <c r="B67" s="60" t="str">
        <f>Бюджет!B178</f>
        <v>Релятивистская физика</v>
      </c>
      <c r="C67" s="67" t="str">
        <f>Бюджет!C178</f>
        <v>2\4</v>
      </c>
      <c r="D67" s="67">
        <f>Бюджет!D178</f>
        <v>6</v>
      </c>
      <c r="E67" s="67">
        <f>Бюджет!E178</f>
        <v>1</v>
      </c>
      <c r="F67" s="66">
        <f>Бюджет!F178</f>
        <v>0</v>
      </c>
      <c r="G67" s="66">
        <f>Бюджет!G178</f>
        <v>0</v>
      </c>
      <c r="H67" s="66">
        <f>Бюджет!H178</f>
        <v>40</v>
      </c>
      <c r="I67" s="66">
        <f>Бюджет!I178</f>
        <v>40</v>
      </c>
      <c r="J67" s="66">
        <f>Бюджет!J178</f>
        <v>0</v>
      </c>
      <c r="K67" s="66">
        <f>Бюджет!K178</f>
        <v>1.7999999999999998</v>
      </c>
      <c r="L67" s="66">
        <f>Бюджет!L178</f>
        <v>0</v>
      </c>
      <c r="M67" s="66">
        <f>Бюджет!M178</f>
        <v>0</v>
      </c>
      <c r="N67" s="66">
        <f>Бюджет!N178</f>
        <v>0</v>
      </c>
      <c r="O67" s="66">
        <f>Бюджет!O178</f>
        <v>0</v>
      </c>
      <c r="P67" s="66">
        <f>Бюджет!P178</f>
        <v>0</v>
      </c>
      <c r="Q67" s="66">
        <f>Бюджет!Q178</f>
        <v>0</v>
      </c>
      <c r="R67" s="66">
        <f>Бюджет!R178</f>
        <v>0</v>
      </c>
      <c r="S67" s="66">
        <f>Бюджет!S178</f>
        <v>0</v>
      </c>
      <c r="T67" s="66">
        <f>Бюджет!T178</f>
        <v>0</v>
      </c>
      <c r="U67" s="66">
        <f>Бюджет!U178</f>
        <v>0</v>
      </c>
      <c r="V67" s="66">
        <f>Бюджет!V178</f>
        <v>0</v>
      </c>
      <c r="W67" s="66">
        <f>Бюджет!W178</f>
        <v>0</v>
      </c>
      <c r="X67" s="66">
        <f>Бюджет!X178</f>
        <v>0</v>
      </c>
      <c r="Y67" s="66">
        <f>Бюджет!Y178</f>
        <v>0</v>
      </c>
      <c r="Z67" s="66">
        <f>Бюджет!Z178</f>
        <v>0</v>
      </c>
      <c r="AA67" s="66">
        <f>Бюджет!AA178</f>
        <v>0</v>
      </c>
      <c r="AB67" s="66">
        <f>Бюджет!AB178</f>
        <v>0</v>
      </c>
      <c r="AC67" s="66">
        <f>Бюджет!AC178</f>
        <v>0</v>
      </c>
      <c r="AD67" s="66">
        <f>Бюджет!AD178</f>
        <v>0</v>
      </c>
      <c r="AE67" s="66">
        <f>Бюджет!AE178</f>
        <v>0</v>
      </c>
      <c r="AF67" s="66">
        <f>Бюджет!AF178</f>
        <v>0</v>
      </c>
      <c r="AG67" s="66">
        <f>Бюджет!AG178</f>
        <v>0</v>
      </c>
      <c r="AH67" s="66">
        <f>Бюджет!AH178</f>
        <v>0</v>
      </c>
      <c r="AI67" s="66">
        <f>Бюджет!AI178</f>
        <v>4</v>
      </c>
      <c r="AJ67" s="66">
        <f t="shared" si="6"/>
        <v>45.8</v>
      </c>
      <c r="AK67" s="70"/>
    </row>
    <row r="68" spans="1:37" s="109" customFormat="1" ht="15" x14ac:dyDescent="0.2">
      <c r="A68" s="60" t="str">
        <f>Бюджет!A179</f>
        <v>Б1.В.02.01</v>
      </c>
      <c r="B68" s="60" t="str">
        <f>Бюджет!B179</f>
        <v>Специальный практикум по квантовой механике</v>
      </c>
      <c r="C68" s="67" t="str">
        <f>Бюджет!C179</f>
        <v>3\5</v>
      </c>
      <c r="D68" s="67">
        <f>Бюджет!D179</f>
        <v>6</v>
      </c>
      <c r="E68" s="67">
        <f>Бюджет!E179</f>
        <v>1</v>
      </c>
      <c r="F68" s="66">
        <f>Бюджет!F179</f>
        <v>0</v>
      </c>
      <c r="G68" s="66">
        <f>Бюджет!G179</f>
        <v>0</v>
      </c>
      <c r="H68" s="66">
        <f>Бюджет!H179</f>
        <v>0</v>
      </c>
      <c r="I68" s="66">
        <f>Бюджет!I179</f>
        <v>0</v>
      </c>
      <c r="J68" s="66">
        <f>Бюджет!J179</f>
        <v>68</v>
      </c>
      <c r="K68" s="66">
        <f>Бюджет!K179</f>
        <v>0</v>
      </c>
      <c r="L68" s="66">
        <f>Бюджет!L179</f>
        <v>0</v>
      </c>
      <c r="M68" s="66">
        <f>Бюджет!M179</f>
        <v>0</v>
      </c>
      <c r="N68" s="66">
        <f>Бюджет!N179</f>
        <v>0</v>
      </c>
      <c r="O68" s="66">
        <f>Бюджет!O179</f>
        <v>0</v>
      </c>
      <c r="P68" s="66">
        <f>Бюджет!P179</f>
        <v>0</v>
      </c>
      <c r="Q68" s="66">
        <f>Бюджет!Q179</f>
        <v>0</v>
      </c>
      <c r="R68" s="66">
        <f>Бюджет!R179</f>
        <v>0</v>
      </c>
      <c r="S68" s="66">
        <f>Бюджет!S179</f>
        <v>0</v>
      </c>
      <c r="T68" s="66">
        <f>Бюджет!T179</f>
        <v>0</v>
      </c>
      <c r="U68" s="66">
        <f>Бюджет!U179</f>
        <v>0</v>
      </c>
      <c r="V68" s="66">
        <f>Бюджет!V179</f>
        <v>0</v>
      </c>
      <c r="W68" s="66">
        <f>Бюджет!W179</f>
        <v>0</v>
      </c>
      <c r="X68" s="66">
        <f>Бюджет!X179</f>
        <v>0</v>
      </c>
      <c r="Y68" s="66">
        <f>Бюджет!Y179</f>
        <v>0</v>
      </c>
      <c r="Z68" s="66">
        <f>Бюджет!Z179</f>
        <v>0</v>
      </c>
      <c r="AA68" s="66">
        <f>Бюджет!AA179</f>
        <v>0</v>
      </c>
      <c r="AB68" s="66">
        <f>Бюджет!AB179</f>
        <v>0</v>
      </c>
      <c r="AC68" s="66">
        <f>Бюджет!AC179</f>
        <v>0</v>
      </c>
      <c r="AD68" s="66">
        <f>Бюджет!AD179</f>
        <v>0</v>
      </c>
      <c r="AE68" s="66">
        <f>Бюджет!AE179</f>
        <v>0</v>
      </c>
      <c r="AF68" s="66">
        <f>Бюджет!AF179</f>
        <v>0</v>
      </c>
      <c r="AG68" s="66">
        <f>Бюджет!AG179</f>
        <v>0</v>
      </c>
      <c r="AH68" s="66">
        <f>Бюджет!AH179</f>
        <v>0</v>
      </c>
      <c r="AI68" s="66">
        <f>Бюджет!AI179</f>
        <v>0</v>
      </c>
      <c r="AJ68" s="66">
        <f t="shared" si="6"/>
        <v>68</v>
      </c>
      <c r="AK68" s="70"/>
    </row>
    <row r="69" spans="1:37" s="109" customFormat="1" ht="15" x14ac:dyDescent="0.2">
      <c r="A69" s="60" t="str">
        <f>Бюджет!A180</f>
        <v>Б1.В.02.01</v>
      </c>
      <c r="B69" s="60" t="str">
        <f>Бюджет!B180</f>
        <v>Специальный практикум по квантовой механике</v>
      </c>
      <c r="C69" s="67" t="str">
        <f>Бюджет!C180</f>
        <v>3\6</v>
      </c>
      <c r="D69" s="67">
        <f>Бюджет!D180</f>
        <v>6</v>
      </c>
      <c r="E69" s="67">
        <f>Бюджет!E180</f>
        <v>1</v>
      </c>
      <c r="F69" s="66">
        <f>Бюджет!F180</f>
        <v>0</v>
      </c>
      <c r="G69" s="66">
        <f>Бюджет!G180</f>
        <v>0</v>
      </c>
      <c r="H69" s="66">
        <f>Бюджет!H180</f>
        <v>0</v>
      </c>
      <c r="I69" s="66">
        <f>Бюджет!I180</f>
        <v>0</v>
      </c>
      <c r="J69" s="66">
        <f>Бюджет!J180</f>
        <v>18</v>
      </c>
      <c r="K69" s="66">
        <f>Бюджет!K180</f>
        <v>1.7999999999999998</v>
      </c>
      <c r="L69" s="66">
        <f>Бюджет!L180</f>
        <v>0</v>
      </c>
      <c r="M69" s="66">
        <f>Бюджет!M180</f>
        <v>0</v>
      </c>
      <c r="N69" s="66">
        <f>Бюджет!N180</f>
        <v>0</v>
      </c>
      <c r="O69" s="66">
        <f>Бюджет!O180</f>
        <v>0</v>
      </c>
      <c r="P69" s="66">
        <f>Бюджет!P180</f>
        <v>0</v>
      </c>
      <c r="Q69" s="66">
        <f>Бюджет!Q180</f>
        <v>0</v>
      </c>
      <c r="R69" s="66">
        <f>Бюджет!R180</f>
        <v>0</v>
      </c>
      <c r="S69" s="66">
        <f>Бюджет!S180</f>
        <v>0</v>
      </c>
      <c r="T69" s="66">
        <f>Бюджет!T180</f>
        <v>0</v>
      </c>
      <c r="U69" s="66">
        <f>Бюджет!U180</f>
        <v>0</v>
      </c>
      <c r="V69" s="66">
        <f>Бюджет!V180</f>
        <v>0</v>
      </c>
      <c r="W69" s="66">
        <f>Бюджет!W180</f>
        <v>0</v>
      </c>
      <c r="X69" s="66">
        <f>Бюджет!X180</f>
        <v>0</v>
      </c>
      <c r="Y69" s="66">
        <f>Бюджет!Y180</f>
        <v>0</v>
      </c>
      <c r="Z69" s="66">
        <f>Бюджет!Z180</f>
        <v>0</v>
      </c>
      <c r="AA69" s="66">
        <f>Бюджет!AA180</f>
        <v>0</v>
      </c>
      <c r="AB69" s="66">
        <f>Бюджет!AB180</f>
        <v>0</v>
      </c>
      <c r="AC69" s="66">
        <f>Бюджет!AC180</f>
        <v>0</v>
      </c>
      <c r="AD69" s="66">
        <f>Бюджет!AD180</f>
        <v>0</v>
      </c>
      <c r="AE69" s="66">
        <f>Бюджет!AE180</f>
        <v>0</v>
      </c>
      <c r="AF69" s="66">
        <f>Бюджет!AF180</f>
        <v>0</v>
      </c>
      <c r="AG69" s="66">
        <f>Бюджет!AG180</f>
        <v>0</v>
      </c>
      <c r="AH69" s="66">
        <f>Бюджет!AH180</f>
        <v>0</v>
      </c>
      <c r="AI69" s="66">
        <f>Бюджет!AI180</f>
        <v>0</v>
      </c>
      <c r="AJ69" s="66">
        <f t="shared" si="6"/>
        <v>19.8</v>
      </c>
      <c r="AK69" s="70"/>
    </row>
    <row r="70" spans="1:37" s="109" customFormat="1" ht="15" x14ac:dyDescent="0.2">
      <c r="A70" s="60" t="str">
        <f>Бюджет!A181</f>
        <v>Б1.В.04</v>
      </c>
      <c r="B70" s="60" t="str">
        <f>Бюджет!B181</f>
        <v>Релятивистиская квантовая теория</v>
      </c>
      <c r="C70" s="67" t="str">
        <f>Бюджет!C181</f>
        <v>3\5</v>
      </c>
      <c r="D70" s="67">
        <f>Бюджет!D181</f>
        <v>6</v>
      </c>
      <c r="E70" s="67">
        <f>Бюджет!E181</f>
        <v>1</v>
      </c>
      <c r="F70" s="66">
        <f>Бюджет!F181</f>
        <v>16</v>
      </c>
      <c r="G70" s="66">
        <f>Бюджет!G181</f>
        <v>16</v>
      </c>
      <c r="H70" s="66">
        <f>Бюджет!H181</f>
        <v>16</v>
      </c>
      <c r="I70" s="66">
        <f>Бюджет!I181</f>
        <v>16</v>
      </c>
      <c r="J70" s="66">
        <f>Бюджет!J181</f>
        <v>0</v>
      </c>
      <c r="K70" s="66">
        <f>Бюджет!K181</f>
        <v>1.7999999999999998</v>
      </c>
      <c r="L70" s="66">
        <f>Бюджет!L181</f>
        <v>0</v>
      </c>
      <c r="M70" s="66">
        <f>Бюджет!M181</f>
        <v>0</v>
      </c>
      <c r="N70" s="66">
        <f>Бюджет!N181</f>
        <v>0</v>
      </c>
      <c r="O70" s="66">
        <f>Бюджет!O181</f>
        <v>0</v>
      </c>
      <c r="P70" s="66">
        <f>Бюджет!P181</f>
        <v>0</v>
      </c>
      <c r="Q70" s="66">
        <f>Бюджет!Q181</f>
        <v>0.8</v>
      </c>
      <c r="R70" s="66">
        <f>Бюджет!R181</f>
        <v>0</v>
      </c>
      <c r="S70" s="66">
        <f>Бюджет!S181</f>
        <v>0</v>
      </c>
      <c r="T70" s="66">
        <f>Бюджет!T181</f>
        <v>0</v>
      </c>
      <c r="U70" s="66">
        <f>Бюджет!U181</f>
        <v>0</v>
      </c>
      <c r="V70" s="66">
        <f>Бюджет!V181</f>
        <v>0</v>
      </c>
      <c r="W70" s="66">
        <f>Бюджет!W181</f>
        <v>0</v>
      </c>
      <c r="X70" s="66">
        <f>Бюджет!X181</f>
        <v>0</v>
      </c>
      <c r="Y70" s="66">
        <f>Бюджет!Y181</f>
        <v>0</v>
      </c>
      <c r="Z70" s="66">
        <f>Бюджет!Z181</f>
        <v>0</v>
      </c>
      <c r="AA70" s="66">
        <f>Бюджет!AA181</f>
        <v>0</v>
      </c>
      <c r="AB70" s="66">
        <f>Бюджет!AB181</f>
        <v>0</v>
      </c>
      <c r="AC70" s="66">
        <f>Бюджет!AC181</f>
        <v>0</v>
      </c>
      <c r="AD70" s="66">
        <f>Бюджет!AD181</f>
        <v>0</v>
      </c>
      <c r="AE70" s="66">
        <f>Бюджет!AE181</f>
        <v>0</v>
      </c>
      <c r="AF70" s="66">
        <f>Бюджет!AF181</f>
        <v>0</v>
      </c>
      <c r="AG70" s="66">
        <f>Бюджет!AG181</f>
        <v>0</v>
      </c>
      <c r="AH70" s="66">
        <f>Бюджет!AH181</f>
        <v>0</v>
      </c>
      <c r="AI70" s="66">
        <f>Бюджет!AI181</f>
        <v>6</v>
      </c>
      <c r="AJ70" s="66">
        <f t="shared" si="6"/>
        <v>40.599999999999994</v>
      </c>
      <c r="AK70" s="70"/>
    </row>
    <row r="71" spans="1:37" s="109" customFormat="1" ht="15" x14ac:dyDescent="0.2">
      <c r="A71" s="60" t="str">
        <f>Бюджет!A182</f>
        <v>Б1.В.05</v>
      </c>
      <c r="B71" s="60" t="str">
        <f>Бюджет!B182</f>
        <v>Теория рассеяния</v>
      </c>
      <c r="C71" s="67" t="str">
        <f>Бюджет!C182</f>
        <v>3\6</v>
      </c>
      <c r="D71" s="67">
        <f>Бюджет!D182</f>
        <v>6</v>
      </c>
      <c r="E71" s="67">
        <f>Бюджет!E182</f>
        <v>1</v>
      </c>
      <c r="F71" s="66">
        <f>Бюджет!F182</f>
        <v>36</v>
      </c>
      <c r="G71" s="66">
        <f>Бюджет!G182</f>
        <v>36</v>
      </c>
      <c r="H71" s="66">
        <f>Бюджет!H182</f>
        <v>36</v>
      </c>
      <c r="I71" s="66">
        <f>Бюджет!I182</f>
        <v>36</v>
      </c>
      <c r="J71" s="66">
        <f>Бюджет!J182</f>
        <v>0</v>
      </c>
      <c r="K71" s="66">
        <f>Бюджет!K182</f>
        <v>0</v>
      </c>
      <c r="L71" s="66">
        <f>Бюджет!L182</f>
        <v>0</v>
      </c>
      <c r="M71" s="66">
        <f>Бюджет!M182</f>
        <v>2.4000000000000004</v>
      </c>
      <c r="N71" s="66">
        <f>Бюджет!N182</f>
        <v>0</v>
      </c>
      <c r="O71" s="66">
        <f>Бюджет!O182</f>
        <v>0</v>
      </c>
      <c r="P71" s="66">
        <f>Бюджет!P182</f>
        <v>0</v>
      </c>
      <c r="Q71" s="66">
        <f>Бюджет!Q182</f>
        <v>2.8</v>
      </c>
      <c r="R71" s="66">
        <f>Бюджет!R182</f>
        <v>0</v>
      </c>
      <c r="S71" s="66">
        <f>Бюджет!S182</f>
        <v>0</v>
      </c>
      <c r="T71" s="66">
        <f>Бюджет!T182</f>
        <v>0</v>
      </c>
      <c r="U71" s="66">
        <f>Бюджет!U182</f>
        <v>0</v>
      </c>
      <c r="V71" s="66">
        <f>Бюджет!V182</f>
        <v>0</v>
      </c>
      <c r="W71" s="66">
        <f>Бюджет!W182</f>
        <v>0</v>
      </c>
      <c r="X71" s="66">
        <f>Бюджет!X182</f>
        <v>0</v>
      </c>
      <c r="Y71" s="66">
        <f>Бюджет!Y182</f>
        <v>0</v>
      </c>
      <c r="Z71" s="66">
        <f>Бюджет!Z182</f>
        <v>0</v>
      </c>
      <c r="AA71" s="66">
        <f>Бюджет!AA182</f>
        <v>0</v>
      </c>
      <c r="AB71" s="66">
        <f>Бюджет!AB182</f>
        <v>0</v>
      </c>
      <c r="AC71" s="66">
        <f>Бюджет!AC182</f>
        <v>0</v>
      </c>
      <c r="AD71" s="66">
        <f>Бюджет!AD182</f>
        <v>0</v>
      </c>
      <c r="AE71" s="66">
        <f>Бюджет!AE182</f>
        <v>0</v>
      </c>
      <c r="AF71" s="66">
        <f>Бюджет!AF182</f>
        <v>0</v>
      </c>
      <c r="AG71" s="66">
        <f>Бюджет!AG182</f>
        <v>0</v>
      </c>
      <c r="AH71" s="66">
        <f>Бюджет!AH182</f>
        <v>0</v>
      </c>
      <c r="AI71" s="66">
        <f>Бюджет!AI182</f>
        <v>4</v>
      </c>
      <c r="AJ71" s="66">
        <f t="shared" si="6"/>
        <v>81.2</v>
      </c>
      <c r="AK71" s="70"/>
    </row>
    <row r="72" spans="1:37" s="109" customFormat="1" ht="30" x14ac:dyDescent="0.2">
      <c r="A72" s="60" t="str">
        <f>Бюджет!A183</f>
        <v>Б1.В.06</v>
      </c>
      <c r="B72" s="60" t="str">
        <f>Бюджет!B183</f>
        <v>Интегральные уравнения и вариационное исчисление</v>
      </c>
      <c r="C72" s="67" t="str">
        <f>Бюджет!C183</f>
        <v>3\5</v>
      </c>
      <c r="D72" s="67">
        <f>Бюджет!D183</f>
        <v>6</v>
      </c>
      <c r="E72" s="67">
        <f>Бюджет!E183</f>
        <v>1</v>
      </c>
      <c r="F72" s="66">
        <f>Бюджет!F183</f>
        <v>16</v>
      </c>
      <c r="G72" s="66">
        <f>Бюджет!G183</f>
        <v>16</v>
      </c>
      <c r="H72" s="66">
        <f>Бюджет!H183</f>
        <v>16</v>
      </c>
      <c r="I72" s="66">
        <f>Бюджет!I183</f>
        <v>16</v>
      </c>
      <c r="J72" s="66">
        <f>Бюджет!J183</f>
        <v>0</v>
      </c>
      <c r="K72" s="66">
        <f>Бюджет!K183</f>
        <v>1.7999999999999998</v>
      </c>
      <c r="L72" s="66">
        <f>Бюджет!L183</f>
        <v>0</v>
      </c>
      <c r="M72" s="66">
        <f>Бюджет!M183</f>
        <v>0</v>
      </c>
      <c r="N72" s="66">
        <f>Бюджет!N183</f>
        <v>0</v>
      </c>
      <c r="O72" s="66">
        <f>Бюджет!O183</f>
        <v>0</v>
      </c>
      <c r="P72" s="66">
        <f>Бюджет!P183</f>
        <v>0</v>
      </c>
      <c r="Q72" s="66">
        <f>Бюджет!Q183</f>
        <v>0.8</v>
      </c>
      <c r="R72" s="66">
        <f>Бюджет!R183</f>
        <v>0</v>
      </c>
      <c r="S72" s="66">
        <f>Бюджет!S183</f>
        <v>0</v>
      </c>
      <c r="T72" s="66">
        <f>Бюджет!T183</f>
        <v>0</v>
      </c>
      <c r="U72" s="66">
        <f>Бюджет!U183</f>
        <v>0</v>
      </c>
      <c r="V72" s="66">
        <f>Бюджет!V183</f>
        <v>0</v>
      </c>
      <c r="W72" s="66">
        <f>Бюджет!W183</f>
        <v>0</v>
      </c>
      <c r="X72" s="66">
        <f>Бюджет!X183</f>
        <v>0</v>
      </c>
      <c r="Y72" s="66">
        <f>Бюджет!Y183</f>
        <v>0</v>
      </c>
      <c r="Z72" s="66">
        <f>Бюджет!Z183</f>
        <v>0</v>
      </c>
      <c r="AA72" s="66">
        <f>Бюджет!AA183</f>
        <v>0</v>
      </c>
      <c r="AB72" s="66">
        <f>Бюджет!AB183</f>
        <v>0</v>
      </c>
      <c r="AC72" s="66">
        <f>Бюджет!AC183</f>
        <v>0</v>
      </c>
      <c r="AD72" s="66">
        <f>Бюджет!AD183</f>
        <v>0</v>
      </c>
      <c r="AE72" s="66">
        <f>Бюджет!AE183</f>
        <v>0</v>
      </c>
      <c r="AF72" s="66">
        <f>Бюджет!AF183</f>
        <v>0</v>
      </c>
      <c r="AG72" s="66">
        <f>Бюджет!AG183</f>
        <v>0</v>
      </c>
      <c r="AH72" s="66">
        <f>Бюджет!AH183</f>
        <v>0</v>
      </c>
      <c r="AI72" s="66">
        <f>Бюджет!AI183</f>
        <v>6</v>
      </c>
      <c r="AJ72" s="66">
        <f t="shared" si="6"/>
        <v>40.599999999999994</v>
      </c>
      <c r="AK72" s="70"/>
    </row>
    <row r="73" spans="1:37" s="109" customFormat="1" ht="15" x14ac:dyDescent="0.2">
      <c r="A73" s="60" t="str">
        <f>Бюджет!A184</f>
        <v>Б1.В.07</v>
      </c>
      <c r="B73" s="60" t="str">
        <f>Бюджет!B184</f>
        <v>Введение в квантовую теорию поля</v>
      </c>
      <c r="C73" s="67" t="str">
        <f>Бюджет!C184</f>
        <v>3\6</v>
      </c>
      <c r="D73" s="67">
        <f>Бюджет!D184</f>
        <v>6</v>
      </c>
      <c r="E73" s="67">
        <f>Бюджет!E184</f>
        <v>1</v>
      </c>
      <c r="F73" s="66">
        <f>Бюджет!F184</f>
        <v>18</v>
      </c>
      <c r="G73" s="66">
        <f>Бюджет!G184</f>
        <v>18</v>
      </c>
      <c r="H73" s="66">
        <f>Бюджет!H184</f>
        <v>36</v>
      </c>
      <c r="I73" s="66">
        <f>Бюджет!I184</f>
        <v>36</v>
      </c>
      <c r="J73" s="66">
        <f>Бюджет!J184</f>
        <v>0</v>
      </c>
      <c r="K73" s="66">
        <f>Бюджет!K184</f>
        <v>1.7999999999999998</v>
      </c>
      <c r="L73" s="66">
        <f>Бюджет!L184</f>
        <v>0</v>
      </c>
      <c r="M73" s="66">
        <f>Бюджет!M184</f>
        <v>0</v>
      </c>
      <c r="N73" s="66">
        <f>Бюджет!N184</f>
        <v>0</v>
      </c>
      <c r="O73" s="66">
        <f>Бюджет!O184</f>
        <v>0</v>
      </c>
      <c r="P73" s="66">
        <f>Бюджет!P184</f>
        <v>0</v>
      </c>
      <c r="Q73" s="66">
        <f>Бюджет!Q184</f>
        <v>0.9</v>
      </c>
      <c r="R73" s="66">
        <f>Бюджет!R184</f>
        <v>0</v>
      </c>
      <c r="S73" s="66">
        <f>Бюджет!S184</f>
        <v>0</v>
      </c>
      <c r="T73" s="66">
        <f>Бюджет!T184</f>
        <v>0</v>
      </c>
      <c r="U73" s="66">
        <f>Бюджет!U184</f>
        <v>0</v>
      </c>
      <c r="V73" s="66">
        <f>Бюджет!V184</f>
        <v>0</v>
      </c>
      <c r="W73" s="66">
        <f>Бюджет!W184</f>
        <v>0</v>
      </c>
      <c r="X73" s="66">
        <f>Бюджет!X184</f>
        <v>0</v>
      </c>
      <c r="Y73" s="66">
        <f>Бюджет!Y184</f>
        <v>0</v>
      </c>
      <c r="Z73" s="66">
        <f>Бюджет!Z184</f>
        <v>0</v>
      </c>
      <c r="AA73" s="66">
        <f>Бюджет!AA184</f>
        <v>0</v>
      </c>
      <c r="AB73" s="66">
        <f>Бюджет!AB184</f>
        <v>0</v>
      </c>
      <c r="AC73" s="66">
        <f>Бюджет!AC184</f>
        <v>0</v>
      </c>
      <c r="AD73" s="66">
        <f>Бюджет!AD184</f>
        <v>0</v>
      </c>
      <c r="AE73" s="66">
        <f>Бюджет!AE184</f>
        <v>0</v>
      </c>
      <c r="AF73" s="66">
        <f>Бюджет!AF184</f>
        <v>0</v>
      </c>
      <c r="AG73" s="66">
        <f>Бюджет!AG184</f>
        <v>0</v>
      </c>
      <c r="AH73" s="66">
        <f>Бюджет!AH184</f>
        <v>0</v>
      </c>
      <c r="AI73" s="66">
        <f>Бюджет!AI184</f>
        <v>4</v>
      </c>
      <c r="AJ73" s="66">
        <f t="shared" si="6"/>
        <v>60.699999999999996</v>
      </c>
      <c r="AK73" s="70"/>
    </row>
    <row r="74" spans="1:37" s="109" customFormat="1" ht="15" x14ac:dyDescent="0.2">
      <c r="A74" s="60" t="str">
        <f>Бюджет!A185</f>
        <v>Б1.В.08</v>
      </c>
      <c r="B74" s="60" t="str">
        <f>Бюджет!B185</f>
        <v>Теория групп</v>
      </c>
      <c r="C74" s="67" t="str">
        <f>Бюджет!C185</f>
        <v>3\6</v>
      </c>
      <c r="D74" s="67">
        <f>Бюджет!D185</f>
        <v>6</v>
      </c>
      <c r="E74" s="67">
        <f>Бюджет!E185</f>
        <v>1</v>
      </c>
      <c r="F74" s="66">
        <f>Бюджет!F185</f>
        <v>36</v>
      </c>
      <c r="G74" s="66">
        <f>Бюджет!G185</f>
        <v>36</v>
      </c>
      <c r="H74" s="66">
        <f>Бюджет!H185</f>
        <v>18</v>
      </c>
      <c r="I74" s="66">
        <f>Бюджет!I185</f>
        <v>18</v>
      </c>
      <c r="J74" s="66">
        <f>Бюджет!J185</f>
        <v>0</v>
      </c>
      <c r="K74" s="66">
        <f>Бюджет!K185</f>
        <v>1.7999999999999998</v>
      </c>
      <c r="L74" s="66">
        <f>Бюджет!L185</f>
        <v>0</v>
      </c>
      <c r="M74" s="66">
        <f>Бюджет!M185</f>
        <v>0</v>
      </c>
      <c r="N74" s="66">
        <f>Бюджет!N185</f>
        <v>0</v>
      </c>
      <c r="O74" s="66">
        <f>Бюджет!O185</f>
        <v>0</v>
      </c>
      <c r="P74" s="66">
        <f>Бюджет!P185</f>
        <v>0</v>
      </c>
      <c r="Q74" s="66">
        <f>Бюджет!Q185</f>
        <v>1.8</v>
      </c>
      <c r="R74" s="66">
        <f>Бюджет!R185</f>
        <v>0</v>
      </c>
      <c r="S74" s="66">
        <f>Бюджет!S185</f>
        <v>0</v>
      </c>
      <c r="T74" s="66">
        <f>Бюджет!T185</f>
        <v>0</v>
      </c>
      <c r="U74" s="66">
        <f>Бюджет!U185</f>
        <v>0</v>
      </c>
      <c r="V74" s="66">
        <f>Бюджет!V185</f>
        <v>0</v>
      </c>
      <c r="W74" s="66">
        <f>Бюджет!W185</f>
        <v>0</v>
      </c>
      <c r="X74" s="66">
        <f>Бюджет!X185</f>
        <v>0</v>
      </c>
      <c r="Y74" s="66">
        <f>Бюджет!Y185</f>
        <v>0</v>
      </c>
      <c r="Z74" s="66">
        <f>Бюджет!Z185</f>
        <v>0</v>
      </c>
      <c r="AA74" s="66">
        <f>Бюджет!AA185</f>
        <v>0</v>
      </c>
      <c r="AB74" s="66">
        <f>Бюджет!AB185</f>
        <v>0</v>
      </c>
      <c r="AC74" s="66">
        <f>Бюджет!AC185</f>
        <v>0</v>
      </c>
      <c r="AD74" s="66">
        <f>Бюджет!AD185</f>
        <v>0</v>
      </c>
      <c r="AE74" s="66">
        <f>Бюджет!AE185</f>
        <v>0</v>
      </c>
      <c r="AF74" s="66">
        <f>Бюджет!AF185</f>
        <v>0</v>
      </c>
      <c r="AG74" s="66">
        <f>Бюджет!AG185</f>
        <v>0</v>
      </c>
      <c r="AH74" s="66">
        <f>Бюджет!AH185</f>
        <v>0</v>
      </c>
      <c r="AI74" s="66">
        <f>Бюджет!AI185</f>
        <v>4</v>
      </c>
      <c r="AJ74" s="66">
        <f t="shared" si="6"/>
        <v>61.599999999999994</v>
      </c>
      <c r="AK74" s="70"/>
    </row>
    <row r="75" spans="1:37" s="109" customFormat="1" ht="15" x14ac:dyDescent="0.2">
      <c r="A75" s="60" t="str">
        <f>Бюджет!A186</f>
        <v>Б1.В.09</v>
      </c>
      <c r="B75" s="60" t="str">
        <f>Бюджет!B186</f>
        <v>Основы функционального анализа</v>
      </c>
      <c r="C75" s="67" t="str">
        <f>Бюджет!C186</f>
        <v>3\6</v>
      </c>
      <c r="D75" s="67">
        <f>Бюджет!D186</f>
        <v>6</v>
      </c>
      <c r="E75" s="67">
        <f>Бюджет!E186</f>
        <v>1</v>
      </c>
      <c r="F75" s="66">
        <f>Бюджет!F186</f>
        <v>36</v>
      </c>
      <c r="G75" s="66">
        <f>Бюджет!G186</f>
        <v>36</v>
      </c>
      <c r="H75" s="66">
        <f>Бюджет!H186</f>
        <v>18</v>
      </c>
      <c r="I75" s="66">
        <f>Бюджет!I186</f>
        <v>18</v>
      </c>
      <c r="J75" s="66">
        <f>Бюджет!J186</f>
        <v>0</v>
      </c>
      <c r="K75" s="66">
        <f>Бюджет!K186</f>
        <v>1.7999999999999998</v>
      </c>
      <c r="L75" s="66">
        <f>Бюджет!L186</f>
        <v>0</v>
      </c>
      <c r="M75" s="66">
        <f>Бюджет!M186</f>
        <v>0</v>
      </c>
      <c r="N75" s="66">
        <f>Бюджет!N186</f>
        <v>0</v>
      </c>
      <c r="O75" s="66">
        <f>Бюджет!O186</f>
        <v>0</v>
      </c>
      <c r="P75" s="66">
        <f>Бюджет!P186</f>
        <v>0</v>
      </c>
      <c r="Q75" s="66">
        <f>Бюджет!Q186</f>
        <v>1.8</v>
      </c>
      <c r="R75" s="66">
        <f>Бюджет!R186</f>
        <v>0</v>
      </c>
      <c r="S75" s="66">
        <f>Бюджет!S186</f>
        <v>0</v>
      </c>
      <c r="T75" s="66">
        <f>Бюджет!T186</f>
        <v>0</v>
      </c>
      <c r="U75" s="66">
        <f>Бюджет!U186</f>
        <v>0</v>
      </c>
      <c r="V75" s="66">
        <f>Бюджет!V186</f>
        <v>0</v>
      </c>
      <c r="W75" s="66">
        <f>Бюджет!W186</f>
        <v>0</v>
      </c>
      <c r="X75" s="66">
        <f>Бюджет!X186</f>
        <v>0</v>
      </c>
      <c r="Y75" s="66">
        <f>Бюджет!Y186</f>
        <v>0</v>
      </c>
      <c r="Z75" s="66">
        <f>Бюджет!Z186</f>
        <v>0</v>
      </c>
      <c r="AA75" s="66">
        <f>Бюджет!AA186</f>
        <v>0</v>
      </c>
      <c r="AB75" s="66">
        <f>Бюджет!AB186</f>
        <v>0</v>
      </c>
      <c r="AC75" s="66">
        <f>Бюджет!AC186</f>
        <v>0</v>
      </c>
      <c r="AD75" s="66">
        <f>Бюджет!AD186</f>
        <v>0</v>
      </c>
      <c r="AE75" s="66">
        <f>Бюджет!AE186</f>
        <v>0</v>
      </c>
      <c r="AF75" s="66">
        <f>Бюджет!AF186</f>
        <v>0</v>
      </c>
      <c r="AG75" s="66">
        <f>Бюджет!AG186</f>
        <v>0</v>
      </c>
      <c r="AH75" s="66">
        <f>Бюджет!AH186</f>
        <v>0</v>
      </c>
      <c r="AI75" s="66">
        <f>Бюджет!AI186</f>
        <v>0</v>
      </c>
      <c r="AJ75" s="66">
        <f t="shared" si="6"/>
        <v>57.599999999999994</v>
      </c>
      <c r="AK75" s="70"/>
    </row>
    <row r="76" spans="1:37" s="109" customFormat="1" ht="30" x14ac:dyDescent="0.2">
      <c r="A76" s="60" t="str">
        <f>Бюджет!A187</f>
        <v>Б2.В.01(Н)</v>
      </c>
      <c r="B76" s="60" t="str">
        <f>Бюджет!B187</f>
        <v>Производственная практика. (Научно-исследовательская работа) (расср., 1 1/3 нед.)</v>
      </c>
      <c r="C76" s="67" t="str">
        <f>Бюджет!C187</f>
        <v>3\5</v>
      </c>
      <c r="D76" s="67">
        <f>Бюджет!D187</f>
        <v>6</v>
      </c>
      <c r="E76" s="67">
        <f>Бюджет!E187</f>
        <v>1</v>
      </c>
      <c r="F76" s="66">
        <f>Бюджет!F187</f>
        <v>0</v>
      </c>
      <c r="G76" s="66">
        <f>Бюджет!G187</f>
        <v>0</v>
      </c>
      <c r="H76" s="66">
        <f>Бюджет!H187</f>
        <v>0</v>
      </c>
      <c r="I76" s="66">
        <f>Бюджет!I187</f>
        <v>0</v>
      </c>
      <c r="J76" s="66">
        <f>Бюджет!J187</f>
        <v>0</v>
      </c>
      <c r="K76" s="66">
        <f>Бюджет!K187</f>
        <v>0</v>
      </c>
      <c r="L76" s="66">
        <f>Бюджет!L187</f>
        <v>0</v>
      </c>
      <c r="M76" s="66">
        <f>Бюджет!M187</f>
        <v>0</v>
      </c>
      <c r="N76" s="66">
        <f>Бюджет!N187</f>
        <v>0</v>
      </c>
      <c r="O76" s="66">
        <f>Бюджет!O187</f>
        <v>0</v>
      </c>
      <c r="P76" s="66">
        <f>Бюджет!P187</f>
        <v>0</v>
      </c>
      <c r="Q76" s="66">
        <f>Бюджет!Q187</f>
        <v>0</v>
      </c>
      <c r="R76" s="66">
        <f>Бюджет!R187</f>
        <v>0</v>
      </c>
      <c r="S76" s="66">
        <f>Бюджет!S187</f>
        <v>0</v>
      </c>
      <c r="T76" s="66">
        <f>Бюджет!T187</f>
        <v>8</v>
      </c>
      <c r="U76" s="66">
        <f>Бюджет!U187</f>
        <v>0</v>
      </c>
      <c r="V76" s="66">
        <f>Бюджет!V187</f>
        <v>0</v>
      </c>
      <c r="W76" s="66">
        <f>Бюджет!W187</f>
        <v>0</v>
      </c>
      <c r="X76" s="66">
        <f>Бюджет!X187</f>
        <v>0</v>
      </c>
      <c r="Y76" s="66">
        <f>Бюджет!Y187</f>
        <v>0</v>
      </c>
      <c r="Z76" s="66">
        <f>Бюджет!Z187</f>
        <v>0</v>
      </c>
      <c r="AA76" s="66">
        <f>Бюджет!AA187</f>
        <v>0</v>
      </c>
      <c r="AB76" s="66">
        <f>Бюджет!AB187</f>
        <v>0</v>
      </c>
      <c r="AC76" s="66">
        <f>Бюджет!AC187</f>
        <v>0</v>
      </c>
      <c r="AD76" s="66">
        <f>Бюджет!AD187</f>
        <v>0</v>
      </c>
      <c r="AE76" s="66">
        <f>Бюджет!AE187</f>
        <v>0</v>
      </c>
      <c r="AF76" s="66">
        <f>Бюджет!AF187</f>
        <v>0</v>
      </c>
      <c r="AG76" s="66">
        <f>Бюджет!AG187</f>
        <v>0</v>
      </c>
      <c r="AH76" s="66">
        <f>Бюджет!AH187</f>
        <v>0</v>
      </c>
      <c r="AI76" s="66">
        <f>Бюджет!AI187</f>
        <v>0</v>
      </c>
      <c r="AJ76" s="66">
        <f t="shared" si="6"/>
        <v>8</v>
      </c>
      <c r="AK76" s="70"/>
    </row>
    <row r="77" spans="1:37" s="109" customFormat="1" ht="30" x14ac:dyDescent="0.2">
      <c r="A77" s="60" t="str">
        <f>Бюджет!A188</f>
        <v>Б2.В.02(Н)</v>
      </c>
      <c r="B77" s="60" t="str">
        <f>Бюджет!B188</f>
        <v>Производственная практика. (Научно-исследовательская работа) (расср., 2 нед.)</v>
      </c>
      <c r="C77" s="67" t="str">
        <f>Бюджет!C188</f>
        <v>3\6</v>
      </c>
      <c r="D77" s="67">
        <f>Бюджет!D188</f>
        <v>6</v>
      </c>
      <c r="E77" s="67">
        <f>Бюджет!E188</f>
        <v>1</v>
      </c>
      <c r="F77" s="66">
        <f>Бюджет!F188</f>
        <v>0</v>
      </c>
      <c r="G77" s="66">
        <f>Бюджет!G188</f>
        <v>0</v>
      </c>
      <c r="H77" s="66">
        <f>Бюджет!H188</f>
        <v>0</v>
      </c>
      <c r="I77" s="66">
        <f>Бюджет!I188</f>
        <v>0</v>
      </c>
      <c r="J77" s="66">
        <f>Бюджет!J188</f>
        <v>0</v>
      </c>
      <c r="K77" s="66">
        <f>Бюджет!K188</f>
        <v>0</v>
      </c>
      <c r="L77" s="66">
        <f>Бюджет!L188</f>
        <v>0</v>
      </c>
      <c r="M77" s="66">
        <f>Бюджет!M188</f>
        <v>0</v>
      </c>
      <c r="N77" s="66">
        <f>Бюджет!N188</f>
        <v>0</v>
      </c>
      <c r="O77" s="66">
        <f>Бюджет!O188</f>
        <v>0</v>
      </c>
      <c r="P77" s="66">
        <f>Бюджет!P188</f>
        <v>0</v>
      </c>
      <c r="Q77" s="66">
        <f>Бюджет!Q188</f>
        <v>0</v>
      </c>
      <c r="R77" s="66">
        <f>Бюджет!R188</f>
        <v>0</v>
      </c>
      <c r="S77" s="66">
        <f>Бюджет!S188</f>
        <v>0</v>
      </c>
      <c r="T77" s="66">
        <f>Бюджет!T188</f>
        <v>12</v>
      </c>
      <c r="U77" s="66">
        <f>Бюджет!U188</f>
        <v>0</v>
      </c>
      <c r="V77" s="66">
        <f>Бюджет!V188</f>
        <v>0</v>
      </c>
      <c r="W77" s="66">
        <f>Бюджет!W188</f>
        <v>0</v>
      </c>
      <c r="X77" s="66">
        <f>Бюджет!X188</f>
        <v>0</v>
      </c>
      <c r="Y77" s="66">
        <f>Бюджет!Y188</f>
        <v>0</v>
      </c>
      <c r="Z77" s="66">
        <f>Бюджет!Z188</f>
        <v>0</v>
      </c>
      <c r="AA77" s="66">
        <f>Бюджет!AA188</f>
        <v>0</v>
      </c>
      <c r="AB77" s="66">
        <f>Бюджет!AB188</f>
        <v>0</v>
      </c>
      <c r="AC77" s="66">
        <f>Бюджет!AC188</f>
        <v>0</v>
      </c>
      <c r="AD77" s="66">
        <f>Бюджет!AD188</f>
        <v>0</v>
      </c>
      <c r="AE77" s="66">
        <f>Бюджет!AE188</f>
        <v>0</v>
      </c>
      <c r="AF77" s="66">
        <f>Бюджет!AF188</f>
        <v>0</v>
      </c>
      <c r="AG77" s="66">
        <f>Бюджет!AG188</f>
        <v>0</v>
      </c>
      <c r="AH77" s="66">
        <f>Бюджет!AH188</f>
        <v>0</v>
      </c>
      <c r="AI77" s="66">
        <f>Бюджет!AI188</f>
        <v>0</v>
      </c>
      <c r="AJ77" s="66">
        <f t="shared" si="6"/>
        <v>12</v>
      </c>
      <c r="AK77" s="70"/>
    </row>
    <row r="78" spans="1:37" s="109" customFormat="1" ht="15" x14ac:dyDescent="0.2">
      <c r="A78" s="60" t="str">
        <f>Бюджет!A189</f>
        <v>Б1.В.02.02</v>
      </c>
      <c r="B78" s="60" t="str">
        <f>Бюджет!B189</f>
        <v>Специальный практикум по квантовой теории</v>
      </c>
      <c r="C78" s="67" t="str">
        <f>Бюджет!C189</f>
        <v>4\8</v>
      </c>
      <c r="D78" s="67">
        <f>Бюджет!D189</f>
        <v>7</v>
      </c>
      <c r="E78" s="67">
        <f>Бюджет!E189</f>
        <v>1</v>
      </c>
      <c r="F78" s="66">
        <f>Бюджет!F189</f>
        <v>0</v>
      </c>
      <c r="G78" s="66">
        <f>Бюджет!G189</f>
        <v>0</v>
      </c>
      <c r="H78" s="66">
        <f>Бюджет!H189</f>
        <v>0</v>
      </c>
      <c r="I78" s="66">
        <f>Бюджет!I189</f>
        <v>0</v>
      </c>
      <c r="J78" s="66">
        <f>Бюджет!J189</f>
        <v>48</v>
      </c>
      <c r="K78" s="66">
        <f>Бюджет!K189</f>
        <v>2.1</v>
      </c>
      <c r="L78" s="66">
        <f>Бюджет!L189</f>
        <v>0</v>
      </c>
      <c r="M78" s="66">
        <f>Бюджет!M189</f>
        <v>0</v>
      </c>
      <c r="N78" s="66">
        <f>Бюджет!N189</f>
        <v>0</v>
      </c>
      <c r="O78" s="66">
        <f>Бюджет!O189</f>
        <v>0</v>
      </c>
      <c r="P78" s="66">
        <f>Бюджет!P189</f>
        <v>0</v>
      </c>
      <c r="Q78" s="66">
        <f>Бюджет!Q189</f>
        <v>0</v>
      </c>
      <c r="R78" s="66">
        <f>Бюджет!R189</f>
        <v>0</v>
      </c>
      <c r="S78" s="66">
        <f>Бюджет!S189</f>
        <v>0</v>
      </c>
      <c r="T78" s="66">
        <f>Бюджет!T189</f>
        <v>0</v>
      </c>
      <c r="U78" s="66">
        <f>Бюджет!U189</f>
        <v>0</v>
      </c>
      <c r="V78" s="66">
        <f>Бюджет!V189</f>
        <v>0</v>
      </c>
      <c r="W78" s="66">
        <f>Бюджет!W189</f>
        <v>0</v>
      </c>
      <c r="X78" s="66">
        <f>Бюджет!X189</f>
        <v>0</v>
      </c>
      <c r="Y78" s="66">
        <f>Бюджет!Y189</f>
        <v>0</v>
      </c>
      <c r="Z78" s="66">
        <f>Бюджет!Z189</f>
        <v>0</v>
      </c>
      <c r="AA78" s="66">
        <f>Бюджет!AA189</f>
        <v>0</v>
      </c>
      <c r="AB78" s="66">
        <f>Бюджет!AB189</f>
        <v>0</v>
      </c>
      <c r="AC78" s="66">
        <f>Бюджет!AC189</f>
        <v>0</v>
      </c>
      <c r="AD78" s="66">
        <f>Бюджет!AD189</f>
        <v>0</v>
      </c>
      <c r="AE78" s="66">
        <f>Бюджет!AE189</f>
        <v>0</v>
      </c>
      <c r="AF78" s="66">
        <f>Бюджет!AF189</f>
        <v>0</v>
      </c>
      <c r="AG78" s="66">
        <f>Бюджет!AG189</f>
        <v>0</v>
      </c>
      <c r="AH78" s="66">
        <f>Бюджет!AH189</f>
        <v>0</v>
      </c>
      <c r="AI78" s="66">
        <f>Бюджет!AI189</f>
        <v>0</v>
      </c>
      <c r="AJ78" s="66">
        <f t="shared" si="6"/>
        <v>50.1</v>
      </c>
      <c r="AK78" s="70"/>
    </row>
    <row r="79" spans="1:37" s="109" customFormat="1" ht="15" x14ac:dyDescent="0.2">
      <c r="A79" s="60" t="str">
        <f>Бюджет!A190</f>
        <v>Б1.В.10</v>
      </c>
      <c r="B79" s="60" t="str">
        <f>Бюджет!B190</f>
        <v>Квантовая электродинамика</v>
      </c>
      <c r="C79" s="67" t="str">
        <f>Бюджет!C190</f>
        <v>4\7</v>
      </c>
      <c r="D79" s="67">
        <f>Бюджет!D190</f>
        <v>7</v>
      </c>
      <c r="E79" s="67">
        <f>Бюджет!E190</f>
        <v>1</v>
      </c>
      <c r="F79" s="66">
        <f>Бюджет!F190</f>
        <v>34</v>
      </c>
      <c r="G79" s="66">
        <f>Бюджет!G190</f>
        <v>34</v>
      </c>
      <c r="H79" s="66">
        <f>Бюджет!H190</f>
        <v>50</v>
      </c>
      <c r="I79" s="66">
        <f>Бюджет!I190</f>
        <v>50</v>
      </c>
      <c r="J79" s="66">
        <f>Бюджет!J190</f>
        <v>0</v>
      </c>
      <c r="K79" s="66">
        <f>Бюджет!K190</f>
        <v>0</v>
      </c>
      <c r="L79" s="66">
        <f>Бюджет!L190</f>
        <v>0</v>
      </c>
      <c r="M79" s="66">
        <f>Бюджет!M190</f>
        <v>2.8000000000000003</v>
      </c>
      <c r="N79" s="66">
        <f>Бюджет!N190</f>
        <v>0</v>
      </c>
      <c r="O79" s="66">
        <f>Бюджет!O190</f>
        <v>0</v>
      </c>
      <c r="P79" s="66">
        <f>Бюджет!P190</f>
        <v>0</v>
      </c>
      <c r="Q79" s="66">
        <f>Бюджет!Q190</f>
        <v>2.7</v>
      </c>
      <c r="R79" s="66">
        <f>Бюджет!R190</f>
        <v>0</v>
      </c>
      <c r="S79" s="66">
        <f>Бюджет!S190</f>
        <v>0</v>
      </c>
      <c r="T79" s="66">
        <f>Бюджет!T190</f>
        <v>0</v>
      </c>
      <c r="U79" s="66">
        <f>Бюджет!U190</f>
        <v>0</v>
      </c>
      <c r="V79" s="66">
        <f>Бюджет!V190</f>
        <v>0</v>
      </c>
      <c r="W79" s="66">
        <f>Бюджет!W190</f>
        <v>0</v>
      </c>
      <c r="X79" s="66">
        <f>Бюджет!X190</f>
        <v>0</v>
      </c>
      <c r="Y79" s="66">
        <f>Бюджет!Y190</f>
        <v>0</v>
      </c>
      <c r="Z79" s="66">
        <f>Бюджет!Z190</f>
        <v>0</v>
      </c>
      <c r="AA79" s="66">
        <f>Бюджет!AA190</f>
        <v>0</v>
      </c>
      <c r="AB79" s="66">
        <f>Бюджет!AB190</f>
        <v>0</v>
      </c>
      <c r="AC79" s="66">
        <f>Бюджет!AC190</f>
        <v>0</v>
      </c>
      <c r="AD79" s="66">
        <f>Бюджет!AD190</f>
        <v>0</v>
      </c>
      <c r="AE79" s="66">
        <f>Бюджет!AE190</f>
        <v>0</v>
      </c>
      <c r="AF79" s="66">
        <f>Бюджет!AF190</f>
        <v>0</v>
      </c>
      <c r="AG79" s="66">
        <f>Бюджет!AG190</f>
        <v>0</v>
      </c>
      <c r="AH79" s="66">
        <f>Бюджет!AH190</f>
        <v>0</v>
      </c>
      <c r="AI79" s="66">
        <f>Бюджет!AI190</f>
        <v>0</v>
      </c>
      <c r="AJ79" s="66">
        <f t="shared" ref="AJ79" si="9">SUM(G79,I79:AI79)</f>
        <v>89.5</v>
      </c>
      <c r="AK79" s="70"/>
    </row>
    <row r="80" spans="1:37" s="109" customFormat="1" ht="15" x14ac:dyDescent="0.2">
      <c r="A80" s="60" t="str">
        <f>Бюджет!A191</f>
        <v>Б1.В.11</v>
      </c>
      <c r="B80" s="60" t="str">
        <f>Бюджет!B191</f>
        <v>Астрофизика высоких энергий (поток СЗФ и ФФ)</v>
      </c>
      <c r="C80" s="67" t="str">
        <f>Бюджет!C191</f>
        <v>4\7</v>
      </c>
      <c r="D80" s="67">
        <f>Бюджет!D191</f>
        <v>7</v>
      </c>
      <c r="E80" s="67">
        <f>Бюджет!E191</f>
        <v>1</v>
      </c>
      <c r="F80" s="66">
        <f>Бюджет!F191</f>
        <v>50</v>
      </c>
      <c r="G80" s="66">
        <f>Бюджет!G191</f>
        <v>0</v>
      </c>
      <c r="H80" s="66">
        <f>Бюджет!H191</f>
        <v>0</v>
      </c>
      <c r="I80" s="66">
        <f>Бюджет!I191</f>
        <v>0</v>
      </c>
      <c r="J80" s="66">
        <f>Бюджет!J191</f>
        <v>0</v>
      </c>
      <c r="K80" s="66">
        <f>Бюджет!K191</f>
        <v>0</v>
      </c>
      <c r="L80" s="66">
        <f>Бюджет!L191</f>
        <v>0</v>
      </c>
      <c r="M80" s="66">
        <f>Бюджет!M191</f>
        <v>2.8000000000000003</v>
      </c>
      <c r="N80" s="66">
        <f>Бюджет!N191</f>
        <v>0</v>
      </c>
      <c r="O80" s="66">
        <f>Бюджет!O191</f>
        <v>0</v>
      </c>
      <c r="P80" s="66">
        <f>Бюджет!P191</f>
        <v>0</v>
      </c>
      <c r="Q80" s="66">
        <f>Бюджет!Q191</f>
        <v>0</v>
      </c>
      <c r="R80" s="66">
        <f>Бюджет!R191</f>
        <v>0</v>
      </c>
      <c r="S80" s="66">
        <f>Бюджет!S191</f>
        <v>0</v>
      </c>
      <c r="T80" s="66">
        <f>Бюджет!T191</f>
        <v>0</v>
      </c>
      <c r="U80" s="66">
        <f>Бюджет!U191</f>
        <v>0</v>
      </c>
      <c r="V80" s="66">
        <f>Бюджет!V191</f>
        <v>0</v>
      </c>
      <c r="W80" s="66">
        <f>Бюджет!W191</f>
        <v>0</v>
      </c>
      <c r="X80" s="66">
        <f>Бюджет!X191</f>
        <v>0</v>
      </c>
      <c r="Y80" s="66">
        <f>Бюджет!Y191</f>
        <v>0</v>
      </c>
      <c r="Z80" s="66">
        <f>Бюджет!Z191</f>
        <v>0</v>
      </c>
      <c r="AA80" s="66">
        <f>Бюджет!AA191</f>
        <v>0</v>
      </c>
      <c r="AB80" s="66">
        <f>Бюджет!AB191</f>
        <v>0</v>
      </c>
      <c r="AC80" s="66">
        <f>Бюджет!AC191</f>
        <v>0</v>
      </c>
      <c r="AD80" s="66">
        <f>Бюджет!AD191</f>
        <v>0</v>
      </c>
      <c r="AE80" s="66">
        <f>Бюджет!AE191</f>
        <v>0</v>
      </c>
      <c r="AF80" s="66">
        <f>Бюджет!AF191</f>
        <v>0</v>
      </c>
      <c r="AG80" s="66">
        <f>Бюджет!AG191</f>
        <v>0</v>
      </c>
      <c r="AH80" s="66">
        <f>Бюджет!AH191</f>
        <v>0</v>
      </c>
      <c r="AI80" s="66">
        <f>Бюджет!AI191</f>
        <v>0</v>
      </c>
      <c r="AJ80" s="66">
        <f t="shared" ref="AJ80" si="10">SUM(G80,I80:AI80)</f>
        <v>2.8000000000000003</v>
      </c>
      <c r="AK80" s="70"/>
    </row>
    <row r="81" spans="1:37" s="109" customFormat="1" ht="15" x14ac:dyDescent="0.2">
      <c r="A81" s="60" t="str">
        <f>Бюджет!A192</f>
        <v>Б1.В.12</v>
      </c>
      <c r="B81" s="60" t="str">
        <f>Бюджет!B192</f>
        <v>Механика сплошных сред</v>
      </c>
      <c r="C81" s="67" t="str">
        <f>Бюджет!C192</f>
        <v>4\7</v>
      </c>
      <c r="D81" s="67">
        <f>Бюджет!D192</f>
        <v>7</v>
      </c>
      <c r="E81" s="67">
        <f>Бюджет!E192</f>
        <v>1</v>
      </c>
      <c r="F81" s="66">
        <f>Бюджет!F192</f>
        <v>16</v>
      </c>
      <c r="G81" s="66">
        <f>Бюджет!G192</f>
        <v>16</v>
      </c>
      <c r="H81" s="66">
        <f>Бюджет!H192</f>
        <v>50</v>
      </c>
      <c r="I81" s="66">
        <f>Бюджет!I192</f>
        <v>50</v>
      </c>
      <c r="J81" s="66">
        <f>Бюджет!J192</f>
        <v>0</v>
      </c>
      <c r="K81" s="66">
        <f>Бюджет!K192</f>
        <v>0</v>
      </c>
      <c r="L81" s="66">
        <f>Бюджет!L192</f>
        <v>0</v>
      </c>
      <c r="M81" s="66">
        <f>Бюджет!M192</f>
        <v>2.8000000000000003</v>
      </c>
      <c r="N81" s="66">
        <f>Бюджет!N192</f>
        <v>0</v>
      </c>
      <c r="O81" s="66">
        <f>Бюджет!O192</f>
        <v>0</v>
      </c>
      <c r="P81" s="66">
        <f>Бюджет!P192</f>
        <v>0</v>
      </c>
      <c r="Q81" s="66">
        <f>Бюджет!Q192</f>
        <v>1.8</v>
      </c>
      <c r="R81" s="66">
        <f>Бюджет!R192</f>
        <v>0</v>
      </c>
      <c r="S81" s="66">
        <f>Бюджет!S192</f>
        <v>0</v>
      </c>
      <c r="T81" s="66">
        <f>Бюджет!T192</f>
        <v>0</v>
      </c>
      <c r="U81" s="66">
        <f>Бюджет!U192</f>
        <v>0</v>
      </c>
      <c r="V81" s="66">
        <f>Бюджет!V192</f>
        <v>0</v>
      </c>
      <c r="W81" s="66">
        <f>Бюджет!W192</f>
        <v>0</v>
      </c>
      <c r="X81" s="66">
        <f>Бюджет!X192</f>
        <v>0</v>
      </c>
      <c r="Y81" s="66">
        <f>Бюджет!Y192</f>
        <v>0</v>
      </c>
      <c r="Z81" s="66">
        <f>Бюджет!Z192</f>
        <v>0</v>
      </c>
      <c r="AA81" s="66">
        <f>Бюджет!AA192</f>
        <v>0</v>
      </c>
      <c r="AB81" s="66">
        <f>Бюджет!AB192</f>
        <v>0</v>
      </c>
      <c r="AC81" s="66">
        <f>Бюджет!AC192</f>
        <v>0</v>
      </c>
      <c r="AD81" s="66">
        <f>Бюджет!AD192</f>
        <v>0</v>
      </c>
      <c r="AE81" s="66">
        <f>Бюджет!AE192</f>
        <v>0</v>
      </c>
      <c r="AF81" s="66">
        <f>Бюджет!AF192</f>
        <v>0</v>
      </c>
      <c r="AG81" s="66">
        <f>Бюджет!AG192</f>
        <v>0</v>
      </c>
      <c r="AH81" s="66">
        <f>Бюджет!AH192</f>
        <v>0</v>
      </c>
      <c r="AI81" s="66">
        <f>Бюджет!AI192</f>
        <v>0</v>
      </c>
      <c r="AJ81" s="66">
        <f t="shared" si="6"/>
        <v>70.599999999999994</v>
      </c>
      <c r="AK81" s="70"/>
    </row>
    <row r="82" spans="1:37" s="109" customFormat="1" ht="15" x14ac:dyDescent="0.2">
      <c r="A82" s="60" t="str">
        <f>Бюджет!A193</f>
        <v>Б1.В.13</v>
      </c>
      <c r="B82" s="60" t="str">
        <f>Бюджет!B193</f>
        <v>Квантовая теория излучения</v>
      </c>
      <c r="C82" s="67" t="str">
        <f>Бюджет!C193</f>
        <v>4\7</v>
      </c>
      <c r="D82" s="67">
        <f>Бюджет!D193</f>
        <v>7</v>
      </c>
      <c r="E82" s="67">
        <f>Бюджет!E193</f>
        <v>1</v>
      </c>
      <c r="F82" s="66">
        <f>Бюджет!F193</f>
        <v>16</v>
      </c>
      <c r="G82" s="66">
        <f>Бюджет!G193</f>
        <v>16</v>
      </c>
      <c r="H82" s="66">
        <f>Бюджет!H193</f>
        <v>50</v>
      </c>
      <c r="I82" s="66">
        <f>Бюджет!I193</f>
        <v>50</v>
      </c>
      <c r="J82" s="66">
        <f>Бюджет!J193</f>
        <v>0</v>
      </c>
      <c r="K82" s="66">
        <f>Бюджет!K193</f>
        <v>2.1</v>
      </c>
      <c r="L82" s="66">
        <f>Бюджет!L193</f>
        <v>0</v>
      </c>
      <c r="M82" s="66">
        <f>Бюджет!M193</f>
        <v>0</v>
      </c>
      <c r="N82" s="66">
        <f>Бюджет!N193</f>
        <v>0</v>
      </c>
      <c r="O82" s="66">
        <f>Бюджет!O193</f>
        <v>0</v>
      </c>
      <c r="P82" s="66">
        <f>Бюджет!P193</f>
        <v>0</v>
      </c>
      <c r="Q82" s="66">
        <f>Бюджет!Q193</f>
        <v>0.8</v>
      </c>
      <c r="R82" s="66">
        <f>Бюджет!R193</f>
        <v>0</v>
      </c>
      <c r="S82" s="66">
        <f>Бюджет!S193</f>
        <v>0</v>
      </c>
      <c r="T82" s="66">
        <f>Бюджет!T193</f>
        <v>0</v>
      </c>
      <c r="U82" s="66">
        <f>Бюджет!U193</f>
        <v>0</v>
      </c>
      <c r="V82" s="66">
        <f>Бюджет!V193</f>
        <v>0</v>
      </c>
      <c r="W82" s="66">
        <f>Бюджет!W193</f>
        <v>0</v>
      </c>
      <c r="X82" s="66">
        <f>Бюджет!X193</f>
        <v>0</v>
      </c>
      <c r="Y82" s="66">
        <f>Бюджет!Y193</f>
        <v>0</v>
      </c>
      <c r="Z82" s="66">
        <f>Бюджет!Z193</f>
        <v>0</v>
      </c>
      <c r="AA82" s="66">
        <f>Бюджет!AA193</f>
        <v>0</v>
      </c>
      <c r="AB82" s="66">
        <f>Бюджет!AB193</f>
        <v>0</v>
      </c>
      <c r="AC82" s="66">
        <f>Бюджет!AC193</f>
        <v>0</v>
      </c>
      <c r="AD82" s="66">
        <f>Бюджет!AD193</f>
        <v>0</v>
      </c>
      <c r="AE82" s="66">
        <f>Бюджет!AE193</f>
        <v>0</v>
      </c>
      <c r="AF82" s="66">
        <f>Бюджет!AF193</f>
        <v>0</v>
      </c>
      <c r="AG82" s="66">
        <f>Бюджет!AG193</f>
        <v>0</v>
      </c>
      <c r="AH82" s="66">
        <f>Бюджет!AH193</f>
        <v>0</v>
      </c>
      <c r="AI82" s="66">
        <f>Бюджет!AI193</f>
        <v>4</v>
      </c>
      <c r="AJ82" s="66">
        <f t="shared" si="6"/>
        <v>72.899999999999991</v>
      </c>
      <c r="AK82" s="70"/>
    </row>
    <row r="83" spans="1:37" s="109" customFormat="1" ht="15" x14ac:dyDescent="0.2">
      <c r="A83" s="60" t="str">
        <f>Бюджет!A194</f>
        <v>Б1.В.14</v>
      </c>
      <c r="B83" s="60" t="str">
        <f>Бюджет!B194</f>
        <v>Слабые взаимодействия</v>
      </c>
      <c r="C83" s="67" t="str">
        <f>Бюджет!C194</f>
        <v>4\8</v>
      </c>
      <c r="D83" s="67">
        <f>Бюджет!D194</f>
        <v>7</v>
      </c>
      <c r="E83" s="67">
        <f>Бюджет!E194</f>
        <v>1</v>
      </c>
      <c r="F83" s="66">
        <f>Бюджет!F194</f>
        <v>24</v>
      </c>
      <c r="G83" s="66">
        <f>Бюджет!G194</f>
        <v>24</v>
      </c>
      <c r="H83" s="66">
        <f>Бюджет!H194</f>
        <v>36</v>
      </c>
      <c r="I83" s="66">
        <f>Бюджет!I194</f>
        <v>36</v>
      </c>
      <c r="J83" s="66">
        <f>Бюджет!J194</f>
        <v>0</v>
      </c>
      <c r="K83" s="66">
        <f>Бюджет!K194</f>
        <v>2.1</v>
      </c>
      <c r="L83" s="66">
        <f>Бюджет!L194</f>
        <v>0</v>
      </c>
      <c r="M83" s="66">
        <f>Бюджет!M194</f>
        <v>0</v>
      </c>
      <c r="N83" s="66">
        <f>Бюджет!N194</f>
        <v>0</v>
      </c>
      <c r="O83" s="66">
        <f>Бюджет!O194</f>
        <v>0</v>
      </c>
      <c r="P83" s="66">
        <f>Бюджет!P194</f>
        <v>0</v>
      </c>
      <c r="Q83" s="66">
        <f>Бюджет!Q194</f>
        <v>1.2000000000000002</v>
      </c>
      <c r="R83" s="66">
        <f>Бюджет!R194</f>
        <v>0</v>
      </c>
      <c r="S83" s="66">
        <f>Бюджет!S194</f>
        <v>0</v>
      </c>
      <c r="T83" s="66">
        <f>Бюджет!T194</f>
        <v>0</v>
      </c>
      <c r="U83" s="66">
        <f>Бюджет!U194</f>
        <v>0</v>
      </c>
      <c r="V83" s="66">
        <f>Бюджет!V194</f>
        <v>0</v>
      </c>
      <c r="W83" s="66">
        <f>Бюджет!W194</f>
        <v>0</v>
      </c>
      <c r="X83" s="66">
        <f>Бюджет!X194</f>
        <v>0</v>
      </c>
      <c r="Y83" s="66">
        <f>Бюджет!Y194</f>
        <v>0</v>
      </c>
      <c r="Z83" s="66">
        <f>Бюджет!Z194</f>
        <v>0</v>
      </c>
      <c r="AA83" s="66">
        <f>Бюджет!AA194</f>
        <v>0</v>
      </c>
      <c r="AB83" s="66">
        <f>Бюджет!AB194</f>
        <v>0</v>
      </c>
      <c r="AC83" s="66">
        <f>Бюджет!AC194</f>
        <v>0</v>
      </c>
      <c r="AD83" s="66">
        <f>Бюджет!AD194</f>
        <v>0</v>
      </c>
      <c r="AE83" s="66">
        <f>Бюджет!AE194</f>
        <v>0</v>
      </c>
      <c r="AF83" s="66">
        <f>Бюджет!AF194</f>
        <v>0</v>
      </c>
      <c r="AG83" s="66">
        <f>Бюджет!AG194</f>
        <v>0</v>
      </c>
      <c r="AH83" s="66">
        <f>Бюджет!AH194</f>
        <v>0</v>
      </c>
      <c r="AI83" s="66">
        <f>Бюджет!AI194</f>
        <v>0</v>
      </c>
      <c r="AJ83" s="66">
        <f t="shared" si="6"/>
        <v>63.300000000000004</v>
      </c>
      <c r="AK83" s="70"/>
    </row>
    <row r="84" spans="1:37" s="109" customFormat="1" ht="15" x14ac:dyDescent="0.2">
      <c r="A84" s="60" t="str">
        <f>Бюджет!A195</f>
        <v>Б1.В.15</v>
      </c>
      <c r="B84" s="60" t="str">
        <f>Бюджет!B195</f>
        <v>Физическая кинетика</v>
      </c>
      <c r="C84" s="67" t="str">
        <f>Бюджет!C195</f>
        <v>4\7</v>
      </c>
      <c r="D84" s="67">
        <f>Бюджет!D195</f>
        <v>7</v>
      </c>
      <c r="E84" s="67">
        <f>Бюджет!E195</f>
        <v>1</v>
      </c>
      <c r="F84" s="66">
        <f>Бюджет!F195</f>
        <v>34</v>
      </c>
      <c r="G84" s="66">
        <f>Бюджет!G195</f>
        <v>34</v>
      </c>
      <c r="H84" s="66">
        <f>Бюджет!H195</f>
        <v>34</v>
      </c>
      <c r="I84" s="66">
        <f>Бюджет!I195</f>
        <v>34</v>
      </c>
      <c r="J84" s="66">
        <f>Бюджет!J195</f>
        <v>0</v>
      </c>
      <c r="K84" s="66">
        <f>Бюджет!K195</f>
        <v>2.1</v>
      </c>
      <c r="L84" s="66">
        <f>Бюджет!L195</f>
        <v>0</v>
      </c>
      <c r="M84" s="66">
        <f>Бюджет!M195</f>
        <v>0</v>
      </c>
      <c r="N84" s="66">
        <f>Бюджет!N195</f>
        <v>0</v>
      </c>
      <c r="O84" s="66">
        <f>Бюджет!O195</f>
        <v>0</v>
      </c>
      <c r="P84" s="66">
        <f>Бюджет!P195</f>
        <v>0</v>
      </c>
      <c r="Q84" s="66">
        <f>Бюджет!Q195</f>
        <v>1.7000000000000002</v>
      </c>
      <c r="R84" s="66">
        <f>Бюджет!R195</f>
        <v>0</v>
      </c>
      <c r="S84" s="66">
        <f>Бюджет!S195</f>
        <v>0</v>
      </c>
      <c r="T84" s="66">
        <f>Бюджет!T195</f>
        <v>0</v>
      </c>
      <c r="U84" s="66">
        <f>Бюджет!U195</f>
        <v>0</v>
      </c>
      <c r="V84" s="66">
        <f>Бюджет!V195</f>
        <v>0</v>
      </c>
      <c r="W84" s="66">
        <f>Бюджет!W195</f>
        <v>0</v>
      </c>
      <c r="X84" s="66">
        <f>Бюджет!X195</f>
        <v>0</v>
      </c>
      <c r="Y84" s="66">
        <f>Бюджет!Y195</f>
        <v>0</v>
      </c>
      <c r="Z84" s="66">
        <f>Бюджет!Z195</f>
        <v>0</v>
      </c>
      <c r="AA84" s="66">
        <f>Бюджет!AA195</f>
        <v>0</v>
      </c>
      <c r="AB84" s="66">
        <f>Бюджет!AB195</f>
        <v>0</v>
      </c>
      <c r="AC84" s="66">
        <f>Бюджет!AC195</f>
        <v>0</v>
      </c>
      <c r="AD84" s="66">
        <f>Бюджет!AD195</f>
        <v>0</v>
      </c>
      <c r="AE84" s="66">
        <f>Бюджет!AE195</f>
        <v>0</v>
      </c>
      <c r="AF84" s="66">
        <f>Бюджет!AF195</f>
        <v>0</v>
      </c>
      <c r="AG84" s="66">
        <f>Бюджет!AG195</f>
        <v>0</v>
      </c>
      <c r="AH84" s="66">
        <f>Бюджет!AH195</f>
        <v>0</v>
      </c>
      <c r="AI84" s="66">
        <f>Бюджет!AI195</f>
        <v>0</v>
      </c>
      <c r="AJ84" s="66">
        <f t="shared" si="6"/>
        <v>71.8</v>
      </c>
      <c r="AK84" s="70"/>
    </row>
    <row r="85" spans="1:37" s="109" customFormat="1" ht="15" x14ac:dyDescent="0.2">
      <c r="A85" s="60" t="str">
        <f>Бюджет!A196</f>
        <v>Б1.В.16</v>
      </c>
      <c r="B85" s="60" t="str">
        <f>Бюджет!B196</f>
        <v>Топология</v>
      </c>
      <c r="C85" s="67" t="str">
        <f>Бюджет!C196</f>
        <v>4\7</v>
      </c>
      <c r="D85" s="67">
        <f>Бюджет!D196</f>
        <v>7</v>
      </c>
      <c r="E85" s="67">
        <f>Бюджет!E196</f>
        <v>1</v>
      </c>
      <c r="F85" s="66">
        <f>Бюджет!F196</f>
        <v>16</v>
      </c>
      <c r="G85" s="66">
        <f>Бюджет!G196</f>
        <v>16</v>
      </c>
      <c r="H85" s="66">
        <f>Бюджет!H196</f>
        <v>16</v>
      </c>
      <c r="I85" s="66">
        <f>Бюджет!I196</f>
        <v>16</v>
      </c>
      <c r="J85" s="66">
        <f>Бюджет!J196</f>
        <v>0</v>
      </c>
      <c r="K85" s="66">
        <f>Бюджет!K196</f>
        <v>2.1</v>
      </c>
      <c r="L85" s="66">
        <f>Бюджет!L196</f>
        <v>0</v>
      </c>
      <c r="M85" s="66">
        <f>Бюджет!M196</f>
        <v>0</v>
      </c>
      <c r="N85" s="66">
        <f>Бюджет!N196</f>
        <v>0</v>
      </c>
      <c r="O85" s="66">
        <f>Бюджет!O196</f>
        <v>0</v>
      </c>
      <c r="P85" s="66">
        <f>Бюджет!P196</f>
        <v>0</v>
      </c>
      <c r="Q85" s="66">
        <f>Бюджет!Q196</f>
        <v>0.8</v>
      </c>
      <c r="R85" s="66">
        <f>Бюджет!R196</f>
        <v>0</v>
      </c>
      <c r="S85" s="66">
        <f>Бюджет!S196</f>
        <v>0</v>
      </c>
      <c r="T85" s="66">
        <f>Бюджет!T196</f>
        <v>0</v>
      </c>
      <c r="U85" s="66">
        <f>Бюджет!U196</f>
        <v>0</v>
      </c>
      <c r="V85" s="66">
        <f>Бюджет!V196</f>
        <v>0</v>
      </c>
      <c r="W85" s="66">
        <f>Бюджет!W196</f>
        <v>0</v>
      </c>
      <c r="X85" s="66">
        <f>Бюджет!X196</f>
        <v>0</v>
      </c>
      <c r="Y85" s="66">
        <f>Бюджет!Y196</f>
        <v>0</v>
      </c>
      <c r="Z85" s="66">
        <f>Бюджет!Z196</f>
        <v>0</v>
      </c>
      <c r="AA85" s="66">
        <f>Бюджет!AA196</f>
        <v>0</v>
      </c>
      <c r="AB85" s="66">
        <f>Бюджет!AB196</f>
        <v>0</v>
      </c>
      <c r="AC85" s="66">
        <f>Бюджет!AC196</f>
        <v>0</v>
      </c>
      <c r="AD85" s="66">
        <f>Бюджет!AD196</f>
        <v>0</v>
      </c>
      <c r="AE85" s="66">
        <f>Бюджет!AE196</f>
        <v>0</v>
      </c>
      <c r="AF85" s="66">
        <f>Бюджет!AF196</f>
        <v>0</v>
      </c>
      <c r="AG85" s="66">
        <f>Бюджет!AG196</f>
        <v>0</v>
      </c>
      <c r="AH85" s="66">
        <f>Бюджет!AH196</f>
        <v>0</v>
      </c>
      <c r="AI85" s="66">
        <f>Бюджет!AI196</f>
        <v>4</v>
      </c>
      <c r="AJ85" s="66">
        <f t="shared" si="6"/>
        <v>38.9</v>
      </c>
      <c r="AK85" s="70"/>
    </row>
    <row r="86" spans="1:37" s="109" customFormat="1" ht="30" x14ac:dyDescent="0.2">
      <c r="A86" s="60" t="str">
        <f>Бюджет!A197</f>
        <v>Б1.В.ДВ.01.01</v>
      </c>
      <c r="B86" s="60" t="str">
        <f>Бюджет!B197</f>
        <v>Математические паккеты для обработки экспериментальных данных</v>
      </c>
      <c r="C86" s="67" t="str">
        <f>Бюджет!C197</f>
        <v>4\7</v>
      </c>
      <c r="D86" s="67">
        <f>Бюджет!D197</f>
        <v>7</v>
      </c>
      <c r="E86" s="67">
        <f>Бюджет!E197</f>
        <v>1</v>
      </c>
      <c r="F86" s="66">
        <f>Бюджет!F197</f>
        <v>16</v>
      </c>
      <c r="G86" s="66">
        <f>Бюджет!G197</f>
        <v>16</v>
      </c>
      <c r="H86" s="66">
        <f>Бюджет!H197</f>
        <v>0</v>
      </c>
      <c r="I86" s="66">
        <f>Бюджет!I197</f>
        <v>0</v>
      </c>
      <c r="J86" s="66">
        <f>Бюджет!J197</f>
        <v>16</v>
      </c>
      <c r="K86" s="66">
        <f>Бюджет!K197</f>
        <v>2.1</v>
      </c>
      <c r="L86" s="66">
        <f>Бюджет!L197</f>
        <v>0</v>
      </c>
      <c r="M86" s="66">
        <f>Бюджет!M197</f>
        <v>0</v>
      </c>
      <c r="N86" s="66">
        <f>Бюджет!N197</f>
        <v>0</v>
      </c>
      <c r="O86" s="66">
        <f>Бюджет!O197</f>
        <v>0</v>
      </c>
      <c r="P86" s="66">
        <f>Бюджет!P197</f>
        <v>0</v>
      </c>
      <c r="Q86" s="66">
        <f>Бюджет!Q197</f>
        <v>0.8</v>
      </c>
      <c r="R86" s="66">
        <f>Бюджет!R197</f>
        <v>0</v>
      </c>
      <c r="S86" s="66">
        <f>Бюджет!S197</f>
        <v>0</v>
      </c>
      <c r="T86" s="66">
        <f>Бюджет!T197</f>
        <v>0</v>
      </c>
      <c r="U86" s="66">
        <f>Бюджет!U197</f>
        <v>0</v>
      </c>
      <c r="V86" s="66">
        <f>Бюджет!V197</f>
        <v>0</v>
      </c>
      <c r="W86" s="66">
        <f>Бюджет!W197</f>
        <v>0</v>
      </c>
      <c r="X86" s="66">
        <f>Бюджет!X197</f>
        <v>0</v>
      </c>
      <c r="Y86" s="66">
        <f>Бюджет!Y197</f>
        <v>0</v>
      </c>
      <c r="Z86" s="66">
        <f>Бюджет!Z197</f>
        <v>0</v>
      </c>
      <c r="AA86" s="66">
        <f>Бюджет!AA197</f>
        <v>0</v>
      </c>
      <c r="AB86" s="66">
        <f>Бюджет!AB197</f>
        <v>0</v>
      </c>
      <c r="AC86" s="66">
        <f>Бюджет!AC197</f>
        <v>0</v>
      </c>
      <c r="AD86" s="66">
        <f>Бюджет!AD197</f>
        <v>0</v>
      </c>
      <c r="AE86" s="66">
        <f>Бюджет!AE197</f>
        <v>0</v>
      </c>
      <c r="AF86" s="66">
        <f>Бюджет!AF197</f>
        <v>0</v>
      </c>
      <c r="AG86" s="66">
        <f>Бюджет!AG197</f>
        <v>0</v>
      </c>
      <c r="AH86" s="66">
        <f>Бюджет!AH197</f>
        <v>0</v>
      </c>
      <c r="AI86" s="66">
        <f>Бюджет!AI197</f>
        <v>0</v>
      </c>
      <c r="AJ86" s="66">
        <f t="shared" si="6"/>
        <v>34.9</v>
      </c>
      <c r="AK86" s="70"/>
    </row>
    <row r="87" spans="1:37" s="109" customFormat="1" ht="15" x14ac:dyDescent="0.2">
      <c r="A87" s="60" t="str">
        <f>Бюджет!A198</f>
        <v>Б1.В.ДВ.02.01</v>
      </c>
      <c r="B87" s="60" t="str">
        <f>Бюджет!B198</f>
        <v>Нейтринная астрофизика (поток СЗФ и ФФ)</v>
      </c>
      <c r="C87" s="67" t="str">
        <f>Бюджет!C198</f>
        <v>4\7</v>
      </c>
      <c r="D87" s="67">
        <f>Бюджет!D198</f>
        <v>7</v>
      </c>
      <c r="E87" s="67">
        <f>Бюджет!E198</f>
        <v>1</v>
      </c>
      <c r="F87" s="66">
        <f>Бюджет!F198</f>
        <v>24</v>
      </c>
      <c r="G87" s="66">
        <f>Бюджет!G198</f>
        <v>0</v>
      </c>
      <c r="H87" s="66">
        <f>Бюджет!H198</f>
        <v>0</v>
      </c>
      <c r="I87" s="66">
        <f>Бюджет!I198</f>
        <v>0</v>
      </c>
      <c r="J87" s="66">
        <f>Бюджет!J198</f>
        <v>0</v>
      </c>
      <c r="K87" s="66">
        <f>Бюджет!K198</f>
        <v>0</v>
      </c>
      <c r="L87" s="66">
        <f>Бюджет!L198</f>
        <v>0</v>
      </c>
      <c r="M87" s="66">
        <f>Бюджет!M198</f>
        <v>2.8000000000000003</v>
      </c>
      <c r="N87" s="66">
        <f>Бюджет!N198</f>
        <v>0</v>
      </c>
      <c r="O87" s="66">
        <f>Бюджет!O198</f>
        <v>0</v>
      </c>
      <c r="P87" s="66">
        <f>Бюджет!P198</f>
        <v>0</v>
      </c>
      <c r="Q87" s="66">
        <f>Бюджет!Q198</f>
        <v>0</v>
      </c>
      <c r="R87" s="66">
        <f>Бюджет!R198</f>
        <v>0</v>
      </c>
      <c r="S87" s="66">
        <f>Бюджет!S198</f>
        <v>0</v>
      </c>
      <c r="T87" s="66">
        <f>Бюджет!T198</f>
        <v>0</v>
      </c>
      <c r="U87" s="66">
        <f>Бюджет!U198</f>
        <v>0</v>
      </c>
      <c r="V87" s="66">
        <f>Бюджет!V198</f>
        <v>0</v>
      </c>
      <c r="W87" s="66">
        <f>Бюджет!W198</f>
        <v>0</v>
      </c>
      <c r="X87" s="66">
        <f>Бюджет!X198</f>
        <v>0</v>
      </c>
      <c r="Y87" s="66">
        <f>Бюджет!Y198</f>
        <v>0</v>
      </c>
      <c r="Z87" s="66">
        <f>Бюджет!Z198</f>
        <v>0</v>
      </c>
      <c r="AA87" s="66">
        <f>Бюджет!AA198</f>
        <v>0</v>
      </c>
      <c r="AB87" s="66">
        <f>Бюджет!AB198</f>
        <v>0</v>
      </c>
      <c r="AC87" s="66">
        <f>Бюджет!AC198</f>
        <v>0</v>
      </c>
      <c r="AD87" s="66">
        <f>Бюджет!AD198</f>
        <v>0</v>
      </c>
      <c r="AE87" s="66">
        <f>Бюджет!AE198</f>
        <v>0</v>
      </c>
      <c r="AF87" s="66">
        <f>Бюджет!AF198</f>
        <v>0</v>
      </c>
      <c r="AG87" s="66">
        <f>Бюджет!AG198</f>
        <v>0</v>
      </c>
      <c r="AH87" s="66">
        <f>Бюджет!AH198</f>
        <v>0</v>
      </c>
      <c r="AI87" s="66">
        <f>Бюджет!AI198</f>
        <v>0</v>
      </c>
      <c r="AJ87" s="66">
        <f t="shared" ref="AJ87" si="11">SUM(G87,I87:AI87)</f>
        <v>2.8000000000000003</v>
      </c>
      <c r="AK87" s="70"/>
    </row>
    <row r="88" spans="1:37" s="109" customFormat="1" ht="15" x14ac:dyDescent="0.2">
      <c r="A88" s="60" t="str">
        <f>Бюджет!A199</f>
        <v>Б1.В.03(Пд)</v>
      </c>
      <c r="B88" s="60" t="str">
        <f>Бюджет!B199</f>
        <v>Преддипломная практика (5 1/3 нед.)</v>
      </c>
      <c r="C88" s="67" t="str">
        <f>Бюджет!C199</f>
        <v>4\8</v>
      </c>
      <c r="D88" s="67">
        <f>Бюджет!D199</f>
        <v>7</v>
      </c>
      <c r="E88" s="67">
        <f>Бюджет!E199</f>
        <v>1</v>
      </c>
      <c r="F88" s="66">
        <f>Бюджет!F199</f>
        <v>0</v>
      </c>
      <c r="G88" s="66">
        <f>Бюджет!G199</f>
        <v>0</v>
      </c>
      <c r="H88" s="66">
        <f>Бюджет!H199</f>
        <v>0</v>
      </c>
      <c r="I88" s="66">
        <f>Бюджет!I199</f>
        <v>0</v>
      </c>
      <c r="J88" s="66">
        <f>Бюджет!J199</f>
        <v>0</v>
      </c>
      <c r="K88" s="66">
        <f>Бюджет!K199</f>
        <v>0</v>
      </c>
      <c r="L88" s="66">
        <f>Бюджет!L199</f>
        <v>0</v>
      </c>
      <c r="M88" s="66">
        <f>Бюджет!M199</f>
        <v>0</v>
      </c>
      <c r="N88" s="66">
        <f>Бюджет!N199</f>
        <v>0</v>
      </c>
      <c r="O88" s="66">
        <f>Бюджет!O199</f>
        <v>0</v>
      </c>
      <c r="P88" s="66">
        <f>Бюджет!P199</f>
        <v>0</v>
      </c>
      <c r="Q88" s="66">
        <f>Бюджет!Q199</f>
        <v>0</v>
      </c>
      <c r="R88" s="66">
        <f>Бюджет!R199</f>
        <v>0</v>
      </c>
      <c r="S88" s="66">
        <f>Бюджет!S199</f>
        <v>0</v>
      </c>
      <c r="T88" s="66">
        <f>Бюджет!T199</f>
        <v>37.333333333333329</v>
      </c>
      <c r="U88" s="66">
        <f>Бюджет!U199</f>
        <v>0</v>
      </c>
      <c r="V88" s="66">
        <f>Бюджет!V199</f>
        <v>0</v>
      </c>
      <c r="W88" s="66">
        <f>Бюджет!W199</f>
        <v>0</v>
      </c>
      <c r="X88" s="66">
        <f>Бюджет!X199</f>
        <v>0</v>
      </c>
      <c r="Y88" s="66">
        <f>Бюджет!Y199</f>
        <v>0</v>
      </c>
      <c r="Z88" s="66">
        <f>Бюджет!Z199</f>
        <v>0</v>
      </c>
      <c r="AA88" s="66">
        <f>Бюджет!AA199</f>
        <v>0</v>
      </c>
      <c r="AB88" s="66">
        <f>Бюджет!AB199</f>
        <v>0</v>
      </c>
      <c r="AC88" s="66">
        <f>Бюджет!AC199</f>
        <v>0</v>
      </c>
      <c r="AD88" s="66">
        <f>Бюджет!AD199</f>
        <v>0</v>
      </c>
      <c r="AE88" s="66">
        <f>Бюджет!AE199</f>
        <v>0</v>
      </c>
      <c r="AF88" s="66">
        <f>Бюджет!AF199</f>
        <v>0</v>
      </c>
      <c r="AG88" s="66">
        <f>Бюджет!AG199</f>
        <v>0</v>
      </c>
      <c r="AH88" s="66">
        <f>Бюджет!AH199</f>
        <v>0</v>
      </c>
      <c r="AI88" s="66">
        <f>Бюджет!AI199</f>
        <v>0</v>
      </c>
      <c r="AJ88" s="66">
        <f t="shared" si="6"/>
        <v>37.333333333333329</v>
      </c>
      <c r="AK88" s="70"/>
    </row>
    <row r="89" spans="1:37" s="109" customFormat="1" ht="15" x14ac:dyDescent="0.2">
      <c r="A89" s="60">
        <f>Бюджет!A200</f>
        <v>0</v>
      </c>
      <c r="B89" s="60" t="str">
        <f>Бюджет!B200</f>
        <v>Руководство ВКР</v>
      </c>
      <c r="C89" s="67" t="str">
        <f>Бюджет!C200</f>
        <v>4\8</v>
      </c>
      <c r="D89" s="67">
        <f>Бюджет!D200</f>
        <v>7</v>
      </c>
      <c r="E89" s="67">
        <f>Бюджет!E200</f>
        <v>1</v>
      </c>
      <c r="F89" s="66">
        <f>Бюджет!F200</f>
        <v>0</v>
      </c>
      <c r="G89" s="66" t="str">
        <f>Бюджет!G200</f>
        <v xml:space="preserve"> </v>
      </c>
      <c r="H89" s="66">
        <f>Бюджет!H200</f>
        <v>0</v>
      </c>
      <c r="I89" s="66">
        <f>Бюджет!I200</f>
        <v>0</v>
      </c>
      <c r="J89" s="66">
        <f>Бюджет!J200</f>
        <v>0</v>
      </c>
      <c r="K89" s="66">
        <f>Бюджет!K200</f>
        <v>0</v>
      </c>
      <c r="L89" s="66">
        <f>Бюджет!L200</f>
        <v>0</v>
      </c>
      <c r="M89" s="66">
        <f>Бюджет!M200</f>
        <v>0</v>
      </c>
      <c r="N89" s="66">
        <f>Бюджет!N200</f>
        <v>0</v>
      </c>
      <c r="O89" s="66">
        <f>Бюджет!O200</f>
        <v>0</v>
      </c>
      <c r="P89" s="66">
        <f>Бюджет!P200</f>
        <v>0</v>
      </c>
      <c r="Q89" s="66">
        <f>Бюджет!Q200</f>
        <v>0</v>
      </c>
      <c r="R89" s="66">
        <f>Бюджет!R200</f>
        <v>0</v>
      </c>
      <c r="S89" s="66">
        <f>Бюджет!S200</f>
        <v>0</v>
      </c>
      <c r="T89" s="66">
        <f>Бюджет!T200</f>
        <v>0</v>
      </c>
      <c r="U89" s="66">
        <f>Бюджет!U200</f>
        <v>0</v>
      </c>
      <c r="V89" s="66">
        <f>Бюджет!V200</f>
        <v>0</v>
      </c>
      <c r="W89" s="66">
        <f>Бюджет!W200</f>
        <v>112</v>
      </c>
      <c r="X89" s="66">
        <f>Бюджет!X200</f>
        <v>0</v>
      </c>
      <c r="Y89" s="66">
        <f>Бюджет!Y200</f>
        <v>0</v>
      </c>
      <c r="Z89" s="66">
        <f>Бюджет!Z200</f>
        <v>0</v>
      </c>
      <c r="AA89" s="66">
        <f>Бюджет!AA200</f>
        <v>0</v>
      </c>
      <c r="AB89" s="66">
        <f>Бюджет!AB200</f>
        <v>0</v>
      </c>
      <c r="AC89" s="66">
        <f>Бюджет!AC200</f>
        <v>0</v>
      </c>
      <c r="AD89" s="66">
        <f>Бюджет!AD200</f>
        <v>0</v>
      </c>
      <c r="AE89" s="66">
        <f>Бюджет!AE200</f>
        <v>0</v>
      </c>
      <c r="AF89" s="66">
        <f>Бюджет!AF200</f>
        <v>0</v>
      </c>
      <c r="AG89" s="66">
        <f>Бюджет!AG200</f>
        <v>0</v>
      </c>
      <c r="AH89" s="66">
        <f>Бюджет!AH200</f>
        <v>0</v>
      </c>
      <c r="AI89" s="66">
        <f>Бюджет!AI200</f>
        <v>0</v>
      </c>
      <c r="AJ89" s="66">
        <f t="shared" si="6"/>
        <v>112</v>
      </c>
      <c r="AK89" s="70"/>
    </row>
    <row r="90" spans="1:37" s="109" customFormat="1" ht="15.75" x14ac:dyDescent="0.2">
      <c r="A90" s="74"/>
      <c r="B90" s="214" t="s">
        <v>229</v>
      </c>
      <c r="C90" s="91"/>
      <c r="D90" s="91"/>
      <c r="E90" s="91"/>
      <c r="F90" s="88">
        <f t="shared" ref="F90:AJ90" si="12">SUM(F41:F89)</f>
        <v>1052</v>
      </c>
      <c r="G90" s="88">
        <f t="shared" si="12"/>
        <v>914</v>
      </c>
      <c r="H90" s="88">
        <f t="shared" si="12"/>
        <v>1076</v>
      </c>
      <c r="I90" s="88">
        <f t="shared" si="12"/>
        <v>1012</v>
      </c>
      <c r="J90" s="88">
        <f t="shared" si="12"/>
        <v>150</v>
      </c>
      <c r="K90" s="88">
        <f t="shared" si="12"/>
        <v>32.100000000000009</v>
      </c>
      <c r="L90" s="88">
        <f t="shared" si="12"/>
        <v>0</v>
      </c>
      <c r="M90" s="88">
        <f t="shared" si="12"/>
        <v>114.8</v>
      </c>
      <c r="N90" s="88">
        <f t="shared" si="12"/>
        <v>0</v>
      </c>
      <c r="O90" s="88">
        <f t="shared" si="12"/>
        <v>0</v>
      </c>
      <c r="P90" s="88">
        <f t="shared" si="12"/>
        <v>0</v>
      </c>
      <c r="Q90" s="88">
        <f t="shared" si="12"/>
        <v>61.699999999999989</v>
      </c>
      <c r="R90" s="88">
        <f t="shared" si="12"/>
        <v>0</v>
      </c>
      <c r="S90" s="88">
        <f t="shared" si="12"/>
        <v>0</v>
      </c>
      <c r="T90" s="88">
        <f t="shared" si="12"/>
        <v>57.333333333333329</v>
      </c>
      <c r="U90" s="88">
        <f t="shared" si="12"/>
        <v>74.099999999999994</v>
      </c>
      <c r="V90" s="88">
        <f t="shared" si="12"/>
        <v>24</v>
      </c>
      <c r="W90" s="88">
        <f t="shared" si="12"/>
        <v>112</v>
      </c>
      <c r="X90" s="88">
        <f t="shared" si="12"/>
        <v>0</v>
      </c>
      <c r="Y90" s="88">
        <f t="shared" si="12"/>
        <v>0</v>
      </c>
      <c r="Z90" s="88">
        <f t="shared" si="12"/>
        <v>0</v>
      </c>
      <c r="AA90" s="88">
        <f t="shared" si="12"/>
        <v>0</v>
      </c>
      <c r="AB90" s="88">
        <f t="shared" si="12"/>
        <v>7</v>
      </c>
      <c r="AC90" s="88">
        <f t="shared" si="12"/>
        <v>0</v>
      </c>
      <c r="AD90" s="88">
        <f t="shared" si="12"/>
        <v>0</v>
      </c>
      <c r="AE90" s="88">
        <f t="shared" si="12"/>
        <v>0</v>
      </c>
      <c r="AF90" s="88">
        <f t="shared" si="12"/>
        <v>0</v>
      </c>
      <c r="AG90" s="88">
        <f t="shared" si="12"/>
        <v>0</v>
      </c>
      <c r="AH90" s="88">
        <f t="shared" si="12"/>
        <v>0</v>
      </c>
      <c r="AI90" s="88">
        <f t="shared" si="12"/>
        <v>100</v>
      </c>
      <c r="AJ90" s="88">
        <f t="shared" si="12"/>
        <v>2659.0333333333342</v>
      </c>
      <c r="AK90" s="70"/>
    </row>
    <row r="91" spans="1:37" s="109" customFormat="1" ht="15.75" x14ac:dyDescent="0.2">
      <c r="A91" s="74"/>
      <c r="B91" s="107"/>
      <c r="C91" s="275"/>
      <c r="D91" s="275"/>
      <c r="E91" s="275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66">
        <f t="shared" ref="AJ91:AJ103" si="13">SUM(G91,I91:AI91)</f>
        <v>0</v>
      </c>
      <c r="AK91" s="70"/>
    </row>
    <row r="92" spans="1:37" s="109" customFormat="1" ht="15.75" x14ac:dyDescent="0.2">
      <c r="A92" s="74"/>
      <c r="B92" s="60"/>
      <c r="C92" s="74"/>
      <c r="D92" s="74"/>
      <c r="E92" s="74"/>
      <c r="F92" s="70"/>
      <c r="G92" s="70"/>
      <c r="H92" s="70"/>
      <c r="I92" s="70"/>
      <c r="J92" s="389" t="str">
        <f>Бюджет!L203</f>
        <v>11.03.04  Электроника и наноэлектроника</v>
      </c>
      <c r="K92" s="389"/>
      <c r="L92" s="389"/>
      <c r="M92" s="389"/>
      <c r="N92" s="389"/>
      <c r="O92" s="389"/>
      <c r="P92" s="389"/>
      <c r="Q92" s="389"/>
      <c r="R92" s="389"/>
      <c r="S92" s="389"/>
      <c r="T92" s="389"/>
      <c r="U92" s="389"/>
      <c r="V92" s="389"/>
      <c r="W92" s="389"/>
      <c r="X92" s="389"/>
      <c r="Y92" s="389"/>
      <c r="Z92" s="389"/>
      <c r="AA92" s="389"/>
      <c r="AB92" s="389"/>
      <c r="AC92" s="389"/>
      <c r="AD92" s="70"/>
      <c r="AE92" s="70"/>
      <c r="AF92" s="70"/>
      <c r="AG92" s="70"/>
      <c r="AH92" s="70"/>
      <c r="AI92" s="70"/>
      <c r="AJ92" s="66">
        <f t="shared" si="13"/>
        <v>0</v>
      </c>
      <c r="AK92" s="70"/>
    </row>
    <row r="93" spans="1:37" s="109" customFormat="1" ht="15.75" x14ac:dyDescent="0.2">
      <c r="A93" s="74"/>
      <c r="B93" s="60"/>
      <c r="C93" s="74"/>
      <c r="D93" s="74"/>
      <c r="E93" s="74"/>
      <c r="F93" s="70"/>
      <c r="G93" s="70"/>
      <c r="H93" s="70"/>
      <c r="I93" s="70"/>
      <c r="J93" s="390" t="str">
        <f>Бюджет!K204</f>
        <v>профиль "Электроника и наноэлектроника"</v>
      </c>
      <c r="K93" s="390"/>
      <c r="L93" s="390"/>
      <c r="M93" s="390"/>
      <c r="N93" s="390"/>
      <c r="O93" s="390"/>
      <c r="P93" s="390"/>
      <c r="Q93" s="390"/>
      <c r="R93" s="390"/>
      <c r="S93" s="390"/>
      <c r="T93" s="390"/>
      <c r="U93" s="390"/>
      <c r="V93" s="390"/>
      <c r="W93" s="390"/>
      <c r="X93" s="390"/>
      <c r="Y93" s="390"/>
      <c r="Z93" s="390"/>
      <c r="AA93" s="390"/>
      <c r="AB93" s="390"/>
      <c r="AC93" s="390"/>
      <c r="AD93" s="70"/>
      <c r="AE93" s="70"/>
      <c r="AF93" s="70"/>
      <c r="AG93" s="70"/>
      <c r="AH93" s="70"/>
      <c r="AI93" s="70"/>
      <c r="AJ93" s="66">
        <f t="shared" si="13"/>
        <v>0</v>
      </c>
      <c r="AK93" s="70"/>
    </row>
    <row r="94" spans="1:37" s="109" customFormat="1" ht="15" x14ac:dyDescent="0.2">
      <c r="A94" s="60" t="str">
        <f>Бюджет!A207</f>
        <v>Б1.О.13.01</v>
      </c>
      <c r="B94" s="60" t="str">
        <f>Бюджет!B207</f>
        <v>Математический анализ (поток РФ, ИБ, НЭ, ИСТ)</v>
      </c>
      <c r="C94" s="67" t="str">
        <f>Бюджет!C207</f>
        <v>1\1</v>
      </c>
      <c r="D94" s="67">
        <f>Бюджет!D207</f>
        <v>32</v>
      </c>
      <c r="E94" s="67">
        <f>Бюджет!E207</f>
        <v>1</v>
      </c>
      <c r="F94" s="66">
        <f>Бюджет!F207</f>
        <v>50</v>
      </c>
      <c r="G94" s="66">
        <f>Бюджет!G207</f>
        <v>0</v>
      </c>
      <c r="H94" s="66">
        <f>Бюджет!H207</f>
        <v>68</v>
      </c>
      <c r="I94" s="66">
        <f>Бюджет!I207</f>
        <v>68</v>
      </c>
      <c r="J94" s="66">
        <f>Бюджет!J207</f>
        <v>0</v>
      </c>
      <c r="K94" s="66">
        <f>Бюджет!K207</f>
        <v>0</v>
      </c>
      <c r="L94" s="66">
        <f>Бюджет!L207</f>
        <v>0</v>
      </c>
      <c r="M94" s="66">
        <f>Бюджет!M207</f>
        <v>12.8</v>
      </c>
      <c r="N94" s="66">
        <f>Бюджет!N207</f>
        <v>0</v>
      </c>
      <c r="O94" s="66">
        <f>Бюджет!O207</f>
        <v>0</v>
      </c>
      <c r="P94" s="66">
        <f>Бюджет!P207</f>
        <v>0</v>
      </c>
      <c r="Q94" s="66">
        <f>Бюджет!Q207</f>
        <v>0</v>
      </c>
      <c r="R94" s="66">
        <f>Бюджет!R207</f>
        <v>0</v>
      </c>
      <c r="S94" s="66">
        <f>Бюджет!S207</f>
        <v>0</v>
      </c>
      <c r="T94" s="66">
        <f>Бюджет!T207</f>
        <v>0</v>
      </c>
      <c r="U94" s="66">
        <f>Бюджет!U207</f>
        <v>9.6</v>
      </c>
      <c r="V94" s="66">
        <f>Бюджет!V207</f>
        <v>0</v>
      </c>
      <c r="W94" s="66">
        <f>Бюджет!W207</f>
        <v>0</v>
      </c>
      <c r="X94" s="66">
        <f>Бюджет!X207</f>
        <v>0</v>
      </c>
      <c r="Y94" s="66">
        <f>Бюджет!Y207</f>
        <v>0</v>
      </c>
      <c r="Z94" s="66">
        <f>Бюджет!Z207</f>
        <v>0</v>
      </c>
      <c r="AA94" s="66">
        <f>Бюджет!AA207</f>
        <v>0</v>
      </c>
      <c r="AB94" s="66">
        <f>Бюджет!AB207</f>
        <v>0</v>
      </c>
      <c r="AC94" s="66">
        <f>Бюджет!AC207</f>
        <v>0</v>
      </c>
      <c r="AD94" s="66">
        <f>Бюджет!AD207</f>
        <v>0</v>
      </c>
      <c r="AE94" s="66">
        <f>Бюджет!AE207</f>
        <v>0</v>
      </c>
      <c r="AF94" s="66">
        <f>Бюджет!AF207</f>
        <v>0</v>
      </c>
      <c r="AG94" s="66">
        <f>Бюджет!AG207</f>
        <v>0</v>
      </c>
      <c r="AH94" s="66">
        <f>Бюджет!AH207</f>
        <v>0</v>
      </c>
      <c r="AI94" s="66">
        <f>Бюджет!AI207</f>
        <v>8</v>
      </c>
      <c r="AJ94" s="66">
        <f t="shared" si="13"/>
        <v>98.399999999999991</v>
      </c>
      <c r="AK94" s="70"/>
    </row>
    <row r="95" spans="1:37" s="109" customFormat="1" ht="15" x14ac:dyDescent="0.2">
      <c r="A95" s="60" t="str">
        <f>Бюджет!A208</f>
        <v>Б1.О.13.01</v>
      </c>
      <c r="B95" s="60" t="str">
        <f>Бюджет!B208</f>
        <v>Математический анализ (поток РФ, ИБ, НЭ, ИСТ)</v>
      </c>
      <c r="C95" s="67" t="str">
        <f>Бюджет!C208</f>
        <v>1\2</v>
      </c>
      <c r="D95" s="67">
        <f>Бюджет!D208</f>
        <v>32</v>
      </c>
      <c r="E95" s="67">
        <f>Бюджет!E208</f>
        <v>1</v>
      </c>
      <c r="F95" s="66">
        <f>Бюджет!F208</f>
        <v>40</v>
      </c>
      <c r="G95" s="66">
        <f>Бюджет!G208</f>
        <v>0</v>
      </c>
      <c r="H95" s="66">
        <f>Бюджет!H208</f>
        <v>60</v>
      </c>
      <c r="I95" s="66">
        <f>Бюджет!I208</f>
        <v>60</v>
      </c>
      <c r="J95" s="66">
        <f>Бюджет!J208</f>
        <v>0</v>
      </c>
      <c r="K95" s="66">
        <f>Бюджет!K208</f>
        <v>0</v>
      </c>
      <c r="L95" s="66">
        <f>Бюджет!L208</f>
        <v>0</v>
      </c>
      <c r="M95" s="66">
        <f>Бюджет!M208</f>
        <v>12.8</v>
      </c>
      <c r="N95" s="66">
        <f>Бюджет!N208</f>
        <v>0</v>
      </c>
      <c r="O95" s="66">
        <f>Бюджет!O208</f>
        <v>0</v>
      </c>
      <c r="P95" s="66">
        <f>Бюджет!P208</f>
        <v>0</v>
      </c>
      <c r="Q95" s="66">
        <f>Бюджет!Q208</f>
        <v>0</v>
      </c>
      <c r="R95" s="66">
        <f>Бюджет!R208</f>
        <v>0</v>
      </c>
      <c r="S95" s="66">
        <f>Бюджет!S208</f>
        <v>0</v>
      </c>
      <c r="T95" s="66">
        <f>Бюджет!T208</f>
        <v>0</v>
      </c>
      <c r="U95" s="66">
        <f>Бюджет!U208</f>
        <v>9.6</v>
      </c>
      <c r="V95" s="66">
        <f>Бюджет!V208</f>
        <v>0</v>
      </c>
      <c r="W95" s="66">
        <f>Бюджет!W208</f>
        <v>0</v>
      </c>
      <c r="X95" s="66">
        <f>Бюджет!X208</f>
        <v>0</v>
      </c>
      <c r="Y95" s="66">
        <f>Бюджет!Y208</f>
        <v>0</v>
      </c>
      <c r="Z95" s="66">
        <f>Бюджет!Z208</f>
        <v>0</v>
      </c>
      <c r="AA95" s="66">
        <f>Бюджет!AA208</f>
        <v>0</v>
      </c>
      <c r="AB95" s="66">
        <f>Бюджет!AB208</f>
        <v>0</v>
      </c>
      <c r="AC95" s="66">
        <f>Бюджет!AC208</f>
        <v>0</v>
      </c>
      <c r="AD95" s="66">
        <f>Бюджет!AD208</f>
        <v>0</v>
      </c>
      <c r="AE95" s="66">
        <f>Бюджет!AE208</f>
        <v>0</v>
      </c>
      <c r="AF95" s="66">
        <f>Бюджет!AF208</f>
        <v>0</v>
      </c>
      <c r="AG95" s="66">
        <f>Бюджет!AG208</f>
        <v>0</v>
      </c>
      <c r="AH95" s="66">
        <f>Бюджет!AH208</f>
        <v>0</v>
      </c>
      <c r="AI95" s="66">
        <f>Бюджет!AI208</f>
        <v>8</v>
      </c>
      <c r="AJ95" s="66">
        <f t="shared" si="13"/>
        <v>90.399999999999991</v>
      </c>
      <c r="AK95" s="70"/>
    </row>
    <row r="96" spans="1:37" s="109" customFormat="1" ht="30" x14ac:dyDescent="0.2">
      <c r="A96" s="60" t="str">
        <f>Бюджет!A209</f>
        <v>Б1.О.13.02</v>
      </c>
      <c r="B96" s="60" t="str">
        <f>Бюджет!B209</f>
        <v>Аналитическая геометрия и линейная алгебра (поток РФ, НЭ, ИСТ)</v>
      </c>
      <c r="C96" s="67" t="str">
        <f>Бюджет!C209</f>
        <v>1\1</v>
      </c>
      <c r="D96" s="67">
        <f>Бюджет!D209</f>
        <v>32</v>
      </c>
      <c r="E96" s="67">
        <f>Бюджет!E209</f>
        <v>1</v>
      </c>
      <c r="F96" s="66">
        <f>Бюджет!F209</f>
        <v>34</v>
      </c>
      <c r="G96" s="66">
        <f>Бюджет!G209</f>
        <v>0</v>
      </c>
      <c r="H96" s="66">
        <f>Бюджет!H209</f>
        <v>34</v>
      </c>
      <c r="I96" s="66">
        <f>Бюджет!I209</f>
        <v>34</v>
      </c>
      <c r="J96" s="66">
        <f>Бюджет!J209</f>
        <v>0</v>
      </c>
      <c r="K96" s="66">
        <f>Бюджет!K209</f>
        <v>0</v>
      </c>
      <c r="L96" s="66">
        <f>Бюджет!L209</f>
        <v>0</v>
      </c>
      <c r="M96" s="66">
        <f>Бюджет!M209</f>
        <v>12.8</v>
      </c>
      <c r="N96" s="66">
        <f>Бюджет!N209</f>
        <v>0</v>
      </c>
      <c r="O96" s="66">
        <f>Бюджет!O209</f>
        <v>0</v>
      </c>
      <c r="P96" s="66">
        <f>Бюджет!P209</f>
        <v>0</v>
      </c>
      <c r="Q96" s="66">
        <f>Бюджет!Q209</f>
        <v>1</v>
      </c>
      <c r="R96" s="66">
        <f>Бюджет!R209</f>
        <v>0</v>
      </c>
      <c r="S96" s="66">
        <f>Бюджет!S209</f>
        <v>0</v>
      </c>
      <c r="T96" s="66">
        <f>Бюджет!T209</f>
        <v>0</v>
      </c>
      <c r="U96" s="66">
        <f>Бюджет!U209</f>
        <v>9.6</v>
      </c>
      <c r="V96" s="66">
        <f>Бюджет!V209</f>
        <v>0</v>
      </c>
      <c r="W96" s="66">
        <f>Бюджет!W209</f>
        <v>0</v>
      </c>
      <c r="X96" s="66">
        <f>Бюджет!X209</f>
        <v>0</v>
      </c>
      <c r="Y96" s="66">
        <f>Бюджет!Y209</f>
        <v>0</v>
      </c>
      <c r="Z96" s="66">
        <f>Бюджет!Z209</f>
        <v>0</v>
      </c>
      <c r="AA96" s="66">
        <f>Бюджет!AA209</f>
        <v>0</v>
      </c>
      <c r="AB96" s="66">
        <f>Бюджет!AB209</f>
        <v>0</v>
      </c>
      <c r="AC96" s="66">
        <f>Бюджет!AC209</f>
        <v>0</v>
      </c>
      <c r="AD96" s="66">
        <f>Бюджет!AD209</f>
        <v>0</v>
      </c>
      <c r="AE96" s="66">
        <f>Бюджет!AE209</f>
        <v>0</v>
      </c>
      <c r="AF96" s="66">
        <f>Бюджет!AF209</f>
        <v>0</v>
      </c>
      <c r="AG96" s="66">
        <f>Бюджет!AG209</f>
        <v>0</v>
      </c>
      <c r="AH96" s="66">
        <f>Бюджет!AH209</f>
        <v>0</v>
      </c>
      <c r="AI96" s="66">
        <f>Бюджет!AI209</f>
        <v>6</v>
      </c>
      <c r="AJ96" s="66">
        <f t="shared" si="13"/>
        <v>63.4</v>
      </c>
      <c r="AK96" s="70"/>
    </row>
    <row r="97" spans="1:37" s="109" customFormat="1" ht="15" x14ac:dyDescent="0.2">
      <c r="A97" s="60" t="str">
        <f>Бюджет!A217</f>
        <v>Б1.О.13.01</v>
      </c>
      <c r="B97" s="60" t="str">
        <f>Бюджет!B217</f>
        <v>Математический анализ (поток РФ, НЭ, ИБ, ИСТ)</v>
      </c>
      <c r="C97" s="67" t="str">
        <f>Бюджет!C217</f>
        <v>2\3</v>
      </c>
      <c r="D97" s="67">
        <f>Бюджет!D217</f>
        <v>23</v>
      </c>
      <c r="E97" s="67">
        <f>Бюджет!E217</f>
        <v>1</v>
      </c>
      <c r="F97" s="66">
        <f>Бюджет!F217</f>
        <v>32</v>
      </c>
      <c r="G97" s="66">
        <f>Бюджет!G217</f>
        <v>0</v>
      </c>
      <c r="H97" s="66">
        <f>Бюджет!H217</f>
        <v>32</v>
      </c>
      <c r="I97" s="66">
        <f>Бюджет!I217</f>
        <v>32</v>
      </c>
      <c r="J97" s="66">
        <f>Бюджет!J217</f>
        <v>0</v>
      </c>
      <c r="K97" s="66">
        <f>Бюджет!K217</f>
        <v>0</v>
      </c>
      <c r="L97" s="66">
        <f>Бюджет!L217</f>
        <v>0</v>
      </c>
      <c r="M97" s="66">
        <f>Бюджет!M217</f>
        <v>9.2000000000000011</v>
      </c>
      <c r="N97" s="66">
        <f>Бюджет!N217</f>
        <v>0</v>
      </c>
      <c r="O97" s="66">
        <f>Бюджет!O217</f>
        <v>0</v>
      </c>
      <c r="P97" s="66">
        <f>Бюджет!P217</f>
        <v>0</v>
      </c>
      <c r="Q97" s="66">
        <f>Бюджет!Q217</f>
        <v>0</v>
      </c>
      <c r="R97" s="66">
        <f>Бюджет!R217</f>
        <v>0</v>
      </c>
      <c r="S97" s="66">
        <f>Бюджет!S217</f>
        <v>0</v>
      </c>
      <c r="T97" s="66">
        <f>Бюджет!T217</f>
        <v>0</v>
      </c>
      <c r="U97" s="66">
        <f>Бюджет!U217</f>
        <v>6.8999999999999995</v>
      </c>
      <c r="V97" s="66">
        <f>Бюджет!V217</f>
        <v>0</v>
      </c>
      <c r="W97" s="66">
        <f>Бюджет!W217</f>
        <v>0</v>
      </c>
      <c r="X97" s="66">
        <f>Бюджет!X217</f>
        <v>0</v>
      </c>
      <c r="Y97" s="66">
        <f>Бюджет!Y217</f>
        <v>0</v>
      </c>
      <c r="Z97" s="66">
        <f>Бюджет!Z217</f>
        <v>0</v>
      </c>
      <c r="AA97" s="66">
        <f>Бюджет!AA217</f>
        <v>0</v>
      </c>
      <c r="AB97" s="66">
        <f>Бюджет!AB217</f>
        <v>0</v>
      </c>
      <c r="AC97" s="66">
        <f>Бюджет!AC217</f>
        <v>0</v>
      </c>
      <c r="AD97" s="66">
        <f>Бюджет!AD217</f>
        <v>0</v>
      </c>
      <c r="AE97" s="66">
        <f>Бюджет!AE217</f>
        <v>0</v>
      </c>
      <c r="AF97" s="66">
        <f>Бюджет!AF217</f>
        <v>0</v>
      </c>
      <c r="AG97" s="66">
        <f>Бюджет!AG217</f>
        <v>0</v>
      </c>
      <c r="AH97" s="66">
        <f>Бюджет!AH217</f>
        <v>0</v>
      </c>
      <c r="AI97" s="66">
        <f>Бюджет!AI217</f>
        <v>12</v>
      </c>
      <c r="AJ97" s="66">
        <f t="shared" si="13"/>
        <v>60.1</v>
      </c>
      <c r="AK97" s="70"/>
    </row>
    <row r="98" spans="1:37" s="109" customFormat="1" ht="30" x14ac:dyDescent="0.2">
      <c r="A98" s="60" t="str">
        <f>Бюджет!A218</f>
        <v>Б1.О.13.03</v>
      </c>
      <c r="B98" s="60" t="str">
        <f>Бюджет!B218</f>
        <v>Дифференциальные уравнения (поток РФ, ФИЗ, НЭ, ИСТ)</v>
      </c>
      <c r="C98" s="67" t="str">
        <f>Бюджет!C218</f>
        <v>2\3</v>
      </c>
      <c r="D98" s="67">
        <f>Бюджет!D218</f>
        <v>23</v>
      </c>
      <c r="E98" s="67">
        <f>Бюджет!E218</f>
        <v>1</v>
      </c>
      <c r="F98" s="66">
        <f>Бюджет!F218</f>
        <v>32</v>
      </c>
      <c r="G98" s="66">
        <f>Бюджет!G218</f>
        <v>0</v>
      </c>
      <c r="H98" s="66">
        <f>Бюджет!H218</f>
        <v>32</v>
      </c>
      <c r="I98" s="66">
        <f>Бюджет!I218</f>
        <v>32</v>
      </c>
      <c r="J98" s="66">
        <f>Бюджет!J218</f>
        <v>0</v>
      </c>
      <c r="K98" s="66">
        <f>Бюджет!K218</f>
        <v>0</v>
      </c>
      <c r="L98" s="66">
        <f>Бюджет!L218</f>
        <v>0</v>
      </c>
      <c r="M98" s="66">
        <f>Бюджет!M218</f>
        <v>9.2000000000000011</v>
      </c>
      <c r="N98" s="66">
        <f>Бюджет!N218</f>
        <v>0</v>
      </c>
      <c r="O98" s="66">
        <f>Бюджет!O218</f>
        <v>0</v>
      </c>
      <c r="P98" s="66">
        <f>Бюджет!P218</f>
        <v>0</v>
      </c>
      <c r="Q98" s="66">
        <f>Бюджет!Q218</f>
        <v>0</v>
      </c>
      <c r="R98" s="66">
        <f>Бюджет!R218</f>
        <v>0</v>
      </c>
      <c r="S98" s="66">
        <f>Бюджет!S218</f>
        <v>0</v>
      </c>
      <c r="T98" s="66">
        <f>Бюджет!T218</f>
        <v>0</v>
      </c>
      <c r="U98" s="66">
        <f>Бюджет!U218</f>
        <v>6.8999999999999995</v>
      </c>
      <c r="V98" s="66">
        <f>Бюджет!V218</f>
        <v>0</v>
      </c>
      <c r="W98" s="66">
        <f>Бюджет!W218</f>
        <v>0</v>
      </c>
      <c r="X98" s="66">
        <f>Бюджет!X218</f>
        <v>0</v>
      </c>
      <c r="Y98" s="66">
        <f>Бюджет!Y218</f>
        <v>0</v>
      </c>
      <c r="Z98" s="66">
        <f>Бюджет!Z218</f>
        <v>0</v>
      </c>
      <c r="AA98" s="66">
        <f>Бюджет!AA218</f>
        <v>0</v>
      </c>
      <c r="AB98" s="66">
        <f>Бюджет!AB218</f>
        <v>0</v>
      </c>
      <c r="AC98" s="66">
        <f>Бюджет!AC218</f>
        <v>0</v>
      </c>
      <c r="AD98" s="66">
        <f>Бюджет!AD218</f>
        <v>0</v>
      </c>
      <c r="AE98" s="66">
        <f>Бюджет!AE218</f>
        <v>0</v>
      </c>
      <c r="AF98" s="66">
        <f>Бюджет!AF218</f>
        <v>0</v>
      </c>
      <c r="AG98" s="66">
        <f>Бюджет!AG218</f>
        <v>0</v>
      </c>
      <c r="AH98" s="66">
        <f>Бюджет!AH218</f>
        <v>0</v>
      </c>
      <c r="AI98" s="66">
        <f>Бюджет!AI218</f>
        <v>12</v>
      </c>
      <c r="AJ98" s="66">
        <f t="shared" si="13"/>
        <v>60.1</v>
      </c>
      <c r="AK98" s="70"/>
    </row>
    <row r="99" spans="1:37" s="109" customFormat="1" ht="30" x14ac:dyDescent="0.2">
      <c r="A99" s="60" t="str">
        <f>Бюджет!A219</f>
        <v>Б1.О.13.04</v>
      </c>
      <c r="B99" s="60" t="str">
        <f>Бюджет!B219</f>
        <v>Теория функций комплексного переменного (поток РФ, НЭ лекц+пз)</v>
      </c>
      <c r="C99" s="67" t="str">
        <f>Бюджет!C219</f>
        <v>2\4</v>
      </c>
      <c r="D99" s="67">
        <f>Бюджет!D219</f>
        <v>23</v>
      </c>
      <c r="E99" s="67">
        <f>Бюджет!E219</f>
        <v>1</v>
      </c>
      <c r="F99" s="66">
        <f>Бюджет!F219</f>
        <v>20</v>
      </c>
      <c r="G99" s="66">
        <f>Бюджет!G219</f>
        <v>0</v>
      </c>
      <c r="H99" s="66">
        <f>Бюджет!H219</f>
        <v>20</v>
      </c>
      <c r="I99" s="66">
        <f>Бюджет!I219</f>
        <v>0</v>
      </c>
      <c r="J99" s="66">
        <f>Бюджет!J219</f>
        <v>0</v>
      </c>
      <c r="K99" s="66">
        <f>Бюджет!K219</f>
        <v>6.8999999999999995</v>
      </c>
      <c r="L99" s="66">
        <f>Бюджет!L219</f>
        <v>0</v>
      </c>
      <c r="M99" s="66">
        <f>Бюджет!M219</f>
        <v>0</v>
      </c>
      <c r="N99" s="66">
        <f>Бюджет!N219</f>
        <v>0</v>
      </c>
      <c r="O99" s="66">
        <f>Бюджет!O219</f>
        <v>0</v>
      </c>
      <c r="P99" s="66">
        <f>Бюджет!P219</f>
        <v>0</v>
      </c>
      <c r="Q99" s="66">
        <f>Бюджет!Q219</f>
        <v>0</v>
      </c>
      <c r="R99" s="66">
        <f>Бюджет!R219</f>
        <v>0</v>
      </c>
      <c r="S99" s="66">
        <f>Бюджет!S219</f>
        <v>0</v>
      </c>
      <c r="T99" s="66">
        <f>Бюджет!T219</f>
        <v>0</v>
      </c>
      <c r="U99" s="66">
        <f>Бюджет!U219</f>
        <v>6.8999999999999995</v>
      </c>
      <c r="V99" s="66">
        <f>Бюджет!V219</f>
        <v>0</v>
      </c>
      <c r="W99" s="66">
        <f>Бюджет!W219</f>
        <v>0</v>
      </c>
      <c r="X99" s="66">
        <f>Бюджет!X219</f>
        <v>0</v>
      </c>
      <c r="Y99" s="66">
        <f>Бюджет!Y219</f>
        <v>0</v>
      </c>
      <c r="Z99" s="66">
        <f>Бюджет!Z219</f>
        <v>0</v>
      </c>
      <c r="AA99" s="66">
        <f>Бюджет!AA219</f>
        <v>0</v>
      </c>
      <c r="AB99" s="66">
        <f>Бюджет!AB219</f>
        <v>0</v>
      </c>
      <c r="AC99" s="66">
        <f>Бюджет!AC219</f>
        <v>0</v>
      </c>
      <c r="AD99" s="66">
        <f>Бюджет!AD219</f>
        <v>0</v>
      </c>
      <c r="AE99" s="66">
        <f>Бюджет!AE219</f>
        <v>0</v>
      </c>
      <c r="AF99" s="66">
        <f>Бюджет!AF219</f>
        <v>0</v>
      </c>
      <c r="AG99" s="66">
        <f>Бюджет!AG219</f>
        <v>0</v>
      </c>
      <c r="AH99" s="66">
        <f>Бюджет!AH219</f>
        <v>0</v>
      </c>
      <c r="AI99" s="66">
        <f>Бюджет!AI219</f>
        <v>0</v>
      </c>
      <c r="AJ99" s="66">
        <f t="shared" si="13"/>
        <v>13.799999999999999</v>
      </c>
      <c r="AK99" s="70"/>
    </row>
    <row r="100" spans="1:37" s="109" customFormat="1" ht="30" x14ac:dyDescent="0.2">
      <c r="A100" s="60" t="str">
        <f>Бюджет!A222</f>
        <v>Б1.О.14.05</v>
      </c>
      <c r="B100" s="60" t="str">
        <f>Бюджет!B222</f>
        <v>Электродинамика (поток РФ, НЭ, ИСТ лекц, поток РФ и НЭ пз)</v>
      </c>
      <c r="C100" s="67" t="str">
        <f>Бюджет!C222</f>
        <v>2\4</v>
      </c>
      <c r="D100" s="67">
        <f>Бюджет!D222</f>
        <v>23</v>
      </c>
      <c r="E100" s="67">
        <f>Бюджет!E222</f>
        <v>1</v>
      </c>
      <c r="F100" s="66">
        <f>Бюджет!F222</f>
        <v>40</v>
      </c>
      <c r="G100" s="66">
        <f>Бюджет!G222</f>
        <v>0</v>
      </c>
      <c r="H100" s="66">
        <f>Бюджет!H222</f>
        <v>40</v>
      </c>
      <c r="I100" s="66">
        <f>Бюджет!I222</f>
        <v>0</v>
      </c>
      <c r="J100" s="66">
        <f>Бюджет!J222</f>
        <v>0</v>
      </c>
      <c r="K100" s="66">
        <f>Бюджет!K222</f>
        <v>0</v>
      </c>
      <c r="L100" s="66">
        <f>Бюджет!L222</f>
        <v>0</v>
      </c>
      <c r="M100" s="66">
        <f>Бюджет!M222</f>
        <v>9.2000000000000011</v>
      </c>
      <c r="N100" s="66">
        <f>Бюджет!N222</f>
        <v>0</v>
      </c>
      <c r="O100" s="66">
        <f>Бюджет!O222</f>
        <v>0</v>
      </c>
      <c r="P100" s="66">
        <f>Бюджет!P222</f>
        <v>0</v>
      </c>
      <c r="Q100" s="66">
        <f>Бюджет!Q222</f>
        <v>0</v>
      </c>
      <c r="R100" s="66">
        <f>Бюджет!R222</f>
        <v>0</v>
      </c>
      <c r="S100" s="66">
        <f>Бюджет!S222</f>
        <v>0</v>
      </c>
      <c r="T100" s="66">
        <f>Бюджет!T222</f>
        <v>0</v>
      </c>
      <c r="U100" s="66">
        <f>Бюджет!U222</f>
        <v>0</v>
      </c>
      <c r="V100" s="66">
        <f>Бюджет!V222</f>
        <v>0</v>
      </c>
      <c r="W100" s="66">
        <f>Бюджет!W222</f>
        <v>0</v>
      </c>
      <c r="X100" s="66">
        <f>Бюджет!X222</f>
        <v>0</v>
      </c>
      <c r="Y100" s="66">
        <f>Бюджет!Y222</f>
        <v>0</v>
      </c>
      <c r="Z100" s="66">
        <f>Бюджет!Z222</f>
        <v>0</v>
      </c>
      <c r="AA100" s="66">
        <f>Бюджет!AA222</f>
        <v>0</v>
      </c>
      <c r="AB100" s="66">
        <f>Бюджет!AB222</f>
        <v>0</v>
      </c>
      <c r="AC100" s="66">
        <f>Бюджет!AC222</f>
        <v>0</v>
      </c>
      <c r="AD100" s="66">
        <f>Бюджет!AD222</f>
        <v>0</v>
      </c>
      <c r="AE100" s="66">
        <f>Бюджет!AE222</f>
        <v>0</v>
      </c>
      <c r="AF100" s="66">
        <f>Бюджет!AF222</f>
        <v>0</v>
      </c>
      <c r="AG100" s="66">
        <f>Бюджет!AG222</f>
        <v>0</v>
      </c>
      <c r="AH100" s="66">
        <f>Бюджет!AH222</f>
        <v>0</v>
      </c>
      <c r="AI100" s="66">
        <f>Бюджет!AI222</f>
        <v>0</v>
      </c>
      <c r="AJ100" s="66">
        <f t="shared" si="13"/>
        <v>9.2000000000000011</v>
      </c>
      <c r="AK100" s="70"/>
    </row>
    <row r="101" spans="1:37" s="109" customFormat="1" ht="30" x14ac:dyDescent="0.2">
      <c r="A101" s="60" t="str">
        <f>Бюджет!A227</f>
        <v>Б1.О.14.06</v>
      </c>
      <c r="B101" s="60" t="str">
        <f>Бюджет!B227</f>
        <v>Термодинамика и статистическая физика (поток РФ, НЭ)</v>
      </c>
      <c r="C101" s="67" t="str">
        <f>Бюджет!C227</f>
        <v>3\6</v>
      </c>
      <c r="D101" s="67">
        <f>Бюджет!D227</f>
        <v>23</v>
      </c>
      <c r="E101" s="67">
        <f>Бюджет!E227</f>
        <v>1</v>
      </c>
      <c r="F101" s="66">
        <f>Бюджет!F227</f>
        <v>36</v>
      </c>
      <c r="G101" s="66">
        <f>Бюджет!G227</f>
        <v>0</v>
      </c>
      <c r="H101" s="66">
        <f>Бюджет!H227</f>
        <v>36</v>
      </c>
      <c r="I101" s="66">
        <f>Бюджет!I227</f>
        <v>36</v>
      </c>
      <c r="J101" s="66">
        <f>Бюджет!J227</f>
        <v>0</v>
      </c>
      <c r="K101" s="66">
        <f>Бюджет!K227</f>
        <v>0</v>
      </c>
      <c r="L101" s="66">
        <f>Бюджет!L227</f>
        <v>0</v>
      </c>
      <c r="M101" s="66">
        <f>Бюджет!M227</f>
        <v>9.2000000000000011</v>
      </c>
      <c r="N101" s="66">
        <f>Бюджет!N227</f>
        <v>0</v>
      </c>
      <c r="O101" s="66">
        <f>Бюджет!O227</f>
        <v>0</v>
      </c>
      <c r="P101" s="66">
        <f>Бюджет!P227</f>
        <v>0</v>
      </c>
      <c r="Q101" s="66">
        <f>Бюджет!Q227</f>
        <v>0</v>
      </c>
      <c r="R101" s="66">
        <f>Бюджет!R227</f>
        <v>0</v>
      </c>
      <c r="S101" s="66">
        <f>Бюджет!S227</f>
        <v>0</v>
      </c>
      <c r="T101" s="66">
        <f>Бюджет!T227</f>
        <v>0</v>
      </c>
      <c r="U101" s="66">
        <f>Бюджет!U227</f>
        <v>6.8999999999999995</v>
      </c>
      <c r="V101" s="66">
        <f>Бюджет!V227</f>
        <v>0</v>
      </c>
      <c r="W101" s="66">
        <f>Бюджет!W227</f>
        <v>0</v>
      </c>
      <c r="X101" s="66">
        <f>Бюджет!X227</f>
        <v>0</v>
      </c>
      <c r="Y101" s="66">
        <f>Бюджет!Y227</f>
        <v>0</v>
      </c>
      <c r="Z101" s="66">
        <f>Бюджет!Z227</f>
        <v>0</v>
      </c>
      <c r="AA101" s="66">
        <f>Бюджет!AA227</f>
        <v>0</v>
      </c>
      <c r="AB101" s="66">
        <f>Бюджет!AB227</f>
        <v>0</v>
      </c>
      <c r="AC101" s="66">
        <f>Бюджет!AC227</f>
        <v>0</v>
      </c>
      <c r="AD101" s="66">
        <f>Бюджет!AD227</f>
        <v>0</v>
      </c>
      <c r="AE101" s="66">
        <f>Бюджет!AE227</f>
        <v>0</v>
      </c>
      <c r="AF101" s="66">
        <f>Бюджет!AF227</f>
        <v>0</v>
      </c>
      <c r="AG101" s="66">
        <f>Бюджет!AG227</f>
        <v>0</v>
      </c>
      <c r="AH101" s="66">
        <f>Бюджет!AH227</f>
        <v>0</v>
      </c>
      <c r="AI101" s="66">
        <f>Бюджет!AI227</f>
        <v>14</v>
      </c>
      <c r="AJ101" s="66">
        <f t="shared" si="13"/>
        <v>66.099999999999994</v>
      </c>
      <c r="AK101" s="70"/>
    </row>
    <row r="102" spans="1:37" s="109" customFormat="1" ht="15" x14ac:dyDescent="0.2">
      <c r="A102" s="60" t="str">
        <f>Бюджет!A229</f>
        <v>Б1.О.18</v>
      </c>
      <c r="B102" s="60" t="str">
        <f>Бюджет!B229</f>
        <v>Квантовая механика (поток ФИЗ, НЭ)</v>
      </c>
      <c r="C102" s="67" t="str">
        <f>Бюджет!C229</f>
        <v>3\5</v>
      </c>
      <c r="D102" s="67">
        <f>Бюджет!D229</f>
        <v>23</v>
      </c>
      <c r="E102" s="67">
        <f>Бюджет!E229</f>
        <v>1</v>
      </c>
      <c r="F102" s="66">
        <f>Бюджет!F229</f>
        <v>50</v>
      </c>
      <c r="G102" s="66">
        <f>Бюджет!G229</f>
        <v>0</v>
      </c>
      <c r="H102" s="66">
        <f>Бюджет!H229</f>
        <v>68</v>
      </c>
      <c r="I102" s="66">
        <f>Бюджет!I229</f>
        <v>68</v>
      </c>
      <c r="J102" s="66">
        <f>Бюджет!J229</f>
        <v>0</v>
      </c>
      <c r="K102" s="66">
        <f>Бюджет!K229</f>
        <v>0</v>
      </c>
      <c r="L102" s="66">
        <f>Бюджет!L229</f>
        <v>0</v>
      </c>
      <c r="M102" s="66">
        <f>Бюджет!M229</f>
        <v>9.2000000000000011</v>
      </c>
      <c r="N102" s="66">
        <f>Бюджет!N229</f>
        <v>0</v>
      </c>
      <c r="O102" s="66">
        <f>Бюджет!O229</f>
        <v>0</v>
      </c>
      <c r="P102" s="66">
        <f>Бюджет!P229</f>
        <v>0</v>
      </c>
      <c r="Q102" s="66">
        <f>Бюджет!Q229</f>
        <v>0</v>
      </c>
      <c r="R102" s="66">
        <f>Бюджет!R229</f>
        <v>0</v>
      </c>
      <c r="S102" s="66">
        <f>Бюджет!S229</f>
        <v>0</v>
      </c>
      <c r="T102" s="66">
        <f>Бюджет!T229</f>
        <v>0</v>
      </c>
      <c r="U102" s="66">
        <f>Бюджет!U229</f>
        <v>6.8999999999999995</v>
      </c>
      <c r="V102" s="66">
        <f>Бюджет!V229</f>
        <v>0</v>
      </c>
      <c r="W102" s="66">
        <f>Бюджет!W229</f>
        <v>0</v>
      </c>
      <c r="X102" s="66">
        <f>Бюджет!X229</f>
        <v>0</v>
      </c>
      <c r="Y102" s="66">
        <f>Бюджет!Y229</f>
        <v>0</v>
      </c>
      <c r="Z102" s="66">
        <f>Бюджет!Z229</f>
        <v>0</v>
      </c>
      <c r="AA102" s="66">
        <f>Бюджет!AA229</f>
        <v>0</v>
      </c>
      <c r="AB102" s="66">
        <f>Бюджет!AB229</f>
        <v>0</v>
      </c>
      <c r="AC102" s="66">
        <f>Бюджет!AC229</f>
        <v>0</v>
      </c>
      <c r="AD102" s="66">
        <f>Бюджет!AD229</f>
        <v>0</v>
      </c>
      <c r="AE102" s="66">
        <f>Бюджет!AE229</f>
        <v>0</v>
      </c>
      <c r="AF102" s="66">
        <f>Бюджет!AF229</f>
        <v>0</v>
      </c>
      <c r="AG102" s="66">
        <f>Бюджет!AG229</f>
        <v>0</v>
      </c>
      <c r="AH102" s="66">
        <f>Бюджет!AH229</f>
        <v>0</v>
      </c>
      <c r="AI102" s="66">
        <f>Бюджет!AI229</f>
        <v>0</v>
      </c>
      <c r="AJ102" s="66">
        <f t="shared" si="13"/>
        <v>84.100000000000009</v>
      </c>
      <c r="AK102" s="70"/>
    </row>
    <row r="103" spans="1:37" s="109" customFormat="1" ht="15" x14ac:dyDescent="0.2">
      <c r="A103" s="60" t="str">
        <f>Бюджет!A237</f>
        <v>Б1.О.28</v>
      </c>
      <c r="B103" s="60" t="str">
        <f>Бюджет!B237</f>
        <v>Методы математической физики (поток ФИЗ, НЭ)</v>
      </c>
      <c r="C103" s="67" t="str">
        <f>Бюджет!C237</f>
        <v>3\5</v>
      </c>
      <c r="D103" s="67">
        <f>Бюджет!D237</f>
        <v>23</v>
      </c>
      <c r="E103" s="67">
        <f>Бюджет!E237</f>
        <v>1</v>
      </c>
      <c r="F103" s="66">
        <f>Бюджет!F237</f>
        <v>50</v>
      </c>
      <c r="G103" s="66">
        <f>Бюджет!G237</f>
        <v>0</v>
      </c>
      <c r="H103" s="66">
        <f>Бюджет!H237</f>
        <v>50</v>
      </c>
      <c r="I103" s="66">
        <f>Бюджет!I237</f>
        <v>50</v>
      </c>
      <c r="J103" s="66">
        <f>Бюджет!J237</f>
        <v>0</v>
      </c>
      <c r="K103" s="66">
        <f>Бюджет!K237</f>
        <v>0</v>
      </c>
      <c r="L103" s="66">
        <f>Бюджет!L237</f>
        <v>0</v>
      </c>
      <c r="M103" s="66">
        <f>Бюджет!M237</f>
        <v>9.2000000000000011</v>
      </c>
      <c r="N103" s="66">
        <f>Бюджет!N237</f>
        <v>0</v>
      </c>
      <c r="O103" s="66">
        <f>Бюджет!O237</f>
        <v>0</v>
      </c>
      <c r="P103" s="66">
        <f>Бюджет!P237</f>
        <v>0</v>
      </c>
      <c r="Q103" s="66">
        <f>Бюджет!Q237</f>
        <v>0</v>
      </c>
      <c r="R103" s="66">
        <f>Бюджет!R237</f>
        <v>0</v>
      </c>
      <c r="S103" s="66">
        <f>Бюджет!S237</f>
        <v>0</v>
      </c>
      <c r="T103" s="66">
        <f>Бюджет!T237</f>
        <v>0</v>
      </c>
      <c r="U103" s="66">
        <f>Бюджет!U237</f>
        <v>0</v>
      </c>
      <c r="V103" s="66">
        <f>Бюджет!V237</f>
        <v>0</v>
      </c>
      <c r="W103" s="66">
        <f>Бюджет!W237</f>
        <v>0</v>
      </c>
      <c r="X103" s="66">
        <f>Бюджет!X237</f>
        <v>0</v>
      </c>
      <c r="Y103" s="66">
        <f>Бюджет!Y237</f>
        <v>0</v>
      </c>
      <c r="Z103" s="66">
        <f>Бюджет!Z237</f>
        <v>0</v>
      </c>
      <c r="AA103" s="66">
        <f>Бюджет!AA237</f>
        <v>0</v>
      </c>
      <c r="AB103" s="66">
        <f>Бюджет!AB237</f>
        <v>0</v>
      </c>
      <c r="AC103" s="66">
        <f>Бюджет!AC237</f>
        <v>0</v>
      </c>
      <c r="AD103" s="66">
        <f>Бюджет!AD237</f>
        <v>0</v>
      </c>
      <c r="AE103" s="66">
        <f>Бюджет!AE237</f>
        <v>0</v>
      </c>
      <c r="AF103" s="66">
        <f>Бюджет!AF237</f>
        <v>0</v>
      </c>
      <c r="AG103" s="66">
        <f>Бюджет!AG237</f>
        <v>0</v>
      </c>
      <c r="AH103" s="66">
        <f>Бюджет!AH237</f>
        <v>0</v>
      </c>
      <c r="AI103" s="66">
        <f>Бюджет!AI237</f>
        <v>0</v>
      </c>
      <c r="AJ103" s="66">
        <f t="shared" si="13"/>
        <v>59.2</v>
      </c>
      <c r="AK103" s="70"/>
    </row>
    <row r="104" spans="1:37" s="109" customFormat="1" ht="15.75" x14ac:dyDescent="0.2">
      <c r="A104" s="74"/>
      <c r="B104" s="214" t="s">
        <v>236</v>
      </c>
      <c r="C104" s="91"/>
      <c r="D104" s="91"/>
      <c r="E104" s="91"/>
      <c r="F104" s="88">
        <f>SUM(F94:F103)</f>
        <v>384</v>
      </c>
      <c r="G104" s="88">
        <f t="shared" ref="G104:AJ104" si="14">SUM(G94:G103)</f>
        <v>0</v>
      </c>
      <c r="H104" s="88">
        <f t="shared" si="14"/>
        <v>440</v>
      </c>
      <c r="I104" s="88">
        <f t="shared" si="14"/>
        <v>380</v>
      </c>
      <c r="J104" s="88">
        <f t="shared" si="14"/>
        <v>0</v>
      </c>
      <c r="K104" s="88">
        <f t="shared" si="14"/>
        <v>6.8999999999999995</v>
      </c>
      <c r="L104" s="88">
        <f t="shared" si="14"/>
        <v>0</v>
      </c>
      <c r="M104" s="88">
        <f t="shared" si="14"/>
        <v>93.600000000000023</v>
      </c>
      <c r="N104" s="88">
        <f t="shared" si="14"/>
        <v>0</v>
      </c>
      <c r="O104" s="88">
        <f t="shared" si="14"/>
        <v>0</v>
      </c>
      <c r="P104" s="88">
        <f t="shared" si="14"/>
        <v>0</v>
      </c>
      <c r="Q104" s="88">
        <f t="shared" si="14"/>
        <v>1</v>
      </c>
      <c r="R104" s="88">
        <f t="shared" si="14"/>
        <v>0</v>
      </c>
      <c r="S104" s="88">
        <f t="shared" si="14"/>
        <v>0</v>
      </c>
      <c r="T104" s="88">
        <f t="shared" si="14"/>
        <v>0</v>
      </c>
      <c r="U104" s="88">
        <f t="shared" si="14"/>
        <v>63.29999999999999</v>
      </c>
      <c r="V104" s="88">
        <f t="shared" si="14"/>
        <v>0</v>
      </c>
      <c r="W104" s="88">
        <f t="shared" si="14"/>
        <v>0</v>
      </c>
      <c r="X104" s="88">
        <f t="shared" si="14"/>
        <v>0</v>
      </c>
      <c r="Y104" s="88">
        <f t="shared" si="14"/>
        <v>0</v>
      </c>
      <c r="Z104" s="88">
        <f t="shared" si="14"/>
        <v>0</v>
      </c>
      <c r="AA104" s="88">
        <f t="shared" si="14"/>
        <v>0</v>
      </c>
      <c r="AB104" s="88">
        <f t="shared" si="14"/>
        <v>0</v>
      </c>
      <c r="AC104" s="88">
        <f t="shared" si="14"/>
        <v>0</v>
      </c>
      <c r="AD104" s="88">
        <f t="shared" si="14"/>
        <v>0</v>
      </c>
      <c r="AE104" s="88">
        <f t="shared" si="14"/>
        <v>0</v>
      </c>
      <c r="AF104" s="88">
        <f t="shared" si="14"/>
        <v>0</v>
      </c>
      <c r="AG104" s="88">
        <f t="shared" si="14"/>
        <v>0</v>
      </c>
      <c r="AH104" s="88">
        <f t="shared" si="14"/>
        <v>0</v>
      </c>
      <c r="AI104" s="88">
        <f t="shared" si="14"/>
        <v>60</v>
      </c>
      <c r="AJ104" s="88">
        <f t="shared" si="14"/>
        <v>604.80000000000007</v>
      </c>
      <c r="AK104" s="70"/>
    </row>
    <row r="105" spans="1:37" s="109" customFormat="1" ht="15" x14ac:dyDescent="0.2">
      <c r="A105" s="74"/>
      <c r="B105" s="60"/>
      <c r="C105" s="74"/>
      <c r="D105" s="74"/>
      <c r="E105" s="74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66">
        <f t="shared" ref="AJ105:AJ111" si="15">SUM(G105,I105:AI105)</f>
        <v>0</v>
      </c>
      <c r="AK105" s="70"/>
    </row>
    <row r="106" spans="1:37" s="109" customFormat="1" ht="15.75" x14ac:dyDescent="0.2">
      <c r="A106" s="74"/>
      <c r="B106" s="60"/>
      <c r="C106" s="74"/>
      <c r="D106" s="74"/>
      <c r="E106" s="74"/>
      <c r="F106" s="70"/>
      <c r="G106" s="70"/>
      <c r="H106" s="70"/>
      <c r="I106" s="70"/>
      <c r="J106" s="70"/>
      <c r="K106" s="73"/>
      <c r="L106" s="401" t="str">
        <f>Бюджет!L259</f>
        <v>10.03.01 Информационная безопасность</v>
      </c>
      <c r="M106" s="401"/>
      <c r="N106" s="401"/>
      <c r="O106" s="401"/>
      <c r="P106" s="401"/>
      <c r="Q106" s="401"/>
      <c r="R106" s="401"/>
      <c r="S106" s="401"/>
      <c r="T106" s="401"/>
      <c r="U106" s="401"/>
      <c r="V106" s="401"/>
      <c r="W106" s="401"/>
      <c r="X106" s="401"/>
      <c r="Y106" s="401"/>
      <c r="Z106" s="401"/>
      <c r="AA106" s="401"/>
      <c r="AB106" s="73"/>
      <c r="AC106" s="70"/>
      <c r="AD106" s="70"/>
      <c r="AE106" s="70"/>
      <c r="AF106" s="70"/>
      <c r="AG106" s="70"/>
      <c r="AH106" s="70"/>
      <c r="AI106" s="70"/>
      <c r="AJ106" s="66">
        <f t="shared" si="15"/>
        <v>0</v>
      </c>
      <c r="AK106" s="74"/>
    </row>
    <row r="107" spans="1:37" s="109" customFormat="1" ht="15.75" x14ac:dyDescent="0.2">
      <c r="A107" s="74"/>
      <c r="B107" s="60"/>
      <c r="C107" s="74"/>
      <c r="D107" s="74"/>
      <c r="E107" s="74"/>
      <c r="F107" s="70"/>
      <c r="G107" s="70"/>
      <c r="H107" s="70"/>
      <c r="I107" s="70"/>
      <c r="J107" s="70"/>
      <c r="K107" s="386" t="str">
        <f>Бюджет!K260</f>
        <v>профиль "Техническая защита информации"</v>
      </c>
      <c r="L107" s="386"/>
      <c r="M107" s="386"/>
      <c r="N107" s="386"/>
      <c r="O107" s="386"/>
      <c r="P107" s="386"/>
      <c r="Q107" s="386"/>
      <c r="R107" s="386"/>
      <c r="S107" s="386"/>
      <c r="T107" s="386"/>
      <c r="U107" s="386"/>
      <c r="V107" s="386"/>
      <c r="W107" s="386"/>
      <c r="X107" s="386"/>
      <c r="Y107" s="386"/>
      <c r="Z107" s="386"/>
      <c r="AA107" s="386"/>
      <c r="AB107" s="386"/>
      <c r="AC107" s="70"/>
      <c r="AD107" s="70"/>
      <c r="AE107" s="70"/>
      <c r="AF107" s="70"/>
      <c r="AG107" s="70"/>
      <c r="AH107" s="70"/>
      <c r="AI107" s="70"/>
      <c r="AJ107" s="66">
        <f t="shared" si="15"/>
        <v>0</v>
      </c>
      <c r="AK107" s="74"/>
    </row>
    <row r="108" spans="1:37" s="109" customFormat="1" ht="15.75" x14ac:dyDescent="0.2">
      <c r="A108" s="74"/>
      <c r="B108" s="60"/>
      <c r="C108" s="74"/>
      <c r="D108" s="74"/>
      <c r="E108" s="74"/>
      <c r="F108" s="70"/>
      <c r="G108" s="70"/>
      <c r="H108" s="70"/>
      <c r="I108" s="398" t="str">
        <f>Бюджет!K261</f>
        <v>профиль "Безопасность автоматизированных систем (по отрасли или в сфере профессиональной деятельности)"</v>
      </c>
      <c r="J108" s="399"/>
      <c r="K108" s="399"/>
      <c r="L108" s="399"/>
      <c r="M108" s="399"/>
      <c r="N108" s="399"/>
      <c r="O108" s="399"/>
      <c r="P108" s="399"/>
      <c r="Q108" s="399"/>
      <c r="R108" s="399"/>
      <c r="S108" s="399"/>
      <c r="T108" s="399"/>
      <c r="U108" s="399"/>
      <c r="V108" s="399"/>
      <c r="W108" s="399"/>
      <c r="X108" s="399"/>
      <c r="Y108" s="399"/>
      <c r="Z108" s="399"/>
      <c r="AA108" s="399"/>
      <c r="AB108" s="399"/>
      <c r="AC108" s="399"/>
      <c r="AD108" s="400"/>
      <c r="AE108" s="70"/>
      <c r="AF108" s="70"/>
      <c r="AG108" s="70"/>
      <c r="AH108" s="70"/>
      <c r="AI108" s="70"/>
      <c r="AJ108" s="66">
        <f t="shared" si="15"/>
        <v>0</v>
      </c>
      <c r="AK108" s="74"/>
    </row>
    <row r="109" spans="1:37" s="109" customFormat="1" ht="15" x14ac:dyDescent="0.2">
      <c r="A109" s="60" t="str">
        <f>Бюджет!A264</f>
        <v>Б1.Б.15.01</v>
      </c>
      <c r="B109" s="60" t="str">
        <f>Бюджет!B264</f>
        <v>Математический анализ (поток РФ, ИБ, НЭ, ИСТ)</v>
      </c>
      <c r="C109" s="67" t="str">
        <f>Бюджет!C264</f>
        <v>1\1</v>
      </c>
      <c r="D109" s="67">
        <f>Бюджет!D264</f>
        <v>27</v>
      </c>
      <c r="E109" s="67">
        <f>Бюджет!E264</f>
        <v>1</v>
      </c>
      <c r="F109" s="66">
        <f>Бюджет!F264</f>
        <v>50</v>
      </c>
      <c r="G109" s="66">
        <f>Бюджет!G264</f>
        <v>0</v>
      </c>
      <c r="H109" s="66">
        <f>Бюджет!H264</f>
        <v>68</v>
      </c>
      <c r="I109" s="66">
        <f>Бюджет!I264</f>
        <v>68</v>
      </c>
      <c r="J109" s="66">
        <f>Бюджет!J264</f>
        <v>0</v>
      </c>
      <c r="K109" s="66">
        <f>Бюджет!K264</f>
        <v>0</v>
      </c>
      <c r="L109" s="66">
        <f>Бюджет!L264</f>
        <v>0</v>
      </c>
      <c r="M109" s="66">
        <f>Бюджет!M264</f>
        <v>10.8</v>
      </c>
      <c r="N109" s="66">
        <f>Бюджет!N264</f>
        <v>0</v>
      </c>
      <c r="O109" s="66">
        <f>Бюджет!O264</f>
        <v>0</v>
      </c>
      <c r="P109" s="66">
        <f>Бюджет!P264</f>
        <v>0</v>
      </c>
      <c r="Q109" s="66">
        <f>Бюджет!Q264</f>
        <v>0</v>
      </c>
      <c r="R109" s="66">
        <f>Бюджет!R264</f>
        <v>0</v>
      </c>
      <c r="S109" s="66">
        <f>Бюджет!S264</f>
        <v>0</v>
      </c>
      <c r="T109" s="66">
        <f>Бюджет!T264</f>
        <v>0</v>
      </c>
      <c r="U109" s="66">
        <f>Бюджет!U264</f>
        <v>8.1</v>
      </c>
      <c r="V109" s="66">
        <f>Бюджет!V264</f>
        <v>0</v>
      </c>
      <c r="W109" s="66">
        <f>Бюджет!W264</f>
        <v>0</v>
      </c>
      <c r="X109" s="66">
        <f>Бюджет!X264</f>
        <v>0</v>
      </c>
      <c r="Y109" s="66">
        <f>Бюджет!Y264</f>
        <v>0</v>
      </c>
      <c r="Z109" s="66">
        <f>Бюджет!Z264</f>
        <v>0</v>
      </c>
      <c r="AA109" s="66">
        <f>Бюджет!AA264</f>
        <v>0</v>
      </c>
      <c r="AB109" s="66">
        <f>Бюджет!AB264</f>
        <v>0</v>
      </c>
      <c r="AC109" s="66">
        <f>Бюджет!AC264</f>
        <v>0</v>
      </c>
      <c r="AD109" s="66">
        <f>Бюджет!AD264</f>
        <v>0</v>
      </c>
      <c r="AE109" s="66">
        <f>Бюджет!AE264</f>
        <v>0</v>
      </c>
      <c r="AF109" s="66">
        <f>Бюджет!AF264</f>
        <v>0</v>
      </c>
      <c r="AG109" s="66">
        <f>Бюджет!AG264</f>
        <v>0</v>
      </c>
      <c r="AH109" s="66">
        <f>Бюджет!AH264</f>
        <v>0</v>
      </c>
      <c r="AI109" s="66">
        <f>Бюджет!AI264</f>
        <v>8</v>
      </c>
      <c r="AJ109" s="66">
        <f t="shared" si="15"/>
        <v>94.899999999999991</v>
      </c>
      <c r="AK109" s="74"/>
    </row>
    <row r="110" spans="1:37" s="109" customFormat="1" ht="15" x14ac:dyDescent="0.2">
      <c r="A110" s="60" t="str">
        <f>Бюджет!A265</f>
        <v>Б1.Б.15.01</v>
      </c>
      <c r="B110" s="60" t="str">
        <f>Бюджет!B265</f>
        <v>Математический анализ (поток РФ, ИБ, НЭ, ИСТ)</v>
      </c>
      <c r="C110" s="67" t="str">
        <f>Бюджет!C265</f>
        <v>1\2</v>
      </c>
      <c r="D110" s="67">
        <f>Бюджет!D265</f>
        <v>27</v>
      </c>
      <c r="E110" s="67">
        <f>Бюджет!E265</f>
        <v>1</v>
      </c>
      <c r="F110" s="66">
        <f>Бюджет!F265</f>
        <v>40</v>
      </c>
      <c r="G110" s="66">
        <f>Бюджет!G265</f>
        <v>0</v>
      </c>
      <c r="H110" s="66">
        <f>Бюджет!H265</f>
        <v>60</v>
      </c>
      <c r="I110" s="66">
        <f>Бюджет!I265</f>
        <v>60</v>
      </c>
      <c r="J110" s="66">
        <f>Бюджет!J265</f>
        <v>0</v>
      </c>
      <c r="K110" s="66">
        <f>Бюджет!K265</f>
        <v>0</v>
      </c>
      <c r="L110" s="66">
        <f>Бюджет!L265</f>
        <v>0</v>
      </c>
      <c r="M110" s="66">
        <f>Бюджет!M265</f>
        <v>10.8</v>
      </c>
      <c r="N110" s="66">
        <f>Бюджет!N265</f>
        <v>0</v>
      </c>
      <c r="O110" s="66">
        <f>Бюджет!O265</f>
        <v>0</v>
      </c>
      <c r="P110" s="66">
        <f>Бюджет!P265</f>
        <v>0</v>
      </c>
      <c r="Q110" s="66">
        <f>Бюджет!Q265</f>
        <v>0</v>
      </c>
      <c r="R110" s="66">
        <f>Бюджет!R265</f>
        <v>0</v>
      </c>
      <c r="S110" s="66">
        <f>Бюджет!S265</f>
        <v>0</v>
      </c>
      <c r="T110" s="66">
        <f>Бюджет!T265</f>
        <v>0</v>
      </c>
      <c r="U110" s="66">
        <f>Бюджет!U265</f>
        <v>8.1</v>
      </c>
      <c r="V110" s="66">
        <f>Бюджет!V265</f>
        <v>0</v>
      </c>
      <c r="W110" s="66">
        <f>Бюджет!W265</f>
        <v>0</v>
      </c>
      <c r="X110" s="66">
        <f>Бюджет!X265</f>
        <v>0</v>
      </c>
      <c r="Y110" s="66">
        <f>Бюджет!Y265</f>
        <v>0</v>
      </c>
      <c r="Z110" s="66">
        <f>Бюджет!Z265</f>
        <v>0</v>
      </c>
      <c r="AA110" s="66">
        <f>Бюджет!AA265</f>
        <v>0</v>
      </c>
      <c r="AB110" s="66">
        <f>Бюджет!AB265</f>
        <v>0</v>
      </c>
      <c r="AC110" s="66">
        <f>Бюджет!AC265</f>
        <v>0</v>
      </c>
      <c r="AD110" s="66">
        <f>Бюджет!AD265</f>
        <v>0</v>
      </c>
      <c r="AE110" s="66">
        <f>Бюджет!AE265</f>
        <v>0</v>
      </c>
      <c r="AF110" s="66">
        <f>Бюджет!AF265</f>
        <v>0</v>
      </c>
      <c r="AG110" s="66">
        <f>Бюджет!AG265</f>
        <v>0</v>
      </c>
      <c r="AH110" s="66">
        <f>Бюджет!AH265</f>
        <v>0</v>
      </c>
      <c r="AI110" s="66">
        <f>Бюджет!AI265</f>
        <v>8</v>
      </c>
      <c r="AJ110" s="66">
        <f t="shared" si="15"/>
        <v>86.899999999999991</v>
      </c>
      <c r="AK110" s="74"/>
    </row>
    <row r="111" spans="1:37" s="109" customFormat="1" ht="15" x14ac:dyDescent="0.2">
      <c r="A111" s="60" t="str">
        <f>Бюджет!A273</f>
        <v>Б1.О.15.01</v>
      </c>
      <c r="B111" s="60" t="str">
        <f>Бюджет!B273</f>
        <v>Математический анализ (поток РФ, ИБ, НЭ, ИСТ)</v>
      </c>
      <c r="C111" s="67" t="str">
        <f>Бюджет!C273</f>
        <v>2\3</v>
      </c>
      <c r="D111" s="67">
        <f>Бюджет!D273</f>
        <v>34</v>
      </c>
      <c r="E111" s="67">
        <f>Бюджет!E273</f>
        <v>1</v>
      </c>
      <c r="F111" s="66">
        <f>Бюджет!F273</f>
        <v>32</v>
      </c>
      <c r="G111" s="66">
        <f>Бюджет!G273</f>
        <v>0</v>
      </c>
      <c r="H111" s="66">
        <f>Бюджет!H273</f>
        <v>32</v>
      </c>
      <c r="I111" s="66">
        <f>Бюджет!I273</f>
        <v>32</v>
      </c>
      <c r="J111" s="66">
        <f>Бюджет!J273</f>
        <v>0</v>
      </c>
      <c r="K111" s="66">
        <f>Бюджет!K273</f>
        <v>0</v>
      </c>
      <c r="L111" s="66">
        <f>Бюджет!L273</f>
        <v>0</v>
      </c>
      <c r="M111" s="66">
        <f>Бюджет!M273</f>
        <v>13.600000000000001</v>
      </c>
      <c r="N111" s="66">
        <f>Бюджет!N273</f>
        <v>0</v>
      </c>
      <c r="O111" s="66">
        <f>Бюджет!O273</f>
        <v>0</v>
      </c>
      <c r="P111" s="66">
        <f>Бюджет!P273</f>
        <v>0</v>
      </c>
      <c r="Q111" s="66">
        <f>Бюджет!Q273</f>
        <v>0</v>
      </c>
      <c r="R111" s="66">
        <f>Бюджет!R273</f>
        <v>0</v>
      </c>
      <c r="S111" s="66">
        <f>Бюджет!S273</f>
        <v>0</v>
      </c>
      <c r="T111" s="66">
        <f>Бюджет!T273</f>
        <v>0</v>
      </c>
      <c r="U111" s="66">
        <f>Бюджет!U273</f>
        <v>10.199999999999999</v>
      </c>
      <c r="V111" s="66">
        <f>Бюджет!V273</f>
        <v>0</v>
      </c>
      <c r="W111" s="66">
        <f>Бюджет!W273</f>
        <v>0</v>
      </c>
      <c r="X111" s="66">
        <f>Бюджет!X273</f>
        <v>0</v>
      </c>
      <c r="Y111" s="66">
        <f>Бюджет!Y273</f>
        <v>0</v>
      </c>
      <c r="Z111" s="66">
        <f>Бюджет!Z273</f>
        <v>0</v>
      </c>
      <c r="AA111" s="66">
        <f>Бюджет!AA273</f>
        <v>0</v>
      </c>
      <c r="AB111" s="66">
        <f>Бюджет!AB273</f>
        <v>0</v>
      </c>
      <c r="AC111" s="66">
        <f>Бюджет!AC273</f>
        <v>0</v>
      </c>
      <c r="AD111" s="66">
        <f>Бюджет!AD273</f>
        <v>0</v>
      </c>
      <c r="AE111" s="66">
        <f>Бюджет!AE273</f>
        <v>0</v>
      </c>
      <c r="AF111" s="66">
        <f>Бюджет!AF273</f>
        <v>0</v>
      </c>
      <c r="AG111" s="66">
        <f>Бюджет!AG273</f>
        <v>0</v>
      </c>
      <c r="AH111" s="66">
        <f>Бюджет!AH273</f>
        <v>0</v>
      </c>
      <c r="AI111" s="66">
        <f>Бюджет!AI273</f>
        <v>12</v>
      </c>
      <c r="AJ111" s="66">
        <f t="shared" si="15"/>
        <v>67.8</v>
      </c>
      <c r="AK111" s="74"/>
    </row>
    <row r="112" spans="1:37" s="109" customFormat="1" ht="15.75" x14ac:dyDescent="0.2">
      <c r="A112" s="74"/>
      <c r="B112" s="214" t="s">
        <v>237</v>
      </c>
      <c r="C112" s="91"/>
      <c r="D112" s="91"/>
      <c r="E112" s="91"/>
      <c r="F112" s="88">
        <f>SUM(F109:F111)</f>
        <v>122</v>
      </c>
      <c r="G112" s="88">
        <f t="shared" ref="G112:AJ112" si="16">SUM(G109:G111)</f>
        <v>0</v>
      </c>
      <c r="H112" s="88">
        <f t="shared" si="16"/>
        <v>160</v>
      </c>
      <c r="I112" s="88">
        <f t="shared" si="16"/>
        <v>160</v>
      </c>
      <c r="J112" s="88">
        <f t="shared" si="16"/>
        <v>0</v>
      </c>
      <c r="K112" s="88">
        <f t="shared" si="16"/>
        <v>0</v>
      </c>
      <c r="L112" s="88">
        <f t="shared" si="16"/>
        <v>0</v>
      </c>
      <c r="M112" s="88">
        <f t="shared" si="16"/>
        <v>35.200000000000003</v>
      </c>
      <c r="N112" s="88">
        <f t="shared" si="16"/>
        <v>0</v>
      </c>
      <c r="O112" s="88">
        <f t="shared" si="16"/>
        <v>0</v>
      </c>
      <c r="P112" s="88">
        <f t="shared" si="16"/>
        <v>0</v>
      </c>
      <c r="Q112" s="88">
        <f t="shared" si="16"/>
        <v>0</v>
      </c>
      <c r="R112" s="88">
        <f t="shared" si="16"/>
        <v>0</v>
      </c>
      <c r="S112" s="88">
        <f t="shared" si="16"/>
        <v>0</v>
      </c>
      <c r="T112" s="88">
        <f t="shared" si="16"/>
        <v>0</v>
      </c>
      <c r="U112" s="88">
        <f t="shared" si="16"/>
        <v>26.4</v>
      </c>
      <c r="V112" s="88">
        <f t="shared" si="16"/>
        <v>0</v>
      </c>
      <c r="W112" s="88">
        <f t="shared" si="16"/>
        <v>0</v>
      </c>
      <c r="X112" s="88">
        <f t="shared" si="16"/>
        <v>0</v>
      </c>
      <c r="Y112" s="88">
        <f t="shared" si="16"/>
        <v>0</v>
      </c>
      <c r="Z112" s="88">
        <f t="shared" si="16"/>
        <v>0</v>
      </c>
      <c r="AA112" s="88">
        <f t="shared" si="16"/>
        <v>0</v>
      </c>
      <c r="AB112" s="88">
        <f t="shared" si="16"/>
        <v>0</v>
      </c>
      <c r="AC112" s="88">
        <f t="shared" si="16"/>
        <v>0</v>
      </c>
      <c r="AD112" s="88">
        <f t="shared" si="16"/>
        <v>0</v>
      </c>
      <c r="AE112" s="88">
        <f t="shared" si="16"/>
        <v>0</v>
      </c>
      <c r="AF112" s="88">
        <f t="shared" si="16"/>
        <v>0</v>
      </c>
      <c r="AG112" s="88">
        <f t="shared" si="16"/>
        <v>0</v>
      </c>
      <c r="AH112" s="88">
        <f t="shared" si="16"/>
        <v>0</v>
      </c>
      <c r="AI112" s="88">
        <f t="shared" si="16"/>
        <v>28</v>
      </c>
      <c r="AJ112" s="88">
        <f t="shared" si="16"/>
        <v>249.59999999999997</v>
      </c>
      <c r="AK112" s="74"/>
    </row>
    <row r="113" spans="1:37" s="110" customFormat="1" ht="15" x14ac:dyDescent="0.2">
      <c r="A113" s="74"/>
      <c r="B113" s="60"/>
      <c r="C113" s="74"/>
      <c r="D113" s="74"/>
      <c r="E113" s="74"/>
      <c r="F113" s="70"/>
      <c r="G113" s="70"/>
      <c r="H113" s="70"/>
      <c r="I113" s="70"/>
      <c r="J113" s="70"/>
      <c r="K113" s="66"/>
      <c r="L113" s="70"/>
      <c r="M113" s="70"/>
      <c r="N113" s="70"/>
      <c r="O113" s="70"/>
      <c r="P113" s="70"/>
      <c r="Q113" s="66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66">
        <f t="shared" ref="AJ113:AJ121" si="17">SUM(G113,I113:AI113)</f>
        <v>0</v>
      </c>
      <c r="AK113" s="74"/>
    </row>
    <row r="114" spans="1:37" s="110" customFormat="1" ht="15.75" x14ac:dyDescent="0.2">
      <c r="A114" s="74"/>
      <c r="B114" s="60"/>
      <c r="C114" s="74"/>
      <c r="D114" s="74"/>
      <c r="E114" s="74"/>
      <c r="F114" s="70"/>
      <c r="G114" s="70"/>
      <c r="H114" s="70"/>
      <c r="I114" s="70"/>
      <c r="J114" s="70"/>
      <c r="K114" s="73"/>
      <c r="L114" s="401" t="str">
        <f>Бюджет!L339</f>
        <v>09.03.02 Информационные системы и технологии</v>
      </c>
      <c r="M114" s="401"/>
      <c r="N114" s="401"/>
      <c r="O114" s="401"/>
      <c r="P114" s="401"/>
      <c r="Q114" s="401"/>
      <c r="R114" s="401"/>
      <c r="S114" s="401"/>
      <c r="T114" s="401"/>
      <c r="U114" s="401"/>
      <c r="V114" s="401"/>
      <c r="W114" s="401"/>
      <c r="X114" s="401"/>
      <c r="Y114" s="401"/>
      <c r="Z114" s="401"/>
      <c r="AA114" s="401"/>
      <c r="AB114" s="73"/>
      <c r="AC114" s="70"/>
      <c r="AD114" s="70"/>
      <c r="AE114" s="70"/>
      <c r="AF114" s="70"/>
      <c r="AG114" s="70"/>
      <c r="AH114" s="70"/>
      <c r="AI114" s="70"/>
      <c r="AJ114" s="66">
        <f t="shared" si="17"/>
        <v>0</v>
      </c>
      <c r="AK114" s="74"/>
    </row>
    <row r="115" spans="1:37" s="110" customFormat="1" ht="15.75" x14ac:dyDescent="0.2">
      <c r="A115" s="74"/>
      <c r="B115" s="60"/>
      <c r="C115" s="74"/>
      <c r="D115" s="74"/>
      <c r="E115" s="74"/>
      <c r="F115" s="70"/>
      <c r="G115" s="70"/>
      <c r="H115" s="70"/>
      <c r="I115" s="70"/>
      <c r="J115" s="70"/>
      <c r="K115" s="386" t="str">
        <f>Бюджет!K340</f>
        <v>профиль "Электронный инжиниринг"</v>
      </c>
      <c r="L115" s="386"/>
      <c r="M115" s="386"/>
      <c r="N115" s="386"/>
      <c r="O115" s="386"/>
      <c r="P115" s="386"/>
      <c r="Q115" s="386"/>
      <c r="R115" s="386"/>
      <c r="S115" s="386"/>
      <c r="T115" s="386"/>
      <c r="U115" s="386"/>
      <c r="V115" s="386"/>
      <c r="W115" s="386"/>
      <c r="X115" s="386"/>
      <c r="Y115" s="386"/>
      <c r="Z115" s="386"/>
      <c r="AA115" s="386"/>
      <c r="AB115" s="386"/>
      <c r="AC115" s="70"/>
      <c r="AD115" s="70"/>
      <c r="AE115" s="70"/>
      <c r="AF115" s="70"/>
      <c r="AG115" s="70"/>
      <c r="AH115" s="70"/>
      <c r="AI115" s="70"/>
      <c r="AJ115" s="66">
        <f t="shared" si="17"/>
        <v>0</v>
      </c>
      <c r="AK115" s="74"/>
    </row>
    <row r="116" spans="1:37" s="110" customFormat="1" ht="15" x14ac:dyDescent="0.2">
      <c r="A116" s="90" t="str">
        <f>Бюджет!A343</f>
        <v>Б1.О.12.01</v>
      </c>
      <c r="B116" s="60" t="str">
        <f>Бюджет!B343</f>
        <v>Математический анализ (поток РФ, ИБ, НЭ, ИСТ)</v>
      </c>
      <c r="C116" s="74" t="str">
        <f>Бюджет!C343</f>
        <v>1\1</v>
      </c>
      <c r="D116" s="74">
        <f>Бюджет!D343</f>
        <v>25</v>
      </c>
      <c r="E116" s="74">
        <f>Бюджет!E343</f>
        <v>1</v>
      </c>
      <c r="F116" s="70">
        <f>Бюджет!F343</f>
        <v>50</v>
      </c>
      <c r="G116" s="70">
        <f>Бюджет!G343</f>
        <v>0</v>
      </c>
      <c r="H116" s="70">
        <f>Бюджет!H343</f>
        <v>68</v>
      </c>
      <c r="I116" s="70">
        <f>Бюджет!I343</f>
        <v>68</v>
      </c>
      <c r="J116" s="70">
        <f>Бюджет!J343</f>
        <v>0</v>
      </c>
      <c r="K116" s="70">
        <f>Бюджет!K343</f>
        <v>0</v>
      </c>
      <c r="L116" s="70">
        <f>Бюджет!L343</f>
        <v>0</v>
      </c>
      <c r="M116" s="70">
        <f>Бюджет!M343</f>
        <v>10</v>
      </c>
      <c r="N116" s="70">
        <f>Бюджет!N343</f>
        <v>0</v>
      </c>
      <c r="O116" s="70">
        <f>Бюджет!O343</f>
        <v>0</v>
      </c>
      <c r="P116" s="70">
        <f>Бюджет!P343</f>
        <v>0</v>
      </c>
      <c r="Q116" s="70">
        <f>Бюджет!Q343</f>
        <v>0</v>
      </c>
      <c r="R116" s="70">
        <f>Бюджет!R343</f>
        <v>0</v>
      </c>
      <c r="S116" s="70">
        <f>Бюджет!S343</f>
        <v>0</v>
      </c>
      <c r="T116" s="70">
        <f>Бюджет!T343</f>
        <v>0</v>
      </c>
      <c r="U116" s="70">
        <f>Бюджет!U343</f>
        <v>7.5</v>
      </c>
      <c r="V116" s="70">
        <f>Бюджет!V343</f>
        <v>0</v>
      </c>
      <c r="W116" s="70">
        <f>Бюджет!W343</f>
        <v>0</v>
      </c>
      <c r="X116" s="70">
        <f>Бюджет!X343</f>
        <v>0</v>
      </c>
      <c r="Y116" s="70">
        <f>Бюджет!Y343</f>
        <v>0</v>
      </c>
      <c r="Z116" s="70">
        <f>Бюджет!Z343</f>
        <v>0</v>
      </c>
      <c r="AA116" s="70">
        <f>Бюджет!AA343</f>
        <v>0</v>
      </c>
      <c r="AB116" s="70">
        <f>Бюджет!AB343</f>
        <v>0</v>
      </c>
      <c r="AC116" s="70">
        <f>Бюджет!AC343</f>
        <v>0</v>
      </c>
      <c r="AD116" s="70">
        <f>Бюджет!AD343</f>
        <v>0</v>
      </c>
      <c r="AE116" s="70">
        <f>Бюджет!AE343</f>
        <v>0</v>
      </c>
      <c r="AF116" s="70">
        <f>Бюджет!AF343</f>
        <v>0</v>
      </c>
      <c r="AG116" s="70">
        <f>Бюджет!AG343</f>
        <v>0</v>
      </c>
      <c r="AH116" s="70">
        <f>Бюджет!AH343</f>
        <v>0</v>
      </c>
      <c r="AI116" s="70">
        <f>Бюджет!AI343</f>
        <v>8</v>
      </c>
      <c r="AJ116" s="66">
        <f t="shared" si="17"/>
        <v>93.5</v>
      </c>
      <c r="AK116" s="74"/>
    </row>
    <row r="117" spans="1:37" s="110" customFormat="1" ht="15" x14ac:dyDescent="0.2">
      <c r="A117" s="90" t="str">
        <f>Бюджет!A344</f>
        <v>Б1.О.12.01</v>
      </c>
      <c r="B117" s="60" t="str">
        <f>Бюджет!B344</f>
        <v>Математический анализ (поток РФ, ИБ, НЭ, ИСТ)</v>
      </c>
      <c r="C117" s="74" t="str">
        <f>Бюджет!C344</f>
        <v>1\2</v>
      </c>
      <c r="D117" s="74">
        <f>Бюджет!D344</f>
        <v>25</v>
      </c>
      <c r="E117" s="74">
        <f>Бюджет!E344</f>
        <v>1</v>
      </c>
      <c r="F117" s="70">
        <f>Бюджет!F344</f>
        <v>40</v>
      </c>
      <c r="G117" s="70">
        <f>Бюджет!G344</f>
        <v>0</v>
      </c>
      <c r="H117" s="70">
        <f>Бюджет!H344</f>
        <v>60</v>
      </c>
      <c r="I117" s="70">
        <f>Бюджет!I344</f>
        <v>60</v>
      </c>
      <c r="J117" s="70">
        <f>Бюджет!J344</f>
        <v>0</v>
      </c>
      <c r="K117" s="70">
        <f>Бюджет!K344</f>
        <v>0</v>
      </c>
      <c r="L117" s="70">
        <f>Бюджет!L344</f>
        <v>0</v>
      </c>
      <c r="M117" s="70">
        <f>Бюджет!M344</f>
        <v>10</v>
      </c>
      <c r="N117" s="70">
        <f>Бюджет!N344</f>
        <v>0</v>
      </c>
      <c r="O117" s="70">
        <f>Бюджет!O344</f>
        <v>0</v>
      </c>
      <c r="P117" s="70">
        <f>Бюджет!P344</f>
        <v>0</v>
      </c>
      <c r="Q117" s="70">
        <f>Бюджет!Q344</f>
        <v>0</v>
      </c>
      <c r="R117" s="70">
        <f>Бюджет!R344</f>
        <v>0</v>
      </c>
      <c r="S117" s="70">
        <f>Бюджет!S344</f>
        <v>0</v>
      </c>
      <c r="T117" s="70">
        <f>Бюджет!T344</f>
        <v>0</v>
      </c>
      <c r="U117" s="70">
        <f>Бюджет!U344</f>
        <v>7.5</v>
      </c>
      <c r="V117" s="70">
        <f>Бюджет!V344</f>
        <v>0</v>
      </c>
      <c r="W117" s="70">
        <f>Бюджет!W344</f>
        <v>0</v>
      </c>
      <c r="X117" s="70">
        <f>Бюджет!X344</f>
        <v>0</v>
      </c>
      <c r="Y117" s="70">
        <f>Бюджет!Y344</f>
        <v>0</v>
      </c>
      <c r="Z117" s="70">
        <f>Бюджет!Z344</f>
        <v>0</v>
      </c>
      <c r="AA117" s="70">
        <f>Бюджет!AA344</f>
        <v>0</v>
      </c>
      <c r="AB117" s="70">
        <f>Бюджет!AB344</f>
        <v>0</v>
      </c>
      <c r="AC117" s="70">
        <f>Бюджет!AC344</f>
        <v>0</v>
      </c>
      <c r="AD117" s="70">
        <f>Бюджет!AD344</f>
        <v>0</v>
      </c>
      <c r="AE117" s="70">
        <f>Бюджет!AE344</f>
        <v>0</v>
      </c>
      <c r="AF117" s="70">
        <f>Бюджет!AF344</f>
        <v>0</v>
      </c>
      <c r="AG117" s="70">
        <f>Бюджет!AG344</f>
        <v>0</v>
      </c>
      <c r="AH117" s="70">
        <f>Бюджет!AH344</f>
        <v>0</v>
      </c>
      <c r="AI117" s="70">
        <f>Бюджет!AI344</f>
        <v>8</v>
      </c>
      <c r="AJ117" s="66">
        <f t="shared" si="17"/>
        <v>85.5</v>
      </c>
      <c r="AK117" s="74"/>
    </row>
    <row r="118" spans="1:37" s="110" customFormat="1" ht="30" x14ac:dyDescent="0.2">
      <c r="A118" s="90" t="str">
        <f>Бюджет!A345</f>
        <v>Б1.О.12.02</v>
      </c>
      <c r="B118" s="60" t="str">
        <f>Бюджет!B345</f>
        <v>Аналитическая геометрия и линейная алгебра (поток РФ, НЭ, ИСТ)</v>
      </c>
      <c r="C118" s="74" t="str">
        <f>Бюджет!C345</f>
        <v>1\1</v>
      </c>
      <c r="D118" s="74">
        <f>Бюджет!D345</f>
        <v>25</v>
      </c>
      <c r="E118" s="74">
        <f>Бюджет!E345</f>
        <v>1</v>
      </c>
      <c r="F118" s="70">
        <f>Бюджет!F345</f>
        <v>34</v>
      </c>
      <c r="G118" s="70">
        <f>Бюджет!G345</f>
        <v>0</v>
      </c>
      <c r="H118" s="70">
        <f>Бюджет!H345</f>
        <v>34</v>
      </c>
      <c r="I118" s="70">
        <f>Бюджет!I345</f>
        <v>34</v>
      </c>
      <c r="J118" s="70">
        <f>Бюджет!J345</f>
        <v>0</v>
      </c>
      <c r="K118" s="70">
        <f>Бюджет!K345</f>
        <v>0</v>
      </c>
      <c r="L118" s="70">
        <f>Бюджет!L345</f>
        <v>0</v>
      </c>
      <c r="M118" s="70">
        <f>Бюджет!M345</f>
        <v>10</v>
      </c>
      <c r="N118" s="70">
        <f>Бюджет!N345</f>
        <v>0</v>
      </c>
      <c r="O118" s="70">
        <f>Бюджет!O345</f>
        <v>0</v>
      </c>
      <c r="P118" s="70">
        <f>Бюджет!P345</f>
        <v>0</v>
      </c>
      <c r="Q118" s="70">
        <f>Бюджет!Q345</f>
        <v>0</v>
      </c>
      <c r="R118" s="70">
        <f>Бюджет!R345</f>
        <v>0</v>
      </c>
      <c r="S118" s="70">
        <f>Бюджет!S345</f>
        <v>0</v>
      </c>
      <c r="T118" s="70">
        <f>Бюджет!T345</f>
        <v>0</v>
      </c>
      <c r="U118" s="70">
        <f>Бюджет!U345</f>
        <v>7.5</v>
      </c>
      <c r="V118" s="70">
        <f>Бюджет!V345</f>
        <v>0</v>
      </c>
      <c r="W118" s="70">
        <f>Бюджет!W345</f>
        <v>0</v>
      </c>
      <c r="X118" s="70">
        <f>Бюджет!X345</f>
        <v>0</v>
      </c>
      <c r="Y118" s="70">
        <f>Бюджет!Y345</f>
        <v>0</v>
      </c>
      <c r="Z118" s="70">
        <f>Бюджет!Z345</f>
        <v>0</v>
      </c>
      <c r="AA118" s="70">
        <f>Бюджет!AA345</f>
        <v>0</v>
      </c>
      <c r="AB118" s="70">
        <f>Бюджет!AB345</f>
        <v>0</v>
      </c>
      <c r="AC118" s="70">
        <f>Бюджет!AC345</f>
        <v>0</v>
      </c>
      <c r="AD118" s="70">
        <f>Бюджет!AD345</f>
        <v>0</v>
      </c>
      <c r="AE118" s="70">
        <f>Бюджет!AE345</f>
        <v>0</v>
      </c>
      <c r="AF118" s="70">
        <f>Бюджет!AF345</f>
        <v>0</v>
      </c>
      <c r="AG118" s="70">
        <f>Бюджет!AG345</f>
        <v>0</v>
      </c>
      <c r="AH118" s="70">
        <f>Бюджет!AH345</f>
        <v>0</v>
      </c>
      <c r="AI118" s="70">
        <f>Бюджет!AI345</f>
        <v>8</v>
      </c>
      <c r="AJ118" s="66">
        <f t="shared" si="17"/>
        <v>59.5</v>
      </c>
      <c r="AK118" s="74"/>
    </row>
    <row r="119" spans="1:37" s="110" customFormat="1" ht="15" x14ac:dyDescent="0.2">
      <c r="A119" s="90" t="str">
        <f>Бюджет!A350</f>
        <v>Б1.О.12.01</v>
      </c>
      <c r="B119" s="60" t="str">
        <f>Бюджет!B350</f>
        <v>Математический анализ (поток РФ, ИБ, НЭ, ИСТ)</v>
      </c>
      <c r="C119" s="74" t="str">
        <f>Бюджет!C350</f>
        <v>2\3</v>
      </c>
      <c r="D119" s="74">
        <f>Бюджет!D350</f>
        <v>25</v>
      </c>
      <c r="E119" s="74">
        <f>Бюджет!E350</f>
        <v>1</v>
      </c>
      <c r="F119" s="70">
        <f>Бюджет!F350</f>
        <v>32</v>
      </c>
      <c r="G119" s="70">
        <f>Бюджет!G350</f>
        <v>0</v>
      </c>
      <c r="H119" s="70">
        <f>Бюджет!H350</f>
        <v>32</v>
      </c>
      <c r="I119" s="70">
        <f>Бюджет!I350</f>
        <v>32</v>
      </c>
      <c r="J119" s="70">
        <f>Бюджет!J350</f>
        <v>0</v>
      </c>
      <c r="K119" s="70">
        <f>Бюджет!K350</f>
        <v>0</v>
      </c>
      <c r="L119" s="70">
        <f>Бюджет!L350</f>
        <v>0</v>
      </c>
      <c r="M119" s="70">
        <f>Бюджет!M350</f>
        <v>10</v>
      </c>
      <c r="N119" s="70">
        <f>Бюджет!N350</f>
        <v>0</v>
      </c>
      <c r="O119" s="70">
        <f>Бюджет!O350</f>
        <v>0</v>
      </c>
      <c r="P119" s="70">
        <f>Бюджет!P350</f>
        <v>0</v>
      </c>
      <c r="Q119" s="70">
        <f>Бюджет!Q350</f>
        <v>0</v>
      </c>
      <c r="R119" s="70">
        <f>Бюджет!R350</f>
        <v>0</v>
      </c>
      <c r="S119" s="70">
        <f>Бюджет!S350</f>
        <v>0</v>
      </c>
      <c r="T119" s="70">
        <f>Бюджет!T350</f>
        <v>0</v>
      </c>
      <c r="U119" s="70">
        <f>Бюджет!U350</f>
        <v>7.5</v>
      </c>
      <c r="V119" s="70">
        <f>Бюджет!V350</f>
        <v>0</v>
      </c>
      <c r="W119" s="70">
        <f>Бюджет!W350</f>
        <v>0</v>
      </c>
      <c r="X119" s="70">
        <f>Бюджет!X350</f>
        <v>0</v>
      </c>
      <c r="Y119" s="70">
        <f>Бюджет!Y350</f>
        <v>0</v>
      </c>
      <c r="Z119" s="70">
        <f>Бюджет!Z350</f>
        <v>0</v>
      </c>
      <c r="AA119" s="70">
        <f>Бюджет!AA350</f>
        <v>0</v>
      </c>
      <c r="AB119" s="70">
        <f>Бюджет!AB350</f>
        <v>0</v>
      </c>
      <c r="AC119" s="70">
        <f>Бюджет!AC350</f>
        <v>0</v>
      </c>
      <c r="AD119" s="70">
        <f>Бюджет!AD350</f>
        <v>0</v>
      </c>
      <c r="AE119" s="70">
        <f>Бюджет!AE350</f>
        <v>0</v>
      </c>
      <c r="AF119" s="70">
        <f>Бюджет!AF350</f>
        <v>0</v>
      </c>
      <c r="AG119" s="70">
        <f>Бюджет!AG350</f>
        <v>0</v>
      </c>
      <c r="AH119" s="70">
        <f>Бюджет!AH350</f>
        <v>0</v>
      </c>
      <c r="AI119" s="70">
        <f>Бюджет!AI350</f>
        <v>12</v>
      </c>
      <c r="AJ119" s="66">
        <f t="shared" si="17"/>
        <v>61.5</v>
      </c>
      <c r="AK119" s="74"/>
    </row>
    <row r="120" spans="1:37" s="110" customFormat="1" ht="30" x14ac:dyDescent="0.2">
      <c r="A120" s="90" t="str">
        <f>Бюджет!A351</f>
        <v>Б1.О.12.03</v>
      </c>
      <c r="B120" s="60" t="str">
        <f>Бюджет!B351</f>
        <v>Дифференциальные уравнения (поток РФ, ФИЗ, НЭ, ИСТ)</v>
      </c>
      <c r="C120" s="74" t="str">
        <f>Бюджет!C351</f>
        <v>2\3</v>
      </c>
      <c r="D120" s="74">
        <f>Бюджет!D351</f>
        <v>25</v>
      </c>
      <c r="E120" s="74">
        <f>Бюджет!E351</f>
        <v>1</v>
      </c>
      <c r="F120" s="70">
        <f>Бюджет!F351</f>
        <v>32</v>
      </c>
      <c r="G120" s="70">
        <f>Бюджет!G351</f>
        <v>0</v>
      </c>
      <c r="H120" s="70">
        <f>Бюджет!H351</f>
        <v>32</v>
      </c>
      <c r="I120" s="70">
        <f>Бюджет!I351</f>
        <v>32</v>
      </c>
      <c r="J120" s="70">
        <f>Бюджет!J351</f>
        <v>0</v>
      </c>
      <c r="K120" s="70">
        <f>Бюджет!K351</f>
        <v>0</v>
      </c>
      <c r="L120" s="70">
        <f>Бюджет!L351</f>
        <v>0</v>
      </c>
      <c r="M120" s="70">
        <f>Бюджет!M351</f>
        <v>10</v>
      </c>
      <c r="N120" s="70">
        <f>Бюджет!N351</f>
        <v>0</v>
      </c>
      <c r="O120" s="70">
        <f>Бюджет!O351</f>
        <v>0</v>
      </c>
      <c r="P120" s="70">
        <f>Бюджет!P351</f>
        <v>0</v>
      </c>
      <c r="Q120" s="70">
        <f>Бюджет!Q351</f>
        <v>0</v>
      </c>
      <c r="R120" s="70">
        <f>Бюджет!R351</f>
        <v>0</v>
      </c>
      <c r="S120" s="70">
        <f>Бюджет!S351</f>
        <v>0</v>
      </c>
      <c r="T120" s="70">
        <f>Бюджет!T351</f>
        <v>0</v>
      </c>
      <c r="U120" s="70">
        <f>Бюджет!U351</f>
        <v>7.5</v>
      </c>
      <c r="V120" s="70">
        <f>Бюджет!V351</f>
        <v>0</v>
      </c>
      <c r="W120" s="70">
        <f>Бюджет!W351</f>
        <v>0</v>
      </c>
      <c r="X120" s="70">
        <f>Бюджет!X351</f>
        <v>0</v>
      </c>
      <c r="Y120" s="70">
        <f>Бюджет!Y351</f>
        <v>0</v>
      </c>
      <c r="Z120" s="70">
        <f>Бюджет!Z351</f>
        <v>0</v>
      </c>
      <c r="AA120" s="70">
        <f>Бюджет!AA351</f>
        <v>0</v>
      </c>
      <c r="AB120" s="70">
        <f>Бюджет!AB351</f>
        <v>0</v>
      </c>
      <c r="AC120" s="70">
        <f>Бюджет!AC351</f>
        <v>0</v>
      </c>
      <c r="AD120" s="70">
        <f>Бюджет!AD351</f>
        <v>0</v>
      </c>
      <c r="AE120" s="70">
        <f>Бюджет!AE351</f>
        <v>0</v>
      </c>
      <c r="AF120" s="70">
        <f>Бюджет!AF351</f>
        <v>0</v>
      </c>
      <c r="AG120" s="70">
        <f>Бюджет!AG351</f>
        <v>0</v>
      </c>
      <c r="AH120" s="70">
        <f>Бюджет!AH351</f>
        <v>0</v>
      </c>
      <c r="AI120" s="70">
        <f>Бюджет!AI351</f>
        <v>12</v>
      </c>
      <c r="AJ120" s="66">
        <f t="shared" si="17"/>
        <v>61.5</v>
      </c>
      <c r="AK120" s="74"/>
    </row>
    <row r="121" spans="1:37" s="110" customFormat="1" ht="30" x14ac:dyDescent="0.2">
      <c r="A121" s="90" t="str">
        <f>Бюджет!A358</f>
        <v>Б1.О.20</v>
      </c>
      <c r="B121" s="60" t="str">
        <f>Бюджет!B358</f>
        <v>Электродинамика (поток РФ, НЭ, ИСТ лекц, поток РФ и НЭ пз)</v>
      </c>
      <c r="C121" s="74" t="str">
        <f>Бюджет!C358</f>
        <v>2\4</v>
      </c>
      <c r="D121" s="74">
        <f>Бюджет!D358</f>
        <v>25</v>
      </c>
      <c r="E121" s="74">
        <f>Бюджет!E358</f>
        <v>1</v>
      </c>
      <c r="F121" s="70">
        <f>Бюджет!F358</f>
        <v>40</v>
      </c>
      <c r="G121" s="70">
        <f>Бюджет!G358</f>
        <v>0</v>
      </c>
      <c r="H121" s="70">
        <f>Бюджет!H358</f>
        <v>40</v>
      </c>
      <c r="I121" s="70">
        <f>Бюджет!I358</f>
        <v>40</v>
      </c>
      <c r="J121" s="70">
        <f>Бюджет!J358</f>
        <v>0</v>
      </c>
      <c r="K121" s="70">
        <f>Бюджет!K358</f>
        <v>0</v>
      </c>
      <c r="L121" s="70">
        <f>Бюджет!L358</f>
        <v>0</v>
      </c>
      <c r="M121" s="70">
        <f>Бюджет!M358</f>
        <v>10</v>
      </c>
      <c r="N121" s="70">
        <f>Бюджет!N358</f>
        <v>0</v>
      </c>
      <c r="O121" s="70">
        <f>Бюджет!O358</f>
        <v>0</v>
      </c>
      <c r="P121" s="70">
        <f>Бюджет!P358</f>
        <v>0</v>
      </c>
      <c r="Q121" s="70">
        <f>Бюджет!Q358</f>
        <v>0</v>
      </c>
      <c r="R121" s="70">
        <f>Бюджет!R358</f>
        <v>0</v>
      </c>
      <c r="S121" s="70">
        <f>Бюджет!S358</f>
        <v>0</v>
      </c>
      <c r="T121" s="70">
        <f>Бюджет!T358</f>
        <v>0</v>
      </c>
      <c r="U121" s="70">
        <f>Бюджет!U358</f>
        <v>7.5</v>
      </c>
      <c r="V121" s="70">
        <f>Бюджет!V358</f>
        <v>0</v>
      </c>
      <c r="W121" s="70">
        <f>Бюджет!W358</f>
        <v>0</v>
      </c>
      <c r="X121" s="70">
        <f>Бюджет!X358</f>
        <v>0</v>
      </c>
      <c r="Y121" s="70">
        <f>Бюджет!Y358</f>
        <v>0</v>
      </c>
      <c r="Z121" s="70">
        <f>Бюджет!Z358</f>
        <v>0</v>
      </c>
      <c r="AA121" s="70">
        <f>Бюджет!AA358</f>
        <v>0</v>
      </c>
      <c r="AB121" s="70">
        <f>Бюджет!AB358</f>
        <v>0</v>
      </c>
      <c r="AC121" s="70">
        <f>Бюджет!AC358</f>
        <v>0</v>
      </c>
      <c r="AD121" s="70">
        <f>Бюджет!AD358</f>
        <v>0</v>
      </c>
      <c r="AE121" s="70">
        <f>Бюджет!AE358</f>
        <v>0</v>
      </c>
      <c r="AF121" s="70">
        <f>Бюджет!AF358</f>
        <v>0</v>
      </c>
      <c r="AG121" s="70">
        <f>Бюджет!AG358</f>
        <v>0</v>
      </c>
      <c r="AH121" s="70">
        <f>Бюджет!AH358</f>
        <v>0</v>
      </c>
      <c r="AI121" s="70">
        <f>Бюджет!AI358</f>
        <v>0</v>
      </c>
      <c r="AJ121" s="66">
        <f t="shared" si="17"/>
        <v>57.5</v>
      </c>
      <c r="AK121" s="74"/>
    </row>
    <row r="122" spans="1:37" s="109" customFormat="1" ht="15.75" x14ac:dyDescent="0.2">
      <c r="A122" s="74"/>
      <c r="B122" s="214" t="s">
        <v>490</v>
      </c>
      <c r="C122" s="91"/>
      <c r="D122" s="91"/>
      <c r="E122" s="91"/>
      <c r="F122" s="88">
        <f t="shared" ref="F122:AJ122" si="18">SUM(F116:F121)</f>
        <v>228</v>
      </c>
      <c r="G122" s="88">
        <f t="shared" si="18"/>
        <v>0</v>
      </c>
      <c r="H122" s="88">
        <f t="shared" si="18"/>
        <v>266</v>
      </c>
      <c r="I122" s="88">
        <f t="shared" si="18"/>
        <v>266</v>
      </c>
      <c r="J122" s="88">
        <f t="shared" si="18"/>
        <v>0</v>
      </c>
      <c r="K122" s="88">
        <f t="shared" si="18"/>
        <v>0</v>
      </c>
      <c r="L122" s="88">
        <f t="shared" si="18"/>
        <v>0</v>
      </c>
      <c r="M122" s="88">
        <f t="shared" si="18"/>
        <v>60</v>
      </c>
      <c r="N122" s="88">
        <f t="shared" si="18"/>
        <v>0</v>
      </c>
      <c r="O122" s="88">
        <f t="shared" si="18"/>
        <v>0</v>
      </c>
      <c r="P122" s="88">
        <f t="shared" si="18"/>
        <v>0</v>
      </c>
      <c r="Q122" s="88">
        <f t="shared" si="18"/>
        <v>0</v>
      </c>
      <c r="R122" s="88">
        <f t="shared" si="18"/>
        <v>0</v>
      </c>
      <c r="S122" s="88">
        <f t="shared" si="18"/>
        <v>0</v>
      </c>
      <c r="T122" s="88">
        <f t="shared" si="18"/>
        <v>0</v>
      </c>
      <c r="U122" s="88">
        <f t="shared" si="18"/>
        <v>45</v>
      </c>
      <c r="V122" s="88">
        <f t="shared" si="18"/>
        <v>0</v>
      </c>
      <c r="W122" s="88">
        <f t="shared" si="18"/>
        <v>0</v>
      </c>
      <c r="X122" s="88">
        <f t="shared" si="18"/>
        <v>0</v>
      </c>
      <c r="Y122" s="88">
        <f t="shared" si="18"/>
        <v>0</v>
      </c>
      <c r="Z122" s="88">
        <f t="shared" si="18"/>
        <v>0</v>
      </c>
      <c r="AA122" s="88">
        <f t="shared" si="18"/>
        <v>0</v>
      </c>
      <c r="AB122" s="88">
        <f t="shared" si="18"/>
        <v>0</v>
      </c>
      <c r="AC122" s="88">
        <f t="shared" si="18"/>
        <v>0</v>
      </c>
      <c r="AD122" s="88">
        <f t="shared" si="18"/>
        <v>0</v>
      </c>
      <c r="AE122" s="88">
        <f t="shared" si="18"/>
        <v>0</v>
      </c>
      <c r="AF122" s="88">
        <f t="shared" si="18"/>
        <v>0</v>
      </c>
      <c r="AG122" s="88">
        <f t="shared" si="18"/>
        <v>0</v>
      </c>
      <c r="AH122" s="88">
        <f t="shared" si="18"/>
        <v>0</v>
      </c>
      <c r="AI122" s="88">
        <f t="shared" si="18"/>
        <v>48</v>
      </c>
      <c r="AJ122" s="88">
        <f t="shared" si="18"/>
        <v>419</v>
      </c>
      <c r="AK122" s="74"/>
    </row>
    <row r="123" spans="1:37" s="110" customFormat="1" ht="15" x14ac:dyDescent="0.2">
      <c r="A123" s="74"/>
      <c r="B123" s="60"/>
      <c r="C123" s="74"/>
      <c r="D123" s="74"/>
      <c r="E123" s="74"/>
      <c r="F123" s="70"/>
      <c r="G123" s="70"/>
      <c r="H123" s="70"/>
      <c r="I123" s="70"/>
      <c r="J123" s="70"/>
      <c r="K123" s="66"/>
      <c r="L123" s="70"/>
      <c r="M123" s="70"/>
      <c r="N123" s="70"/>
      <c r="O123" s="70"/>
      <c r="P123" s="70"/>
      <c r="Q123" s="66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66">
        <f t="shared" ref="AJ123:AJ132" si="19">SUM(G123,I123:AI123)</f>
        <v>0</v>
      </c>
      <c r="AK123" s="74"/>
    </row>
    <row r="124" spans="1:37" s="110" customFormat="1" ht="15.75" x14ac:dyDescent="0.2">
      <c r="A124" s="74"/>
      <c r="B124" s="60"/>
      <c r="C124" s="74"/>
      <c r="D124" s="74"/>
      <c r="E124" s="74"/>
      <c r="F124" s="70"/>
      <c r="G124" s="70"/>
      <c r="H124" s="70"/>
      <c r="I124" s="70"/>
      <c r="J124" s="70"/>
      <c r="K124" s="73"/>
      <c r="L124" s="401" t="str">
        <f>Бюджет!L387</f>
        <v>03.04.02 Физика</v>
      </c>
      <c r="M124" s="401"/>
      <c r="N124" s="401"/>
      <c r="O124" s="401"/>
      <c r="P124" s="401"/>
      <c r="Q124" s="401"/>
      <c r="R124" s="401"/>
      <c r="S124" s="401"/>
      <c r="T124" s="401"/>
      <c r="U124" s="401"/>
      <c r="V124" s="401"/>
      <c r="W124" s="401"/>
      <c r="X124" s="401"/>
      <c r="Y124" s="401"/>
      <c r="Z124" s="401"/>
      <c r="AA124" s="401"/>
      <c r="AB124" s="73"/>
      <c r="AC124" s="70"/>
      <c r="AD124" s="70"/>
      <c r="AE124" s="70"/>
      <c r="AF124" s="70"/>
      <c r="AG124" s="70"/>
      <c r="AH124" s="70"/>
      <c r="AI124" s="70"/>
      <c r="AJ124" s="66">
        <f t="shared" si="19"/>
        <v>0</v>
      </c>
      <c r="AK124" s="74"/>
    </row>
    <row r="125" spans="1:37" s="110" customFormat="1" ht="15.75" x14ac:dyDescent="0.2">
      <c r="A125" s="74"/>
      <c r="B125" s="60"/>
      <c r="C125" s="74"/>
      <c r="D125" s="74"/>
      <c r="E125" s="74"/>
      <c r="F125" s="70"/>
      <c r="G125" s="70"/>
      <c r="H125" s="70"/>
      <c r="I125" s="70"/>
      <c r="J125" s="70"/>
      <c r="K125" s="386">
        <f>Бюджет!K408</f>
        <v>0</v>
      </c>
      <c r="L125" s="386"/>
      <c r="M125" s="386"/>
      <c r="N125" s="386"/>
      <c r="O125" s="386"/>
      <c r="P125" s="386"/>
      <c r="Q125" s="386"/>
      <c r="R125" s="386"/>
      <c r="S125" s="386"/>
      <c r="T125" s="386"/>
      <c r="U125" s="386"/>
      <c r="V125" s="386"/>
      <c r="W125" s="386"/>
      <c r="X125" s="386"/>
      <c r="Y125" s="386"/>
      <c r="Z125" s="386"/>
      <c r="AA125" s="386"/>
      <c r="AB125" s="386"/>
      <c r="AC125" s="70"/>
      <c r="AD125" s="70"/>
      <c r="AE125" s="70"/>
      <c r="AF125" s="70"/>
      <c r="AG125" s="70"/>
      <c r="AH125" s="70"/>
      <c r="AI125" s="70"/>
      <c r="AJ125" s="66">
        <f t="shared" ref="AJ125:AJ126" si="20">SUM(G125,I125:AI125)</f>
        <v>0</v>
      </c>
      <c r="AK125" s="74"/>
    </row>
    <row r="126" spans="1:37" s="110" customFormat="1" ht="15" x14ac:dyDescent="0.2">
      <c r="A126" s="90">
        <f>Бюджет!A398</f>
        <v>0</v>
      </c>
      <c r="B126" s="90" t="str">
        <f>Бюджет!B398</f>
        <v>ГИА (ВКР защита) комиссия 7 человека</v>
      </c>
      <c r="C126" s="74" t="str">
        <f>Бюджет!C398</f>
        <v>2\4</v>
      </c>
      <c r="D126" s="74">
        <f>Бюджет!D398</f>
        <v>8</v>
      </c>
      <c r="E126" s="74">
        <f>Бюджет!E398</f>
        <v>1</v>
      </c>
      <c r="F126" s="70">
        <f>Бюджет!F398</f>
        <v>0</v>
      </c>
      <c r="G126" s="70">
        <f>Бюджет!G398</f>
        <v>0</v>
      </c>
      <c r="H126" s="70">
        <f>Бюджет!H398</f>
        <v>0</v>
      </c>
      <c r="I126" s="70">
        <f>Бюджет!I398</f>
        <v>0</v>
      </c>
      <c r="J126" s="70">
        <f>Бюджет!J398</f>
        <v>0</v>
      </c>
      <c r="K126" s="70">
        <f>Бюджет!K398</f>
        <v>0</v>
      </c>
      <c r="L126" s="70">
        <f>Бюджет!L398</f>
        <v>0</v>
      </c>
      <c r="M126" s="70">
        <f>Бюджет!M398</f>
        <v>0</v>
      </c>
      <c r="N126" s="70">
        <f>Бюджет!N398</f>
        <v>0</v>
      </c>
      <c r="O126" s="70">
        <f>Бюджет!O398</f>
        <v>0</v>
      </c>
      <c r="P126" s="70">
        <f>Бюджет!P398</f>
        <v>0</v>
      </c>
      <c r="Q126" s="70">
        <f>Бюджет!Q398</f>
        <v>0</v>
      </c>
      <c r="R126" s="70">
        <f>Бюджет!R398</f>
        <v>0</v>
      </c>
      <c r="S126" s="70">
        <f>Бюджет!S398</f>
        <v>0</v>
      </c>
      <c r="T126" s="70">
        <f>Бюджет!T398</f>
        <v>0</v>
      </c>
      <c r="U126" s="70">
        <f>Бюджет!U398</f>
        <v>0</v>
      </c>
      <c r="V126" s="70">
        <f>Бюджет!V398</f>
        <v>0</v>
      </c>
      <c r="W126" s="70">
        <f>Бюджет!W398</f>
        <v>0</v>
      </c>
      <c r="X126" s="70">
        <f>Бюджет!X398</f>
        <v>0</v>
      </c>
      <c r="Y126" s="70">
        <f>Бюджет!Y398</f>
        <v>0</v>
      </c>
      <c r="Z126" s="70">
        <f>Бюджет!Z398</f>
        <v>0</v>
      </c>
      <c r="AA126" s="70">
        <f>Бюджет!AA398</f>
        <v>0</v>
      </c>
      <c r="AB126" s="70">
        <f>Бюджет!AB398/7</f>
        <v>4</v>
      </c>
      <c r="AC126" s="70">
        <f>Бюджет!AC398</f>
        <v>0</v>
      </c>
      <c r="AD126" s="70">
        <f>Бюджет!AD398</f>
        <v>0</v>
      </c>
      <c r="AE126" s="70">
        <f>Бюджет!AE398</f>
        <v>0</v>
      </c>
      <c r="AF126" s="70">
        <f>Бюджет!AF398</f>
        <v>0</v>
      </c>
      <c r="AG126" s="70">
        <f>Бюджет!AG398</f>
        <v>0</v>
      </c>
      <c r="AH126" s="70">
        <f>Бюджет!AH398</f>
        <v>0</v>
      </c>
      <c r="AI126" s="70">
        <f>Бюджет!AI398</f>
        <v>0</v>
      </c>
      <c r="AJ126" s="66">
        <f t="shared" si="20"/>
        <v>4</v>
      </c>
      <c r="AK126" s="74"/>
    </row>
    <row r="127" spans="1:37" s="110" customFormat="1" ht="15.75" x14ac:dyDescent="0.2">
      <c r="A127" s="74"/>
      <c r="B127" s="60"/>
      <c r="C127" s="74"/>
      <c r="D127" s="74"/>
      <c r="E127" s="74"/>
      <c r="F127" s="70"/>
      <c r="G127" s="70"/>
      <c r="H127" s="70"/>
      <c r="I127" s="70"/>
      <c r="J127" s="70"/>
      <c r="K127" s="386" t="str">
        <f>Бюджет!K410</f>
        <v>профиль "Астрофизика высоких энергий"</v>
      </c>
      <c r="L127" s="386"/>
      <c r="M127" s="386"/>
      <c r="N127" s="386"/>
      <c r="O127" s="386"/>
      <c r="P127" s="386"/>
      <c r="Q127" s="386"/>
      <c r="R127" s="386"/>
      <c r="S127" s="386"/>
      <c r="T127" s="386"/>
      <c r="U127" s="386"/>
      <c r="V127" s="386"/>
      <c r="W127" s="386"/>
      <c r="X127" s="386"/>
      <c r="Y127" s="386"/>
      <c r="Z127" s="386"/>
      <c r="AA127" s="386"/>
      <c r="AB127" s="386"/>
      <c r="AC127" s="70"/>
      <c r="AD127" s="70"/>
      <c r="AE127" s="70"/>
      <c r="AF127" s="70"/>
      <c r="AG127" s="70"/>
      <c r="AH127" s="70"/>
      <c r="AI127" s="70"/>
      <c r="AJ127" s="66">
        <f t="shared" si="19"/>
        <v>0</v>
      </c>
      <c r="AK127" s="74"/>
    </row>
    <row r="128" spans="1:37" s="110" customFormat="1" ht="15" x14ac:dyDescent="0.2">
      <c r="A128" s="90" t="str">
        <f>Бюджет!A415</f>
        <v>Б1.В.06</v>
      </c>
      <c r="B128" s="90" t="str">
        <f>Бюджет!B415</f>
        <v>Инструменты нейтринной астрофизики</v>
      </c>
      <c r="C128" s="74" t="str">
        <f>Бюджет!C415</f>
        <v>1\2</v>
      </c>
      <c r="D128" s="74">
        <f>Бюджет!D415</f>
        <v>3</v>
      </c>
      <c r="E128" s="74">
        <f>Бюджет!E415</f>
        <v>1</v>
      </c>
      <c r="F128" s="70">
        <f>Бюджет!F415</f>
        <v>20</v>
      </c>
      <c r="G128" s="70">
        <f>Бюджет!G415</f>
        <v>20</v>
      </c>
      <c r="H128" s="70">
        <f>Бюджет!H415</f>
        <v>20</v>
      </c>
      <c r="I128" s="70">
        <f>Бюджет!I415</f>
        <v>20</v>
      </c>
      <c r="J128" s="70">
        <f>Бюджет!J415</f>
        <v>0</v>
      </c>
      <c r="K128" s="70">
        <f>Бюджет!K415</f>
        <v>0.89999999999999991</v>
      </c>
      <c r="L128" s="70">
        <f>Бюджет!L415</f>
        <v>0</v>
      </c>
      <c r="M128" s="70">
        <f>Бюджет!M415</f>
        <v>0</v>
      </c>
      <c r="N128" s="70">
        <f>Бюджет!N415</f>
        <v>0</v>
      </c>
      <c r="O128" s="70">
        <f>Бюджет!O415</f>
        <v>0</v>
      </c>
      <c r="P128" s="70">
        <f>Бюджет!P415</f>
        <v>0</v>
      </c>
      <c r="Q128" s="70">
        <f>Бюджет!Q415</f>
        <v>1</v>
      </c>
      <c r="R128" s="70">
        <f>Бюджет!R415</f>
        <v>0</v>
      </c>
      <c r="S128" s="70">
        <f>Бюджет!S415</f>
        <v>0</v>
      </c>
      <c r="T128" s="70">
        <f>Бюджет!T415</f>
        <v>0</v>
      </c>
      <c r="U128" s="70">
        <f>Бюджет!U415</f>
        <v>0</v>
      </c>
      <c r="V128" s="70">
        <f>Бюджет!V415</f>
        <v>0</v>
      </c>
      <c r="W128" s="70">
        <f>Бюджет!W415</f>
        <v>0</v>
      </c>
      <c r="X128" s="70">
        <f>Бюджет!X415</f>
        <v>0</v>
      </c>
      <c r="Y128" s="70">
        <f>Бюджет!Y415</f>
        <v>0</v>
      </c>
      <c r="Z128" s="70">
        <f>Бюджет!Z415</f>
        <v>0</v>
      </c>
      <c r="AA128" s="70">
        <f>Бюджет!AA415</f>
        <v>0</v>
      </c>
      <c r="AB128" s="70">
        <f>Бюджет!AB415</f>
        <v>0</v>
      </c>
      <c r="AC128" s="70">
        <f>Бюджет!AC415</f>
        <v>0</v>
      </c>
      <c r="AD128" s="70">
        <f>Бюджет!AD415</f>
        <v>0</v>
      </c>
      <c r="AE128" s="70">
        <f>Бюджет!AE415</f>
        <v>0</v>
      </c>
      <c r="AF128" s="70">
        <f>Бюджет!AF415</f>
        <v>0</v>
      </c>
      <c r="AG128" s="70">
        <f>Бюджет!AG415</f>
        <v>0</v>
      </c>
      <c r="AH128" s="70">
        <f>Бюджет!AH415</f>
        <v>0</v>
      </c>
      <c r="AI128" s="70">
        <f>Бюджет!AI415</f>
        <v>0</v>
      </c>
      <c r="AJ128" s="66">
        <f t="shared" si="19"/>
        <v>41.9</v>
      </c>
      <c r="AK128" s="74"/>
    </row>
    <row r="129" spans="1:37" s="110" customFormat="1" ht="15" x14ac:dyDescent="0.2">
      <c r="A129" s="90" t="str">
        <f>Бюджет!A417</f>
        <v>Б1.В.ДВ.02.01</v>
      </c>
      <c r="B129" s="90" t="str">
        <f>Бюджет!B417</f>
        <v>Нейтринная астрофизика</v>
      </c>
      <c r="C129" s="74" t="str">
        <f>Бюджет!C417</f>
        <v>1\2</v>
      </c>
      <c r="D129" s="74">
        <f>Бюджет!D417</f>
        <v>3</v>
      </c>
      <c r="E129" s="74">
        <f>Бюджет!E417</f>
        <v>1</v>
      </c>
      <c r="F129" s="70">
        <f>Бюджет!F417</f>
        <v>20</v>
      </c>
      <c r="G129" s="70">
        <f>Бюджет!G417</f>
        <v>20</v>
      </c>
      <c r="H129" s="70">
        <f>Бюджет!H417</f>
        <v>20</v>
      </c>
      <c r="I129" s="70">
        <f>Бюджет!I417</f>
        <v>20</v>
      </c>
      <c r="J129" s="70">
        <f>Бюджет!J417</f>
        <v>0</v>
      </c>
      <c r="K129" s="70">
        <f>Бюджет!K417</f>
        <v>0</v>
      </c>
      <c r="L129" s="70">
        <f>Бюджет!L417</f>
        <v>0</v>
      </c>
      <c r="M129" s="70">
        <f>Бюджет!M417</f>
        <v>1.2000000000000002</v>
      </c>
      <c r="N129" s="70">
        <f>Бюджет!N417</f>
        <v>0</v>
      </c>
      <c r="O129" s="70">
        <f>Бюджет!O417</f>
        <v>0</v>
      </c>
      <c r="P129" s="70">
        <f>Бюджет!P417</f>
        <v>0</v>
      </c>
      <c r="Q129" s="70">
        <f>Бюджет!Q417</f>
        <v>2</v>
      </c>
      <c r="R129" s="70">
        <f>Бюджет!R417</f>
        <v>0</v>
      </c>
      <c r="S129" s="70">
        <f>Бюджет!S417</f>
        <v>0</v>
      </c>
      <c r="T129" s="70">
        <f>Бюджет!T417</f>
        <v>0</v>
      </c>
      <c r="U129" s="70">
        <f>Бюджет!U417</f>
        <v>0</v>
      </c>
      <c r="V129" s="70">
        <f>Бюджет!V417</f>
        <v>0</v>
      </c>
      <c r="W129" s="70">
        <f>Бюджет!W417</f>
        <v>0</v>
      </c>
      <c r="X129" s="70">
        <f>Бюджет!X417</f>
        <v>0</v>
      </c>
      <c r="Y129" s="70">
        <f>Бюджет!Y417</f>
        <v>0</v>
      </c>
      <c r="Z129" s="70">
        <f>Бюджет!Z417</f>
        <v>0</v>
      </c>
      <c r="AA129" s="70">
        <f>Бюджет!AA417</f>
        <v>0</v>
      </c>
      <c r="AB129" s="70">
        <f>Бюджет!AB417</f>
        <v>0</v>
      </c>
      <c r="AC129" s="70">
        <f>Бюджет!AC417</f>
        <v>0</v>
      </c>
      <c r="AD129" s="70">
        <f>Бюджет!AD417</f>
        <v>0</v>
      </c>
      <c r="AE129" s="70">
        <f>Бюджет!AE417</f>
        <v>0</v>
      </c>
      <c r="AF129" s="70">
        <f>Бюджет!AF417</f>
        <v>0</v>
      </c>
      <c r="AG129" s="70">
        <f>Бюджет!AG417</f>
        <v>0</v>
      </c>
      <c r="AH129" s="70">
        <f>Бюджет!AH417</f>
        <v>0</v>
      </c>
      <c r="AI129" s="70">
        <f>Бюджет!AI417</f>
        <v>6</v>
      </c>
      <c r="AJ129" s="66">
        <f t="shared" si="19"/>
        <v>49.2</v>
      </c>
      <c r="AK129" s="74"/>
    </row>
    <row r="130" spans="1:37" s="110" customFormat="1" ht="15" x14ac:dyDescent="0.2">
      <c r="A130" s="90" t="str">
        <f>Бюджет!A423</f>
        <v>Б1.В.05</v>
      </c>
      <c r="B130" s="90" t="str">
        <f>Бюджет!B423</f>
        <v>Введение в квантовую теорию поля</v>
      </c>
      <c r="C130" s="74" t="str">
        <f>Бюджет!C423</f>
        <v>2\3</v>
      </c>
      <c r="D130" s="74">
        <f>Бюджет!D423</f>
        <v>5</v>
      </c>
      <c r="E130" s="74">
        <f>Бюджет!E423</f>
        <v>1</v>
      </c>
      <c r="F130" s="70">
        <f>Бюджет!F423</f>
        <v>34</v>
      </c>
      <c r="G130" s="70">
        <f>Бюджет!G423</f>
        <v>34</v>
      </c>
      <c r="H130" s="70">
        <f>Бюджет!H423</f>
        <v>16</v>
      </c>
      <c r="I130" s="70">
        <f>Бюджет!I423</f>
        <v>16</v>
      </c>
      <c r="J130" s="70">
        <f>Бюджет!J423</f>
        <v>0</v>
      </c>
      <c r="K130" s="70">
        <f>Бюджет!K423</f>
        <v>1.5</v>
      </c>
      <c r="L130" s="70">
        <f>Бюджет!L423</f>
        <v>0</v>
      </c>
      <c r="M130" s="70">
        <f>Бюджет!M423</f>
        <v>0</v>
      </c>
      <c r="N130" s="70">
        <f>Бюджет!N423</f>
        <v>0</v>
      </c>
      <c r="O130" s="70">
        <f>Бюджет!O423</f>
        <v>0</v>
      </c>
      <c r="P130" s="70">
        <f>Бюджет!P423</f>
        <v>0</v>
      </c>
      <c r="Q130" s="70">
        <f>Бюджет!Q423</f>
        <v>1.7000000000000002</v>
      </c>
      <c r="R130" s="70">
        <f>Бюджет!R423</f>
        <v>0</v>
      </c>
      <c r="S130" s="70">
        <f>Бюджет!S423</f>
        <v>0</v>
      </c>
      <c r="T130" s="70">
        <f>Бюджет!T423</f>
        <v>0</v>
      </c>
      <c r="U130" s="70">
        <f>Бюджет!U423</f>
        <v>0</v>
      </c>
      <c r="V130" s="70">
        <f>Бюджет!V423</f>
        <v>0</v>
      </c>
      <c r="W130" s="70">
        <f>Бюджет!W423</f>
        <v>0</v>
      </c>
      <c r="X130" s="70">
        <f>Бюджет!X423</f>
        <v>0</v>
      </c>
      <c r="Y130" s="70">
        <f>Бюджет!Y423</f>
        <v>0</v>
      </c>
      <c r="Z130" s="70">
        <f>Бюджет!Z423</f>
        <v>0</v>
      </c>
      <c r="AA130" s="70">
        <f>Бюджет!AA423</f>
        <v>0</v>
      </c>
      <c r="AB130" s="70">
        <f>Бюджет!AB423</f>
        <v>0</v>
      </c>
      <c r="AC130" s="70">
        <f>Бюджет!AC423</f>
        <v>0</v>
      </c>
      <c r="AD130" s="70">
        <f>Бюджет!AD423</f>
        <v>0</v>
      </c>
      <c r="AE130" s="70">
        <f>Бюджет!AE423</f>
        <v>0</v>
      </c>
      <c r="AF130" s="70">
        <f>Бюджет!AF423</f>
        <v>0</v>
      </c>
      <c r="AG130" s="70">
        <f>Бюджет!AG423</f>
        <v>0</v>
      </c>
      <c r="AH130" s="70">
        <f>Бюджет!AH423</f>
        <v>0</v>
      </c>
      <c r="AI130" s="70">
        <f>Бюджет!AI423</f>
        <v>0</v>
      </c>
      <c r="AJ130" s="66">
        <f t="shared" si="19"/>
        <v>53.2</v>
      </c>
      <c r="AK130" s="74"/>
    </row>
    <row r="131" spans="1:37" s="110" customFormat="1" ht="15" x14ac:dyDescent="0.2">
      <c r="A131" s="90" t="str">
        <f>Бюджет!A425</f>
        <v>Б1.В.08</v>
      </c>
      <c r="B131" s="90" t="str">
        <f>Бюджет!B425</f>
        <v>Стандартная модель</v>
      </c>
      <c r="C131" s="74" t="str">
        <f>Бюджет!C425</f>
        <v>2\3</v>
      </c>
      <c r="D131" s="74">
        <f>Бюджет!D425</f>
        <v>5</v>
      </c>
      <c r="E131" s="74">
        <f>Бюджет!E425</f>
        <v>1</v>
      </c>
      <c r="F131" s="70">
        <f>Бюджет!F425</f>
        <v>34</v>
      </c>
      <c r="G131" s="70">
        <f>Бюджет!G425</f>
        <v>34</v>
      </c>
      <c r="H131" s="70">
        <f>Бюджет!H425</f>
        <v>16</v>
      </c>
      <c r="I131" s="70">
        <f>Бюджет!I425</f>
        <v>16</v>
      </c>
      <c r="J131" s="70">
        <f>Бюджет!J425</f>
        <v>0</v>
      </c>
      <c r="K131" s="70">
        <f>Бюджет!K425</f>
        <v>1.5</v>
      </c>
      <c r="L131" s="70">
        <f>Бюджет!L425</f>
        <v>0</v>
      </c>
      <c r="M131" s="70">
        <f>Бюджет!M425</f>
        <v>0</v>
      </c>
      <c r="N131" s="70">
        <f>Бюджет!N425</f>
        <v>0</v>
      </c>
      <c r="O131" s="70">
        <f>Бюджет!O425</f>
        <v>0</v>
      </c>
      <c r="P131" s="70">
        <f>Бюджет!P425</f>
        <v>0</v>
      </c>
      <c r="Q131" s="70">
        <f>Бюджет!Q425</f>
        <v>1.7000000000000002</v>
      </c>
      <c r="R131" s="70">
        <f>Бюджет!R425</f>
        <v>0</v>
      </c>
      <c r="S131" s="70">
        <f>Бюджет!S425</f>
        <v>0</v>
      </c>
      <c r="T131" s="70">
        <f>Бюджет!T425</f>
        <v>0</v>
      </c>
      <c r="U131" s="70">
        <f>Бюджет!U425</f>
        <v>0</v>
      </c>
      <c r="V131" s="70">
        <f>Бюджет!V425</f>
        <v>0</v>
      </c>
      <c r="W131" s="70">
        <f>Бюджет!W425</f>
        <v>0</v>
      </c>
      <c r="X131" s="70">
        <f>Бюджет!X425</f>
        <v>0</v>
      </c>
      <c r="Y131" s="70">
        <f>Бюджет!Y425</f>
        <v>0</v>
      </c>
      <c r="Z131" s="70">
        <f>Бюджет!Z425</f>
        <v>0</v>
      </c>
      <c r="AA131" s="70">
        <f>Бюджет!AA425</f>
        <v>0</v>
      </c>
      <c r="AB131" s="70">
        <f>Бюджет!AB425</f>
        <v>0</v>
      </c>
      <c r="AC131" s="70">
        <f>Бюджет!AC425</f>
        <v>0</v>
      </c>
      <c r="AD131" s="70">
        <f>Бюджет!AD425</f>
        <v>0</v>
      </c>
      <c r="AE131" s="70">
        <f>Бюджет!AE425</f>
        <v>0</v>
      </c>
      <c r="AF131" s="70">
        <f>Бюджет!AF425</f>
        <v>0</v>
      </c>
      <c r="AG131" s="70">
        <f>Бюджет!AG425</f>
        <v>0</v>
      </c>
      <c r="AH131" s="70">
        <f>Бюджет!AH425</f>
        <v>0</v>
      </c>
      <c r="AI131" s="70">
        <f>Бюджет!AI425</f>
        <v>4</v>
      </c>
      <c r="AJ131" s="66">
        <f t="shared" si="19"/>
        <v>57.2</v>
      </c>
      <c r="AK131" s="74"/>
    </row>
    <row r="132" spans="1:37" s="110" customFormat="1" ht="15" x14ac:dyDescent="0.2">
      <c r="A132" s="90">
        <f>Бюджет!A429</f>
        <v>0</v>
      </c>
      <c r="B132" s="90" t="str">
        <f>Бюджет!B429</f>
        <v>ГИА (ВКР защита) комиссия 7 человека</v>
      </c>
      <c r="C132" s="74" t="str">
        <f>Бюджет!C429</f>
        <v>2\4</v>
      </c>
      <c r="D132" s="74">
        <f>Бюджет!D429</f>
        <v>5</v>
      </c>
      <c r="E132" s="74">
        <f>Бюджет!E429</f>
        <v>1</v>
      </c>
      <c r="F132" s="70">
        <f>Бюджет!F429</f>
        <v>0</v>
      </c>
      <c r="G132" s="70">
        <f>Бюджет!G429</f>
        <v>0</v>
      </c>
      <c r="H132" s="70">
        <f>Бюджет!H429</f>
        <v>0</v>
      </c>
      <c r="I132" s="70">
        <f>Бюджет!I429</f>
        <v>0</v>
      </c>
      <c r="J132" s="70">
        <f>Бюджет!J429</f>
        <v>0</v>
      </c>
      <c r="K132" s="70">
        <f>Бюджет!K429</f>
        <v>0</v>
      </c>
      <c r="L132" s="70">
        <f>Бюджет!L429</f>
        <v>0</v>
      </c>
      <c r="M132" s="70">
        <f>Бюджет!M429</f>
        <v>0</v>
      </c>
      <c r="N132" s="70">
        <f>Бюджет!N429</f>
        <v>0</v>
      </c>
      <c r="O132" s="70">
        <f>Бюджет!O429</f>
        <v>0</v>
      </c>
      <c r="P132" s="70">
        <f>Бюджет!P429</f>
        <v>0</v>
      </c>
      <c r="Q132" s="70">
        <f>Бюджет!Q429</f>
        <v>0</v>
      </c>
      <c r="R132" s="70">
        <f>Бюджет!R429</f>
        <v>0</v>
      </c>
      <c r="S132" s="70">
        <f>Бюджет!S429</f>
        <v>0</v>
      </c>
      <c r="T132" s="70">
        <f>Бюджет!T429</f>
        <v>0</v>
      </c>
      <c r="U132" s="70">
        <f>Бюджет!U429</f>
        <v>0</v>
      </c>
      <c r="V132" s="70">
        <f>Бюджет!V429</f>
        <v>0</v>
      </c>
      <c r="W132" s="70">
        <f>Бюджет!W429</f>
        <v>0</v>
      </c>
      <c r="X132" s="70">
        <f>Бюджет!X429</f>
        <v>0</v>
      </c>
      <c r="Y132" s="70">
        <f>Бюджет!Y429</f>
        <v>0</v>
      </c>
      <c r="Z132" s="70">
        <f>Бюджет!Z429</f>
        <v>0</v>
      </c>
      <c r="AA132" s="70">
        <f>Бюджет!AA429</f>
        <v>0</v>
      </c>
      <c r="AB132" s="70">
        <f>Бюджет!AB429/7*1</f>
        <v>2.5</v>
      </c>
      <c r="AC132" s="70">
        <f>Бюджет!AC429</f>
        <v>0</v>
      </c>
      <c r="AD132" s="70">
        <f>Бюджет!AD429</f>
        <v>0</v>
      </c>
      <c r="AE132" s="70">
        <f>Бюджет!AE429</f>
        <v>0</v>
      </c>
      <c r="AF132" s="70">
        <f>Бюджет!AF429</f>
        <v>0</v>
      </c>
      <c r="AG132" s="70">
        <f>Бюджет!AG429</f>
        <v>0</v>
      </c>
      <c r="AH132" s="70">
        <f>Бюджет!AH429</f>
        <v>0</v>
      </c>
      <c r="AI132" s="70">
        <f>Бюджет!AI429</f>
        <v>0</v>
      </c>
      <c r="AJ132" s="66">
        <f t="shared" si="19"/>
        <v>2.5</v>
      </c>
      <c r="AK132" s="74"/>
    </row>
    <row r="133" spans="1:37" s="109" customFormat="1" ht="15.75" x14ac:dyDescent="0.2">
      <c r="A133" s="74"/>
      <c r="B133" s="214" t="s">
        <v>238</v>
      </c>
      <c r="C133" s="91"/>
      <c r="D133" s="91"/>
      <c r="E133" s="91"/>
      <c r="F133" s="88">
        <f>SUM(F126:F132)</f>
        <v>108</v>
      </c>
      <c r="G133" s="88">
        <f t="shared" ref="G133:AJ133" si="21">SUM(G126:G132)</f>
        <v>108</v>
      </c>
      <c r="H133" s="88">
        <f t="shared" si="21"/>
        <v>72</v>
      </c>
      <c r="I133" s="88">
        <f t="shared" si="21"/>
        <v>72</v>
      </c>
      <c r="J133" s="88">
        <f t="shared" si="21"/>
        <v>0</v>
      </c>
      <c r="K133" s="88">
        <f t="shared" si="21"/>
        <v>3.9</v>
      </c>
      <c r="L133" s="88">
        <f t="shared" si="21"/>
        <v>0</v>
      </c>
      <c r="M133" s="88">
        <f t="shared" si="21"/>
        <v>1.2000000000000002</v>
      </c>
      <c r="N133" s="88">
        <f t="shared" si="21"/>
        <v>0</v>
      </c>
      <c r="O133" s="88">
        <f t="shared" si="21"/>
        <v>0</v>
      </c>
      <c r="P133" s="88">
        <f t="shared" si="21"/>
        <v>0</v>
      </c>
      <c r="Q133" s="88">
        <f t="shared" si="21"/>
        <v>6.4</v>
      </c>
      <c r="R133" s="88">
        <f t="shared" si="21"/>
        <v>0</v>
      </c>
      <c r="S133" s="88">
        <f t="shared" si="21"/>
        <v>0</v>
      </c>
      <c r="T133" s="88">
        <f t="shared" si="21"/>
        <v>0</v>
      </c>
      <c r="U133" s="88">
        <f t="shared" si="21"/>
        <v>0</v>
      </c>
      <c r="V133" s="88">
        <f t="shared" si="21"/>
        <v>0</v>
      </c>
      <c r="W133" s="88">
        <f t="shared" si="21"/>
        <v>0</v>
      </c>
      <c r="X133" s="88">
        <f t="shared" si="21"/>
        <v>0</v>
      </c>
      <c r="Y133" s="88">
        <f t="shared" si="21"/>
        <v>0</v>
      </c>
      <c r="Z133" s="88">
        <f t="shared" si="21"/>
        <v>0</v>
      </c>
      <c r="AA133" s="88">
        <f t="shared" si="21"/>
        <v>0</v>
      </c>
      <c r="AB133" s="88">
        <f t="shared" si="21"/>
        <v>6.5</v>
      </c>
      <c r="AC133" s="88">
        <f t="shared" si="21"/>
        <v>0</v>
      </c>
      <c r="AD133" s="88">
        <f t="shared" si="21"/>
        <v>0</v>
      </c>
      <c r="AE133" s="88">
        <f t="shared" si="21"/>
        <v>0</v>
      </c>
      <c r="AF133" s="88">
        <f t="shared" si="21"/>
        <v>0</v>
      </c>
      <c r="AG133" s="88">
        <f t="shared" si="21"/>
        <v>0</v>
      </c>
      <c r="AH133" s="88">
        <f t="shared" si="21"/>
        <v>0</v>
      </c>
      <c r="AI133" s="88">
        <f t="shared" si="21"/>
        <v>10</v>
      </c>
      <c r="AJ133" s="88">
        <f t="shared" si="21"/>
        <v>208</v>
      </c>
      <c r="AK133" s="74"/>
    </row>
    <row r="134" spans="1:37" s="110" customFormat="1" ht="15" x14ac:dyDescent="0.2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0"/>
      <c r="AK134" s="74"/>
    </row>
    <row r="135" spans="1:37" s="110" customFormat="1" ht="15.75" x14ac:dyDescent="0.2">
      <c r="A135" s="74"/>
      <c r="B135" s="215" t="s">
        <v>239</v>
      </c>
      <c r="C135" s="199"/>
      <c r="D135" s="199"/>
      <c r="E135" s="199"/>
      <c r="F135" s="98">
        <f t="shared" ref="F135:AJ135" si="22">SUM(F112,F104,F90,F36,F133,F122)</f>
        <v>2284</v>
      </c>
      <c r="G135" s="98">
        <f t="shared" si="22"/>
        <v>1412</v>
      </c>
      <c r="H135" s="98">
        <f t="shared" si="22"/>
        <v>2442</v>
      </c>
      <c r="I135" s="98">
        <f t="shared" si="22"/>
        <v>2318</v>
      </c>
      <c r="J135" s="98">
        <f t="shared" si="22"/>
        <v>150</v>
      </c>
      <c r="K135" s="98">
        <f t="shared" si="22"/>
        <v>63.6</v>
      </c>
      <c r="L135" s="98">
        <f t="shared" si="22"/>
        <v>0</v>
      </c>
      <c r="M135" s="98">
        <f t="shared" si="22"/>
        <v>343.2</v>
      </c>
      <c r="N135" s="98">
        <f t="shared" si="22"/>
        <v>0</v>
      </c>
      <c r="O135" s="98">
        <f t="shared" si="22"/>
        <v>0</v>
      </c>
      <c r="P135" s="98">
        <f t="shared" si="22"/>
        <v>0</v>
      </c>
      <c r="Q135" s="98">
        <f t="shared" si="22"/>
        <v>94.6</v>
      </c>
      <c r="R135" s="98">
        <f t="shared" si="22"/>
        <v>0</v>
      </c>
      <c r="S135" s="98">
        <f t="shared" si="22"/>
        <v>0</v>
      </c>
      <c r="T135" s="98">
        <f t="shared" si="22"/>
        <v>57.333333333333329</v>
      </c>
      <c r="U135" s="98">
        <f t="shared" si="22"/>
        <v>254.7</v>
      </c>
      <c r="V135" s="98">
        <f t="shared" si="22"/>
        <v>24</v>
      </c>
      <c r="W135" s="98">
        <f t="shared" si="22"/>
        <v>112</v>
      </c>
      <c r="X135" s="98">
        <f t="shared" si="22"/>
        <v>0</v>
      </c>
      <c r="Y135" s="98">
        <f t="shared" si="22"/>
        <v>0</v>
      </c>
      <c r="Z135" s="98">
        <f t="shared" si="22"/>
        <v>0</v>
      </c>
      <c r="AA135" s="98">
        <f t="shared" si="22"/>
        <v>0</v>
      </c>
      <c r="AB135" s="98">
        <f t="shared" si="22"/>
        <v>13.5</v>
      </c>
      <c r="AC135" s="98">
        <f t="shared" si="22"/>
        <v>0</v>
      </c>
      <c r="AD135" s="98">
        <f t="shared" si="22"/>
        <v>0</v>
      </c>
      <c r="AE135" s="98">
        <f t="shared" si="22"/>
        <v>0</v>
      </c>
      <c r="AF135" s="98">
        <f t="shared" si="22"/>
        <v>0</v>
      </c>
      <c r="AG135" s="98">
        <f t="shared" si="22"/>
        <v>0</v>
      </c>
      <c r="AH135" s="98">
        <f t="shared" si="22"/>
        <v>0</v>
      </c>
      <c r="AI135" s="98">
        <f t="shared" si="22"/>
        <v>314</v>
      </c>
      <c r="AJ135" s="98">
        <f t="shared" si="22"/>
        <v>5156.9333333333343</v>
      </c>
      <c r="AK135" s="70"/>
    </row>
    <row r="136" spans="1:37" s="110" customFormat="1" ht="15.75" x14ac:dyDescent="0.2">
      <c r="A136" s="74"/>
      <c r="B136" s="107"/>
      <c r="C136" s="120"/>
      <c r="D136" s="120"/>
      <c r="E136" s="120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0"/>
    </row>
    <row r="137" spans="1:37" s="216" customFormat="1" ht="15.75" x14ac:dyDescent="0.2">
      <c r="A137" s="201"/>
      <c r="B137" s="60"/>
      <c r="C137" s="201"/>
      <c r="D137" s="201"/>
      <c r="E137" s="201"/>
      <c r="F137" s="200"/>
      <c r="G137" s="200"/>
      <c r="H137" s="200"/>
      <c r="I137" s="200"/>
      <c r="J137" s="200"/>
      <c r="K137" s="200"/>
      <c r="L137" s="200"/>
      <c r="M137" s="200"/>
      <c r="N137" s="391" t="s">
        <v>58</v>
      </c>
      <c r="O137" s="391"/>
      <c r="P137" s="391"/>
      <c r="Q137" s="391"/>
      <c r="R137" s="391"/>
      <c r="S137" s="391"/>
      <c r="T137" s="391"/>
      <c r="U137" s="391"/>
      <c r="V137" s="391"/>
      <c r="W137" s="391"/>
      <c r="X137" s="391"/>
      <c r="Y137" s="391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</row>
    <row r="138" spans="1:37" s="110" customFormat="1" ht="15" x14ac:dyDescent="0.2">
      <c r="A138" s="201"/>
      <c r="B138" s="60"/>
      <c r="C138" s="201"/>
      <c r="D138" s="201"/>
      <c r="E138" s="201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</row>
    <row r="139" spans="1:37" s="110" customFormat="1" ht="15.75" x14ac:dyDescent="0.2">
      <c r="A139" s="201"/>
      <c r="B139" s="215" t="s">
        <v>240</v>
      </c>
      <c r="C139" s="199"/>
      <c r="D139" s="199"/>
      <c r="E139" s="199"/>
      <c r="F139" s="98">
        <f>SUM(F138)</f>
        <v>0</v>
      </c>
      <c r="G139" s="98">
        <f t="shared" ref="G139:AJ139" si="23">SUM(G138)</f>
        <v>0</v>
      </c>
      <c r="H139" s="98">
        <f t="shared" si="23"/>
        <v>0</v>
      </c>
      <c r="I139" s="98">
        <f t="shared" si="23"/>
        <v>0</v>
      </c>
      <c r="J139" s="98">
        <f t="shared" si="23"/>
        <v>0</v>
      </c>
      <c r="K139" s="98">
        <f t="shared" si="23"/>
        <v>0</v>
      </c>
      <c r="L139" s="98">
        <f t="shared" si="23"/>
        <v>0</v>
      </c>
      <c r="M139" s="98">
        <f t="shared" si="23"/>
        <v>0</v>
      </c>
      <c r="N139" s="98">
        <f t="shared" si="23"/>
        <v>0</v>
      </c>
      <c r="O139" s="98">
        <f t="shared" si="23"/>
        <v>0</v>
      </c>
      <c r="P139" s="98">
        <f t="shared" si="23"/>
        <v>0</v>
      </c>
      <c r="Q139" s="98">
        <f t="shared" si="23"/>
        <v>0</v>
      </c>
      <c r="R139" s="98">
        <f t="shared" si="23"/>
        <v>0</v>
      </c>
      <c r="S139" s="98">
        <f t="shared" si="23"/>
        <v>0</v>
      </c>
      <c r="T139" s="98">
        <f t="shared" si="23"/>
        <v>0</v>
      </c>
      <c r="U139" s="98">
        <f t="shared" si="23"/>
        <v>0</v>
      </c>
      <c r="V139" s="98">
        <f t="shared" si="23"/>
        <v>0</v>
      </c>
      <c r="W139" s="98">
        <f t="shared" si="23"/>
        <v>0</v>
      </c>
      <c r="X139" s="98">
        <f t="shared" si="23"/>
        <v>0</v>
      </c>
      <c r="Y139" s="98">
        <f t="shared" si="23"/>
        <v>0</v>
      </c>
      <c r="Z139" s="98">
        <f t="shared" si="23"/>
        <v>0</v>
      </c>
      <c r="AA139" s="98">
        <f t="shared" si="23"/>
        <v>0</v>
      </c>
      <c r="AB139" s="98">
        <f t="shared" si="23"/>
        <v>0</v>
      </c>
      <c r="AC139" s="98">
        <f t="shared" si="23"/>
        <v>0</v>
      </c>
      <c r="AD139" s="98">
        <f t="shared" si="23"/>
        <v>0</v>
      </c>
      <c r="AE139" s="98">
        <f t="shared" si="23"/>
        <v>0</v>
      </c>
      <c r="AF139" s="98">
        <f t="shared" si="23"/>
        <v>0</v>
      </c>
      <c r="AG139" s="98">
        <f t="shared" si="23"/>
        <v>0</v>
      </c>
      <c r="AH139" s="98">
        <f t="shared" si="23"/>
        <v>0</v>
      </c>
      <c r="AI139" s="98">
        <f t="shared" si="23"/>
        <v>0</v>
      </c>
      <c r="AJ139" s="98">
        <f t="shared" si="23"/>
        <v>0</v>
      </c>
      <c r="AK139" s="200"/>
    </row>
    <row r="140" spans="1:37" s="110" customFormat="1" ht="15" x14ac:dyDescent="0.2">
      <c r="A140" s="201"/>
      <c r="B140" s="90"/>
      <c r="C140" s="90"/>
      <c r="D140" s="90"/>
      <c r="E140" s="9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</row>
    <row r="141" spans="1:37" s="110" customFormat="1" ht="15.75" x14ac:dyDescent="0.2">
      <c r="A141" s="213"/>
      <c r="B141" s="206" t="s">
        <v>59</v>
      </c>
      <c r="C141" s="206"/>
      <c r="D141" s="206"/>
      <c r="E141" s="206"/>
      <c r="F141" s="99">
        <f>F135+F139</f>
        <v>2284</v>
      </c>
      <c r="G141" s="99">
        <f t="shared" ref="G141:AJ141" si="24">G135+G139</f>
        <v>1412</v>
      </c>
      <c r="H141" s="99">
        <f t="shared" si="24"/>
        <v>2442</v>
      </c>
      <c r="I141" s="99">
        <f t="shared" si="24"/>
        <v>2318</v>
      </c>
      <c r="J141" s="99">
        <f t="shared" si="24"/>
        <v>150</v>
      </c>
      <c r="K141" s="99">
        <f t="shared" si="24"/>
        <v>63.6</v>
      </c>
      <c r="L141" s="99">
        <f t="shared" si="24"/>
        <v>0</v>
      </c>
      <c r="M141" s="99">
        <f t="shared" si="24"/>
        <v>343.2</v>
      </c>
      <c r="N141" s="99">
        <f t="shared" si="24"/>
        <v>0</v>
      </c>
      <c r="O141" s="99">
        <f t="shared" si="24"/>
        <v>0</v>
      </c>
      <c r="P141" s="99">
        <f t="shared" si="24"/>
        <v>0</v>
      </c>
      <c r="Q141" s="99">
        <f t="shared" si="24"/>
        <v>94.6</v>
      </c>
      <c r="R141" s="99">
        <f t="shared" si="24"/>
        <v>0</v>
      </c>
      <c r="S141" s="99">
        <f t="shared" si="24"/>
        <v>0</v>
      </c>
      <c r="T141" s="99">
        <f t="shared" si="24"/>
        <v>57.333333333333329</v>
      </c>
      <c r="U141" s="99">
        <f t="shared" si="24"/>
        <v>254.7</v>
      </c>
      <c r="V141" s="99">
        <f t="shared" si="24"/>
        <v>24</v>
      </c>
      <c r="W141" s="99">
        <f t="shared" si="24"/>
        <v>112</v>
      </c>
      <c r="X141" s="99">
        <f t="shared" si="24"/>
        <v>0</v>
      </c>
      <c r="Y141" s="99">
        <f t="shared" si="24"/>
        <v>0</v>
      </c>
      <c r="Z141" s="99">
        <f t="shared" si="24"/>
        <v>0</v>
      </c>
      <c r="AA141" s="99">
        <f t="shared" si="24"/>
        <v>0</v>
      </c>
      <c r="AB141" s="99">
        <f t="shared" si="24"/>
        <v>13.5</v>
      </c>
      <c r="AC141" s="99">
        <f t="shared" si="24"/>
        <v>0</v>
      </c>
      <c r="AD141" s="99">
        <f t="shared" si="24"/>
        <v>0</v>
      </c>
      <c r="AE141" s="99">
        <f t="shared" si="24"/>
        <v>0</v>
      </c>
      <c r="AF141" s="99">
        <f t="shared" si="24"/>
        <v>0</v>
      </c>
      <c r="AG141" s="99">
        <f t="shared" si="24"/>
        <v>0</v>
      </c>
      <c r="AH141" s="99">
        <f t="shared" si="24"/>
        <v>0</v>
      </c>
      <c r="AI141" s="99">
        <f t="shared" si="24"/>
        <v>314</v>
      </c>
      <c r="AJ141" s="99">
        <f t="shared" si="24"/>
        <v>5156.9333333333343</v>
      </c>
      <c r="AK141" s="217"/>
    </row>
    <row r="142" spans="1:37" s="110" customFormat="1" ht="15" x14ac:dyDescent="0.2">
      <c r="A142" s="201"/>
      <c r="B142" s="201"/>
      <c r="C142" s="201"/>
      <c r="D142" s="201"/>
      <c r="E142" s="201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70">
        <f>SUM(G141,I141:AI141)-AJ141</f>
        <v>0</v>
      </c>
      <c r="AK142" s="200"/>
    </row>
    <row r="143" spans="1:37" s="205" customFormat="1" ht="15" x14ac:dyDescent="0.2"/>
    <row r="144" spans="1:37" s="205" customFormat="1" ht="15" x14ac:dyDescent="0.2">
      <c r="A144" s="205" t="s">
        <v>392</v>
      </c>
    </row>
  </sheetData>
  <protectedRanges>
    <protectedRange sqref="N1:AK11 K10:L11 A1:J11 L1:M9 K1:K8 A36:A37 A15:AK20 A139 C139:AK139 A140:AK143 A145:AK163 B144:AK144 A135:AK138 A23:AI25 A28:AI35 A26:I27 AD26:AI27 AD21:AI22 A21:I22 AK21:AK105 A38:AI89" name="Диапазон1"/>
    <protectedRange sqref="M26:AC27 J26:K27 J21:K22 M21:AC22" name="Диапазон1_1"/>
    <protectedRange sqref="A92:I93 AD92:AI93 A90:A91 A104:A105 A94:AI103" name="Диапазон1_3"/>
    <protectedRange sqref="M92:AC92 J92:K92 J93:AC93" name="Диапазон1_7"/>
    <protectedRange sqref="B105:AI105 C104:AJ104 C91:AI91 C37:AI37 C36:AJ36 C90:AJ90" name="Диапазон1_1_1"/>
    <protectedRange sqref="B36:B37" name="Диапазон1_8"/>
    <protectedRange sqref="B90:B91" name="Диапазон1_9"/>
    <protectedRange sqref="B104 B133 B112 B122" name="Диапазон1_4"/>
    <protectedRange sqref="B139" name="Диапазон1_5"/>
    <protectedRange sqref="A144" name="Диапазон1_6"/>
  </protectedRanges>
  <mergeCells count="68">
    <mergeCell ref="J26:AC26"/>
    <mergeCell ref="A12:A13"/>
    <mergeCell ref="B12:B13"/>
    <mergeCell ref="C12:C13"/>
    <mergeCell ref="S12:T12"/>
    <mergeCell ref="L12:O12"/>
    <mergeCell ref="J12:J13"/>
    <mergeCell ref="E12:E13"/>
    <mergeCell ref="F12:G12"/>
    <mergeCell ref="P12:P13"/>
    <mergeCell ref="N137:Y137"/>
    <mergeCell ref="D12:D13"/>
    <mergeCell ref="J92:AC92"/>
    <mergeCell ref="J22:AC22"/>
    <mergeCell ref="N20:Y20"/>
    <mergeCell ref="J21:AC21"/>
    <mergeCell ref="I108:AD108"/>
    <mergeCell ref="L124:AA124"/>
    <mergeCell ref="K127:AB127"/>
    <mergeCell ref="J38:AC38"/>
    <mergeCell ref="AC12:AD12"/>
    <mergeCell ref="L106:AA106"/>
    <mergeCell ref="K107:AB107"/>
    <mergeCell ref="J93:AC93"/>
    <mergeCell ref="J39:AC39"/>
    <mergeCell ref="J65:AC65"/>
    <mergeCell ref="B2:G2"/>
    <mergeCell ref="AF2:AK2"/>
    <mergeCell ref="B3:G3"/>
    <mergeCell ref="AC3:AK3"/>
    <mergeCell ref="B4:F4"/>
    <mergeCell ref="B5:G5"/>
    <mergeCell ref="AC5:AK5"/>
    <mergeCell ref="Q12:R12"/>
    <mergeCell ref="H12:I12"/>
    <mergeCell ref="K12:K13"/>
    <mergeCell ref="U12:U13"/>
    <mergeCell ref="I9:Z9"/>
    <mergeCell ref="B7:G7"/>
    <mergeCell ref="AC7:AK7"/>
    <mergeCell ref="B6:G6"/>
    <mergeCell ref="AB12:AB13"/>
    <mergeCell ref="Y12:Y13"/>
    <mergeCell ref="AF1:AK1"/>
    <mergeCell ref="AE12:AF12"/>
    <mergeCell ref="AG12:AH12"/>
    <mergeCell ref="AI12:AI13"/>
    <mergeCell ref="W12:X12"/>
    <mergeCell ref="AK12:AK13"/>
    <mergeCell ref="AC6:AK6"/>
    <mergeCell ref="K10:X10"/>
    <mergeCell ref="K11:X11"/>
    <mergeCell ref="V12:V13"/>
    <mergeCell ref="AJ12:AJ13"/>
    <mergeCell ref="Z12:Z13"/>
    <mergeCell ref="AA12:AA13"/>
    <mergeCell ref="K125:AB125"/>
    <mergeCell ref="J55:AC55"/>
    <mergeCell ref="J56:AC56"/>
    <mergeCell ref="J62:AC62"/>
    <mergeCell ref="J27:AC27"/>
    <mergeCell ref="J46:AC46"/>
    <mergeCell ref="J47:AC47"/>
    <mergeCell ref="J48:AC48"/>
    <mergeCell ref="J54:AC54"/>
    <mergeCell ref="L114:AA114"/>
    <mergeCell ref="K115:AB115"/>
    <mergeCell ref="J40:AC40"/>
  </mergeCells>
  <conditionalFormatting sqref="A108:I108 AE108:AI108">
    <cfRule type="cellIs" dxfId="68" priority="35" stopIfTrue="1" operator="equal">
      <formula>0</formula>
    </cfRule>
  </conditionalFormatting>
  <conditionalFormatting sqref="A105:AI107">
    <cfRule type="cellIs" dxfId="67" priority="27" stopIfTrue="1" operator="equal">
      <formula>0</formula>
    </cfRule>
  </conditionalFormatting>
  <conditionalFormatting sqref="A109:AI111">
    <cfRule type="cellIs" dxfId="66" priority="29" stopIfTrue="1" operator="equal">
      <formula>0</formula>
    </cfRule>
  </conditionalFormatting>
  <conditionalFormatting sqref="A139:IV139">
    <cfRule type="cellIs" dxfId="65" priority="38" stopIfTrue="1" operator="equal">
      <formula>0</formula>
    </cfRule>
  </conditionalFormatting>
  <conditionalFormatting sqref="A1:XFD104">
    <cfRule type="cellIs" dxfId="64" priority="8" stopIfTrue="1" operator="equal">
      <formula>0</formula>
    </cfRule>
  </conditionalFormatting>
  <conditionalFormatting sqref="A112:XFD138">
    <cfRule type="cellIs" dxfId="63" priority="1" stopIfTrue="1" operator="equal">
      <formula>0</formula>
    </cfRule>
  </conditionalFormatting>
  <conditionalFormatting sqref="A140:XFD65551">
    <cfRule type="cellIs" dxfId="62" priority="34" stopIfTrue="1" operator="equal">
      <formula>0</formula>
    </cfRule>
  </conditionalFormatting>
  <conditionalFormatting sqref="AJ105:XFD111">
    <cfRule type="cellIs" dxfId="61" priority="16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29"/>
  <sheetViews>
    <sheetView zoomScale="60" zoomScaleNormal="60" workbookViewId="0"/>
  </sheetViews>
  <sheetFormatPr defaultRowHeight="12.75" x14ac:dyDescent="0.2"/>
  <cols>
    <col min="2" max="2" width="27" bestFit="1" customWidth="1"/>
    <col min="3" max="5" width="0" hidden="1" customWidth="1"/>
    <col min="6" max="7" width="13.42578125" bestFit="1" customWidth="1"/>
    <col min="8" max="9" width="12.42578125" customWidth="1"/>
    <col min="10" max="10" width="15.42578125" customWidth="1"/>
    <col min="11" max="11" width="10.42578125" customWidth="1"/>
    <col min="13" max="13" width="10.42578125" customWidth="1"/>
    <col min="14" max="14" width="11.42578125" customWidth="1"/>
    <col min="20" max="20" width="11" customWidth="1"/>
    <col min="22" max="22" width="10.42578125" customWidth="1"/>
    <col min="23" max="23" width="12.42578125" customWidth="1"/>
    <col min="24" max="24" width="12.5703125" customWidth="1"/>
    <col min="28" max="28" width="11.5703125" customWidth="1"/>
    <col min="35" max="35" width="10.42578125" bestFit="1" customWidth="1"/>
    <col min="36" max="36" width="13" bestFit="1" customWidth="1"/>
    <col min="37" max="37" width="15.42578125" customWidth="1"/>
  </cols>
  <sheetData>
    <row r="1" spans="1:37" x14ac:dyDescent="0.2">
      <c r="S1" s="2" t="s">
        <v>10</v>
      </c>
    </row>
    <row r="4" spans="1:37" x14ac:dyDescent="0.2">
      <c r="A4" s="433" t="s">
        <v>12</v>
      </c>
      <c r="B4" s="434" t="s">
        <v>13</v>
      </c>
      <c r="C4" s="435" t="s">
        <v>14</v>
      </c>
      <c r="D4" s="436" t="s">
        <v>15</v>
      </c>
      <c r="E4" s="435" t="s">
        <v>16</v>
      </c>
      <c r="F4" s="430" t="s">
        <v>17</v>
      </c>
      <c r="G4" s="430"/>
      <c r="H4" s="430" t="s">
        <v>18</v>
      </c>
      <c r="I4" s="430"/>
      <c r="J4" s="431" t="s">
        <v>19</v>
      </c>
      <c r="K4" s="431" t="s">
        <v>20</v>
      </c>
      <c r="L4" s="430" t="s">
        <v>21</v>
      </c>
      <c r="M4" s="430"/>
      <c r="N4" s="430"/>
      <c r="O4" s="430"/>
      <c r="P4" s="431" t="s">
        <v>22</v>
      </c>
      <c r="Q4" s="430" t="s">
        <v>23</v>
      </c>
      <c r="R4" s="430"/>
      <c r="S4" s="430" t="s">
        <v>24</v>
      </c>
      <c r="T4" s="430"/>
      <c r="U4" s="431" t="s">
        <v>25</v>
      </c>
      <c r="V4" s="431" t="s">
        <v>26</v>
      </c>
      <c r="W4" s="430" t="s">
        <v>27</v>
      </c>
      <c r="X4" s="430"/>
      <c r="Y4" s="431" t="s">
        <v>28</v>
      </c>
      <c r="Z4" s="431" t="s">
        <v>29</v>
      </c>
      <c r="AA4" s="431" t="s">
        <v>30</v>
      </c>
      <c r="AB4" s="431" t="s">
        <v>31</v>
      </c>
      <c r="AC4" s="430" t="s">
        <v>32</v>
      </c>
      <c r="AD4" s="430"/>
      <c r="AE4" s="432" t="s">
        <v>33</v>
      </c>
      <c r="AF4" s="432"/>
      <c r="AG4" s="430" t="s">
        <v>34</v>
      </c>
      <c r="AH4" s="430"/>
      <c r="AI4" s="431" t="s">
        <v>35</v>
      </c>
      <c r="AJ4" s="431" t="s">
        <v>36</v>
      </c>
    </row>
    <row r="5" spans="1:37" ht="76.5" x14ac:dyDescent="0.2">
      <c r="A5" s="433"/>
      <c r="B5" s="434"/>
      <c r="C5" s="435"/>
      <c r="D5" s="436"/>
      <c r="E5" s="435"/>
      <c r="F5" s="9" t="s">
        <v>38</v>
      </c>
      <c r="G5" s="7" t="s">
        <v>39</v>
      </c>
      <c r="H5" s="7" t="s">
        <v>38</v>
      </c>
      <c r="I5" s="7" t="s">
        <v>39</v>
      </c>
      <c r="J5" s="431"/>
      <c r="K5" s="431"/>
      <c r="L5" s="8" t="s">
        <v>40</v>
      </c>
      <c r="M5" s="8" t="s">
        <v>41</v>
      </c>
      <c r="N5" s="8" t="s">
        <v>42</v>
      </c>
      <c r="O5" s="8" t="s">
        <v>43</v>
      </c>
      <c r="P5" s="431"/>
      <c r="Q5" s="8" t="s">
        <v>44</v>
      </c>
      <c r="R5" s="8" t="s">
        <v>45</v>
      </c>
      <c r="S5" s="8" t="s">
        <v>46</v>
      </c>
      <c r="T5" s="8" t="s">
        <v>47</v>
      </c>
      <c r="U5" s="431"/>
      <c r="V5" s="431"/>
      <c r="W5" s="8" t="s">
        <v>33</v>
      </c>
      <c r="X5" s="8" t="s">
        <v>48</v>
      </c>
      <c r="Y5" s="431"/>
      <c r="Z5" s="431"/>
      <c r="AA5" s="431"/>
      <c r="AB5" s="431"/>
      <c r="AC5" s="8" t="s">
        <v>49</v>
      </c>
      <c r="AD5" s="8" t="s">
        <v>50</v>
      </c>
      <c r="AE5" s="8" t="s">
        <v>51</v>
      </c>
      <c r="AF5" s="8" t="s">
        <v>52</v>
      </c>
      <c r="AG5" s="10" t="s">
        <v>53</v>
      </c>
      <c r="AH5" s="10" t="s">
        <v>54</v>
      </c>
      <c r="AI5" s="431"/>
      <c r="AJ5" s="431"/>
    </row>
    <row r="6" spans="1:37" x14ac:dyDescent="0.2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</row>
    <row r="7" spans="1:37" ht="15" x14ac:dyDescent="0.2">
      <c r="A7" s="12"/>
      <c r="B7" s="13" t="s">
        <v>162</v>
      </c>
      <c r="C7" s="14"/>
      <c r="D7" s="12"/>
      <c r="E7" s="12"/>
      <c r="F7" s="14">
        <f>'Каф 07 Б'!F190</f>
        <v>2624</v>
      </c>
      <c r="G7" s="14">
        <f>'Каф 07 Б'!G190</f>
        <v>1980</v>
      </c>
      <c r="H7" s="14">
        <f>'Каф 07 Б'!H190</f>
        <v>2348</v>
      </c>
      <c r="I7" s="14">
        <f>'Каф 07 Б'!I190</f>
        <v>2216</v>
      </c>
      <c r="J7" s="14">
        <f>'Каф 07 Б'!J190</f>
        <v>2112</v>
      </c>
      <c r="K7" s="14">
        <f>'Каф 07 Б'!K190</f>
        <v>225.30000000000007</v>
      </c>
      <c r="L7" s="14">
        <f>'Каф 07 Б'!L190</f>
        <v>0</v>
      </c>
      <c r="M7" s="14">
        <f>'Каф 07 Б'!M190</f>
        <v>242.80000000000004</v>
      </c>
      <c r="N7" s="14">
        <f>'Каф 07 Б'!N190</f>
        <v>0</v>
      </c>
      <c r="O7" s="14">
        <f>'Каф 07 Б'!O190</f>
        <v>0</v>
      </c>
      <c r="P7" s="14">
        <f>'Каф 07 Б'!P190</f>
        <v>0</v>
      </c>
      <c r="Q7" s="14">
        <f>'Каф 07 Б'!Q190</f>
        <v>124</v>
      </c>
      <c r="R7" s="14">
        <f>'Каф 07 Б'!R190</f>
        <v>0</v>
      </c>
      <c r="S7" s="14">
        <f>'Каф 07 Б'!S190</f>
        <v>102</v>
      </c>
      <c r="T7" s="14">
        <f>'Каф 07 Б'!T190</f>
        <v>458</v>
      </c>
      <c r="U7" s="14">
        <f>'Каф 07 Б'!U190</f>
        <v>6.8999999999999995</v>
      </c>
      <c r="V7" s="14">
        <f>'Каф 07 Б'!V190</f>
        <v>24</v>
      </c>
      <c r="W7" s="14">
        <f>'Каф 07 Б'!W190</f>
        <v>654</v>
      </c>
      <c r="X7" s="14">
        <f>'Каф 07 Б'!X190</f>
        <v>45</v>
      </c>
      <c r="Y7" s="14">
        <f>'Каф 07 Б'!Y190</f>
        <v>0</v>
      </c>
      <c r="Z7" s="14">
        <f>'Каф 07 Б'!Z190</f>
        <v>0</v>
      </c>
      <c r="AA7" s="14">
        <f>'Каф 07 Б'!AA190</f>
        <v>0</v>
      </c>
      <c r="AB7" s="14">
        <f>'Каф 07 Б'!AB190</f>
        <v>172.5</v>
      </c>
      <c r="AC7" s="14">
        <f>'Каф 07 Б'!AC190</f>
        <v>0</v>
      </c>
      <c r="AD7" s="14">
        <f>'Каф 07 Б'!AD190</f>
        <v>0</v>
      </c>
      <c r="AE7" s="14">
        <f>'Каф 07 Б'!AE190</f>
        <v>90</v>
      </c>
      <c r="AF7" s="14">
        <f>'Каф 07 Б'!AF190</f>
        <v>0</v>
      </c>
      <c r="AG7" s="14">
        <f>'Каф 07 Б'!AG190</f>
        <v>0</v>
      </c>
      <c r="AH7" s="14">
        <f>'Каф 07 Б'!AH190</f>
        <v>0</v>
      </c>
      <c r="AI7" s="14">
        <f>'Каф 07 Б'!AI190</f>
        <v>158</v>
      </c>
      <c r="AJ7" s="14">
        <f>'Каф 07 Б'!AJ190</f>
        <v>8610.5</v>
      </c>
      <c r="AK7" s="55">
        <f>AJ7-SUM(G7,I7,J7:AI7)</f>
        <v>0</v>
      </c>
    </row>
    <row r="8" spans="1:37" ht="15" x14ac:dyDescent="0.2">
      <c r="A8" s="12"/>
      <c r="B8" s="13" t="s">
        <v>163</v>
      </c>
      <c r="C8" s="12"/>
      <c r="D8" s="12"/>
      <c r="E8" s="12"/>
      <c r="F8" s="14">
        <f>'Каф 08 Б'!F205</f>
        <v>1442</v>
      </c>
      <c r="G8" s="14">
        <f>'Каф 08 Б'!G205</f>
        <v>1170</v>
      </c>
      <c r="H8" s="14">
        <f>'Каф 08 Б'!H205</f>
        <v>712</v>
      </c>
      <c r="I8" s="14">
        <f>'Каф 08 Б'!I205</f>
        <v>678</v>
      </c>
      <c r="J8" s="14">
        <f>'Каф 08 Б'!J205</f>
        <v>3187</v>
      </c>
      <c r="K8" s="14">
        <f>'Каф 08 Б'!K205</f>
        <v>280.8</v>
      </c>
      <c r="L8" s="14">
        <f>'Каф 08 Б'!L205</f>
        <v>0</v>
      </c>
      <c r="M8" s="14">
        <f>'Каф 08 Б'!M205</f>
        <v>84.800000000000011</v>
      </c>
      <c r="N8" s="14">
        <f>'Каф 08 Б'!N205</f>
        <v>0</v>
      </c>
      <c r="O8" s="14">
        <f>'Каф 08 Б'!O205</f>
        <v>0</v>
      </c>
      <c r="P8" s="14">
        <f>'Каф 08 Б'!P205</f>
        <v>0</v>
      </c>
      <c r="Q8" s="14">
        <f>'Каф 08 Б'!Q205</f>
        <v>71.5</v>
      </c>
      <c r="R8" s="14">
        <f>'Каф 08 Б'!R205</f>
        <v>0</v>
      </c>
      <c r="S8" s="14">
        <f>'Каф 08 Б'!S205</f>
        <v>56</v>
      </c>
      <c r="T8" s="14">
        <f>'Каф 08 Б'!T205</f>
        <v>252.66666666666666</v>
      </c>
      <c r="U8" s="14">
        <f>'Каф 08 Б'!U205</f>
        <v>0</v>
      </c>
      <c r="V8" s="14">
        <f>'Каф 08 Б'!V205</f>
        <v>24</v>
      </c>
      <c r="W8" s="14">
        <f>'Каф 08 Б'!W205</f>
        <v>358</v>
      </c>
      <c r="X8" s="14">
        <f>'Каф 08 Б'!X205</f>
        <v>25</v>
      </c>
      <c r="Y8" s="14">
        <f>'Каф 08 Б'!Y205</f>
        <v>0</v>
      </c>
      <c r="Z8" s="14">
        <f>'Каф 08 Б'!Z205</f>
        <v>0</v>
      </c>
      <c r="AA8" s="14">
        <f>'Каф 08 Б'!AA205</f>
        <v>0</v>
      </c>
      <c r="AB8" s="14">
        <f>'Каф 08 Б'!AB205</f>
        <v>13.5</v>
      </c>
      <c r="AC8" s="14">
        <f>'Каф 08 Б'!AC205</f>
        <v>0</v>
      </c>
      <c r="AD8" s="14">
        <f>'Каф 08 Б'!AD205</f>
        <v>0</v>
      </c>
      <c r="AE8" s="14">
        <f>'Каф 08 Б'!AE205</f>
        <v>30</v>
      </c>
      <c r="AF8" s="14">
        <f>'Каф 08 Б'!AF205</f>
        <v>0</v>
      </c>
      <c r="AG8" s="14">
        <f>'Каф 08 Б'!AG205</f>
        <v>0</v>
      </c>
      <c r="AH8" s="14">
        <f>'Каф 08 Б'!AH205</f>
        <v>0</v>
      </c>
      <c r="AI8" s="14">
        <f>'Каф 08 Б'!AI205</f>
        <v>135</v>
      </c>
      <c r="AJ8" s="14">
        <f>'Каф 08 Б'!AJ205</f>
        <v>6366.2666666666664</v>
      </c>
      <c r="AK8" s="55">
        <f>AJ8-SUM(G8,I8,J8:AI8)</f>
        <v>0</v>
      </c>
    </row>
    <row r="9" spans="1:37" ht="15" x14ac:dyDescent="0.2">
      <c r="A9" s="12"/>
      <c r="B9" s="13" t="s">
        <v>164</v>
      </c>
      <c r="C9" s="12"/>
      <c r="D9" s="12"/>
      <c r="E9" s="12"/>
      <c r="F9" s="14">
        <f>'Каф 10 Б'!F178</f>
        <v>2512</v>
      </c>
      <c r="G9" s="14">
        <f>'Каф 10 Б'!G178</f>
        <v>2216</v>
      </c>
      <c r="H9" s="14">
        <f>'Каф 10 Б'!H178</f>
        <v>1282</v>
      </c>
      <c r="I9" s="14">
        <f>'Каф 10 Б'!I178</f>
        <v>1330</v>
      </c>
      <c r="J9" s="14">
        <f>'Каф 10 Б'!J178</f>
        <v>4930</v>
      </c>
      <c r="K9" s="14">
        <f>'Каф 10 Б'!K178</f>
        <v>478.8</v>
      </c>
      <c r="L9" s="14">
        <f>'Каф 10 Б'!L178</f>
        <v>0</v>
      </c>
      <c r="M9" s="14">
        <f>'Каф 10 Б'!M178</f>
        <v>140.80000000000001</v>
      </c>
      <c r="N9" s="14">
        <f>'Каф 10 Б'!N178</f>
        <v>0</v>
      </c>
      <c r="O9" s="14">
        <f>'Каф 10 Б'!O178</f>
        <v>0</v>
      </c>
      <c r="P9" s="14">
        <f>'Каф 10 Б'!P178</f>
        <v>0</v>
      </c>
      <c r="Q9" s="14">
        <f>'Каф 10 Б'!Q178</f>
        <v>131.80000000000004</v>
      </c>
      <c r="R9" s="14">
        <f>'Каф 10 Б'!R178</f>
        <v>0</v>
      </c>
      <c r="S9" s="14">
        <f>'Каф 10 Б'!S178</f>
        <v>86</v>
      </c>
      <c r="T9" s="14">
        <f>'Каф 10 Б'!T178</f>
        <v>570</v>
      </c>
      <c r="U9" s="14">
        <f>'Каф 10 Б'!U178</f>
        <v>30.9</v>
      </c>
      <c r="V9" s="14">
        <f>'Каф 10 Б'!V178</f>
        <v>15</v>
      </c>
      <c r="W9" s="14">
        <f>'Каф 10 Б'!W178</f>
        <v>776</v>
      </c>
      <c r="X9" s="14">
        <f>'Каф 10 Б'!X178</f>
        <v>20</v>
      </c>
      <c r="Y9" s="14">
        <f>'Каф 10 Б'!Y178</f>
        <v>0</v>
      </c>
      <c r="Z9" s="14">
        <f>'Каф 10 Б'!Z178</f>
        <v>0</v>
      </c>
      <c r="AA9" s="14">
        <f>'Каф 10 Б'!AA178</f>
        <v>0</v>
      </c>
      <c r="AB9" s="14">
        <f>'Каф 10 Б'!AB178</f>
        <v>161</v>
      </c>
      <c r="AC9" s="14">
        <f>'Каф 10 Б'!AC178</f>
        <v>0</v>
      </c>
      <c r="AD9" s="14">
        <f>'Каф 10 Б'!AD178</f>
        <v>0</v>
      </c>
      <c r="AE9" s="14">
        <f>'Каф 10 Б'!AE178</f>
        <v>30</v>
      </c>
      <c r="AF9" s="14">
        <f>'Каф 10 Б'!AF178</f>
        <v>0</v>
      </c>
      <c r="AG9" s="14">
        <f>'Каф 10 Б'!AG178</f>
        <v>0</v>
      </c>
      <c r="AH9" s="14">
        <f>'Каф 10 Б'!AH178</f>
        <v>0</v>
      </c>
      <c r="AI9" s="14">
        <f>'Каф 10 Б'!AI178</f>
        <v>89</v>
      </c>
      <c r="AJ9" s="14">
        <f>'Каф 10 Б'!AJ178</f>
        <v>11005.3</v>
      </c>
      <c r="AK9" s="55">
        <f>AJ9-SUM(G9,I9,J9:AI9)</f>
        <v>0</v>
      </c>
    </row>
    <row r="10" spans="1:37" ht="15" x14ac:dyDescent="0.2">
      <c r="A10" s="12"/>
      <c r="B10" s="13" t="s">
        <v>165</v>
      </c>
      <c r="C10" s="12"/>
      <c r="D10" s="12"/>
      <c r="E10" s="12"/>
      <c r="F10" s="14">
        <f>'Каф 12 Б'!F141</f>
        <v>2284</v>
      </c>
      <c r="G10" s="14">
        <f>'Каф 12 Б'!G141</f>
        <v>1412</v>
      </c>
      <c r="H10" s="14">
        <f>'Каф 12 Б'!H141</f>
        <v>2442</v>
      </c>
      <c r="I10" s="14">
        <f>'Каф 12 Б'!I141</f>
        <v>2318</v>
      </c>
      <c r="J10" s="14">
        <f>'Каф 12 Б'!J141</f>
        <v>150</v>
      </c>
      <c r="K10" s="14">
        <f>'Каф 12 Б'!K141</f>
        <v>63.6</v>
      </c>
      <c r="L10" s="14">
        <f>'Каф 12 Б'!L141</f>
        <v>0</v>
      </c>
      <c r="M10" s="14">
        <f>'Каф 12 Б'!M141</f>
        <v>343.2</v>
      </c>
      <c r="N10" s="14">
        <f>'Каф 12 Б'!N141</f>
        <v>0</v>
      </c>
      <c r="O10" s="14">
        <f>'Каф 12 Б'!O141</f>
        <v>0</v>
      </c>
      <c r="P10" s="14">
        <f>'Каф 12 Б'!P141</f>
        <v>0</v>
      </c>
      <c r="Q10" s="14">
        <f>'Каф 12 Б'!Q141</f>
        <v>94.6</v>
      </c>
      <c r="R10" s="14">
        <f>'Каф 12 Б'!R141</f>
        <v>0</v>
      </c>
      <c r="S10" s="14">
        <f>'Каф 12 Б'!S141</f>
        <v>0</v>
      </c>
      <c r="T10" s="14">
        <f>'Каф 12 Б'!T141</f>
        <v>57.333333333333329</v>
      </c>
      <c r="U10" s="14">
        <f>'Каф 12 Б'!U141</f>
        <v>254.7</v>
      </c>
      <c r="V10" s="14">
        <f>'Каф 12 Б'!V141</f>
        <v>24</v>
      </c>
      <c r="W10" s="14">
        <f>'Каф 12 Б'!W141</f>
        <v>112</v>
      </c>
      <c r="X10" s="14">
        <f>'Каф 12 Б'!X141</f>
        <v>0</v>
      </c>
      <c r="Y10" s="14">
        <f>'Каф 12 Б'!Y141</f>
        <v>0</v>
      </c>
      <c r="Z10" s="14">
        <f>'Каф 12 Б'!Z141</f>
        <v>0</v>
      </c>
      <c r="AA10" s="14">
        <f>'Каф 12 Б'!AA141</f>
        <v>0</v>
      </c>
      <c r="AB10" s="14">
        <f>'Каф 12 Б'!AB141</f>
        <v>13.5</v>
      </c>
      <c r="AC10" s="14">
        <f>'Каф 12 Б'!AC141</f>
        <v>0</v>
      </c>
      <c r="AD10" s="14">
        <f>'Каф 12 Б'!AD141</f>
        <v>0</v>
      </c>
      <c r="AE10" s="14">
        <f>'Каф 12 Б'!AE141</f>
        <v>0</v>
      </c>
      <c r="AF10" s="14">
        <f>'Каф 12 Б'!AF141</f>
        <v>0</v>
      </c>
      <c r="AG10" s="14">
        <f>'Каф 12 Б'!AG141</f>
        <v>0</v>
      </c>
      <c r="AH10" s="14">
        <f>'Каф 12 Б'!AH141</f>
        <v>0</v>
      </c>
      <c r="AI10" s="14">
        <f>'Каф 12 Б'!AI141</f>
        <v>314</v>
      </c>
      <c r="AJ10" s="14">
        <f>'Каф 12 Б'!AJ141</f>
        <v>5156.9333333333343</v>
      </c>
      <c r="AK10" s="55">
        <f>AJ10-SUM(G10,I10,J10:AI10)</f>
        <v>0</v>
      </c>
    </row>
    <row r="11" spans="1:37" ht="15.75" x14ac:dyDescent="0.25">
      <c r="A11" s="15"/>
      <c r="B11" s="15" t="s">
        <v>59</v>
      </c>
      <c r="C11" s="15"/>
      <c r="D11" s="15"/>
      <c r="E11" s="15"/>
      <c r="F11" s="16">
        <f t="shared" ref="F11:AI11" si="0">SUM(F7:F10)</f>
        <v>8862</v>
      </c>
      <c r="G11" s="16">
        <f t="shared" si="0"/>
        <v>6778</v>
      </c>
      <c r="H11" s="16">
        <f t="shared" si="0"/>
        <v>6784</v>
      </c>
      <c r="I11" s="16">
        <f t="shared" si="0"/>
        <v>6542</v>
      </c>
      <c r="J11" s="16">
        <f>SUM(J7:J10)</f>
        <v>10379</v>
      </c>
      <c r="K11" s="16">
        <f t="shared" si="0"/>
        <v>1048.5</v>
      </c>
      <c r="L11" s="16">
        <f t="shared" si="0"/>
        <v>0</v>
      </c>
      <c r="M11" s="16">
        <f t="shared" si="0"/>
        <v>811.6</v>
      </c>
      <c r="N11" s="16">
        <f t="shared" si="0"/>
        <v>0</v>
      </c>
      <c r="O11" s="16">
        <f t="shared" si="0"/>
        <v>0</v>
      </c>
      <c r="P11" s="16">
        <f t="shared" si="0"/>
        <v>0</v>
      </c>
      <c r="Q11" s="16">
        <f t="shared" si="0"/>
        <v>421.90000000000009</v>
      </c>
      <c r="R11" s="16">
        <f t="shared" si="0"/>
        <v>0</v>
      </c>
      <c r="S11" s="16">
        <f t="shared" si="0"/>
        <v>244</v>
      </c>
      <c r="T11" s="16">
        <f>SUM(T7:T10)</f>
        <v>1337.9999999999998</v>
      </c>
      <c r="U11" s="16">
        <f t="shared" si="0"/>
        <v>292.5</v>
      </c>
      <c r="V11" s="16">
        <f t="shared" si="0"/>
        <v>87</v>
      </c>
      <c r="W11" s="16">
        <f t="shared" si="0"/>
        <v>1900</v>
      </c>
      <c r="X11" s="16">
        <f t="shared" si="0"/>
        <v>90</v>
      </c>
      <c r="Y11" s="16">
        <f t="shared" si="0"/>
        <v>0</v>
      </c>
      <c r="Z11" s="16">
        <f t="shared" si="0"/>
        <v>0</v>
      </c>
      <c r="AA11" s="16">
        <f t="shared" si="0"/>
        <v>0</v>
      </c>
      <c r="AB11" s="16">
        <f t="shared" si="0"/>
        <v>360.5</v>
      </c>
      <c r="AC11" s="16">
        <f t="shared" si="0"/>
        <v>0</v>
      </c>
      <c r="AD11" s="16">
        <f t="shared" si="0"/>
        <v>0</v>
      </c>
      <c r="AE11" s="16">
        <f t="shared" si="0"/>
        <v>150</v>
      </c>
      <c r="AF11" s="16">
        <f t="shared" si="0"/>
        <v>0</v>
      </c>
      <c r="AG11" s="16">
        <f t="shared" si="0"/>
        <v>0</v>
      </c>
      <c r="AH11" s="16">
        <f t="shared" si="0"/>
        <v>0</v>
      </c>
      <c r="AI11" s="16">
        <f t="shared" si="0"/>
        <v>696</v>
      </c>
      <c r="AJ11" s="16">
        <f>SUM(AJ7:AJ10)</f>
        <v>31139</v>
      </c>
      <c r="AK11" s="55">
        <f>AJ11-SUM(G11,I11,J11:AI11)</f>
        <v>0</v>
      </c>
    </row>
    <row r="12" spans="1:37" ht="15.75" x14ac:dyDescent="0.25">
      <c r="A12" s="15"/>
      <c r="B12" s="15"/>
      <c r="C12" s="15"/>
      <c r="D12" s="15"/>
      <c r="E12" s="15"/>
      <c r="F12" s="16"/>
      <c r="G12" s="16">
        <f>G11-Бюджет!G503</f>
        <v>0</v>
      </c>
      <c r="H12" s="16"/>
      <c r="I12" s="16">
        <f>I11-Бюджет!I503</f>
        <v>0</v>
      </c>
      <c r="J12" s="16">
        <f>J11-Бюджет!J503</f>
        <v>0</v>
      </c>
      <c r="K12" s="16">
        <f>K11-Бюджет!K503</f>
        <v>0</v>
      </c>
      <c r="L12" s="16">
        <f>L11-Бюджет!L503</f>
        <v>0</v>
      </c>
      <c r="M12" s="16">
        <f>M11-Бюджет!M503</f>
        <v>0</v>
      </c>
      <c r="N12" s="16">
        <f>N11-Бюджет!N503</f>
        <v>0</v>
      </c>
      <c r="O12" s="16">
        <f>O11-Бюджет!O503</f>
        <v>0</v>
      </c>
      <c r="P12" s="16">
        <f>P11-Бюджет!P503</f>
        <v>0</v>
      </c>
      <c r="Q12" s="16">
        <f>Q11-Бюджет!Q503</f>
        <v>0</v>
      </c>
      <c r="R12" s="16">
        <f>R11-Бюджет!R503</f>
        <v>0</v>
      </c>
      <c r="S12" s="16">
        <f>S11-Бюджет!S503</f>
        <v>0</v>
      </c>
      <c r="T12" s="16">
        <f>T11-Бюджет!T503</f>
        <v>0</v>
      </c>
      <c r="U12" s="16">
        <f>U11-Бюджет!U503</f>
        <v>0</v>
      </c>
      <c r="V12" s="16">
        <f>V11-Бюджет!V503</f>
        <v>0</v>
      </c>
      <c r="W12" s="16">
        <f>W11-Бюджет!W503</f>
        <v>0</v>
      </c>
      <c r="X12" s="16">
        <f>X11-Бюджет!X503</f>
        <v>0</v>
      </c>
      <c r="Y12" s="16">
        <f>Y11-Бюджет!Y503</f>
        <v>0</v>
      </c>
      <c r="Z12" s="16">
        <f>Z11-Бюджет!Z503</f>
        <v>0</v>
      </c>
      <c r="AA12" s="16">
        <f>AA11-Бюджет!AA503</f>
        <v>0</v>
      </c>
      <c r="AB12" s="16">
        <f>AB11-Бюджет!AB503</f>
        <v>0</v>
      </c>
      <c r="AC12" s="16">
        <f>AC11-Бюджет!AC503</f>
        <v>0</v>
      </c>
      <c r="AD12" s="16">
        <f>AD11-Бюджет!AD503</f>
        <v>0</v>
      </c>
      <c r="AE12" s="16">
        <f>AE11-Бюджет!AE503</f>
        <v>0</v>
      </c>
      <c r="AF12" s="16">
        <f>AF11-Бюджет!AF503</f>
        <v>0</v>
      </c>
      <c r="AG12" s="16">
        <f>AG11-Бюджет!AG503</f>
        <v>0</v>
      </c>
      <c r="AH12" s="16">
        <f>AH11-Бюджет!AH503</f>
        <v>0</v>
      </c>
      <c r="AI12" s="16">
        <f>AI11-Бюджет!AI503</f>
        <v>0</v>
      </c>
      <c r="AJ12" s="16">
        <f>AJ11-Бюджет!AJ503</f>
        <v>0</v>
      </c>
    </row>
    <row r="18" spans="20:30" x14ac:dyDescent="0.2">
      <c r="T18" t="s">
        <v>184</v>
      </c>
    </row>
    <row r="23" spans="20:30" x14ac:dyDescent="0.2">
      <c r="AB23" s="55"/>
    </row>
    <row r="28" spans="20:30" x14ac:dyDescent="0.2">
      <c r="X28" s="55"/>
    </row>
    <row r="29" spans="20:30" x14ac:dyDescent="0.2">
      <c r="AD29" s="55"/>
    </row>
  </sheetData>
  <mergeCells count="25">
    <mergeCell ref="A4:A5"/>
    <mergeCell ref="B4:B5"/>
    <mergeCell ref="C4:C5"/>
    <mergeCell ref="D4:D5"/>
    <mergeCell ref="E4:E5"/>
    <mergeCell ref="F4:G4"/>
    <mergeCell ref="H4:I4"/>
    <mergeCell ref="J4:J5"/>
    <mergeCell ref="K4:K5"/>
    <mergeCell ref="L4:O4"/>
    <mergeCell ref="P4:P5"/>
    <mergeCell ref="Q4:R4"/>
    <mergeCell ref="S4:T4"/>
    <mergeCell ref="U4:U5"/>
    <mergeCell ref="V4:V5"/>
    <mergeCell ref="W4:X4"/>
    <mergeCell ref="Y4:Y5"/>
    <mergeCell ref="Z4:Z5"/>
    <mergeCell ref="AJ4:AJ5"/>
    <mergeCell ref="AA4:AA5"/>
    <mergeCell ref="AB4:AB5"/>
    <mergeCell ref="AC4:AD4"/>
    <mergeCell ref="AE4:AF4"/>
    <mergeCell ref="AG4:AH4"/>
    <mergeCell ref="AI4:AI5"/>
  </mergeCells>
  <conditionalFormatting sqref="F7:AJ12">
    <cfRule type="cellIs" dxfId="6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B37" sqref="B37"/>
    </sheetView>
  </sheetViews>
  <sheetFormatPr defaultRowHeight="12.75" x14ac:dyDescent="0.2"/>
  <cols>
    <col min="1" max="1" width="20.42578125" customWidth="1"/>
    <col min="2" max="2" width="10.140625" bestFit="1" customWidth="1"/>
    <col min="3" max="3" width="10.85546875" customWidth="1"/>
    <col min="4" max="4" width="10.140625" bestFit="1" customWidth="1"/>
    <col min="7" max="7" width="10.5703125" customWidth="1"/>
    <col min="10" max="10" width="10.140625" bestFit="1" customWidth="1"/>
  </cols>
  <sheetData>
    <row r="1" spans="1:17" x14ac:dyDescent="0.2">
      <c r="A1" s="231" t="s">
        <v>506</v>
      </c>
    </row>
    <row r="2" spans="1:17" x14ac:dyDescent="0.2">
      <c r="D2" s="457"/>
      <c r="E2" s="458"/>
      <c r="F2" s="458"/>
    </row>
    <row r="3" spans="1:17" x14ac:dyDescent="0.2">
      <c r="A3" s="438" t="s">
        <v>15</v>
      </c>
      <c r="B3" s="437" t="s">
        <v>15</v>
      </c>
      <c r="C3" s="437"/>
      <c r="D3" s="437"/>
      <c r="E3" s="437"/>
      <c r="F3" s="437"/>
      <c r="G3" s="437"/>
      <c r="H3" s="437"/>
      <c r="I3" s="437"/>
      <c r="J3" s="437"/>
      <c r="P3" s="18" t="s">
        <v>133</v>
      </c>
      <c r="Q3" s="18" t="s">
        <v>134</v>
      </c>
    </row>
    <row r="4" spans="1:17" x14ac:dyDescent="0.2">
      <c r="A4" s="438"/>
      <c r="B4" s="437" t="s">
        <v>135</v>
      </c>
      <c r="C4" s="437"/>
      <c r="D4" s="437"/>
      <c r="E4" s="437"/>
      <c r="F4" s="437"/>
      <c r="G4" s="437"/>
      <c r="H4" s="437" t="s">
        <v>136</v>
      </c>
      <c r="I4" s="437"/>
      <c r="J4" s="437"/>
      <c r="P4" s="19" t="s">
        <v>137</v>
      </c>
      <c r="Q4" s="19">
        <v>10</v>
      </c>
    </row>
    <row r="5" spans="1:17" ht="12.75" customHeight="1" x14ac:dyDescent="0.2">
      <c r="A5" s="438"/>
      <c r="B5" s="229" t="s">
        <v>418</v>
      </c>
      <c r="C5" s="237" t="s">
        <v>427</v>
      </c>
      <c r="D5" s="237" t="s">
        <v>420</v>
      </c>
      <c r="E5" s="229" t="s">
        <v>419</v>
      </c>
      <c r="F5" s="229" t="s">
        <v>421</v>
      </c>
      <c r="G5" s="241" t="s">
        <v>422</v>
      </c>
      <c r="H5" s="229" t="s">
        <v>425</v>
      </c>
      <c r="I5" s="229" t="s">
        <v>426</v>
      </c>
      <c r="J5" s="237" t="s">
        <v>428</v>
      </c>
      <c r="P5" s="19" t="s">
        <v>140</v>
      </c>
      <c r="Q5" s="19">
        <v>12</v>
      </c>
    </row>
    <row r="6" spans="1:17" x14ac:dyDescent="0.2">
      <c r="A6" s="438"/>
      <c r="B6" s="229" t="s">
        <v>138</v>
      </c>
      <c r="C6" s="229" t="s">
        <v>139</v>
      </c>
      <c r="D6" s="229" t="s">
        <v>417</v>
      </c>
      <c r="E6" s="229" t="s">
        <v>190</v>
      </c>
      <c r="F6" s="229" t="s">
        <v>423</v>
      </c>
      <c r="G6" s="241" t="s">
        <v>424</v>
      </c>
      <c r="H6" s="229" t="s">
        <v>138</v>
      </c>
      <c r="I6" s="229" t="s">
        <v>417</v>
      </c>
      <c r="J6" s="229" t="s">
        <v>139</v>
      </c>
      <c r="P6" s="19" t="s">
        <v>146</v>
      </c>
      <c r="Q6" s="19">
        <v>8</v>
      </c>
    </row>
    <row r="7" spans="1:17" x14ac:dyDescent="0.2">
      <c r="A7" s="57" t="s">
        <v>147</v>
      </c>
      <c r="B7" s="57">
        <v>21</v>
      </c>
      <c r="C7" s="57">
        <v>23</v>
      </c>
      <c r="D7" s="57">
        <v>32</v>
      </c>
      <c r="E7" s="57">
        <v>27</v>
      </c>
      <c r="F7" s="57"/>
      <c r="G7" s="57">
        <v>25</v>
      </c>
      <c r="H7" s="57">
        <v>5</v>
      </c>
      <c r="I7" s="57">
        <v>5</v>
      </c>
      <c r="J7" s="57">
        <v>12</v>
      </c>
      <c r="P7" s="19" t="s">
        <v>148</v>
      </c>
      <c r="Q7" s="19">
        <v>7</v>
      </c>
    </row>
    <row r="8" spans="1:17" x14ac:dyDescent="0.2">
      <c r="A8" s="57" t="s">
        <v>149</v>
      </c>
      <c r="B8" s="57">
        <v>12</v>
      </c>
      <c r="C8" s="57">
        <v>18</v>
      </c>
      <c r="D8" s="57">
        <v>23</v>
      </c>
      <c r="E8" s="57">
        <v>34</v>
      </c>
      <c r="F8" s="57"/>
      <c r="G8" s="57">
        <v>25</v>
      </c>
      <c r="H8" s="57">
        <v>5</v>
      </c>
      <c r="I8" s="57">
        <v>0</v>
      </c>
      <c r="J8" s="57">
        <v>13</v>
      </c>
    </row>
    <row r="9" spans="1:17" x14ac:dyDescent="0.2">
      <c r="A9" s="57" t="s">
        <v>150</v>
      </c>
      <c r="B9" s="57">
        <v>15</v>
      </c>
      <c r="C9" s="57">
        <v>17</v>
      </c>
      <c r="D9" s="57">
        <v>23</v>
      </c>
      <c r="E9" s="57">
        <v>42</v>
      </c>
      <c r="F9" s="57"/>
      <c r="G9" s="57"/>
      <c r="H9" s="439"/>
      <c r="I9" s="440"/>
      <c r="J9" s="441"/>
    </row>
    <row r="10" spans="1:17" x14ac:dyDescent="0.2">
      <c r="A10" s="57" t="s">
        <v>151</v>
      </c>
      <c r="B10" s="57">
        <v>26</v>
      </c>
      <c r="C10" s="57">
        <v>14</v>
      </c>
      <c r="D10" s="57">
        <v>23</v>
      </c>
      <c r="E10" s="57">
        <v>15</v>
      </c>
      <c r="F10" s="57"/>
      <c r="G10" s="57"/>
      <c r="H10" s="442"/>
      <c r="I10" s="443"/>
      <c r="J10" s="444"/>
    </row>
    <row r="11" spans="1:17" x14ac:dyDescent="0.2">
      <c r="A11" s="57" t="s">
        <v>507</v>
      </c>
      <c r="B11" s="57"/>
      <c r="C11" s="57"/>
      <c r="D11" s="57"/>
      <c r="E11" s="57"/>
      <c r="F11" s="57">
        <v>7</v>
      </c>
      <c r="G11" s="57"/>
      <c r="H11" s="445"/>
      <c r="I11" s="446"/>
      <c r="J11" s="447"/>
    </row>
    <row r="12" spans="1:17" x14ac:dyDescent="0.2">
      <c r="B12">
        <f t="shared" ref="B12:G12" si="0">SUM(B7:B10)</f>
        <v>74</v>
      </c>
      <c r="C12">
        <f t="shared" si="0"/>
        <v>72</v>
      </c>
      <c r="D12">
        <f t="shared" si="0"/>
        <v>101</v>
      </c>
      <c r="E12">
        <f t="shared" si="0"/>
        <v>118</v>
      </c>
      <c r="F12">
        <f t="shared" si="0"/>
        <v>0</v>
      </c>
      <c r="G12">
        <f t="shared" si="0"/>
        <v>50</v>
      </c>
      <c r="H12">
        <f>SUM(H7:H8)</f>
        <v>10</v>
      </c>
      <c r="I12">
        <f>SUM(I7:I8)</f>
        <v>5</v>
      </c>
      <c r="J12">
        <f>SUM(J7:J8)</f>
        <v>25</v>
      </c>
      <c r="K12">
        <f>SUM(B12:J12)</f>
        <v>455</v>
      </c>
    </row>
    <row r="15" spans="1:17" ht="12.75" customHeight="1" x14ac:dyDescent="0.2">
      <c r="A15" s="438" t="s">
        <v>152</v>
      </c>
      <c r="B15" s="438" t="s">
        <v>429</v>
      </c>
      <c r="C15" s="438"/>
      <c r="D15" s="438"/>
      <c r="E15" s="438"/>
      <c r="F15" s="438"/>
      <c r="G15" s="438"/>
      <c r="H15" s="437" t="s">
        <v>430</v>
      </c>
      <c r="I15" s="437"/>
      <c r="J15" s="437"/>
    </row>
    <row r="16" spans="1:17" ht="12.75" customHeight="1" x14ac:dyDescent="0.2">
      <c r="A16" s="438"/>
      <c r="B16" s="242" t="s">
        <v>418</v>
      </c>
      <c r="C16" s="228" t="s">
        <v>427</v>
      </c>
      <c r="D16" s="228" t="s">
        <v>420</v>
      </c>
      <c r="E16" s="242" t="s">
        <v>419</v>
      </c>
      <c r="F16" s="242" t="s">
        <v>421</v>
      </c>
      <c r="G16" s="41" t="s">
        <v>422</v>
      </c>
      <c r="H16" s="242" t="s">
        <v>425</v>
      </c>
      <c r="I16" s="242" t="s">
        <v>426</v>
      </c>
      <c r="J16" s="228" t="s">
        <v>428</v>
      </c>
    </row>
    <row r="17" spans="1:15" x14ac:dyDescent="0.2">
      <c r="A17" s="438"/>
      <c r="B17" s="242" t="s">
        <v>138</v>
      </c>
      <c r="C17" s="242" t="s">
        <v>139</v>
      </c>
      <c r="D17" s="242" t="s">
        <v>417</v>
      </c>
      <c r="E17" s="242" t="s">
        <v>190</v>
      </c>
      <c r="F17" s="242" t="s">
        <v>423</v>
      </c>
      <c r="G17" s="41" t="s">
        <v>424</v>
      </c>
      <c r="H17" s="242" t="s">
        <v>138</v>
      </c>
      <c r="I17" s="242" t="s">
        <v>417</v>
      </c>
      <c r="J17" s="242" t="s">
        <v>139</v>
      </c>
      <c r="K17" s="1"/>
    </row>
    <row r="18" spans="1:15" x14ac:dyDescent="0.2">
      <c r="A18" s="57" t="s">
        <v>147</v>
      </c>
      <c r="B18" s="58">
        <v>1</v>
      </c>
      <c r="C18" s="58">
        <v>1</v>
      </c>
      <c r="D18" s="58">
        <v>1</v>
      </c>
      <c r="E18" s="57">
        <v>1</v>
      </c>
      <c r="F18" s="57"/>
      <c r="G18" s="57">
        <v>1</v>
      </c>
      <c r="H18" s="58">
        <v>1</v>
      </c>
      <c r="I18" s="58">
        <v>1</v>
      </c>
      <c r="J18" s="58">
        <v>1</v>
      </c>
      <c r="K18" s="20"/>
    </row>
    <row r="19" spans="1:15" x14ac:dyDescent="0.2">
      <c r="A19" s="57" t="s">
        <v>149</v>
      </c>
      <c r="B19" s="58">
        <v>1</v>
      </c>
      <c r="C19" s="58">
        <v>1</v>
      </c>
      <c r="D19" s="58">
        <v>1</v>
      </c>
      <c r="E19" s="57">
        <v>1</v>
      </c>
      <c r="F19" s="57"/>
      <c r="G19" s="57">
        <v>1</v>
      </c>
      <c r="H19" s="58">
        <v>1</v>
      </c>
      <c r="I19" s="58">
        <v>0</v>
      </c>
      <c r="J19" s="58">
        <v>1</v>
      </c>
      <c r="K19" s="20"/>
    </row>
    <row r="20" spans="1:15" x14ac:dyDescent="0.2">
      <c r="A20" s="57" t="s">
        <v>150</v>
      </c>
      <c r="B20" s="58">
        <v>1</v>
      </c>
      <c r="C20" s="58">
        <v>1</v>
      </c>
      <c r="D20" s="58">
        <v>1</v>
      </c>
      <c r="E20" s="58">
        <v>2</v>
      </c>
      <c r="F20" s="58"/>
      <c r="G20" s="58"/>
      <c r="H20" s="448"/>
      <c r="I20" s="449"/>
      <c r="J20" s="450"/>
    </row>
    <row r="21" spans="1:15" x14ac:dyDescent="0.2">
      <c r="A21" s="57" t="s">
        <v>151</v>
      </c>
      <c r="B21" s="58">
        <v>1</v>
      </c>
      <c r="C21" s="58">
        <v>1</v>
      </c>
      <c r="D21" s="58">
        <v>1</v>
      </c>
      <c r="E21" s="58">
        <v>1</v>
      </c>
      <c r="F21" s="58"/>
      <c r="G21" s="58"/>
      <c r="H21" s="451"/>
      <c r="I21" s="452"/>
      <c r="J21" s="453"/>
    </row>
    <row r="22" spans="1:15" x14ac:dyDescent="0.2">
      <c r="A22" s="57" t="s">
        <v>507</v>
      </c>
      <c r="B22" s="58"/>
      <c r="C22" s="58"/>
      <c r="D22" s="58"/>
      <c r="E22" s="58"/>
      <c r="F22" s="58">
        <v>1</v>
      </c>
      <c r="G22" s="58"/>
      <c r="H22" s="454"/>
      <c r="I22" s="455"/>
      <c r="J22" s="456"/>
    </row>
    <row r="25" spans="1:15" x14ac:dyDescent="0.2">
      <c r="B25" s="437" t="s">
        <v>79</v>
      </c>
      <c r="C25" s="437"/>
      <c r="D25" s="437"/>
      <c r="F25" s="438" t="s">
        <v>60</v>
      </c>
      <c r="G25" s="438"/>
      <c r="I25" s="437" t="s">
        <v>432</v>
      </c>
      <c r="J25" s="437"/>
      <c r="L25" s="437" t="s">
        <v>208</v>
      </c>
      <c r="M25" s="437"/>
      <c r="N25" s="437"/>
    </row>
    <row r="26" spans="1:15" x14ac:dyDescent="0.2">
      <c r="B26" s="437" t="s">
        <v>431</v>
      </c>
      <c r="C26" s="437"/>
      <c r="D26" s="437"/>
      <c r="F26" s="438" t="s">
        <v>431</v>
      </c>
      <c r="G26" s="438"/>
      <c r="I26" s="437" t="s">
        <v>189</v>
      </c>
      <c r="J26" s="437"/>
      <c r="L26" s="437" t="s">
        <v>431</v>
      </c>
      <c r="M26" s="437"/>
      <c r="N26" s="437"/>
    </row>
    <row r="27" spans="1:15" x14ac:dyDescent="0.2">
      <c r="B27" s="63" t="s">
        <v>143</v>
      </c>
      <c r="C27" s="63" t="s">
        <v>144</v>
      </c>
      <c r="D27" s="63" t="s">
        <v>145</v>
      </c>
      <c r="F27" s="229" t="s">
        <v>141</v>
      </c>
      <c r="G27" s="229" t="s">
        <v>142</v>
      </c>
      <c r="I27" s="63" t="s">
        <v>213</v>
      </c>
      <c r="J27" s="63" t="s">
        <v>214</v>
      </c>
      <c r="L27" s="63" t="s">
        <v>433</v>
      </c>
      <c r="M27" s="63" t="s">
        <v>143</v>
      </c>
      <c r="N27" s="63" t="s">
        <v>144</v>
      </c>
    </row>
    <row r="28" spans="1:15" x14ac:dyDescent="0.2">
      <c r="A28" s="65" t="s">
        <v>147</v>
      </c>
      <c r="B28" s="57"/>
      <c r="C28" s="57"/>
      <c r="D28" s="57"/>
      <c r="E28">
        <f>B28+C28+D28</f>
        <v>0</v>
      </c>
      <c r="F28" s="242"/>
      <c r="G28" s="242"/>
      <c r="I28" s="57"/>
      <c r="J28" s="57"/>
      <c r="L28" s="243">
        <v>9</v>
      </c>
      <c r="M28" s="243">
        <v>3</v>
      </c>
      <c r="N28" s="243">
        <v>0</v>
      </c>
      <c r="O28">
        <f>SUM(L28:N28)</f>
        <v>12</v>
      </c>
    </row>
    <row r="29" spans="1:15" x14ac:dyDescent="0.2">
      <c r="A29" s="65" t="s">
        <v>149</v>
      </c>
      <c r="B29" s="57">
        <v>6</v>
      </c>
      <c r="C29" s="57">
        <v>6</v>
      </c>
      <c r="D29" s="57">
        <v>6</v>
      </c>
      <c r="E29">
        <f>B29+C29+D29</f>
        <v>18</v>
      </c>
      <c r="F29" s="242"/>
      <c r="G29" s="242"/>
      <c r="I29" s="57">
        <v>17</v>
      </c>
      <c r="J29" s="57">
        <v>17</v>
      </c>
      <c r="K29">
        <f>SUM(I29:J29)</f>
        <v>34</v>
      </c>
      <c r="L29" s="243">
        <v>0</v>
      </c>
      <c r="M29" s="243">
        <v>5</v>
      </c>
      <c r="N29" s="243">
        <v>8</v>
      </c>
      <c r="O29">
        <f>SUM(L29:N29)</f>
        <v>13</v>
      </c>
    </row>
    <row r="30" spans="1:15" x14ac:dyDescent="0.2">
      <c r="A30" s="65" t="s">
        <v>150</v>
      </c>
      <c r="B30" s="57">
        <v>6</v>
      </c>
      <c r="C30" s="57">
        <v>5</v>
      </c>
      <c r="D30" s="57">
        <v>6</v>
      </c>
      <c r="E30">
        <f>B30+C30+D30</f>
        <v>17</v>
      </c>
      <c r="F30" s="242"/>
      <c r="G30" s="242"/>
      <c r="I30" s="57">
        <v>19</v>
      </c>
      <c r="J30" s="57">
        <v>23</v>
      </c>
      <c r="K30">
        <f>SUM(I30:J30)</f>
        <v>42</v>
      </c>
    </row>
    <row r="31" spans="1:15" x14ac:dyDescent="0.2">
      <c r="A31" s="65" t="s">
        <v>151</v>
      </c>
      <c r="B31" s="57">
        <v>3</v>
      </c>
      <c r="C31" s="57">
        <v>4</v>
      </c>
      <c r="D31" s="57">
        <v>7</v>
      </c>
      <c r="E31">
        <f>B31+C31+D31</f>
        <v>14</v>
      </c>
      <c r="F31" s="242">
        <v>15</v>
      </c>
      <c r="G31" s="242">
        <v>11</v>
      </c>
      <c r="H31">
        <f>SUM(F31:G31)</f>
        <v>26</v>
      </c>
      <c r="I31" s="57">
        <v>9</v>
      </c>
      <c r="J31" s="57">
        <v>6</v>
      </c>
      <c r="K31">
        <f>SUM(I31:J31)</f>
        <v>15</v>
      </c>
    </row>
  </sheetData>
  <sheetProtection selectLockedCells="1" selectUnlockedCells="1"/>
  <mergeCells count="18">
    <mergeCell ref="H20:J22"/>
    <mergeCell ref="D2:F2"/>
    <mergeCell ref="H4:J4"/>
    <mergeCell ref="B4:G4"/>
    <mergeCell ref="B3:J3"/>
    <mergeCell ref="A3:A6"/>
    <mergeCell ref="H9:J11"/>
    <mergeCell ref="A15:A17"/>
    <mergeCell ref="B15:G15"/>
    <mergeCell ref="H15:J15"/>
    <mergeCell ref="B25:D25"/>
    <mergeCell ref="F25:G25"/>
    <mergeCell ref="I25:J25"/>
    <mergeCell ref="L25:N25"/>
    <mergeCell ref="B26:D26"/>
    <mergeCell ref="F26:G26"/>
    <mergeCell ref="I26:J26"/>
    <mergeCell ref="L26:N26"/>
  </mergeCells>
  <conditionalFormatting sqref="E29">
    <cfRule type="cellIs" dxfId="59" priority="9" stopIfTrue="1" operator="notEqual">
      <formula>$C$8</formula>
    </cfRule>
  </conditionalFormatting>
  <conditionalFormatting sqref="E30">
    <cfRule type="cellIs" dxfId="58" priority="8" stopIfTrue="1" operator="notEqual">
      <formula>$C$9</formula>
    </cfRule>
  </conditionalFormatting>
  <conditionalFormatting sqref="E31">
    <cfRule type="cellIs" dxfId="57" priority="7" stopIfTrue="1" operator="notEqual">
      <formula>$C$10</formula>
    </cfRule>
  </conditionalFormatting>
  <conditionalFormatting sqref="H31">
    <cfRule type="cellIs" dxfId="56" priority="6" stopIfTrue="1" operator="notEqual">
      <formula>$B$10</formula>
    </cfRule>
  </conditionalFormatting>
  <conditionalFormatting sqref="K29">
    <cfRule type="cellIs" dxfId="55" priority="5" stopIfTrue="1" operator="notEqual">
      <formula>$E$8</formula>
    </cfRule>
  </conditionalFormatting>
  <conditionalFormatting sqref="K30">
    <cfRule type="cellIs" dxfId="54" priority="4" stopIfTrue="1" operator="notEqual">
      <formula>$E$9</formula>
    </cfRule>
  </conditionalFormatting>
  <conditionalFormatting sqref="K31">
    <cfRule type="cellIs" dxfId="53" priority="3" operator="notEqual">
      <formula>$E$10</formula>
    </cfRule>
  </conditionalFormatting>
  <conditionalFormatting sqref="O28">
    <cfRule type="cellIs" dxfId="52" priority="2" operator="notEqual">
      <formula>$J$7</formula>
    </cfRule>
  </conditionalFormatting>
  <conditionalFormatting sqref="O29">
    <cfRule type="cellIs" dxfId="51" priority="1" operator="notEqual">
      <formula>$J$8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D40" sqref="D40"/>
    </sheetView>
  </sheetViews>
  <sheetFormatPr defaultRowHeight="12.75" x14ac:dyDescent="0.2"/>
  <cols>
    <col min="1" max="1" width="20.42578125" customWidth="1"/>
    <col min="2" max="2" width="10.140625" bestFit="1" customWidth="1"/>
    <col min="3" max="3" width="10.85546875" customWidth="1"/>
    <col min="4" max="4" width="10.140625" bestFit="1" customWidth="1"/>
    <col min="7" max="7" width="10.5703125" customWidth="1"/>
    <col min="10" max="10" width="10.140625" bestFit="1" customWidth="1"/>
  </cols>
  <sheetData>
    <row r="1" spans="1:11" x14ac:dyDescent="0.2">
      <c r="A1" s="231" t="s">
        <v>508</v>
      </c>
    </row>
    <row r="2" spans="1:11" x14ac:dyDescent="0.2">
      <c r="D2" s="457"/>
      <c r="E2" s="458"/>
      <c r="F2" s="458"/>
    </row>
    <row r="3" spans="1:11" x14ac:dyDescent="0.2">
      <c r="A3" s="438" t="s">
        <v>15</v>
      </c>
      <c r="B3" s="437" t="s">
        <v>15</v>
      </c>
      <c r="C3" s="437"/>
      <c r="D3" s="437"/>
      <c r="E3" s="437"/>
      <c r="F3" s="437"/>
      <c r="G3" s="437"/>
      <c r="H3" s="437"/>
      <c r="I3" s="437"/>
      <c r="J3" s="437"/>
    </row>
    <row r="4" spans="1:11" x14ac:dyDescent="0.2">
      <c r="A4" s="438"/>
      <c r="B4" s="437" t="s">
        <v>135</v>
      </c>
      <c r="C4" s="437"/>
      <c r="D4" s="437"/>
      <c r="E4" s="437"/>
      <c r="F4" s="437"/>
      <c r="G4" s="437"/>
      <c r="H4" s="437" t="s">
        <v>136</v>
      </c>
      <c r="I4" s="437"/>
      <c r="J4" s="437"/>
    </row>
    <row r="5" spans="1:11" ht="12.75" customHeight="1" x14ac:dyDescent="0.2">
      <c r="A5" s="438"/>
      <c r="B5" s="229" t="s">
        <v>418</v>
      </c>
      <c r="C5" s="237" t="s">
        <v>427</v>
      </c>
      <c r="D5" s="237" t="s">
        <v>420</v>
      </c>
      <c r="E5" s="229" t="s">
        <v>419</v>
      </c>
      <c r="F5" s="229" t="s">
        <v>421</v>
      </c>
      <c r="G5" s="241" t="s">
        <v>422</v>
      </c>
      <c r="H5" s="229" t="s">
        <v>425</v>
      </c>
      <c r="I5" s="229" t="s">
        <v>426</v>
      </c>
      <c r="J5" s="237" t="s">
        <v>428</v>
      </c>
    </row>
    <row r="6" spans="1:11" x14ac:dyDescent="0.2">
      <c r="A6" s="438"/>
      <c r="B6" s="229" t="s">
        <v>138</v>
      </c>
      <c r="C6" s="229" t="s">
        <v>139</v>
      </c>
      <c r="D6" s="229" t="s">
        <v>417</v>
      </c>
      <c r="E6" s="229" t="s">
        <v>190</v>
      </c>
      <c r="F6" s="229" t="s">
        <v>423</v>
      </c>
      <c r="G6" s="241" t="s">
        <v>424</v>
      </c>
      <c r="H6" s="229" t="s">
        <v>138</v>
      </c>
      <c r="I6" s="229" t="s">
        <v>417</v>
      </c>
      <c r="J6" s="229" t="s">
        <v>139</v>
      </c>
    </row>
    <row r="7" spans="1:11" x14ac:dyDescent="0.2">
      <c r="A7" s="57" t="s">
        <v>147</v>
      </c>
      <c r="B7" s="57"/>
      <c r="C7" s="57"/>
      <c r="D7" s="57"/>
      <c r="E7" s="57"/>
      <c r="F7" s="57"/>
      <c r="G7" s="57"/>
      <c r="H7" s="57"/>
      <c r="I7" s="57"/>
      <c r="J7" s="57"/>
    </row>
    <row r="8" spans="1:11" x14ac:dyDescent="0.2">
      <c r="A8" s="57" t="s">
        <v>149</v>
      </c>
      <c r="B8" s="57"/>
      <c r="C8" s="57"/>
      <c r="D8" s="57"/>
      <c r="E8" s="244">
        <v>1</v>
      </c>
      <c r="F8" s="57"/>
      <c r="G8" s="57"/>
      <c r="H8" s="57"/>
      <c r="I8" s="57"/>
      <c r="J8" s="57"/>
    </row>
    <row r="9" spans="1:11" x14ac:dyDescent="0.2">
      <c r="A9" s="57" t="s">
        <v>150</v>
      </c>
      <c r="B9" s="57"/>
      <c r="C9" s="57"/>
      <c r="D9" s="244">
        <v>1</v>
      </c>
      <c r="E9" s="57"/>
      <c r="F9" s="57"/>
      <c r="G9" s="57"/>
      <c r="H9" s="439"/>
      <c r="I9" s="440"/>
      <c r="J9" s="441"/>
    </row>
    <row r="10" spans="1:11" x14ac:dyDescent="0.2">
      <c r="A10" s="57" t="s">
        <v>151</v>
      </c>
      <c r="B10" s="57"/>
      <c r="C10" s="57"/>
      <c r="D10" s="57"/>
      <c r="E10" s="57"/>
      <c r="F10" s="57"/>
      <c r="G10" s="57"/>
      <c r="H10" s="442"/>
      <c r="I10" s="443"/>
      <c r="J10" s="444"/>
    </row>
    <row r="11" spans="1:11" x14ac:dyDescent="0.2">
      <c r="A11" s="57" t="s">
        <v>507</v>
      </c>
      <c r="B11" s="57"/>
      <c r="C11" s="57"/>
      <c r="D11" s="57"/>
      <c r="E11" s="57"/>
      <c r="F11" s="57"/>
      <c r="G11" s="57"/>
      <c r="H11" s="445"/>
      <c r="I11" s="446"/>
      <c r="J11" s="447"/>
    </row>
    <row r="12" spans="1:11" x14ac:dyDescent="0.2">
      <c r="B12">
        <f t="shared" ref="B12:G12" si="0">SUM(B7:B10)</f>
        <v>0</v>
      </c>
      <c r="C12">
        <f t="shared" si="0"/>
        <v>0</v>
      </c>
      <c r="D12">
        <f t="shared" si="0"/>
        <v>1</v>
      </c>
      <c r="E12">
        <f t="shared" si="0"/>
        <v>1</v>
      </c>
      <c r="F12">
        <f t="shared" si="0"/>
        <v>0</v>
      </c>
      <c r="G12">
        <f t="shared" si="0"/>
        <v>0</v>
      </c>
      <c r="H12">
        <f>SUM(H7:H8)</f>
        <v>0</v>
      </c>
      <c r="I12">
        <f>SUM(I7:I8)</f>
        <v>0</v>
      </c>
      <c r="J12">
        <f>SUM(J7:J8)</f>
        <v>0</v>
      </c>
      <c r="K12">
        <f>SUM(B12:J12)</f>
        <v>2</v>
      </c>
    </row>
    <row r="15" spans="1:11" ht="12.75" customHeight="1" x14ac:dyDescent="0.2">
      <c r="A15" s="438" t="s">
        <v>152</v>
      </c>
      <c r="B15" s="438" t="s">
        <v>429</v>
      </c>
      <c r="C15" s="438"/>
      <c r="D15" s="438"/>
      <c r="E15" s="438"/>
      <c r="F15" s="438"/>
      <c r="G15" s="438"/>
      <c r="H15" s="437" t="s">
        <v>430</v>
      </c>
      <c r="I15" s="437"/>
      <c r="J15" s="437"/>
    </row>
    <row r="16" spans="1:11" ht="12.75" customHeight="1" x14ac:dyDescent="0.2">
      <c r="A16" s="438"/>
      <c r="B16" s="242" t="s">
        <v>418</v>
      </c>
      <c r="C16" s="228" t="s">
        <v>427</v>
      </c>
      <c r="D16" s="228" t="s">
        <v>420</v>
      </c>
      <c r="E16" s="242" t="s">
        <v>419</v>
      </c>
      <c r="F16" s="242" t="s">
        <v>421</v>
      </c>
      <c r="G16" s="41" t="s">
        <v>422</v>
      </c>
      <c r="H16" s="242" t="s">
        <v>425</v>
      </c>
      <c r="I16" s="242" t="s">
        <v>426</v>
      </c>
      <c r="J16" s="228" t="s">
        <v>428</v>
      </c>
    </row>
    <row r="17" spans="1:15" x14ac:dyDescent="0.2">
      <c r="A17" s="438"/>
      <c r="B17" s="242" t="s">
        <v>138</v>
      </c>
      <c r="C17" s="242" t="s">
        <v>139</v>
      </c>
      <c r="D17" s="242" t="s">
        <v>417</v>
      </c>
      <c r="E17" s="242" t="s">
        <v>190</v>
      </c>
      <c r="F17" s="242" t="s">
        <v>423</v>
      </c>
      <c r="G17" s="41" t="s">
        <v>424</v>
      </c>
      <c r="H17" s="242" t="s">
        <v>138</v>
      </c>
      <c r="I17" s="242" t="s">
        <v>417</v>
      </c>
      <c r="J17" s="242" t="s">
        <v>139</v>
      </c>
      <c r="K17" s="1"/>
    </row>
    <row r="18" spans="1:15" x14ac:dyDescent="0.2">
      <c r="A18" s="57" t="s">
        <v>147</v>
      </c>
      <c r="B18" s="58"/>
      <c r="C18" s="58"/>
      <c r="D18" s="58"/>
      <c r="E18" s="57"/>
      <c r="F18" s="57"/>
      <c r="G18" s="57"/>
      <c r="H18" s="58"/>
      <c r="I18" s="58"/>
      <c r="J18" s="58"/>
      <c r="K18" s="20"/>
    </row>
    <row r="19" spans="1:15" x14ac:dyDescent="0.2">
      <c r="A19" s="57" t="s">
        <v>149</v>
      </c>
      <c r="B19" s="58"/>
      <c r="C19" s="58"/>
      <c r="D19" s="58"/>
      <c r="E19" s="57"/>
      <c r="F19" s="57"/>
      <c r="G19" s="57"/>
      <c r="H19" s="58"/>
      <c r="I19" s="58"/>
      <c r="J19" s="58"/>
      <c r="K19" s="20"/>
    </row>
    <row r="20" spans="1:15" x14ac:dyDescent="0.2">
      <c r="A20" s="57" t="s">
        <v>150</v>
      </c>
      <c r="B20" s="58"/>
      <c r="C20" s="58"/>
      <c r="D20" s="58"/>
      <c r="E20" s="58"/>
      <c r="F20" s="58"/>
      <c r="G20" s="58"/>
      <c r="H20" s="448"/>
      <c r="I20" s="449"/>
      <c r="J20" s="450"/>
    </row>
    <row r="21" spans="1:15" x14ac:dyDescent="0.2">
      <c r="A21" s="57" t="s">
        <v>151</v>
      </c>
      <c r="B21" s="58"/>
      <c r="C21" s="58"/>
      <c r="D21" s="58"/>
      <c r="E21" s="58"/>
      <c r="F21" s="58"/>
      <c r="G21" s="58"/>
      <c r="H21" s="451"/>
      <c r="I21" s="452"/>
      <c r="J21" s="453"/>
    </row>
    <row r="22" spans="1:15" x14ac:dyDescent="0.2">
      <c r="A22" s="57" t="s">
        <v>507</v>
      </c>
      <c r="B22" s="58"/>
      <c r="C22" s="58"/>
      <c r="D22" s="58"/>
      <c r="E22" s="58"/>
      <c r="F22" s="58"/>
      <c r="G22" s="58"/>
      <c r="H22" s="454"/>
      <c r="I22" s="455"/>
      <c r="J22" s="456"/>
    </row>
    <row r="25" spans="1:15" x14ac:dyDescent="0.2">
      <c r="B25" s="437" t="s">
        <v>79</v>
      </c>
      <c r="C25" s="437"/>
      <c r="D25" s="437"/>
      <c r="F25" s="438" t="s">
        <v>60</v>
      </c>
      <c r="G25" s="438"/>
      <c r="I25" s="437" t="s">
        <v>432</v>
      </c>
      <c r="J25" s="437"/>
      <c r="L25" s="437" t="s">
        <v>208</v>
      </c>
      <c r="M25" s="437"/>
      <c r="N25" s="437"/>
    </row>
    <row r="26" spans="1:15" x14ac:dyDescent="0.2">
      <c r="B26" s="437" t="s">
        <v>431</v>
      </c>
      <c r="C26" s="437"/>
      <c r="D26" s="437"/>
      <c r="F26" s="438" t="s">
        <v>431</v>
      </c>
      <c r="G26" s="438"/>
      <c r="I26" s="437" t="s">
        <v>189</v>
      </c>
      <c r="J26" s="437"/>
      <c r="L26" s="437" t="s">
        <v>431</v>
      </c>
      <c r="M26" s="437"/>
      <c r="N26" s="437"/>
    </row>
    <row r="27" spans="1:15" x14ac:dyDescent="0.2">
      <c r="B27" s="63" t="s">
        <v>143</v>
      </c>
      <c r="C27" s="63" t="s">
        <v>144</v>
      </c>
      <c r="D27" s="63" t="s">
        <v>145</v>
      </c>
      <c r="F27" s="229" t="s">
        <v>141</v>
      </c>
      <c r="G27" s="229" t="s">
        <v>142</v>
      </c>
      <c r="I27" s="63" t="s">
        <v>213</v>
      </c>
      <c r="J27" s="63" t="s">
        <v>214</v>
      </c>
      <c r="L27" s="63" t="s">
        <v>433</v>
      </c>
      <c r="M27" s="63" t="s">
        <v>143</v>
      </c>
      <c r="N27" s="63" t="s">
        <v>144</v>
      </c>
    </row>
    <row r="28" spans="1:15" x14ac:dyDescent="0.2">
      <c r="A28" s="65" t="s">
        <v>147</v>
      </c>
      <c r="B28" s="57"/>
      <c r="C28" s="57"/>
      <c r="D28" s="57"/>
      <c r="E28">
        <f>B28+C28+D28</f>
        <v>0</v>
      </c>
      <c r="F28" s="242"/>
      <c r="G28" s="242"/>
      <c r="I28" s="57"/>
      <c r="J28" s="57"/>
      <c r="L28" s="243"/>
      <c r="M28" s="243"/>
      <c r="N28" s="243"/>
      <c r="O28">
        <f>SUM(L28:N28)</f>
        <v>0</v>
      </c>
    </row>
    <row r="29" spans="1:15" x14ac:dyDescent="0.2">
      <c r="A29" s="65" t="s">
        <v>149</v>
      </c>
      <c r="B29" s="57"/>
      <c r="C29" s="57"/>
      <c r="D29" s="57"/>
      <c r="E29">
        <f>B29+C29+D29</f>
        <v>0</v>
      </c>
      <c r="F29" s="242"/>
      <c r="G29" s="242"/>
      <c r="I29" s="57"/>
      <c r="J29" s="244">
        <v>1</v>
      </c>
      <c r="K29">
        <f>SUM(I29:J29)</f>
        <v>1</v>
      </c>
      <c r="L29" s="243"/>
      <c r="M29" s="243"/>
      <c r="N29" s="243"/>
      <c r="O29">
        <f>SUM(L29:N29)</f>
        <v>0</v>
      </c>
    </row>
    <row r="30" spans="1:15" x14ac:dyDescent="0.2">
      <c r="A30" s="65" t="s">
        <v>150</v>
      </c>
      <c r="B30" s="57"/>
      <c r="C30" s="57"/>
      <c r="D30" s="57"/>
      <c r="E30">
        <f>B30+C30+D30</f>
        <v>0</v>
      </c>
      <c r="F30" s="242"/>
      <c r="G30" s="242"/>
      <c r="I30" s="57"/>
      <c r="J30" s="57"/>
      <c r="K30">
        <f>SUM(I30:J30)</f>
        <v>0</v>
      </c>
    </row>
    <row r="31" spans="1:15" x14ac:dyDescent="0.2">
      <c r="A31" s="65" t="s">
        <v>151</v>
      </c>
      <c r="B31" s="57"/>
      <c r="C31" s="57"/>
      <c r="D31" s="57"/>
      <c r="E31">
        <f>B31+C31+D31</f>
        <v>0</v>
      </c>
      <c r="F31" s="242"/>
      <c r="G31" s="242"/>
      <c r="H31">
        <f>SUM(F31:G31)</f>
        <v>0</v>
      </c>
      <c r="I31" s="57"/>
      <c r="J31" s="57"/>
      <c r="K31">
        <f>SUM(I31:J31)</f>
        <v>0</v>
      </c>
    </row>
  </sheetData>
  <sheetProtection selectLockedCells="1" selectUnlockedCells="1"/>
  <mergeCells count="18">
    <mergeCell ref="D2:F2"/>
    <mergeCell ref="A15:A17"/>
    <mergeCell ref="B15:G15"/>
    <mergeCell ref="H15:J15"/>
    <mergeCell ref="H20:J22"/>
    <mergeCell ref="A3:A6"/>
    <mergeCell ref="B3:J3"/>
    <mergeCell ref="B4:G4"/>
    <mergeCell ref="H4:J4"/>
    <mergeCell ref="H9:J11"/>
    <mergeCell ref="B25:D25"/>
    <mergeCell ref="F25:G25"/>
    <mergeCell ref="I25:J25"/>
    <mergeCell ref="L25:N25"/>
    <mergeCell ref="B26:D26"/>
    <mergeCell ref="F26:G26"/>
    <mergeCell ref="I26:J26"/>
    <mergeCell ref="L26:N26"/>
  </mergeCells>
  <conditionalFormatting sqref="E29">
    <cfRule type="cellIs" dxfId="50" priority="9" stopIfTrue="1" operator="notEqual">
      <formula>$C$8</formula>
    </cfRule>
  </conditionalFormatting>
  <conditionalFormatting sqref="E30">
    <cfRule type="cellIs" dxfId="49" priority="8" stopIfTrue="1" operator="notEqual">
      <formula>$C$9</formula>
    </cfRule>
  </conditionalFormatting>
  <conditionalFormatting sqref="E31">
    <cfRule type="cellIs" dxfId="48" priority="7" stopIfTrue="1" operator="notEqual">
      <formula>$C$10</formula>
    </cfRule>
  </conditionalFormatting>
  <conditionalFormatting sqref="H31">
    <cfRule type="cellIs" dxfId="47" priority="6" stopIfTrue="1" operator="notEqual">
      <formula>$B$10</formula>
    </cfRule>
  </conditionalFormatting>
  <conditionalFormatting sqref="K29">
    <cfRule type="cellIs" dxfId="46" priority="5" stopIfTrue="1" operator="notEqual">
      <formula>$E$8</formula>
    </cfRule>
  </conditionalFormatting>
  <conditionalFormatting sqref="K30">
    <cfRule type="cellIs" dxfId="45" priority="4" stopIfTrue="1" operator="notEqual">
      <formula>$E$9</formula>
    </cfRule>
  </conditionalFormatting>
  <conditionalFormatting sqref="K31">
    <cfRule type="cellIs" dxfId="44" priority="3" operator="notEqual">
      <formula>$E$10</formula>
    </cfRule>
  </conditionalFormatting>
  <conditionalFormatting sqref="O28">
    <cfRule type="cellIs" dxfId="43" priority="2" operator="notEqual">
      <formula>$J$7</formula>
    </cfRule>
  </conditionalFormatting>
  <conditionalFormatting sqref="O29">
    <cfRule type="cellIs" dxfId="42" priority="1" operator="notEqual">
      <formula>$J$8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N78"/>
  <sheetViews>
    <sheetView view="pageBreakPreview" zoomScale="55" zoomScaleNormal="60" zoomScaleSheetLayoutView="55" zoomScalePageLayoutView="40" workbookViewId="0">
      <selection activeCell="A28" sqref="A28"/>
    </sheetView>
  </sheetViews>
  <sheetFormatPr defaultColWidth="9.140625" defaultRowHeight="12.75" x14ac:dyDescent="0.2"/>
  <cols>
    <col min="1" max="1" width="20.28515625" style="20" customWidth="1"/>
    <col min="2" max="2" width="74" style="20" customWidth="1"/>
    <col min="3" max="3" width="6.5703125" style="20" customWidth="1"/>
    <col min="4" max="4" width="8.140625" style="20" customWidth="1"/>
    <col min="5" max="5" width="7.42578125" style="20" customWidth="1"/>
    <col min="6" max="6" width="12.42578125" style="20" customWidth="1"/>
    <col min="7" max="7" width="12.5703125" style="20" customWidth="1"/>
    <col min="8" max="8" width="12.42578125" style="20" customWidth="1"/>
    <col min="9" max="9" width="11.5703125" style="20" customWidth="1"/>
    <col min="10" max="10" width="13.42578125" style="20" customWidth="1"/>
    <col min="11" max="11" width="12.42578125" style="20" customWidth="1"/>
    <col min="12" max="15" width="10" style="20" customWidth="1"/>
    <col min="16" max="17" width="10.5703125" style="20" customWidth="1"/>
    <col min="18" max="18" width="7.42578125" style="20" customWidth="1"/>
    <col min="19" max="19" width="10.28515625" style="20" customWidth="1"/>
    <col min="20" max="20" width="11.42578125" style="20" bestFit="1" customWidth="1"/>
    <col min="21" max="21" width="10.5703125" style="20" customWidth="1"/>
    <col min="22" max="22" width="10.140625" style="20" customWidth="1"/>
    <col min="23" max="23" width="11.42578125" style="20" customWidth="1"/>
    <col min="24" max="24" width="11.28515625" style="20" customWidth="1"/>
    <col min="25" max="27" width="9" style="20" customWidth="1"/>
    <col min="28" max="28" width="12.85546875" style="20" customWidth="1"/>
    <col min="29" max="29" width="9" style="20" customWidth="1"/>
    <col min="30" max="30" width="12" style="20" customWidth="1"/>
    <col min="31" max="31" width="10.85546875" style="20" customWidth="1"/>
    <col min="32" max="34" width="9" style="20" customWidth="1"/>
    <col min="35" max="35" width="12" style="20" bestFit="1" customWidth="1"/>
    <col min="36" max="36" width="12.85546875" style="20" customWidth="1"/>
    <col min="37" max="37" width="13.140625" style="1" customWidth="1"/>
    <col min="38" max="38" width="11.7109375" style="20" bestFit="1" customWidth="1"/>
    <col min="39" max="39" width="32.5703125" style="72" customWidth="1"/>
    <col min="40" max="16384" width="9.140625" style="20"/>
  </cols>
  <sheetData>
    <row r="1" spans="1:39" s="205" customFormat="1" ht="15.75" x14ac:dyDescent="0.2">
      <c r="AF1" s="368" t="s">
        <v>0</v>
      </c>
      <c r="AG1" s="368"/>
      <c r="AH1" s="368"/>
      <c r="AI1" s="368"/>
      <c r="AJ1" s="368"/>
      <c r="AK1" s="368"/>
      <c r="AM1" s="218"/>
    </row>
    <row r="2" spans="1:39" s="205" customFormat="1" ht="15" x14ac:dyDescent="0.2">
      <c r="B2" s="376" t="s">
        <v>1</v>
      </c>
      <c r="C2" s="376"/>
      <c r="D2" s="376"/>
      <c r="E2" s="376"/>
      <c r="F2" s="376"/>
      <c r="G2" s="376"/>
      <c r="H2" s="277"/>
      <c r="I2" s="27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377"/>
      <c r="AG2" s="377"/>
      <c r="AH2" s="377"/>
      <c r="AI2" s="377"/>
      <c r="AJ2" s="377"/>
      <c r="AK2" s="377"/>
      <c r="AM2" s="218"/>
    </row>
    <row r="3" spans="1:39" s="205" customFormat="1" ht="15" x14ac:dyDescent="0.2">
      <c r="B3" s="376" t="s">
        <v>2</v>
      </c>
      <c r="C3" s="376"/>
      <c r="D3" s="376"/>
      <c r="E3" s="376"/>
      <c r="F3" s="376"/>
      <c r="G3" s="376"/>
      <c r="H3" s="277"/>
      <c r="I3" s="277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377" t="s">
        <v>3</v>
      </c>
      <c r="AD3" s="377"/>
      <c r="AE3" s="377"/>
      <c r="AF3" s="377"/>
      <c r="AG3" s="377"/>
      <c r="AH3" s="377"/>
      <c r="AI3" s="377"/>
      <c r="AJ3" s="377"/>
      <c r="AK3" s="377"/>
      <c r="AM3" s="218"/>
    </row>
    <row r="4" spans="1:39" s="205" customFormat="1" ht="15" x14ac:dyDescent="0.2">
      <c r="B4" s="376" t="s">
        <v>4</v>
      </c>
      <c r="C4" s="376"/>
      <c r="D4" s="376"/>
      <c r="E4" s="376"/>
      <c r="F4" s="376"/>
      <c r="G4" s="376"/>
      <c r="H4" s="277"/>
      <c r="I4" s="27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377" t="s">
        <v>5</v>
      </c>
      <c r="AD4" s="377"/>
      <c r="AE4" s="377"/>
      <c r="AF4" s="377"/>
      <c r="AG4" s="377"/>
      <c r="AH4" s="377"/>
      <c r="AI4" s="377"/>
      <c r="AJ4" s="377"/>
      <c r="AK4" s="377"/>
      <c r="AM4" s="218"/>
    </row>
    <row r="5" spans="1:39" s="205" customFormat="1" ht="15" x14ac:dyDescent="0.2">
      <c r="B5" s="376" t="s">
        <v>6</v>
      </c>
      <c r="C5" s="376"/>
      <c r="D5" s="376"/>
      <c r="E5" s="376"/>
      <c r="F5" s="376"/>
      <c r="G5" s="292"/>
      <c r="H5" s="277"/>
      <c r="I5" s="27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77"/>
      <c r="AD5" s="377"/>
      <c r="AE5" s="377"/>
      <c r="AF5" s="377"/>
      <c r="AG5" s="377"/>
      <c r="AH5" s="377"/>
      <c r="AI5" s="377"/>
      <c r="AJ5" s="377"/>
      <c r="AK5" s="377"/>
      <c r="AM5" s="218"/>
    </row>
    <row r="6" spans="1:39" s="205" customFormat="1" ht="15" x14ac:dyDescent="0.2">
      <c r="B6" s="376" t="s">
        <v>7</v>
      </c>
      <c r="C6" s="376"/>
      <c r="D6" s="376"/>
      <c r="E6" s="376"/>
      <c r="F6" s="376"/>
      <c r="G6" s="376"/>
      <c r="H6" s="277"/>
      <c r="I6" s="277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377" t="s">
        <v>8</v>
      </c>
      <c r="AD6" s="377"/>
      <c r="AE6" s="377"/>
      <c r="AF6" s="377"/>
      <c r="AG6" s="377"/>
      <c r="AH6" s="377"/>
      <c r="AI6" s="377"/>
      <c r="AJ6" s="377"/>
      <c r="AK6" s="377"/>
      <c r="AM6" s="218"/>
    </row>
    <row r="7" spans="1:39" s="205" customFormat="1" ht="23.25" customHeight="1" x14ac:dyDescent="0.2">
      <c r="B7" s="378" t="s">
        <v>9</v>
      </c>
      <c r="C7" s="378"/>
      <c r="D7" s="378"/>
      <c r="E7" s="378"/>
      <c r="F7" s="378"/>
      <c r="G7" s="378"/>
      <c r="H7" s="277"/>
      <c r="I7" s="277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377" t="s">
        <v>509</v>
      </c>
      <c r="AD7" s="377"/>
      <c r="AE7" s="377"/>
      <c r="AF7" s="377"/>
      <c r="AG7" s="377"/>
      <c r="AH7" s="377"/>
      <c r="AI7" s="377"/>
      <c r="AJ7" s="377"/>
      <c r="AK7" s="377"/>
      <c r="AM7" s="218"/>
    </row>
    <row r="8" spans="1:39" s="205" customFormat="1" ht="15" x14ac:dyDescent="0.2">
      <c r="B8" s="277"/>
      <c r="C8" s="277"/>
      <c r="D8" s="277"/>
      <c r="E8" s="277"/>
      <c r="F8" s="277"/>
      <c r="G8" s="277"/>
      <c r="H8" s="277"/>
      <c r="I8" s="277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M8" s="218"/>
    </row>
    <row r="9" spans="1:39" s="205" customFormat="1" ht="18" x14ac:dyDescent="0.2">
      <c r="B9" s="294" t="s">
        <v>508</v>
      </c>
      <c r="C9" s="277"/>
      <c r="D9" s="277"/>
      <c r="E9" s="277"/>
      <c r="F9" s="277"/>
      <c r="G9" s="277"/>
      <c r="H9" s="277"/>
      <c r="I9" s="277"/>
      <c r="J9" s="278"/>
      <c r="K9" s="380" t="s">
        <v>11</v>
      </c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"/>
      <c r="AB9" s="3"/>
      <c r="AC9" s="278"/>
      <c r="AD9" s="278"/>
      <c r="AE9" s="278"/>
      <c r="AF9" s="278"/>
      <c r="AG9" s="278"/>
      <c r="AH9" s="278"/>
      <c r="AI9" s="278"/>
      <c r="AJ9" s="278"/>
      <c r="AK9" s="278"/>
      <c r="AM9" s="218"/>
    </row>
    <row r="10" spans="1:39" s="205" customFormat="1" ht="18" x14ac:dyDescent="0.2">
      <c r="B10" s="277"/>
      <c r="C10" s="277"/>
      <c r="D10" s="277"/>
      <c r="E10" s="277"/>
      <c r="F10" s="277"/>
      <c r="G10" s="277"/>
      <c r="H10" s="277"/>
      <c r="I10" s="277"/>
      <c r="J10" s="278"/>
      <c r="K10" s="380" t="s">
        <v>510</v>
      </c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"/>
      <c r="AB10" s="3"/>
      <c r="AC10" s="278"/>
      <c r="AD10" s="278"/>
      <c r="AE10" s="278"/>
      <c r="AF10" s="278"/>
      <c r="AG10" s="278"/>
      <c r="AH10" s="278"/>
      <c r="AI10" s="278"/>
      <c r="AJ10" s="278"/>
      <c r="AK10" s="278"/>
      <c r="AM10" s="218"/>
    </row>
    <row r="11" spans="1:39" s="205" customFormat="1" ht="15" x14ac:dyDescent="0.2">
      <c r="B11" s="277"/>
      <c r="C11" s="277"/>
      <c r="D11" s="277"/>
      <c r="E11" s="277"/>
      <c r="F11" s="277"/>
      <c r="G11" s="277"/>
      <c r="H11" s="277"/>
      <c r="I11" s="277"/>
      <c r="J11" s="278"/>
      <c r="AA11" s="4"/>
      <c r="AB11" s="4"/>
      <c r="AC11" s="4"/>
      <c r="AD11" s="278"/>
      <c r="AE11" s="278"/>
      <c r="AF11" s="278"/>
      <c r="AG11" s="278"/>
      <c r="AH11" s="278"/>
      <c r="AI11" s="278"/>
      <c r="AJ11" s="278"/>
      <c r="AK11" s="278"/>
      <c r="AM11" s="218"/>
    </row>
    <row r="12" spans="1:39" s="205" customFormat="1" ht="15.75" x14ac:dyDescent="0.2">
      <c r="B12" s="277"/>
      <c r="C12" s="277"/>
      <c r="D12" s="277"/>
      <c r="E12" s="277"/>
      <c r="F12" s="277"/>
      <c r="G12" s="277"/>
      <c r="H12" s="277"/>
      <c r="I12" s="277"/>
      <c r="J12" s="278"/>
      <c r="K12" s="5"/>
      <c r="L12" s="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278"/>
      <c r="AE12" s="278"/>
      <c r="AF12" s="278"/>
      <c r="AG12" s="278"/>
      <c r="AH12" s="278"/>
      <c r="AI12" s="278"/>
      <c r="AJ12" s="278"/>
      <c r="AK12" s="278"/>
      <c r="AM12" s="218"/>
    </row>
    <row r="13" spans="1:39" s="187" customFormat="1" ht="15" x14ac:dyDescent="0.2">
      <c r="A13" s="370" t="s">
        <v>12</v>
      </c>
      <c r="B13" s="381" t="s">
        <v>13</v>
      </c>
      <c r="C13" s="382" t="s">
        <v>14</v>
      </c>
      <c r="D13" s="370" t="s">
        <v>15</v>
      </c>
      <c r="E13" s="370" t="s">
        <v>16</v>
      </c>
      <c r="F13" s="369" t="s">
        <v>17</v>
      </c>
      <c r="G13" s="369"/>
      <c r="H13" s="369" t="s">
        <v>18</v>
      </c>
      <c r="I13" s="369"/>
      <c r="J13" s="370" t="s">
        <v>19</v>
      </c>
      <c r="K13" s="370" t="s">
        <v>20</v>
      </c>
      <c r="L13" s="369" t="s">
        <v>21</v>
      </c>
      <c r="M13" s="369"/>
      <c r="N13" s="369"/>
      <c r="O13" s="369"/>
      <c r="P13" s="370" t="s">
        <v>22</v>
      </c>
      <c r="Q13" s="369" t="s">
        <v>23</v>
      </c>
      <c r="R13" s="369"/>
      <c r="S13" s="369" t="s">
        <v>24</v>
      </c>
      <c r="T13" s="369"/>
      <c r="U13" s="370" t="s">
        <v>25</v>
      </c>
      <c r="V13" s="370" t="s">
        <v>26</v>
      </c>
      <c r="W13" s="369" t="s">
        <v>27</v>
      </c>
      <c r="X13" s="369"/>
      <c r="Y13" s="370" t="s">
        <v>28</v>
      </c>
      <c r="Z13" s="370" t="s">
        <v>29</v>
      </c>
      <c r="AA13" s="370" t="s">
        <v>30</v>
      </c>
      <c r="AB13" s="370" t="s">
        <v>31</v>
      </c>
      <c r="AC13" s="369" t="s">
        <v>32</v>
      </c>
      <c r="AD13" s="369"/>
      <c r="AE13" s="379" t="s">
        <v>33</v>
      </c>
      <c r="AF13" s="379"/>
      <c r="AG13" s="369" t="s">
        <v>34</v>
      </c>
      <c r="AH13" s="369"/>
      <c r="AI13" s="370" t="s">
        <v>35</v>
      </c>
      <c r="AJ13" s="370" t="s">
        <v>36</v>
      </c>
      <c r="AK13" s="370" t="s">
        <v>37</v>
      </c>
      <c r="AM13" s="189"/>
    </row>
    <row r="14" spans="1:39" s="187" customFormat="1" ht="105" customHeight="1" x14ac:dyDescent="0.2">
      <c r="A14" s="370"/>
      <c r="B14" s="381"/>
      <c r="C14" s="382"/>
      <c r="D14" s="370"/>
      <c r="E14" s="370"/>
      <c r="F14" s="230" t="s">
        <v>38</v>
      </c>
      <c r="G14" s="188" t="s">
        <v>39</v>
      </c>
      <c r="H14" s="188" t="s">
        <v>38</v>
      </c>
      <c r="I14" s="188" t="s">
        <v>39</v>
      </c>
      <c r="J14" s="370"/>
      <c r="K14" s="370"/>
      <c r="L14" s="188" t="s">
        <v>40</v>
      </c>
      <c r="M14" s="188" t="s">
        <v>41</v>
      </c>
      <c r="N14" s="188" t="s">
        <v>42</v>
      </c>
      <c r="O14" s="188" t="s">
        <v>43</v>
      </c>
      <c r="P14" s="370"/>
      <c r="Q14" s="188" t="s">
        <v>44</v>
      </c>
      <c r="R14" s="188" t="s">
        <v>45</v>
      </c>
      <c r="S14" s="188" t="s">
        <v>46</v>
      </c>
      <c r="T14" s="188" t="s">
        <v>47</v>
      </c>
      <c r="U14" s="370"/>
      <c r="V14" s="370"/>
      <c r="W14" s="188" t="s">
        <v>33</v>
      </c>
      <c r="X14" s="188" t="s">
        <v>48</v>
      </c>
      <c r="Y14" s="370"/>
      <c r="Z14" s="370"/>
      <c r="AA14" s="370"/>
      <c r="AB14" s="370"/>
      <c r="AC14" s="188" t="s">
        <v>49</v>
      </c>
      <c r="AD14" s="188" t="s">
        <v>50</v>
      </c>
      <c r="AE14" s="188" t="s">
        <v>51</v>
      </c>
      <c r="AF14" s="188" t="s">
        <v>52</v>
      </c>
      <c r="AG14" s="188" t="s">
        <v>53</v>
      </c>
      <c r="AH14" s="188" t="s">
        <v>54</v>
      </c>
      <c r="AI14" s="370"/>
      <c r="AJ14" s="370"/>
      <c r="AK14" s="370"/>
      <c r="AM14" s="189"/>
    </row>
    <row r="15" spans="1:39" x14ac:dyDescent="0.2">
      <c r="A15" s="41">
        <v>1</v>
      </c>
      <c r="B15" s="41">
        <v>2</v>
      </c>
      <c r="C15" s="41">
        <v>3</v>
      </c>
      <c r="D15" s="41">
        <v>4</v>
      </c>
      <c r="E15" s="41">
        <v>5</v>
      </c>
      <c r="F15" s="41">
        <v>6</v>
      </c>
      <c r="G15" s="41">
        <v>7</v>
      </c>
      <c r="H15" s="41">
        <v>8</v>
      </c>
      <c r="I15" s="41">
        <v>9</v>
      </c>
      <c r="J15" s="41">
        <v>10</v>
      </c>
      <c r="K15" s="41">
        <v>11</v>
      </c>
      <c r="L15" s="41">
        <v>12</v>
      </c>
      <c r="M15" s="41">
        <v>13</v>
      </c>
      <c r="N15" s="41">
        <v>14</v>
      </c>
      <c r="O15" s="41">
        <v>15</v>
      </c>
      <c r="P15" s="41">
        <v>16</v>
      </c>
      <c r="Q15" s="41">
        <v>17</v>
      </c>
      <c r="R15" s="41">
        <v>18</v>
      </c>
      <c r="S15" s="41">
        <v>19</v>
      </c>
      <c r="T15" s="41">
        <v>20</v>
      </c>
      <c r="U15" s="41">
        <v>21</v>
      </c>
      <c r="V15" s="41">
        <v>22</v>
      </c>
      <c r="W15" s="41">
        <v>23</v>
      </c>
      <c r="X15" s="41">
        <v>24</v>
      </c>
      <c r="Y15" s="41">
        <v>25</v>
      </c>
      <c r="Z15" s="41">
        <v>26</v>
      </c>
      <c r="AA15" s="41">
        <v>27</v>
      </c>
      <c r="AB15" s="41">
        <v>28</v>
      </c>
      <c r="AC15" s="41">
        <v>29</v>
      </c>
      <c r="AD15" s="41">
        <v>30</v>
      </c>
      <c r="AE15" s="41">
        <v>31</v>
      </c>
      <c r="AF15" s="41">
        <v>32</v>
      </c>
      <c r="AG15" s="41">
        <v>33</v>
      </c>
      <c r="AH15" s="41">
        <v>34</v>
      </c>
      <c r="AI15" s="41">
        <v>35</v>
      </c>
      <c r="AJ15" s="41">
        <v>36</v>
      </c>
      <c r="AK15" s="41">
        <v>37</v>
      </c>
    </row>
    <row r="16" spans="1:39" s="125" customFormat="1" ht="18" x14ac:dyDescent="0.2">
      <c r="A16" s="122"/>
      <c r="B16" s="123" t="s">
        <v>55</v>
      </c>
      <c r="C16" s="122"/>
      <c r="D16" s="122"/>
      <c r="E16" s="122"/>
      <c r="F16" s="124">
        <f>F59</f>
        <v>734</v>
      </c>
      <c r="G16" s="124">
        <f t="shared" ref="G16:AJ16" si="0">G59</f>
        <v>0</v>
      </c>
      <c r="H16" s="124">
        <f t="shared" si="0"/>
        <v>668</v>
      </c>
      <c r="I16" s="124">
        <f t="shared" si="0"/>
        <v>0</v>
      </c>
      <c r="J16" s="124">
        <f t="shared" si="0"/>
        <v>0</v>
      </c>
      <c r="K16" s="124">
        <f t="shared" si="0"/>
        <v>4.8</v>
      </c>
      <c r="L16" s="124">
        <f t="shared" si="0"/>
        <v>0</v>
      </c>
      <c r="M16" s="124">
        <f t="shared" si="0"/>
        <v>3.2</v>
      </c>
      <c r="N16" s="124">
        <f t="shared" si="0"/>
        <v>0</v>
      </c>
      <c r="O16" s="124">
        <f t="shared" si="0"/>
        <v>0</v>
      </c>
      <c r="P16" s="124">
        <f t="shared" si="0"/>
        <v>0</v>
      </c>
      <c r="Q16" s="124">
        <f t="shared" si="0"/>
        <v>0</v>
      </c>
      <c r="R16" s="124">
        <f t="shared" si="0"/>
        <v>0</v>
      </c>
      <c r="S16" s="124">
        <f t="shared" si="0"/>
        <v>0</v>
      </c>
      <c r="T16" s="124">
        <f t="shared" si="0"/>
        <v>2</v>
      </c>
      <c r="U16" s="124">
        <f t="shared" si="0"/>
        <v>1.2</v>
      </c>
      <c r="V16" s="124">
        <f t="shared" si="0"/>
        <v>0</v>
      </c>
      <c r="W16" s="124">
        <f t="shared" si="0"/>
        <v>0</v>
      </c>
      <c r="X16" s="124">
        <f t="shared" si="0"/>
        <v>0</v>
      </c>
      <c r="Y16" s="124">
        <f t="shared" si="0"/>
        <v>0</v>
      </c>
      <c r="Z16" s="124">
        <f t="shared" si="0"/>
        <v>0</v>
      </c>
      <c r="AA16" s="124">
        <f t="shared" si="0"/>
        <v>0</v>
      </c>
      <c r="AB16" s="124">
        <f t="shared" si="0"/>
        <v>0</v>
      </c>
      <c r="AC16" s="124">
        <f t="shared" si="0"/>
        <v>0</v>
      </c>
      <c r="AD16" s="124">
        <f t="shared" si="0"/>
        <v>0</v>
      </c>
      <c r="AE16" s="124">
        <f t="shared" si="0"/>
        <v>0</v>
      </c>
      <c r="AF16" s="124">
        <f t="shared" si="0"/>
        <v>0</v>
      </c>
      <c r="AG16" s="124">
        <f t="shared" si="0"/>
        <v>0</v>
      </c>
      <c r="AH16" s="124">
        <f t="shared" si="0"/>
        <v>0</v>
      </c>
      <c r="AI16" s="124">
        <f t="shared" si="0"/>
        <v>0</v>
      </c>
      <c r="AJ16" s="124">
        <f t="shared" si="0"/>
        <v>11.199999999999998</v>
      </c>
      <c r="AK16" s="122"/>
      <c r="AM16" s="126"/>
    </row>
    <row r="17" spans="1:40" s="125" customFormat="1" ht="18" x14ac:dyDescent="0.2">
      <c r="A17" s="122"/>
      <c r="B17" s="123" t="s">
        <v>56</v>
      </c>
      <c r="C17" s="122"/>
      <c r="D17" s="122"/>
      <c r="E17" s="122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2"/>
      <c r="AM17" s="126"/>
    </row>
    <row r="18" spans="1:40" s="125" customFormat="1" ht="18" x14ac:dyDescent="0.2">
      <c r="A18" s="122"/>
      <c r="B18" s="123" t="s">
        <v>57</v>
      </c>
      <c r="C18" s="122"/>
      <c r="D18" s="122"/>
      <c r="E18" s="122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2"/>
      <c r="AM18" s="126"/>
    </row>
    <row r="19" spans="1:40" s="125" customFormat="1" ht="18" x14ac:dyDescent="0.2">
      <c r="A19" s="122"/>
      <c r="B19" s="123" t="s">
        <v>58</v>
      </c>
      <c r="C19" s="122"/>
      <c r="D19" s="122"/>
      <c r="E19" s="122"/>
      <c r="F19" s="124">
        <f>F71</f>
        <v>48</v>
      </c>
      <c r="G19" s="124">
        <f t="shared" ref="G19:AJ19" si="1">G71</f>
        <v>12</v>
      </c>
      <c r="H19" s="124">
        <f t="shared" si="1"/>
        <v>14</v>
      </c>
      <c r="I19" s="124">
        <f t="shared" si="1"/>
        <v>44</v>
      </c>
      <c r="J19" s="124">
        <f t="shared" si="1"/>
        <v>0</v>
      </c>
      <c r="K19" s="124">
        <f t="shared" si="1"/>
        <v>3.9</v>
      </c>
      <c r="L19" s="124">
        <f t="shared" si="1"/>
        <v>0</v>
      </c>
      <c r="M19" s="124">
        <f t="shared" si="1"/>
        <v>24.4</v>
      </c>
      <c r="N19" s="124">
        <f t="shared" si="1"/>
        <v>0</v>
      </c>
      <c r="O19" s="124">
        <f t="shared" si="1"/>
        <v>0</v>
      </c>
      <c r="P19" s="124">
        <f t="shared" si="1"/>
        <v>0</v>
      </c>
      <c r="Q19" s="124">
        <f t="shared" si="1"/>
        <v>3.8000000000000003</v>
      </c>
      <c r="R19" s="124">
        <f t="shared" si="1"/>
        <v>0</v>
      </c>
      <c r="S19" s="124">
        <f t="shared" si="1"/>
        <v>0</v>
      </c>
      <c r="T19" s="124">
        <f t="shared" si="1"/>
        <v>0</v>
      </c>
      <c r="U19" s="124">
        <f t="shared" si="1"/>
        <v>0</v>
      </c>
      <c r="V19" s="124">
        <f t="shared" si="1"/>
        <v>0</v>
      </c>
      <c r="W19" s="124">
        <f t="shared" si="1"/>
        <v>0</v>
      </c>
      <c r="X19" s="124">
        <f t="shared" si="1"/>
        <v>0</v>
      </c>
      <c r="Y19" s="124">
        <f t="shared" si="1"/>
        <v>0</v>
      </c>
      <c r="Z19" s="124">
        <f t="shared" si="1"/>
        <v>0</v>
      </c>
      <c r="AA19" s="124">
        <f t="shared" si="1"/>
        <v>0</v>
      </c>
      <c r="AB19" s="124">
        <f t="shared" si="1"/>
        <v>0</v>
      </c>
      <c r="AC19" s="124">
        <f t="shared" si="1"/>
        <v>0</v>
      </c>
      <c r="AD19" s="124">
        <f t="shared" si="1"/>
        <v>0</v>
      </c>
      <c r="AE19" s="124">
        <f t="shared" si="1"/>
        <v>0</v>
      </c>
      <c r="AF19" s="124">
        <f t="shared" si="1"/>
        <v>0</v>
      </c>
      <c r="AG19" s="124">
        <f t="shared" si="1"/>
        <v>0</v>
      </c>
      <c r="AH19" s="124">
        <f t="shared" si="1"/>
        <v>0</v>
      </c>
      <c r="AI19" s="124">
        <f t="shared" si="1"/>
        <v>0</v>
      </c>
      <c r="AJ19" s="124">
        <f t="shared" si="1"/>
        <v>88.100000000000009</v>
      </c>
      <c r="AK19" s="127"/>
      <c r="AM19" s="126"/>
    </row>
    <row r="20" spans="1:40" s="129" customFormat="1" ht="18" x14ac:dyDescent="0.2">
      <c r="A20" s="128"/>
      <c r="B20" s="128" t="s">
        <v>59</v>
      </c>
      <c r="C20" s="128"/>
      <c r="D20" s="128"/>
      <c r="E20" s="128"/>
      <c r="F20" s="265">
        <f>SUM(F16:F19)</f>
        <v>782</v>
      </c>
      <c r="G20" s="265">
        <f t="shared" ref="G20:AJ20" si="2">SUM(G16:G19)</f>
        <v>12</v>
      </c>
      <c r="H20" s="265">
        <f t="shared" si="2"/>
        <v>682</v>
      </c>
      <c r="I20" s="265">
        <f t="shared" si="2"/>
        <v>44</v>
      </c>
      <c r="J20" s="265">
        <f t="shared" si="2"/>
        <v>0</v>
      </c>
      <c r="K20" s="265">
        <f t="shared" si="2"/>
        <v>8.6999999999999993</v>
      </c>
      <c r="L20" s="265">
        <f t="shared" si="2"/>
        <v>0</v>
      </c>
      <c r="M20" s="265">
        <f t="shared" si="2"/>
        <v>27.599999999999998</v>
      </c>
      <c r="N20" s="265">
        <f t="shared" si="2"/>
        <v>0</v>
      </c>
      <c r="O20" s="265">
        <f t="shared" si="2"/>
        <v>0</v>
      </c>
      <c r="P20" s="265">
        <f t="shared" si="2"/>
        <v>0</v>
      </c>
      <c r="Q20" s="265">
        <f t="shared" si="2"/>
        <v>3.8000000000000003</v>
      </c>
      <c r="R20" s="265">
        <f t="shared" si="2"/>
        <v>0</v>
      </c>
      <c r="S20" s="265">
        <f t="shared" si="2"/>
        <v>0</v>
      </c>
      <c r="T20" s="265">
        <f t="shared" si="2"/>
        <v>2</v>
      </c>
      <c r="U20" s="265">
        <f t="shared" si="2"/>
        <v>1.2</v>
      </c>
      <c r="V20" s="265">
        <f t="shared" si="2"/>
        <v>0</v>
      </c>
      <c r="W20" s="265">
        <f t="shared" si="2"/>
        <v>0</v>
      </c>
      <c r="X20" s="265">
        <f t="shared" si="2"/>
        <v>0</v>
      </c>
      <c r="Y20" s="265">
        <f t="shared" si="2"/>
        <v>0</v>
      </c>
      <c r="Z20" s="265">
        <f t="shared" si="2"/>
        <v>0</v>
      </c>
      <c r="AA20" s="265">
        <f t="shared" si="2"/>
        <v>0</v>
      </c>
      <c r="AB20" s="265">
        <f t="shared" si="2"/>
        <v>0</v>
      </c>
      <c r="AC20" s="265">
        <f t="shared" si="2"/>
        <v>0</v>
      </c>
      <c r="AD20" s="265">
        <f t="shared" si="2"/>
        <v>0</v>
      </c>
      <c r="AE20" s="265">
        <f t="shared" si="2"/>
        <v>0</v>
      </c>
      <c r="AF20" s="265">
        <f t="shared" si="2"/>
        <v>0</v>
      </c>
      <c r="AG20" s="265">
        <f t="shared" si="2"/>
        <v>0</v>
      </c>
      <c r="AH20" s="265">
        <f t="shared" si="2"/>
        <v>0</v>
      </c>
      <c r="AI20" s="265">
        <f t="shared" si="2"/>
        <v>0</v>
      </c>
      <c r="AJ20" s="265">
        <f t="shared" si="2"/>
        <v>99.300000000000011</v>
      </c>
      <c r="AK20" s="128"/>
      <c r="AM20" s="130"/>
    </row>
    <row r="21" spans="1:40" s="129" customFormat="1" ht="18" x14ac:dyDescent="0.2">
      <c r="A21" s="128"/>
      <c r="B21" s="128"/>
      <c r="C21" s="128"/>
      <c r="D21" s="128"/>
      <c r="E21" s="128"/>
      <c r="F21" s="265">
        <f t="shared" ref="F21:AJ21" si="3">F20-F73</f>
        <v>0</v>
      </c>
      <c r="G21" s="265">
        <f t="shared" si="3"/>
        <v>0</v>
      </c>
      <c r="H21" s="265">
        <f t="shared" si="3"/>
        <v>0</v>
      </c>
      <c r="I21" s="265">
        <f t="shared" si="3"/>
        <v>0</v>
      </c>
      <c r="J21" s="265">
        <f t="shared" si="3"/>
        <v>0</v>
      </c>
      <c r="K21" s="265">
        <f t="shared" si="3"/>
        <v>0</v>
      </c>
      <c r="L21" s="265">
        <f t="shared" si="3"/>
        <v>0</v>
      </c>
      <c r="M21" s="265">
        <f t="shared" si="3"/>
        <v>0</v>
      </c>
      <c r="N21" s="265">
        <f t="shared" si="3"/>
        <v>0</v>
      </c>
      <c r="O21" s="265">
        <f t="shared" si="3"/>
        <v>0</v>
      </c>
      <c r="P21" s="265">
        <f t="shared" si="3"/>
        <v>0</v>
      </c>
      <c r="Q21" s="265">
        <f t="shared" si="3"/>
        <v>0</v>
      </c>
      <c r="R21" s="265">
        <f t="shared" si="3"/>
        <v>0</v>
      </c>
      <c r="S21" s="265">
        <f t="shared" si="3"/>
        <v>0</v>
      </c>
      <c r="T21" s="265">
        <f t="shared" si="3"/>
        <v>0</v>
      </c>
      <c r="U21" s="265">
        <f t="shared" si="3"/>
        <v>0</v>
      </c>
      <c r="V21" s="265">
        <f t="shared" si="3"/>
        <v>0</v>
      </c>
      <c r="W21" s="265">
        <f t="shared" si="3"/>
        <v>0</v>
      </c>
      <c r="X21" s="265">
        <f t="shared" si="3"/>
        <v>0</v>
      </c>
      <c r="Y21" s="265">
        <f t="shared" si="3"/>
        <v>0</v>
      </c>
      <c r="Z21" s="265">
        <f t="shared" si="3"/>
        <v>0</v>
      </c>
      <c r="AA21" s="265">
        <f t="shared" si="3"/>
        <v>0</v>
      </c>
      <c r="AB21" s="265">
        <f t="shared" si="3"/>
        <v>0</v>
      </c>
      <c r="AC21" s="265">
        <f t="shared" si="3"/>
        <v>0</v>
      </c>
      <c r="AD21" s="265">
        <f t="shared" si="3"/>
        <v>0</v>
      </c>
      <c r="AE21" s="265">
        <f t="shared" si="3"/>
        <v>0</v>
      </c>
      <c r="AF21" s="265">
        <f t="shared" si="3"/>
        <v>0</v>
      </c>
      <c r="AG21" s="265">
        <f t="shared" si="3"/>
        <v>0</v>
      </c>
      <c r="AH21" s="265">
        <f t="shared" si="3"/>
        <v>0</v>
      </c>
      <c r="AI21" s="265">
        <f t="shared" si="3"/>
        <v>0</v>
      </c>
      <c r="AJ21" s="265">
        <f t="shared" si="3"/>
        <v>0</v>
      </c>
      <c r="AK21" s="128"/>
      <c r="AM21" s="130"/>
    </row>
    <row r="22" spans="1:40" s="125" customFormat="1" ht="18" x14ac:dyDescent="0.2">
      <c r="A22" s="122"/>
      <c r="B22" s="122"/>
      <c r="C22" s="122"/>
      <c r="D22" s="122"/>
      <c r="E22" s="122"/>
      <c r="F22" s="124"/>
      <c r="G22" s="124"/>
      <c r="H22" s="124"/>
      <c r="I22" s="124"/>
      <c r="J22" s="124"/>
      <c r="K22" s="124"/>
      <c r="L22" s="124"/>
      <c r="M22" s="124"/>
      <c r="N22" s="383" t="s">
        <v>55</v>
      </c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2"/>
      <c r="AM22" s="126"/>
    </row>
    <row r="23" spans="1:40" s="125" customFormat="1" ht="18" x14ac:dyDescent="0.2">
      <c r="A23" s="122"/>
      <c r="B23" s="131"/>
      <c r="C23" s="122"/>
      <c r="D23" s="122"/>
      <c r="E23" s="122"/>
      <c r="F23" s="124"/>
      <c r="G23" s="124"/>
      <c r="H23" s="124"/>
      <c r="I23" s="124"/>
      <c r="J23" s="124"/>
      <c r="K23" s="265"/>
      <c r="L23" s="362" t="s">
        <v>110</v>
      </c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265"/>
      <c r="AC23" s="124"/>
      <c r="AD23" s="124"/>
      <c r="AE23" s="124"/>
      <c r="AF23" s="124"/>
      <c r="AG23" s="124"/>
      <c r="AH23" s="124"/>
      <c r="AI23" s="124"/>
      <c r="AJ23" s="124"/>
      <c r="AK23" s="122"/>
      <c r="AM23" s="126"/>
      <c r="AN23" s="126"/>
    </row>
    <row r="24" spans="1:40" s="125" customFormat="1" ht="18" x14ac:dyDescent="0.2">
      <c r="A24" s="122"/>
      <c r="B24" s="131"/>
      <c r="C24" s="122"/>
      <c r="D24" s="122"/>
      <c r="E24" s="122"/>
      <c r="F24" s="124"/>
      <c r="G24" s="124"/>
      <c r="H24" s="124"/>
      <c r="I24" s="124"/>
      <c r="J24" s="124"/>
      <c r="K24" s="361" t="s">
        <v>577</v>
      </c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1"/>
      <c r="AC24" s="124"/>
      <c r="AD24" s="124"/>
      <c r="AE24" s="124"/>
      <c r="AF24" s="124"/>
      <c r="AG24" s="124"/>
      <c r="AH24" s="124"/>
      <c r="AI24" s="124"/>
      <c r="AJ24" s="124"/>
      <c r="AK24" s="122"/>
      <c r="AM24" s="126"/>
      <c r="AN24" s="126"/>
    </row>
    <row r="25" spans="1:40" s="125" customFormat="1" ht="18" x14ac:dyDescent="0.2">
      <c r="A25" s="122" t="s">
        <v>378</v>
      </c>
      <c r="B25" s="132" t="s">
        <v>377</v>
      </c>
      <c r="C25" s="122" t="s">
        <v>66</v>
      </c>
      <c r="D25" s="122">
        <f>Внебюджет_Конт!$D$9</f>
        <v>1</v>
      </c>
      <c r="E25" s="122"/>
      <c r="F25" s="124">
        <v>36</v>
      </c>
      <c r="G25" s="124"/>
      <c r="H25" s="124">
        <v>36</v>
      </c>
      <c r="I25" s="124"/>
      <c r="J25" s="124"/>
      <c r="K25" s="124"/>
      <c r="L25" s="124"/>
      <c r="M25" s="239">
        <f>0.4*D25</f>
        <v>0.4</v>
      </c>
      <c r="N25" s="124"/>
      <c r="O25" s="124"/>
      <c r="P25" s="124"/>
      <c r="Q25" s="239">
        <f t="shared" ref="Q25:Q38" si="4">IF(K25&gt;0,0.05*G25,IF(M25&gt;0,0.05*G25+1*E25,0))</f>
        <v>0</v>
      </c>
      <c r="R25" s="124"/>
      <c r="S25" s="124"/>
      <c r="T25" s="124"/>
      <c r="U25" s="124">
        <f>0.3*D25</f>
        <v>0.3</v>
      </c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>
        <f>14*E25</f>
        <v>0</v>
      </c>
      <c r="AJ25" s="124">
        <f t="shared" ref="AJ25:AJ38" si="5">SUM(G25,I25:AI25)</f>
        <v>0.7</v>
      </c>
      <c r="AK25" s="122">
        <v>12</v>
      </c>
      <c r="AM25" s="126"/>
      <c r="AN25" s="126"/>
    </row>
    <row r="26" spans="1:40" s="125" customFormat="1" ht="18" x14ac:dyDescent="0.2">
      <c r="A26" s="122" t="s">
        <v>254</v>
      </c>
      <c r="B26" s="131" t="s">
        <v>111</v>
      </c>
      <c r="C26" s="122" t="s">
        <v>65</v>
      </c>
      <c r="D26" s="122">
        <f>Внебюджет_Конт!$D$9</f>
        <v>1</v>
      </c>
      <c r="E26" s="122"/>
      <c r="F26" s="124">
        <v>34</v>
      </c>
      <c r="G26" s="124"/>
      <c r="H26" s="124">
        <v>34</v>
      </c>
      <c r="I26" s="124"/>
      <c r="J26" s="124"/>
      <c r="K26" s="124">
        <f>0.3*D26</f>
        <v>0.3</v>
      </c>
      <c r="L26" s="124"/>
      <c r="M26" s="239"/>
      <c r="N26" s="124"/>
      <c r="O26" s="124"/>
      <c r="P26" s="124"/>
      <c r="Q26" s="239">
        <f t="shared" si="4"/>
        <v>0</v>
      </c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>
        <f t="shared" si="5"/>
        <v>0.3</v>
      </c>
      <c r="AK26" s="122">
        <v>7</v>
      </c>
      <c r="AM26" s="126"/>
      <c r="AN26" s="126"/>
    </row>
    <row r="27" spans="1:40" s="125" customFormat="1" ht="18" x14ac:dyDescent="0.2">
      <c r="A27" s="122" t="s">
        <v>255</v>
      </c>
      <c r="B27" s="132" t="s">
        <v>362</v>
      </c>
      <c r="C27" s="122" t="s">
        <v>65</v>
      </c>
      <c r="D27" s="122">
        <f>Внебюджет_Конт!$D$9</f>
        <v>1</v>
      </c>
      <c r="E27" s="122"/>
      <c r="F27" s="124">
        <v>50</v>
      </c>
      <c r="G27" s="124"/>
      <c r="H27" s="124">
        <v>68</v>
      </c>
      <c r="I27" s="124"/>
      <c r="J27" s="124"/>
      <c r="K27" s="124"/>
      <c r="L27" s="124"/>
      <c r="M27" s="239">
        <f>0.4*D27</f>
        <v>0.4</v>
      </c>
      <c r="N27" s="124"/>
      <c r="O27" s="124"/>
      <c r="P27" s="124"/>
      <c r="Q27" s="239">
        <f t="shared" si="4"/>
        <v>0</v>
      </c>
      <c r="R27" s="124"/>
      <c r="S27" s="124"/>
      <c r="T27" s="124"/>
      <c r="U27" s="124">
        <f>0.3*D27</f>
        <v>0.3</v>
      </c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>
        <f t="shared" si="5"/>
        <v>0.7</v>
      </c>
      <c r="AK27" s="122">
        <v>12</v>
      </c>
      <c r="AM27" s="126"/>
      <c r="AN27" s="126"/>
    </row>
    <row r="28" spans="1:40" s="125" customFormat="1" ht="18" x14ac:dyDescent="0.2">
      <c r="A28" s="122" t="s">
        <v>247</v>
      </c>
      <c r="B28" s="131" t="s">
        <v>555</v>
      </c>
      <c r="C28" s="122" t="s">
        <v>66</v>
      </c>
      <c r="D28" s="122">
        <f>Внебюджет_Конт!$D$9</f>
        <v>1</v>
      </c>
      <c r="E28" s="122"/>
      <c r="F28" s="124"/>
      <c r="G28" s="124"/>
      <c r="H28" s="124"/>
      <c r="I28" s="124"/>
      <c r="J28" s="124"/>
      <c r="K28" s="124">
        <f>0.3*D28</f>
        <v>0.3</v>
      </c>
      <c r="L28" s="124"/>
      <c r="M28" s="239"/>
      <c r="N28" s="124"/>
      <c r="O28" s="124"/>
      <c r="P28" s="124"/>
      <c r="Q28" s="239">
        <f t="shared" si="4"/>
        <v>0</v>
      </c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>
        <f t="shared" si="5"/>
        <v>0.3</v>
      </c>
      <c r="AK28" s="122">
        <v>8</v>
      </c>
      <c r="AL28" s="253"/>
      <c r="AM28" s="126"/>
    </row>
    <row r="29" spans="1:40" s="125" customFormat="1" ht="18" x14ac:dyDescent="0.2">
      <c r="A29" s="122" t="s">
        <v>257</v>
      </c>
      <c r="B29" s="131" t="s">
        <v>256</v>
      </c>
      <c r="C29" s="122" t="s">
        <v>65</v>
      </c>
      <c r="D29" s="122">
        <f>Внебюджет_Конт!$D$9</f>
        <v>1</v>
      </c>
      <c r="E29" s="122"/>
      <c r="F29" s="124">
        <v>34</v>
      </c>
      <c r="G29" s="124"/>
      <c r="H29" s="124">
        <v>34</v>
      </c>
      <c r="I29" s="124"/>
      <c r="J29" s="124"/>
      <c r="K29" s="124">
        <f>0.3*D29</f>
        <v>0.3</v>
      </c>
      <c r="L29" s="124"/>
      <c r="M29" s="124"/>
      <c r="N29" s="124"/>
      <c r="O29" s="124"/>
      <c r="P29" s="124"/>
      <c r="Q29" s="239">
        <f t="shared" si="4"/>
        <v>0</v>
      </c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>
        <f t="shared" si="5"/>
        <v>0.3</v>
      </c>
      <c r="AK29" s="122">
        <v>7</v>
      </c>
      <c r="AL29" s="261"/>
      <c r="AM29" s="138"/>
      <c r="AN29" s="126"/>
    </row>
    <row r="30" spans="1:40" s="125" customFormat="1" ht="18" x14ac:dyDescent="0.2">
      <c r="A30" s="122" t="s">
        <v>319</v>
      </c>
      <c r="B30" s="131" t="s">
        <v>112</v>
      </c>
      <c r="C30" s="122" t="s">
        <v>66</v>
      </c>
      <c r="D30" s="122">
        <f>Внебюджет_Конт!$D$9</f>
        <v>1</v>
      </c>
      <c r="E30" s="122"/>
      <c r="F30" s="124">
        <v>18</v>
      </c>
      <c r="G30" s="124"/>
      <c r="H30" s="124">
        <v>56</v>
      </c>
      <c r="I30" s="124"/>
      <c r="J30" s="124"/>
      <c r="K30" s="124">
        <f>0.3*D30</f>
        <v>0.3</v>
      </c>
      <c r="L30" s="124"/>
      <c r="M30" s="124"/>
      <c r="N30" s="124"/>
      <c r="O30" s="124"/>
      <c r="P30" s="124"/>
      <c r="Q30" s="239">
        <f t="shared" si="4"/>
        <v>0</v>
      </c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>
        <f t="shared" si="5"/>
        <v>0.3</v>
      </c>
      <c r="AK30" s="122">
        <v>7</v>
      </c>
      <c r="AM30" s="126"/>
      <c r="AN30" s="126"/>
    </row>
    <row r="31" spans="1:40" s="125" customFormat="1" ht="18" x14ac:dyDescent="0.2">
      <c r="A31" s="122" t="s">
        <v>269</v>
      </c>
      <c r="B31" s="131" t="s">
        <v>113</v>
      </c>
      <c r="C31" s="122" t="s">
        <v>66</v>
      </c>
      <c r="D31" s="122">
        <f>Внебюджет_Конт!$D$9</f>
        <v>1</v>
      </c>
      <c r="E31" s="122"/>
      <c r="F31" s="124">
        <v>38</v>
      </c>
      <c r="G31" s="124"/>
      <c r="H31" s="124">
        <v>38</v>
      </c>
      <c r="I31" s="124"/>
      <c r="J31" s="124"/>
      <c r="K31" s="124"/>
      <c r="L31" s="124"/>
      <c r="M31" s="239">
        <f>0.4*D31</f>
        <v>0.4</v>
      </c>
      <c r="N31" s="124"/>
      <c r="O31" s="124"/>
      <c r="P31" s="124"/>
      <c r="Q31" s="239">
        <f t="shared" si="4"/>
        <v>0</v>
      </c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>
        <f t="shared" si="5"/>
        <v>0.4</v>
      </c>
      <c r="AK31" s="122">
        <v>7</v>
      </c>
      <c r="AM31" s="126"/>
      <c r="AN31" s="126"/>
    </row>
    <row r="32" spans="1:40" s="125" customFormat="1" ht="18" x14ac:dyDescent="0.2">
      <c r="A32" s="122" t="s">
        <v>258</v>
      </c>
      <c r="B32" s="131" t="s">
        <v>259</v>
      </c>
      <c r="C32" s="122" t="s">
        <v>66</v>
      </c>
      <c r="D32" s="122">
        <f>Внебюджет_Конт!$D$9</f>
        <v>1</v>
      </c>
      <c r="E32" s="122"/>
      <c r="F32" s="124">
        <v>38</v>
      </c>
      <c r="G32" s="124"/>
      <c r="H32" s="124">
        <v>18</v>
      </c>
      <c r="I32" s="124"/>
      <c r="J32" s="124"/>
      <c r="K32" s="124">
        <f>0.3*D32</f>
        <v>0.3</v>
      </c>
      <c r="L32" s="124"/>
      <c r="M32" s="124"/>
      <c r="N32" s="124"/>
      <c r="O32" s="124"/>
      <c r="P32" s="124"/>
      <c r="Q32" s="239">
        <f t="shared" si="4"/>
        <v>0</v>
      </c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>
        <f>SUM(G32,I32:AI32)</f>
        <v>0.3</v>
      </c>
      <c r="AK32" s="122">
        <v>7</v>
      </c>
      <c r="AM32" s="126"/>
      <c r="AN32" s="126"/>
    </row>
    <row r="33" spans="1:40" s="125" customFormat="1" ht="18" x14ac:dyDescent="0.2">
      <c r="A33" s="122" t="s">
        <v>314</v>
      </c>
      <c r="B33" s="131" t="s">
        <v>117</v>
      </c>
      <c r="C33" s="122" t="s">
        <v>65</v>
      </c>
      <c r="D33" s="122">
        <f>Внебюджет_Конт!$D$9</f>
        <v>1</v>
      </c>
      <c r="E33" s="122"/>
      <c r="F33" s="124"/>
      <c r="G33" s="124"/>
      <c r="H33" s="124"/>
      <c r="I33" s="124"/>
      <c r="J33" s="124"/>
      <c r="K33" s="124">
        <f>0.3*D33</f>
        <v>0.3</v>
      </c>
      <c r="L33" s="124"/>
      <c r="M33" s="239"/>
      <c r="N33" s="124"/>
      <c r="O33" s="124"/>
      <c r="P33" s="124"/>
      <c r="Q33" s="239">
        <f t="shared" si="4"/>
        <v>0</v>
      </c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>
        <f t="shared" si="5"/>
        <v>0.3</v>
      </c>
      <c r="AK33" s="122">
        <v>7</v>
      </c>
      <c r="AM33" s="126"/>
      <c r="AN33" s="126"/>
    </row>
    <row r="34" spans="1:40" s="125" customFormat="1" ht="18" x14ac:dyDescent="0.2">
      <c r="A34" s="122" t="s">
        <v>315</v>
      </c>
      <c r="B34" s="131" t="s">
        <v>225</v>
      </c>
      <c r="C34" s="122" t="s">
        <v>65</v>
      </c>
      <c r="D34" s="122">
        <f>Внебюджет_Конт!$D$9</f>
        <v>1</v>
      </c>
      <c r="E34" s="122"/>
      <c r="F34" s="124">
        <v>34</v>
      </c>
      <c r="G34" s="124"/>
      <c r="H34" s="124"/>
      <c r="I34" s="124"/>
      <c r="J34" s="124"/>
      <c r="K34" s="124">
        <f>0.3*D34</f>
        <v>0.3</v>
      </c>
      <c r="L34" s="124"/>
      <c r="M34" s="124"/>
      <c r="N34" s="124"/>
      <c r="O34" s="124"/>
      <c r="P34" s="124"/>
      <c r="Q34" s="239">
        <f t="shared" si="4"/>
        <v>0</v>
      </c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>
        <f t="shared" si="5"/>
        <v>0.3</v>
      </c>
      <c r="AK34" s="122">
        <v>7</v>
      </c>
      <c r="AM34" s="126"/>
      <c r="AN34" s="126"/>
    </row>
    <row r="35" spans="1:40" s="125" customFormat="1" ht="18" x14ac:dyDescent="0.2">
      <c r="A35" s="122" t="s">
        <v>316</v>
      </c>
      <c r="B35" s="132" t="s">
        <v>361</v>
      </c>
      <c r="C35" s="122" t="s">
        <v>65</v>
      </c>
      <c r="D35" s="122">
        <f>Внебюджет_Конт!$D$9</f>
        <v>1</v>
      </c>
      <c r="E35" s="122"/>
      <c r="F35" s="124">
        <v>50</v>
      </c>
      <c r="G35" s="124"/>
      <c r="H35" s="124">
        <v>50</v>
      </c>
      <c r="I35" s="124"/>
      <c r="J35" s="124"/>
      <c r="K35" s="124"/>
      <c r="L35" s="124"/>
      <c r="M35" s="239">
        <f>0.4*D35</f>
        <v>0.4</v>
      </c>
      <c r="N35" s="124"/>
      <c r="O35" s="124"/>
      <c r="P35" s="124"/>
      <c r="Q35" s="239">
        <f>IF(K35&gt;0,0.05*G35,IF(M35&gt;0,0.05*G35+1*E35,0))</f>
        <v>0</v>
      </c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>
        <f>SUM(G35,I35:AI35)</f>
        <v>0.4</v>
      </c>
      <c r="AK35" s="122">
        <v>12</v>
      </c>
      <c r="AM35" s="126"/>
      <c r="AN35" s="126"/>
    </row>
    <row r="36" spans="1:40" s="125" customFormat="1" ht="36" x14ac:dyDescent="0.2">
      <c r="A36" s="122" t="s">
        <v>191</v>
      </c>
      <c r="B36" s="131" t="s">
        <v>317</v>
      </c>
      <c r="C36" s="122" t="s">
        <v>66</v>
      </c>
      <c r="D36" s="122">
        <f>Внебюджет_Конт!$D$9</f>
        <v>1</v>
      </c>
      <c r="E36" s="122"/>
      <c r="F36" s="124">
        <v>38</v>
      </c>
      <c r="G36" s="124"/>
      <c r="H36" s="124"/>
      <c r="I36" s="124"/>
      <c r="J36" s="124"/>
      <c r="K36" s="124">
        <f>0.3*D36</f>
        <v>0.3</v>
      </c>
      <c r="L36" s="239"/>
      <c r="M36" s="239"/>
      <c r="N36" s="239"/>
      <c r="O36" s="239"/>
      <c r="P36" s="239"/>
      <c r="Q36" s="239">
        <f t="shared" si="4"/>
        <v>0</v>
      </c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124"/>
      <c r="AC36" s="124"/>
      <c r="AD36" s="124"/>
      <c r="AE36" s="124"/>
      <c r="AF36" s="124"/>
      <c r="AG36" s="124"/>
      <c r="AH36" s="124"/>
      <c r="AI36" s="124"/>
      <c r="AJ36" s="124">
        <f>SUM(G36,I36:AI36)</f>
        <v>0.3</v>
      </c>
      <c r="AK36" s="122">
        <v>7</v>
      </c>
      <c r="AM36" s="262"/>
      <c r="AN36" s="126"/>
    </row>
    <row r="37" spans="1:40" s="125" customFormat="1" ht="18" x14ac:dyDescent="0.2">
      <c r="A37" s="122" t="s">
        <v>192</v>
      </c>
      <c r="B37" s="131" t="s">
        <v>120</v>
      </c>
      <c r="C37" s="122" t="s">
        <v>66</v>
      </c>
      <c r="D37" s="122">
        <f>Внебюджет_Конт!$D$9</f>
        <v>1</v>
      </c>
      <c r="E37" s="122"/>
      <c r="F37" s="124">
        <v>38</v>
      </c>
      <c r="G37" s="124"/>
      <c r="H37" s="124">
        <v>38</v>
      </c>
      <c r="I37" s="124"/>
      <c r="J37" s="124"/>
      <c r="K37" s="124">
        <f>0.3*D37</f>
        <v>0.3</v>
      </c>
      <c r="L37" s="239"/>
      <c r="M37" s="239"/>
      <c r="N37" s="239"/>
      <c r="O37" s="239"/>
      <c r="P37" s="239"/>
      <c r="Q37" s="239">
        <f>IF(K37&gt;0,0.05*G37,IF(M37&gt;0,0.05*G37+1*E37,0))</f>
        <v>0</v>
      </c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124"/>
      <c r="AC37" s="124"/>
      <c r="AD37" s="124"/>
      <c r="AE37" s="124"/>
      <c r="AF37" s="124"/>
      <c r="AG37" s="124"/>
      <c r="AH37" s="124"/>
      <c r="AI37" s="124"/>
      <c r="AJ37" s="124">
        <f>SUM(G37,I37:AI37)</f>
        <v>0.3</v>
      </c>
      <c r="AK37" s="122">
        <v>7</v>
      </c>
      <c r="AM37" s="262"/>
      <c r="AN37" s="126"/>
    </row>
    <row r="38" spans="1:40" s="125" customFormat="1" ht="36" x14ac:dyDescent="0.2">
      <c r="A38" s="122" t="s">
        <v>318</v>
      </c>
      <c r="B38" s="131" t="s">
        <v>556</v>
      </c>
      <c r="C38" s="122" t="s">
        <v>66</v>
      </c>
      <c r="D38" s="122">
        <f>Внебюджет_Конт!$D$9</f>
        <v>1</v>
      </c>
      <c r="E38" s="122"/>
      <c r="F38" s="124"/>
      <c r="G38" s="124"/>
      <c r="H38" s="124"/>
      <c r="I38" s="124"/>
      <c r="J38" s="124"/>
      <c r="K38" s="124"/>
      <c r="L38" s="239"/>
      <c r="M38" s="239"/>
      <c r="N38" s="239"/>
      <c r="O38" s="239"/>
      <c r="P38" s="239"/>
      <c r="Q38" s="239">
        <f t="shared" si="4"/>
        <v>0</v>
      </c>
      <c r="R38" s="239"/>
      <c r="S38" s="239"/>
      <c r="T38" s="263">
        <f>1*(2)*D38</f>
        <v>2</v>
      </c>
      <c r="U38" s="239"/>
      <c r="V38" s="239"/>
      <c r="W38" s="239"/>
      <c r="X38" s="239"/>
      <c r="Y38" s="239"/>
      <c r="Z38" s="239"/>
      <c r="AA38" s="239"/>
      <c r="AB38" s="124"/>
      <c r="AC38" s="124"/>
      <c r="AD38" s="124"/>
      <c r="AE38" s="124"/>
      <c r="AF38" s="124"/>
      <c r="AG38" s="124"/>
      <c r="AH38" s="124"/>
      <c r="AI38" s="124"/>
      <c r="AJ38" s="124">
        <f t="shared" si="5"/>
        <v>2</v>
      </c>
      <c r="AK38" s="122">
        <v>7</v>
      </c>
      <c r="AL38" s="126"/>
      <c r="AM38" s="126"/>
      <c r="AN38" s="126"/>
    </row>
    <row r="39" spans="1:40" s="125" customFormat="1" ht="18" x14ac:dyDescent="0.2">
      <c r="A39" s="122"/>
      <c r="B39" s="280" t="s">
        <v>227</v>
      </c>
      <c r="C39" s="281"/>
      <c r="D39" s="281"/>
      <c r="E39" s="281"/>
      <c r="F39" s="282">
        <f t="shared" ref="F39:AJ39" si="6">SUM(F25:F38)</f>
        <v>408</v>
      </c>
      <c r="G39" s="282">
        <f t="shared" si="6"/>
        <v>0</v>
      </c>
      <c r="H39" s="282">
        <f t="shared" si="6"/>
        <v>372</v>
      </c>
      <c r="I39" s="282">
        <f t="shared" si="6"/>
        <v>0</v>
      </c>
      <c r="J39" s="282">
        <f t="shared" si="6"/>
        <v>0</v>
      </c>
      <c r="K39" s="282">
        <f t="shared" si="6"/>
        <v>2.6999999999999997</v>
      </c>
      <c r="L39" s="282">
        <f t="shared" si="6"/>
        <v>0</v>
      </c>
      <c r="M39" s="282">
        <f t="shared" si="6"/>
        <v>1.6</v>
      </c>
      <c r="N39" s="282">
        <f t="shared" si="6"/>
        <v>0</v>
      </c>
      <c r="O39" s="282">
        <f t="shared" si="6"/>
        <v>0</v>
      </c>
      <c r="P39" s="282">
        <f t="shared" si="6"/>
        <v>0</v>
      </c>
      <c r="Q39" s="282">
        <f t="shared" si="6"/>
        <v>0</v>
      </c>
      <c r="R39" s="282">
        <f t="shared" si="6"/>
        <v>0</v>
      </c>
      <c r="S39" s="282">
        <f t="shared" si="6"/>
        <v>0</v>
      </c>
      <c r="T39" s="282">
        <f t="shared" si="6"/>
        <v>2</v>
      </c>
      <c r="U39" s="282">
        <f t="shared" si="6"/>
        <v>0.6</v>
      </c>
      <c r="V39" s="282">
        <f t="shared" si="6"/>
        <v>0</v>
      </c>
      <c r="W39" s="282">
        <f t="shared" si="6"/>
        <v>0</v>
      </c>
      <c r="X39" s="282">
        <f t="shared" si="6"/>
        <v>0</v>
      </c>
      <c r="Y39" s="282">
        <f t="shared" si="6"/>
        <v>0</v>
      </c>
      <c r="Z39" s="282">
        <f t="shared" si="6"/>
        <v>0</v>
      </c>
      <c r="AA39" s="282">
        <f t="shared" si="6"/>
        <v>0</v>
      </c>
      <c r="AB39" s="282">
        <f t="shared" si="6"/>
        <v>0</v>
      </c>
      <c r="AC39" s="282">
        <f t="shared" si="6"/>
        <v>0</v>
      </c>
      <c r="AD39" s="282">
        <f t="shared" si="6"/>
        <v>0</v>
      </c>
      <c r="AE39" s="282">
        <f t="shared" si="6"/>
        <v>0</v>
      </c>
      <c r="AF39" s="282">
        <f t="shared" si="6"/>
        <v>0</v>
      </c>
      <c r="AG39" s="282">
        <f t="shared" si="6"/>
        <v>0</v>
      </c>
      <c r="AH39" s="282">
        <f t="shared" si="6"/>
        <v>0</v>
      </c>
      <c r="AI39" s="282">
        <f t="shared" si="6"/>
        <v>0</v>
      </c>
      <c r="AJ39" s="282">
        <f t="shared" si="6"/>
        <v>6.8999999999999986</v>
      </c>
      <c r="AK39" s="124"/>
      <c r="AL39" s="126"/>
      <c r="AM39" s="126"/>
      <c r="AN39" s="126"/>
    </row>
    <row r="40" spans="1:40" s="125" customFormat="1" ht="18" x14ac:dyDescent="0.2">
      <c r="A40" s="122"/>
      <c r="B40" s="131"/>
      <c r="C40" s="122"/>
      <c r="D40" s="122"/>
      <c r="E40" s="122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M40" s="126"/>
      <c r="AN40" s="126"/>
    </row>
    <row r="41" spans="1:40" s="125" customFormat="1" ht="18" x14ac:dyDescent="0.2">
      <c r="A41" s="122"/>
      <c r="B41" s="131"/>
      <c r="C41" s="122"/>
      <c r="D41" s="122"/>
      <c r="E41" s="122"/>
      <c r="F41" s="124"/>
      <c r="G41" s="124"/>
      <c r="H41" s="124"/>
      <c r="I41" s="124"/>
      <c r="J41" s="124"/>
      <c r="L41" s="371" t="s">
        <v>175</v>
      </c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245"/>
      <c r="AC41" s="124"/>
      <c r="AD41" s="124"/>
      <c r="AE41" s="124"/>
      <c r="AF41" s="124"/>
      <c r="AG41" s="124"/>
      <c r="AH41" s="124"/>
      <c r="AI41" s="124"/>
      <c r="AJ41" s="124"/>
      <c r="AK41" s="122"/>
      <c r="AM41" s="126"/>
      <c r="AN41" s="126"/>
    </row>
    <row r="42" spans="1:40" s="125" customFormat="1" ht="18" x14ac:dyDescent="0.2">
      <c r="A42" s="122"/>
      <c r="B42" s="131"/>
      <c r="C42" s="122"/>
      <c r="D42" s="122"/>
      <c r="E42" s="122"/>
      <c r="F42" s="124"/>
      <c r="G42" s="124"/>
      <c r="H42" s="124"/>
      <c r="I42" s="124"/>
      <c r="J42" s="124"/>
      <c r="K42" s="373" t="s">
        <v>386</v>
      </c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5"/>
      <c r="AC42" s="124"/>
      <c r="AD42" s="124"/>
      <c r="AE42" s="124"/>
      <c r="AF42" s="124"/>
      <c r="AG42" s="124"/>
      <c r="AH42" s="124"/>
      <c r="AI42" s="124"/>
      <c r="AJ42" s="124"/>
      <c r="AK42" s="122"/>
      <c r="AM42" s="126"/>
      <c r="AN42" s="126"/>
    </row>
    <row r="43" spans="1:40" s="125" customFormat="1" ht="18" x14ac:dyDescent="0.2">
      <c r="A43" s="122"/>
      <c r="B43" s="131"/>
      <c r="C43" s="122"/>
      <c r="D43" s="122"/>
      <c r="E43" s="122"/>
      <c r="F43" s="124"/>
      <c r="G43" s="124"/>
      <c r="H43" s="124"/>
      <c r="I43" s="124"/>
      <c r="J43" s="124"/>
      <c r="K43" s="373" t="s">
        <v>385</v>
      </c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5"/>
      <c r="AC43" s="124"/>
      <c r="AD43" s="124"/>
      <c r="AE43" s="124"/>
      <c r="AF43" s="124"/>
      <c r="AG43" s="124"/>
      <c r="AH43" s="124"/>
      <c r="AI43" s="124"/>
      <c r="AJ43" s="124"/>
      <c r="AK43" s="122"/>
      <c r="AM43" s="126"/>
      <c r="AN43" s="126"/>
    </row>
    <row r="44" spans="1:40" s="125" customFormat="1" ht="36" x14ac:dyDescent="0.2">
      <c r="A44" s="122" t="s">
        <v>284</v>
      </c>
      <c r="B44" s="131" t="s">
        <v>470</v>
      </c>
      <c r="C44" s="122" t="s">
        <v>64</v>
      </c>
      <c r="D44" s="122">
        <f>Внебюджет_Конт!$E$8</f>
        <v>1</v>
      </c>
      <c r="E44" s="122"/>
      <c r="F44" s="124">
        <v>20</v>
      </c>
      <c r="G44" s="124"/>
      <c r="H44" s="124">
        <v>20</v>
      </c>
      <c r="I44" s="124"/>
      <c r="J44" s="124"/>
      <c r="K44" s="124">
        <f t="shared" ref="K44" si="7">0.3*D44</f>
        <v>0.3</v>
      </c>
      <c r="L44" s="124"/>
      <c r="M44" s="239"/>
      <c r="N44" s="124"/>
      <c r="O44" s="124"/>
      <c r="P44" s="124"/>
      <c r="Q44" s="239">
        <f t="shared" ref="Q44:Q51" si="8">IF(K44&gt;0,0.05*G44,IF(M44&gt;0,0.05*G44+1*E44,0))</f>
        <v>0</v>
      </c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>
        <f t="shared" ref="AJ44:AJ53" si="9">SUM(G44,I44:AI44)</f>
        <v>0.3</v>
      </c>
      <c r="AK44" s="122">
        <v>7</v>
      </c>
      <c r="AL44" s="249"/>
      <c r="AM44" s="250"/>
      <c r="AN44" s="126"/>
    </row>
    <row r="45" spans="1:40" s="138" customFormat="1" ht="18" x14ac:dyDescent="0.2">
      <c r="A45" s="122" t="s">
        <v>245</v>
      </c>
      <c r="B45" s="131" t="s">
        <v>435</v>
      </c>
      <c r="C45" s="122" t="s">
        <v>63</v>
      </c>
      <c r="D45" s="122">
        <f>Внебюджет_Конт!$E$8</f>
        <v>1</v>
      </c>
      <c r="E45" s="122"/>
      <c r="F45" s="124">
        <v>32</v>
      </c>
      <c r="G45" s="124"/>
      <c r="H45" s="124">
        <v>32</v>
      </c>
      <c r="I45" s="124"/>
      <c r="J45" s="124"/>
      <c r="K45" s="124"/>
      <c r="L45" s="124"/>
      <c r="M45" s="247">
        <f>0.4*D45</f>
        <v>0.4</v>
      </c>
      <c r="N45" s="124"/>
      <c r="O45" s="124"/>
      <c r="P45" s="124"/>
      <c r="Q45" s="239">
        <f>IF(K45&gt;0,0.05*G45,IF(M45&gt;0,0.05*G45+1*E45,0))</f>
        <v>0</v>
      </c>
      <c r="R45" s="124"/>
      <c r="S45" s="124"/>
      <c r="T45" s="124"/>
      <c r="U45" s="124">
        <f>0.3*D45</f>
        <v>0.3</v>
      </c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>
        <f>12*E45</f>
        <v>0</v>
      </c>
      <c r="AJ45" s="124">
        <f>SUM(G45,I45:AI45)</f>
        <v>0.7</v>
      </c>
      <c r="AK45" s="122">
        <v>12</v>
      </c>
      <c r="AL45" s="125"/>
      <c r="AM45" s="126"/>
      <c r="AN45" s="126"/>
    </row>
    <row r="46" spans="1:40" s="138" customFormat="1" ht="36" x14ac:dyDescent="0.2">
      <c r="A46" s="122" t="s">
        <v>324</v>
      </c>
      <c r="B46" s="131" t="s">
        <v>511</v>
      </c>
      <c r="C46" s="122" t="s">
        <v>63</v>
      </c>
      <c r="D46" s="122">
        <f>Внебюджет_Конт!$E$8</f>
        <v>1</v>
      </c>
      <c r="E46" s="122"/>
      <c r="F46" s="124">
        <v>50</v>
      </c>
      <c r="G46" s="124"/>
      <c r="H46" s="124">
        <v>50</v>
      </c>
      <c r="I46" s="124"/>
      <c r="J46" s="124"/>
      <c r="K46" s="239"/>
      <c r="L46" s="124"/>
      <c r="M46" s="247">
        <f>0.4*D46</f>
        <v>0.4</v>
      </c>
      <c r="N46" s="124"/>
      <c r="O46" s="124"/>
      <c r="P46" s="124"/>
      <c r="Q46" s="239">
        <f t="shared" si="8"/>
        <v>0</v>
      </c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>
        <f>2*E46</f>
        <v>0</v>
      </c>
      <c r="AJ46" s="124">
        <f t="shared" si="9"/>
        <v>0.4</v>
      </c>
      <c r="AK46" s="122">
        <v>7</v>
      </c>
      <c r="AL46" s="125"/>
      <c r="AM46" s="126"/>
      <c r="AN46" s="126"/>
    </row>
    <row r="47" spans="1:40" s="138" customFormat="1" ht="36" x14ac:dyDescent="0.2">
      <c r="A47" s="122" t="s">
        <v>325</v>
      </c>
      <c r="B47" s="131" t="s">
        <v>512</v>
      </c>
      <c r="C47" s="122" t="s">
        <v>64</v>
      </c>
      <c r="D47" s="122">
        <f>Внебюджет_Конт!$E$8</f>
        <v>1</v>
      </c>
      <c r="E47" s="122"/>
      <c r="F47" s="124">
        <v>60</v>
      </c>
      <c r="G47" s="124"/>
      <c r="H47" s="124">
        <v>60</v>
      </c>
      <c r="I47" s="124"/>
      <c r="J47" s="124"/>
      <c r="K47" s="239"/>
      <c r="L47" s="124"/>
      <c r="M47" s="247">
        <f>0.4*D47</f>
        <v>0.4</v>
      </c>
      <c r="N47" s="124"/>
      <c r="O47" s="124"/>
      <c r="P47" s="124"/>
      <c r="Q47" s="239">
        <f t="shared" si="8"/>
        <v>0</v>
      </c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>
        <f>8*E47</f>
        <v>0</v>
      </c>
      <c r="AJ47" s="124">
        <f t="shared" si="9"/>
        <v>0.4</v>
      </c>
      <c r="AK47" s="122">
        <v>7</v>
      </c>
      <c r="AL47" s="125"/>
      <c r="AM47" s="126"/>
      <c r="AN47" s="126"/>
    </row>
    <row r="48" spans="1:40" s="138" customFormat="1" ht="36" x14ac:dyDescent="0.2">
      <c r="A48" s="122" t="s">
        <v>254</v>
      </c>
      <c r="B48" s="131" t="s">
        <v>473</v>
      </c>
      <c r="C48" s="259" t="s">
        <v>63</v>
      </c>
      <c r="D48" s="122">
        <f>Внебюджет_Конт!$E$8</f>
        <v>1</v>
      </c>
      <c r="E48" s="122"/>
      <c r="F48" s="124">
        <v>16</v>
      </c>
      <c r="G48" s="124"/>
      <c r="H48" s="124"/>
      <c r="I48" s="124"/>
      <c r="J48" s="124"/>
      <c r="K48" s="239">
        <f>0.3*D48</f>
        <v>0.3</v>
      </c>
      <c r="L48" s="239"/>
      <c r="M48" s="239"/>
      <c r="N48" s="239"/>
      <c r="O48" s="239"/>
      <c r="P48" s="239"/>
      <c r="Q48" s="239">
        <f t="shared" si="8"/>
        <v>0</v>
      </c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124"/>
      <c r="AD48" s="124"/>
      <c r="AE48" s="124"/>
      <c r="AF48" s="124"/>
      <c r="AG48" s="124"/>
      <c r="AH48" s="124"/>
      <c r="AI48" s="124">
        <f>2*E48</f>
        <v>0</v>
      </c>
      <c r="AJ48" s="124">
        <f t="shared" si="9"/>
        <v>0.3</v>
      </c>
      <c r="AK48" s="122">
        <v>10</v>
      </c>
      <c r="AL48" s="125"/>
      <c r="AM48" s="126"/>
      <c r="AN48" s="126"/>
    </row>
    <row r="49" spans="1:40" s="138" customFormat="1" ht="18" x14ac:dyDescent="0.2">
      <c r="A49" s="122" t="s">
        <v>270</v>
      </c>
      <c r="B49" s="131" t="s">
        <v>215</v>
      </c>
      <c r="C49" s="122" t="s">
        <v>64</v>
      </c>
      <c r="D49" s="122">
        <f>Внебюджет_Конт!$E$8</f>
        <v>1</v>
      </c>
      <c r="E49" s="122"/>
      <c r="F49" s="124">
        <v>20</v>
      </c>
      <c r="G49" s="124"/>
      <c r="H49" s="124">
        <v>20</v>
      </c>
      <c r="I49" s="124"/>
      <c r="J49" s="124"/>
      <c r="K49" s="239"/>
      <c r="L49" s="124"/>
      <c r="M49" s="247">
        <f>0.4*D49</f>
        <v>0.4</v>
      </c>
      <c r="N49" s="124"/>
      <c r="O49" s="124"/>
      <c r="P49" s="124"/>
      <c r="Q49" s="239">
        <f t="shared" si="8"/>
        <v>0</v>
      </c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>
        <f t="shared" si="9"/>
        <v>0.4</v>
      </c>
      <c r="AK49" s="122">
        <v>8</v>
      </c>
      <c r="AL49" s="125"/>
      <c r="AM49" s="126"/>
      <c r="AN49" s="126"/>
    </row>
    <row r="50" spans="1:40" s="138" customFormat="1" ht="18" x14ac:dyDescent="0.2">
      <c r="A50" s="122" t="s">
        <v>258</v>
      </c>
      <c r="B50" s="131" t="s">
        <v>251</v>
      </c>
      <c r="C50" s="122" t="s">
        <v>63</v>
      </c>
      <c r="D50" s="122">
        <f>Внебюджет_Конт!$E$8</f>
        <v>1</v>
      </c>
      <c r="E50" s="122"/>
      <c r="F50" s="124">
        <v>34</v>
      </c>
      <c r="G50" s="124"/>
      <c r="H50" s="124"/>
      <c r="I50" s="124"/>
      <c r="J50" s="124"/>
      <c r="K50" s="239">
        <f t="shared" ref="K50:K53" si="10">0.3*D50</f>
        <v>0.3</v>
      </c>
      <c r="L50" s="124"/>
      <c r="M50" s="247"/>
      <c r="N50" s="124"/>
      <c r="O50" s="124"/>
      <c r="P50" s="124"/>
      <c r="Q50" s="239">
        <f>IF(K50&gt;0,0.05*G50,IF(M50&gt;0,0.05*G50+1*E50,0))</f>
        <v>0</v>
      </c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>
        <f>2*E50</f>
        <v>0</v>
      </c>
      <c r="AJ50" s="124">
        <f>SUM(G50,I50:AI50)</f>
        <v>0.3</v>
      </c>
      <c r="AK50" s="122">
        <v>10</v>
      </c>
      <c r="AL50" s="125"/>
      <c r="AM50" s="126"/>
      <c r="AN50" s="126"/>
    </row>
    <row r="51" spans="1:40" s="138" customFormat="1" ht="36" x14ac:dyDescent="0.2">
      <c r="A51" s="122" t="s">
        <v>327</v>
      </c>
      <c r="B51" s="131" t="s">
        <v>330</v>
      </c>
      <c r="C51" s="122" t="s">
        <v>63</v>
      </c>
      <c r="D51" s="122">
        <f>Внебюджет_Конт!$E$8</f>
        <v>1</v>
      </c>
      <c r="E51" s="122"/>
      <c r="F51" s="124">
        <v>34</v>
      </c>
      <c r="G51" s="124"/>
      <c r="H51" s="124">
        <v>34</v>
      </c>
      <c r="I51" s="124"/>
      <c r="J51" s="124"/>
      <c r="K51" s="239">
        <f t="shared" si="10"/>
        <v>0.3</v>
      </c>
      <c r="L51" s="239"/>
      <c r="M51" s="247"/>
      <c r="N51" s="239"/>
      <c r="O51" s="239"/>
      <c r="P51" s="239"/>
      <c r="Q51" s="239">
        <f t="shared" si="8"/>
        <v>0</v>
      </c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124"/>
      <c r="AD51" s="124"/>
      <c r="AE51" s="124"/>
      <c r="AF51" s="124"/>
      <c r="AG51" s="124"/>
      <c r="AH51" s="124"/>
      <c r="AI51" s="124"/>
      <c r="AJ51" s="124">
        <f t="shared" si="9"/>
        <v>0.3</v>
      </c>
      <c r="AK51" s="122">
        <v>10</v>
      </c>
      <c r="AL51" s="125"/>
      <c r="AM51" s="126"/>
      <c r="AN51" s="126"/>
    </row>
    <row r="52" spans="1:40" s="138" customFormat="1" ht="18" x14ac:dyDescent="0.2">
      <c r="A52" s="122" t="s">
        <v>383</v>
      </c>
      <c r="B52" s="131" t="s">
        <v>331</v>
      </c>
      <c r="C52" s="122" t="s">
        <v>64</v>
      </c>
      <c r="D52" s="122">
        <f>Внебюджет_Конт!$E$8</f>
        <v>1</v>
      </c>
      <c r="E52" s="122"/>
      <c r="F52" s="124">
        <v>20</v>
      </c>
      <c r="G52" s="124"/>
      <c r="H52" s="124">
        <v>40</v>
      </c>
      <c r="I52" s="124"/>
      <c r="J52" s="124"/>
      <c r="K52" s="239">
        <f t="shared" si="10"/>
        <v>0.3</v>
      </c>
      <c r="L52" s="124"/>
      <c r="M52" s="247"/>
      <c r="N52" s="124"/>
      <c r="O52" s="124"/>
      <c r="P52" s="124"/>
      <c r="Q52" s="239">
        <f>IF(K52&gt;0,0.05*G52,IF(M52&gt;0,0.05*G52+1*E52,0))</f>
        <v>0</v>
      </c>
      <c r="R52" s="124"/>
      <c r="S52" s="124"/>
      <c r="T52" s="124"/>
      <c r="U52" s="124">
        <f>0.3*D52</f>
        <v>0.3</v>
      </c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>
        <f>4*E52</f>
        <v>0</v>
      </c>
      <c r="AJ52" s="124">
        <f t="shared" si="9"/>
        <v>0.6</v>
      </c>
      <c r="AK52" s="122">
        <v>10</v>
      </c>
      <c r="AL52" s="125"/>
      <c r="AM52" s="126"/>
      <c r="AN52" s="126"/>
    </row>
    <row r="53" spans="1:40" s="138" customFormat="1" ht="18" x14ac:dyDescent="0.2">
      <c r="A53" s="122" t="s">
        <v>203</v>
      </c>
      <c r="B53" s="131" t="s">
        <v>332</v>
      </c>
      <c r="C53" s="122" t="s">
        <v>64</v>
      </c>
      <c r="D53" s="122">
        <f>Внебюджет_Конт!$E$8</f>
        <v>1</v>
      </c>
      <c r="E53" s="122"/>
      <c r="F53" s="124"/>
      <c r="G53" s="124"/>
      <c r="H53" s="124">
        <v>40</v>
      </c>
      <c r="I53" s="124"/>
      <c r="J53" s="124"/>
      <c r="K53" s="239">
        <f t="shared" si="10"/>
        <v>0.3</v>
      </c>
      <c r="L53" s="124"/>
      <c r="M53" s="247"/>
      <c r="N53" s="124"/>
      <c r="O53" s="124"/>
      <c r="P53" s="124"/>
      <c r="Q53" s="239">
        <f>IF(K53&gt;0,0.05*G53,IF(M53&gt;0,0.05*G53+1*E53,0))</f>
        <v>0</v>
      </c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>
        <f t="shared" si="9"/>
        <v>0.3</v>
      </c>
      <c r="AK53" s="122">
        <v>10</v>
      </c>
      <c r="AL53" s="125"/>
      <c r="AM53" s="126"/>
      <c r="AN53" s="126"/>
    </row>
    <row r="54" spans="1:40" s="138" customFormat="1" ht="18" x14ac:dyDescent="0.2">
      <c r="A54" s="122"/>
      <c r="B54" s="131"/>
      <c r="C54" s="122"/>
      <c r="D54" s="122"/>
      <c r="E54" s="122"/>
      <c r="F54" s="124"/>
      <c r="G54" s="124"/>
      <c r="H54" s="124"/>
      <c r="I54" s="124"/>
      <c r="J54" s="124"/>
      <c r="K54" s="367" t="s">
        <v>385</v>
      </c>
      <c r="L54" s="367"/>
      <c r="M54" s="367"/>
      <c r="N54" s="367"/>
      <c r="O54" s="367"/>
      <c r="P54" s="367"/>
      <c r="Q54" s="367"/>
      <c r="R54" s="367"/>
      <c r="S54" s="367"/>
      <c r="T54" s="367"/>
      <c r="U54" s="367"/>
      <c r="V54" s="367"/>
      <c r="W54" s="367"/>
      <c r="X54" s="367"/>
      <c r="Y54" s="367"/>
      <c r="Z54" s="367"/>
      <c r="AA54" s="367"/>
      <c r="AB54" s="367"/>
      <c r="AC54" s="124"/>
      <c r="AD54" s="124"/>
      <c r="AE54" s="124"/>
      <c r="AF54" s="124"/>
      <c r="AG54" s="124"/>
      <c r="AH54" s="124"/>
      <c r="AI54" s="124"/>
      <c r="AJ54" s="124"/>
      <c r="AK54" s="122"/>
      <c r="AL54" s="125"/>
      <c r="AM54" s="126"/>
      <c r="AN54" s="126"/>
    </row>
    <row r="55" spans="1:40" s="138" customFormat="1" ht="36" x14ac:dyDescent="0.2">
      <c r="A55" s="122" t="s">
        <v>193</v>
      </c>
      <c r="B55" s="131" t="s">
        <v>498</v>
      </c>
      <c r="C55" s="122" t="s">
        <v>64</v>
      </c>
      <c r="D55" s="122">
        <f>Внебюджет_Конт!$J$29</f>
        <v>1</v>
      </c>
      <c r="E55" s="122"/>
      <c r="F55" s="124">
        <v>40</v>
      </c>
      <c r="G55" s="124"/>
      <c r="H55" s="124"/>
      <c r="I55" s="124"/>
      <c r="J55" s="124"/>
      <c r="K55" s="239">
        <f>0.3*D55</f>
        <v>0.3</v>
      </c>
      <c r="L55" s="239"/>
      <c r="M55" s="239"/>
      <c r="N55" s="239"/>
      <c r="O55" s="239"/>
      <c r="P55" s="239"/>
      <c r="Q55" s="239">
        <f t="shared" ref="Q55" si="11">IF(K55&gt;0,0.05*G55,IF(M55&gt;0,0.05*G55+1*E55,0))</f>
        <v>0</v>
      </c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124"/>
      <c r="AD55" s="124"/>
      <c r="AE55" s="124"/>
      <c r="AF55" s="124"/>
      <c r="AG55" s="124"/>
      <c r="AH55" s="124"/>
      <c r="AI55" s="124"/>
      <c r="AJ55" s="124">
        <f t="shared" ref="AJ55" si="12">SUM(G55,I55:AI55)</f>
        <v>0.3</v>
      </c>
      <c r="AK55" s="122">
        <v>10</v>
      </c>
      <c r="AL55" s="125"/>
      <c r="AM55" s="126"/>
      <c r="AN55" s="126"/>
    </row>
    <row r="56" spans="1:40" s="138" customFormat="1" ht="18" x14ac:dyDescent="0.2">
      <c r="A56" s="122"/>
      <c r="B56" s="280" t="s">
        <v>230</v>
      </c>
      <c r="C56" s="281"/>
      <c r="D56" s="281"/>
      <c r="E56" s="281"/>
      <c r="F56" s="282">
        <f t="shared" ref="F56:AJ56" si="13">SUM(F44:F55)</f>
        <v>326</v>
      </c>
      <c r="G56" s="282">
        <f t="shared" si="13"/>
        <v>0</v>
      </c>
      <c r="H56" s="282">
        <f t="shared" si="13"/>
        <v>296</v>
      </c>
      <c r="I56" s="282">
        <f t="shared" si="13"/>
        <v>0</v>
      </c>
      <c r="J56" s="282">
        <f t="shared" si="13"/>
        <v>0</v>
      </c>
      <c r="K56" s="282">
        <f t="shared" si="13"/>
        <v>2.1</v>
      </c>
      <c r="L56" s="282">
        <f t="shared" si="13"/>
        <v>0</v>
      </c>
      <c r="M56" s="282">
        <f t="shared" si="13"/>
        <v>1.6</v>
      </c>
      <c r="N56" s="282">
        <f t="shared" si="13"/>
        <v>0</v>
      </c>
      <c r="O56" s="282">
        <f t="shared" si="13"/>
        <v>0</v>
      </c>
      <c r="P56" s="282">
        <f t="shared" si="13"/>
        <v>0</v>
      </c>
      <c r="Q56" s="282">
        <f t="shared" si="13"/>
        <v>0</v>
      </c>
      <c r="R56" s="282">
        <f t="shared" si="13"/>
        <v>0</v>
      </c>
      <c r="S56" s="282">
        <f t="shared" si="13"/>
        <v>0</v>
      </c>
      <c r="T56" s="282">
        <f t="shared" si="13"/>
        <v>0</v>
      </c>
      <c r="U56" s="282">
        <f t="shared" si="13"/>
        <v>0.6</v>
      </c>
      <c r="V56" s="282">
        <f t="shared" si="13"/>
        <v>0</v>
      </c>
      <c r="W56" s="282">
        <f t="shared" si="13"/>
        <v>0</v>
      </c>
      <c r="X56" s="282">
        <f t="shared" si="13"/>
        <v>0</v>
      </c>
      <c r="Y56" s="282">
        <f t="shared" si="13"/>
        <v>0</v>
      </c>
      <c r="Z56" s="282">
        <f t="shared" si="13"/>
        <v>0</v>
      </c>
      <c r="AA56" s="282">
        <f t="shared" si="13"/>
        <v>0</v>
      </c>
      <c r="AB56" s="282">
        <f t="shared" si="13"/>
        <v>0</v>
      </c>
      <c r="AC56" s="282">
        <f t="shared" si="13"/>
        <v>0</v>
      </c>
      <c r="AD56" s="282">
        <f t="shared" si="13"/>
        <v>0</v>
      </c>
      <c r="AE56" s="282">
        <f t="shared" si="13"/>
        <v>0</v>
      </c>
      <c r="AF56" s="282">
        <f t="shared" si="13"/>
        <v>0</v>
      </c>
      <c r="AG56" s="282">
        <f t="shared" si="13"/>
        <v>0</v>
      </c>
      <c r="AH56" s="282">
        <f t="shared" si="13"/>
        <v>0</v>
      </c>
      <c r="AI56" s="282">
        <f t="shared" si="13"/>
        <v>0</v>
      </c>
      <c r="AJ56" s="282">
        <f t="shared" si="13"/>
        <v>4.2999999999999989</v>
      </c>
      <c r="AK56" s="124"/>
      <c r="AL56" s="126"/>
      <c r="AM56" s="126"/>
      <c r="AN56" s="126"/>
    </row>
    <row r="57" spans="1:40" s="138" customFormat="1" ht="18" x14ac:dyDescent="0.2">
      <c r="A57" s="122"/>
      <c r="B57" s="283"/>
      <c r="C57" s="128"/>
      <c r="D57" s="128"/>
      <c r="E57" s="128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124"/>
      <c r="AL57" s="126"/>
      <c r="AM57" s="126"/>
      <c r="AN57" s="126"/>
    </row>
    <row r="58" spans="1:40" s="138" customFormat="1" ht="18" x14ac:dyDescent="0.2">
      <c r="A58" s="122"/>
      <c r="B58" s="283"/>
      <c r="C58" s="128"/>
      <c r="D58" s="128"/>
      <c r="E58" s="128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124"/>
      <c r="AL58" s="126"/>
      <c r="AM58" s="126"/>
      <c r="AN58" s="126"/>
    </row>
    <row r="59" spans="1:40" s="138" customFormat="1" ht="18" x14ac:dyDescent="0.2">
      <c r="A59" s="149"/>
      <c r="B59" s="284" t="s">
        <v>125</v>
      </c>
      <c r="C59" s="285"/>
      <c r="D59" s="285"/>
      <c r="E59" s="285"/>
      <c r="F59" s="286">
        <f>SUM(F39,F56)</f>
        <v>734</v>
      </c>
      <c r="G59" s="286">
        <f t="shared" ref="G59:AJ59" si="14">SUM(G39,G56)</f>
        <v>0</v>
      </c>
      <c r="H59" s="286">
        <f t="shared" si="14"/>
        <v>668</v>
      </c>
      <c r="I59" s="286">
        <f t="shared" si="14"/>
        <v>0</v>
      </c>
      <c r="J59" s="286">
        <f t="shared" si="14"/>
        <v>0</v>
      </c>
      <c r="K59" s="286">
        <f t="shared" si="14"/>
        <v>4.8</v>
      </c>
      <c r="L59" s="286">
        <f t="shared" si="14"/>
        <v>0</v>
      </c>
      <c r="M59" s="286">
        <f t="shared" si="14"/>
        <v>3.2</v>
      </c>
      <c r="N59" s="286">
        <f t="shared" si="14"/>
        <v>0</v>
      </c>
      <c r="O59" s="286">
        <f t="shared" si="14"/>
        <v>0</v>
      </c>
      <c r="P59" s="286">
        <f t="shared" si="14"/>
        <v>0</v>
      </c>
      <c r="Q59" s="286">
        <f t="shared" si="14"/>
        <v>0</v>
      </c>
      <c r="R59" s="286">
        <f t="shared" si="14"/>
        <v>0</v>
      </c>
      <c r="S59" s="286">
        <f t="shared" si="14"/>
        <v>0</v>
      </c>
      <c r="T59" s="286">
        <f t="shared" si="14"/>
        <v>2</v>
      </c>
      <c r="U59" s="286">
        <f t="shared" si="14"/>
        <v>1.2</v>
      </c>
      <c r="V59" s="286">
        <f t="shared" si="14"/>
        <v>0</v>
      </c>
      <c r="W59" s="286">
        <f t="shared" si="14"/>
        <v>0</v>
      </c>
      <c r="X59" s="286">
        <f t="shared" si="14"/>
        <v>0</v>
      </c>
      <c r="Y59" s="286">
        <f t="shared" si="14"/>
        <v>0</v>
      </c>
      <c r="Z59" s="286">
        <f t="shared" si="14"/>
        <v>0</v>
      </c>
      <c r="AA59" s="286">
        <f t="shared" si="14"/>
        <v>0</v>
      </c>
      <c r="AB59" s="286">
        <f t="shared" si="14"/>
        <v>0</v>
      </c>
      <c r="AC59" s="286">
        <f t="shared" si="14"/>
        <v>0</v>
      </c>
      <c r="AD59" s="286">
        <f t="shared" si="14"/>
        <v>0</v>
      </c>
      <c r="AE59" s="286">
        <f t="shared" si="14"/>
        <v>0</v>
      </c>
      <c r="AF59" s="286">
        <f t="shared" si="14"/>
        <v>0</v>
      </c>
      <c r="AG59" s="286">
        <f t="shared" si="14"/>
        <v>0</v>
      </c>
      <c r="AH59" s="286">
        <f t="shared" si="14"/>
        <v>0</v>
      </c>
      <c r="AI59" s="286">
        <f t="shared" si="14"/>
        <v>0</v>
      </c>
      <c r="AJ59" s="286">
        <f t="shared" si="14"/>
        <v>11.199999999999998</v>
      </c>
      <c r="AK59" s="137"/>
      <c r="AL59" s="126"/>
      <c r="AM59" s="126"/>
      <c r="AN59" s="126"/>
    </row>
    <row r="60" spans="1:40" s="138" customFormat="1" ht="18" x14ac:dyDescent="0.2">
      <c r="A60" s="149"/>
      <c r="B60" s="132"/>
      <c r="C60" s="149"/>
      <c r="D60" s="149"/>
      <c r="E60" s="149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37"/>
      <c r="AL60" s="125"/>
      <c r="AM60" s="126"/>
      <c r="AN60" s="126"/>
    </row>
    <row r="61" spans="1:40" s="138" customFormat="1" ht="18" x14ac:dyDescent="0.2">
      <c r="A61" s="149"/>
      <c r="B61" s="149"/>
      <c r="C61" s="149"/>
      <c r="D61" s="149"/>
      <c r="E61" s="149"/>
      <c r="F61" s="137"/>
      <c r="G61" s="137"/>
      <c r="H61" s="137"/>
      <c r="I61" s="137"/>
      <c r="J61" s="137"/>
      <c r="K61" s="137"/>
      <c r="L61" s="137"/>
      <c r="M61" s="137"/>
      <c r="N61" s="383" t="s">
        <v>58</v>
      </c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49"/>
    </row>
    <row r="62" spans="1:40" s="138" customFormat="1" ht="18" x14ac:dyDescent="0.2">
      <c r="A62" s="139"/>
      <c r="B62" s="140"/>
      <c r="C62" s="169"/>
      <c r="D62" s="170"/>
      <c r="E62" s="170"/>
      <c r="F62" s="121"/>
      <c r="G62" s="121"/>
      <c r="H62" s="121"/>
      <c r="I62" s="121"/>
      <c r="J62" s="121"/>
      <c r="K62" s="385" t="s">
        <v>126</v>
      </c>
      <c r="L62" s="385"/>
      <c r="M62" s="385"/>
      <c r="N62" s="385"/>
      <c r="O62" s="385"/>
      <c r="P62" s="385"/>
      <c r="Q62" s="385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121"/>
      <c r="AD62" s="121"/>
      <c r="AE62" s="121"/>
      <c r="AF62" s="121"/>
      <c r="AG62" s="121"/>
      <c r="AH62" s="121"/>
      <c r="AI62" s="121"/>
      <c r="AJ62" s="121"/>
      <c r="AK62" s="154"/>
      <c r="AL62" s="125"/>
      <c r="AM62" s="126"/>
      <c r="AN62" s="126"/>
    </row>
    <row r="63" spans="1:40" s="138" customFormat="1" ht="18" x14ac:dyDescent="0.2">
      <c r="A63" s="139"/>
      <c r="B63" s="140"/>
      <c r="C63" s="169"/>
      <c r="D63" s="170"/>
      <c r="E63" s="170"/>
      <c r="F63" s="121"/>
      <c r="G63" s="360" t="s">
        <v>397</v>
      </c>
      <c r="H63" s="360"/>
      <c r="I63" s="360"/>
      <c r="J63" s="360"/>
      <c r="K63" s="360"/>
      <c r="L63" s="360"/>
      <c r="M63" s="360"/>
      <c r="N63" s="360"/>
      <c r="O63" s="360"/>
      <c r="P63" s="360"/>
      <c r="Q63" s="360"/>
      <c r="R63" s="360"/>
      <c r="S63" s="360"/>
      <c r="T63" s="360"/>
      <c r="U63" s="360"/>
      <c r="V63" s="360"/>
      <c r="W63" s="360"/>
      <c r="X63" s="360"/>
      <c r="Y63" s="360"/>
      <c r="Z63" s="360"/>
      <c r="AA63" s="360"/>
      <c r="AB63" s="360"/>
      <c r="AC63" s="360"/>
      <c r="AD63" s="360"/>
      <c r="AE63" s="360"/>
      <c r="AF63" s="360"/>
      <c r="AG63" s="121"/>
      <c r="AH63" s="121"/>
      <c r="AI63" s="121"/>
      <c r="AJ63" s="124">
        <f t="shared" ref="AJ63:AJ65" si="15">SUM(G63,I63:AI63)</f>
        <v>0</v>
      </c>
      <c r="AK63" s="154"/>
      <c r="AL63" s="125"/>
      <c r="AM63" s="126"/>
      <c r="AN63" s="126"/>
    </row>
    <row r="64" spans="1:40" s="138" customFormat="1" ht="18" x14ac:dyDescent="0.2">
      <c r="A64" s="298" t="s">
        <v>202</v>
      </c>
      <c r="B64" s="299" t="s">
        <v>128</v>
      </c>
      <c r="C64" s="300">
        <v>1.1000000000000001</v>
      </c>
      <c r="D64" s="301">
        <v>1</v>
      </c>
      <c r="E64" s="301">
        <v>1</v>
      </c>
      <c r="F64" s="302">
        <v>36</v>
      </c>
      <c r="G64" s="302"/>
      <c r="H64" s="302"/>
      <c r="I64" s="302"/>
      <c r="J64" s="302"/>
      <c r="K64" s="302"/>
      <c r="L64" s="302"/>
      <c r="M64" s="302">
        <v>0.4</v>
      </c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124">
        <f t="shared" si="15"/>
        <v>0.4</v>
      </c>
      <c r="AK64" s="300">
        <v>8</v>
      </c>
      <c r="AL64" s="125"/>
      <c r="AM64" s="126"/>
      <c r="AN64" s="126"/>
    </row>
    <row r="65" spans="1:40" s="138" customFormat="1" ht="18" x14ac:dyDescent="0.2">
      <c r="A65" s="139"/>
      <c r="B65" s="140"/>
      <c r="C65" s="169"/>
      <c r="D65" s="170"/>
      <c r="E65" s="170"/>
      <c r="F65" s="121"/>
      <c r="G65" s="364" t="s">
        <v>596</v>
      </c>
      <c r="H65" s="365"/>
      <c r="I65" s="365"/>
      <c r="J65" s="365"/>
      <c r="K65" s="365"/>
      <c r="L65" s="365"/>
      <c r="M65" s="365"/>
      <c r="N65" s="365"/>
      <c r="O65" s="365"/>
      <c r="P65" s="365"/>
      <c r="Q65" s="365"/>
      <c r="R65" s="365"/>
      <c r="S65" s="365"/>
      <c r="T65" s="365"/>
      <c r="U65" s="365"/>
      <c r="V65" s="365"/>
      <c r="W65" s="365"/>
      <c r="X65" s="365"/>
      <c r="Y65" s="365"/>
      <c r="Z65" s="365"/>
      <c r="AA65" s="365"/>
      <c r="AB65" s="365"/>
      <c r="AC65" s="365"/>
      <c r="AD65" s="365"/>
      <c r="AE65" s="365"/>
      <c r="AF65" s="366"/>
      <c r="AG65" s="121"/>
      <c r="AH65" s="121"/>
      <c r="AI65" s="121"/>
      <c r="AJ65" s="124">
        <f t="shared" si="15"/>
        <v>0</v>
      </c>
      <c r="AK65" s="154"/>
      <c r="AL65" s="125"/>
      <c r="AM65" s="126"/>
      <c r="AN65" s="126"/>
    </row>
    <row r="66" spans="1:40" s="138" customFormat="1" ht="18" x14ac:dyDescent="0.2">
      <c r="A66" s="305" t="s">
        <v>202</v>
      </c>
      <c r="B66" s="140" t="s">
        <v>130</v>
      </c>
      <c r="C66" s="300">
        <v>1</v>
      </c>
      <c r="D66" s="301">
        <v>60</v>
      </c>
      <c r="E66" s="301">
        <v>2</v>
      </c>
      <c r="F66" s="302">
        <v>8</v>
      </c>
      <c r="G66" s="302">
        <v>8</v>
      </c>
      <c r="H66" s="302">
        <v>10</v>
      </c>
      <c r="I66" s="302">
        <v>40</v>
      </c>
      <c r="J66" s="302"/>
      <c r="K66" s="302"/>
      <c r="L66" s="302"/>
      <c r="M66" s="302">
        <v>24</v>
      </c>
      <c r="N66" s="302"/>
      <c r="O66" s="302"/>
      <c r="P66" s="302"/>
      <c r="Q66" s="302">
        <v>3.2</v>
      </c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2"/>
      <c r="AH66" s="302"/>
      <c r="AI66" s="302"/>
      <c r="AJ66" s="124">
        <f t="shared" ref="AJ66:AJ68" si="16">SUM(G66,I66:AI66)</f>
        <v>75.2</v>
      </c>
      <c r="AK66" s="300">
        <v>8</v>
      </c>
      <c r="AL66" s="125"/>
      <c r="AM66" s="126"/>
      <c r="AN66" s="126"/>
    </row>
    <row r="67" spans="1:40" s="138" customFormat="1" ht="18" x14ac:dyDescent="0.2">
      <c r="A67" s="139"/>
      <c r="B67" s="140"/>
      <c r="C67" s="169"/>
      <c r="D67" s="170"/>
      <c r="E67" s="170"/>
      <c r="F67" s="121"/>
      <c r="G67" s="360" t="s">
        <v>597</v>
      </c>
      <c r="H67" s="360"/>
      <c r="I67" s="360"/>
      <c r="J67" s="360"/>
      <c r="K67" s="360"/>
      <c r="L67" s="360"/>
      <c r="M67" s="360"/>
      <c r="N67" s="360"/>
      <c r="O67" s="360"/>
      <c r="P67" s="360"/>
      <c r="Q67" s="360"/>
      <c r="R67" s="360"/>
      <c r="S67" s="360"/>
      <c r="T67" s="360"/>
      <c r="U67" s="360"/>
      <c r="V67" s="360"/>
      <c r="W67" s="360"/>
      <c r="X67" s="360"/>
      <c r="Y67" s="360"/>
      <c r="Z67" s="360"/>
      <c r="AA67" s="360"/>
      <c r="AB67" s="360"/>
      <c r="AC67" s="360"/>
      <c r="AD67" s="360"/>
      <c r="AE67" s="360"/>
      <c r="AF67" s="360"/>
      <c r="AG67" s="121"/>
      <c r="AH67" s="121"/>
      <c r="AI67" s="121"/>
      <c r="AJ67" s="124">
        <f t="shared" si="16"/>
        <v>0</v>
      </c>
      <c r="AK67" s="154"/>
      <c r="AL67" s="125"/>
      <c r="AM67" s="126"/>
      <c r="AN67" s="126"/>
    </row>
    <row r="68" spans="1:40" s="138" customFormat="1" ht="18" x14ac:dyDescent="0.2">
      <c r="A68" s="298" t="s">
        <v>398</v>
      </c>
      <c r="B68" s="299" t="s">
        <v>496</v>
      </c>
      <c r="C68" s="300">
        <v>3</v>
      </c>
      <c r="D68" s="301">
        <v>13</v>
      </c>
      <c r="E68" s="301">
        <v>1</v>
      </c>
      <c r="F68" s="302">
        <v>4</v>
      </c>
      <c r="G68" s="302">
        <v>4</v>
      </c>
      <c r="H68" s="302">
        <v>4</v>
      </c>
      <c r="I68" s="302">
        <v>4</v>
      </c>
      <c r="J68" s="302"/>
      <c r="K68" s="302">
        <v>3.9</v>
      </c>
      <c r="L68" s="302"/>
      <c r="M68" s="302"/>
      <c r="N68" s="302"/>
      <c r="O68" s="302"/>
      <c r="P68" s="302"/>
      <c r="Q68" s="302">
        <v>0.6</v>
      </c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124">
        <f t="shared" si="16"/>
        <v>12.5</v>
      </c>
      <c r="AK68" s="300">
        <v>8</v>
      </c>
      <c r="AL68" s="125"/>
      <c r="AM68" s="126"/>
      <c r="AN68" s="126"/>
    </row>
    <row r="69" spans="1:40" s="138" customFormat="1" ht="18" x14ac:dyDescent="0.2">
      <c r="A69" s="146"/>
      <c r="B69" s="133" t="s">
        <v>197</v>
      </c>
      <c r="C69" s="162"/>
      <c r="D69" s="163"/>
      <c r="E69" s="163"/>
      <c r="F69" s="164">
        <f t="shared" ref="F69:AJ69" si="17">SUM(F64:F68)</f>
        <v>48</v>
      </c>
      <c r="G69" s="164">
        <f t="shared" si="17"/>
        <v>12</v>
      </c>
      <c r="H69" s="164">
        <f t="shared" si="17"/>
        <v>14</v>
      </c>
      <c r="I69" s="164">
        <f t="shared" si="17"/>
        <v>44</v>
      </c>
      <c r="J69" s="164">
        <f t="shared" si="17"/>
        <v>0</v>
      </c>
      <c r="K69" s="164">
        <f t="shared" si="17"/>
        <v>3.9</v>
      </c>
      <c r="L69" s="164">
        <f t="shared" si="17"/>
        <v>0</v>
      </c>
      <c r="M69" s="164">
        <f t="shared" si="17"/>
        <v>24.4</v>
      </c>
      <c r="N69" s="164">
        <f t="shared" si="17"/>
        <v>0</v>
      </c>
      <c r="O69" s="164">
        <f t="shared" si="17"/>
        <v>0</v>
      </c>
      <c r="P69" s="164">
        <f t="shared" si="17"/>
        <v>0</v>
      </c>
      <c r="Q69" s="164">
        <f t="shared" si="17"/>
        <v>3.8000000000000003</v>
      </c>
      <c r="R69" s="164">
        <f t="shared" si="17"/>
        <v>0</v>
      </c>
      <c r="S69" s="164">
        <f t="shared" si="17"/>
        <v>0</v>
      </c>
      <c r="T69" s="164">
        <f t="shared" si="17"/>
        <v>0</v>
      </c>
      <c r="U69" s="164">
        <f t="shared" si="17"/>
        <v>0</v>
      </c>
      <c r="V69" s="164">
        <f t="shared" si="17"/>
        <v>0</v>
      </c>
      <c r="W69" s="164">
        <f t="shared" si="17"/>
        <v>0</v>
      </c>
      <c r="X69" s="164">
        <f t="shared" si="17"/>
        <v>0</v>
      </c>
      <c r="Y69" s="164">
        <f t="shared" si="17"/>
        <v>0</v>
      </c>
      <c r="Z69" s="164">
        <f t="shared" si="17"/>
        <v>0</v>
      </c>
      <c r="AA69" s="164">
        <f t="shared" si="17"/>
        <v>0</v>
      </c>
      <c r="AB69" s="164">
        <f t="shared" si="17"/>
        <v>0</v>
      </c>
      <c r="AC69" s="164">
        <f t="shared" si="17"/>
        <v>0</v>
      </c>
      <c r="AD69" s="164">
        <f t="shared" si="17"/>
        <v>0</v>
      </c>
      <c r="AE69" s="164">
        <f t="shared" si="17"/>
        <v>0</v>
      </c>
      <c r="AF69" s="164">
        <f t="shared" si="17"/>
        <v>0</v>
      </c>
      <c r="AG69" s="164">
        <f t="shared" si="17"/>
        <v>0</v>
      </c>
      <c r="AH69" s="164">
        <f t="shared" si="17"/>
        <v>0</v>
      </c>
      <c r="AI69" s="164">
        <f t="shared" si="17"/>
        <v>0</v>
      </c>
      <c r="AJ69" s="164">
        <f t="shared" si="17"/>
        <v>88.100000000000009</v>
      </c>
      <c r="AK69" s="165"/>
      <c r="AL69" s="125"/>
      <c r="AM69" s="126"/>
      <c r="AN69" s="126"/>
    </row>
    <row r="70" spans="1:40" s="138" customFormat="1" ht="18" x14ac:dyDescent="0.2">
      <c r="A70" s="149"/>
      <c r="B70" s="132"/>
      <c r="C70" s="149"/>
      <c r="D70" s="149"/>
      <c r="E70" s="149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2"/>
      <c r="AL70" s="125"/>
      <c r="AM70" s="126"/>
      <c r="AN70" s="126"/>
    </row>
    <row r="71" spans="1:40" s="138" customFormat="1" ht="18" x14ac:dyDescent="0.2">
      <c r="A71" s="149"/>
      <c r="B71" s="287" t="s">
        <v>177</v>
      </c>
      <c r="C71" s="288"/>
      <c r="D71" s="288"/>
      <c r="E71" s="288"/>
      <c r="F71" s="289">
        <f>SUM(F69)</f>
        <v>48</v>
      </c>
      <c r="G71" s="289">
        <f t="shared" ref="G71:AJ71" si="18">SUM(G69)</f>
        <v>12</v>
      </c>
      <c r="H71" s="289">
        <f t="shared" si="18"/>
        <v>14</v>
      </c>
      <c r="I71" s="289">
        <f t="shared" si="18"/>
        <v>44</v>
      </c>
      <c r="J71" s="289">
        <f t="shared" si="18"/>
        <v>0</v>
      </c>
      <c r="K71" s="289">
        <f t="shared" si="18"/>
        <v>3.9</v>
      </c>
      <c r="L71" s="289">
        <f t="shared" si="18"/>
        <v>0</v>
      </c>
      <c r="M71" s="289">
        <f t="shared" si="18"/>
        <v>24.4</v>
      </c>
      <c r="N71" s="289">
        <f t="shared" si="18"/>
        <v>0</v>
      </c>
      <c r="O71" s="289">
        <f t="shared" si="18"/>
        <v>0</v>
      </c>
      <c r="P71" s="289">
        <f t="shared" si="18"/>
        <v>0</v>
      </c>
      <c r="Q71" s="289">
        <f t="shared" si="18"/>
        <v>3.8000000000000003</v>
      </c>
      <c r="R71" s="289">
        <f t="shared" si="18"/>
        <v>0</v>
      </c>
      <c r="S71" s="289">
        <f t="shared" si="18"/>
        <v>0</v>
      </c>
      <c r="T71" s="289">
        <f t="shared" si="18"/>
        <v>0</v>
      </c>
      <c r="U71" s="289">
        <f t="shared" si="18"/>
        <v>0</v>
      </c>
      <c r="V71" s="289">
        <f t="shared" si="18"/>
        <v>0</v>
      </c>
      <c r="W71" s="289">
        <f t="shared" si="18"/>
        <v>0</v>
      </c>
      <c r="X71" s="289">
        <f t="shared" si="18"/>
        <v>0</v>
      </c>
      <c r="Y71" s="289">
        <f t="shared" si="18"/>
        <v>0</v>
      </c>
      <c r="Z71" s="289">
        <f t="shared" si="18"/>
        <v>0</v>
      </c>
      <c r="AA71" s="289">
        <f t="shared" si="18"/>
        <v>0</v>
      </c>
      <c r="AB71" s="289">
        <f t="shared" si="18"/>
        <v>0</v>
      </c>
      <c r="AC71" s="289">
        <f t="shared" si="18"/>
        <v>0</v>
      </c>
      <c r="AD71" s="289">
        <f t="shared" si="18"/>
        <v>0</v>
      </c>
      <c r="AE71" s="289">
        <f t="shared" si="18"/>
        <v>0</v>
      </c>
      <c r="AF71" s="289">
        <f t="shared" si="18"/>
        <v>0</v>
      </c>
      <c r="AG71" s="289">
        <f t="shared" si="18"/>
        <v>0</v>
      </c>
      <c r="AH71" s="289">
        <f t="shared" si="18"/>
        <v>0</v>
      </c>
      <c r="AI71" s="289">
        <f t="shared" si="18"/>
        <v>0</v>
      </c>
      <c r="AJ71" s="289">
        <f t="shared" si="18"/>
        <v>88.100000000000009</v>
      </c>
      <c r="AK71" s="137"/>
      <c r="AL71" s="126"/>
      <c r="AM71" s="126"/>
      <c r="AN71" s="126"/>
    </row>
    <row r="72" spans="1:40" s="138" customFormat="1" ht="18" x14ac:dyDescent="0.2">
      <c r="A72" s="149"/>
      <c r="B72" s="131"/>
      <c r="C72" s="149"/>
      <c r="D72" s="149"/>
      <c r="E72" s="149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2"/>
      <c r="AL72" s="125"/>
      <c r="AM72" s="126"/>
      <c r="AN72" s="126"/>
    </row>
    <row r="73" spans="1:40" s="184" customFormat="1" ht="18" x14ac:dyDescent="0.2">
      <c r="A73" s="179"/>
      <c r="B73" s="180" t="s">
        <v>59</v>
      </c>
      <c r="C73" s="181"/>
      <c r="D73" s="181"/>
      <c r="E73" s="181"/>
      <c r="F73" s="182">
        <f t="shared" ref="F73:AJ73" si="19">F71+F59</f>
        <v>782</v>
      </c>
      <c r="G73" s="182">
        <f t="shared" si="19"/>
        <v>12</v>
      </c>
      <c r="H73" s="182">
        <f t="shared" si="19"/>
        <v>682</v>
      </c>
      <c r="I73" s="182">
        <f t="shared" si="19"/>
        <v>44</v>
      </c>
      <c r="J73" s="182">
        <f t="shared" si="19"/>
        <v>0</v>
      </c>
      <c r="K73" s="182">
        <f t="shared" si="19"/>
        <v>8.6999999999999993</v>
      </c>
      <c r="L73" s="182">
        <f t="shared" si="19"/>
        <v>0</v>
      </c>
      <c r="M73" s="182">
        <f t="shared" si="19"/>
        <v>27.599999999999998</v>
      </c>
      <c r="N73" s="182">
        <f t="shared" si="19"/>
        <v>0</v>
      </c>
      <c r="O73" s="182">
        <f t="shared" si="19"/>
        <v>0</v>
      </c>
      <c r="P73" s="182">
        <f t="shared" si="19"/>
        <v>0</v>
      </c>
      <c r="Q73" s="182">
        <f t="shared" si="19"/>
        <v>3.8000000000000003</v>
      </c>
      <c r="R73" s="182">
        <f t="shared" si="19"/>
        <v>0</v>
      </c>
      <c r="S73" s="182">
        <f t="shared" si="19"/>
        <v>0</v>
      </c>
      <c r="T73" s="182">
        <f t="shared" si="19"/>
        <v>2</v>
      </c>
      <c r="U73" s="182">
        <f t="shared" si="19"/>
        <v>1.2</v>
      </c>
      <c r="V73" s="182">
        <f t="shared" si="19"/>
        <v>0</v>
      </c>
      <c r="W73" s="182">
        <f t="shared" si="19"/>
        <v>0</v>
      </c>
      <c r="X73" s="182">
        <f t="shared" si="19"/>
        <v>0</v>
      </c>
      <c r="Y73" s="182">
        <f t="shared" si="19"/>
        <v>0</v>
      </c>
      <c r="Z73" s="182">
        <f t="shared" si="19"/>
        <v>0</v>
      </c>
      <c r="AA73" s="182">
        <f t="shared" si="19"/>
        <v>0</v>
      </c>
      <c r="AB73" s="182">
        <f t="shared" si="19"/>
        <v>0</v>
      </c>
      <c r="AC73" s="182">
        <f t="shared" si="19"/>
        <v>0</v>
      </c>
      <c r="AD73" s="182">
        <f t="shared" si="19"/>
        <v>0</v>
      </c>
      <c r="AE73" s="182">
        <f t="shared" si="19"/>
        <v>0</v>
      </c>
      <c r="AF73" s="182">
        <f t="shared" si="19"/>
        <v>0</v>
      </c>
      <c r="AG73" s="182">
        <f t="shared" si="19"/>
        <v>0</v>
      </c>
      <c r="AH73" s="182">
        <f t="shared" si="19"/>
        <v>0</v>
      </c>
      <c r="AI73" s="182">
        <f t="shared" si="19"/>
        <v>0</v>
      </c>
      <c r="AJ73" s="182">
        <f t="shared" si="19"/>
        <v>99.300000000000011</v>
      </c>
      <c r="AK73" s="183"/>
      <c r="AL73" s="126"/>
      <c r="AM73" s="126"/>
    </row>
    <row r="74" spans="1:40" s="138" customFormat="1" ht="18" x14ac:dyDescent="0.2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24">
        <f>SUM(G73,I73:AI73)-AJ73</f>
        <v>0</v>
      </c>
      <c r="AK74" s="122"/>
      <c r="AM74" s="185"/>
    </row>
    <row r="75" spans="1:40" s="187" customFormat="1" ht="17.25" customHeight="1" x14ac:dyDescent="0.2">
      <c r="AK75" s="186"/>
      <c r="AM75" s="189"/>
    </row>
    <row r="76" spans="1:40" s="187" customFormat="1" ht="17.25" customHeight="1" x14ac:dyDescent="0.2">
      <c r="A76" s="384" t="s">
        <v>195</v>
      </c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K76" s="186"/>
      <c r="AM76" s="189"/>
    </row>
    <row r="77" spans="1:40" s="187" customFormat="1" ht="17.25" customHeight="1" x14ac:dyDescent="0.2">
      <c r="A77" s="190"/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K77" s="186"/>
      <c r="AM77" s="189"/>
    </row>
    <row r="78" spans="1:40" s="187" customFormat="1" ht="17.25" customHeight="1" x14ac:dyDescent="0.2">
      <c r="A78" s="384" t="s">
        <v>170</v>
      </c>
      <c r="B78" s="384"/>
      <c r="C78" s="384"/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K78" s="186"/>
      <c r="AM78" s="189"/>
    </row>
  </sheetData>
  <sheetProtection selectLockedCells="1" selectUnlockedCells="1"/>
  <protectedRanges>
    <protectedRange sqref="A61:AK61" name="Диапазон1"/>
  </protectedRanges>
  <mergeCells count="54">
    <mergeCell ref="AG13:AH13"/>
    <mergeCell ref="AI13:AI14"/>
    <mergeCell ref="Q13:R13"/>
    <mergeCell ref="K13:K14"/>
    <mergeCell ref="L13:O13"/>
    <mergeCell ref="P13:P14"/>
    <mergeCell ref="AA13:AA14"/>
    <mergeCell ref="AB13:AB14"/>
    <mergeCell ref="AC13:AD13"/>
    <mergeCell ref="AE13:AF13"/>
    <mergeCell ref="S13:T13"/>
    <mergeCell ref="U13:U14"/>
    <mergeCell ref="V13:V14"/>
    <mergeCell ref="A13:A14"/>
    <mergeCell ref="B13:B14"/>
    <mergeCell ref="C13:C14"/>
    <mergeCell ref="D13:D14"/>
    <mergeCell ref="E13:E14"/>
    <mergeCell ref="AF1:AK1"/>
    <mergeCell ref="B2:G2"/>
    <mergeCell ref="AF2:AK2"/>
    <mergeCell ref="B3:G3"/>
    <mergeCell ref="AC3:AK3"/>
    <mergeCell ref="AC4:AK5"/>
    <mergeCell ref="B5:F5"/>
    <mergeCell ref="F13:G13"/>
    <mergeCell ref="B6:G6"/>
    <mergeCell ref="AC6:AK6"/>
    <mergeCell ref="B7:G7"/>
    <mergeCell ref="AC7:AK7"/>
    <mergeCell ref="K9:Z9"/>
    <mergeCell ref="K10:Z10"/>
    <mergeCell ref="W13:X13"/>
    <mergeCell ref="Y13:Y14"/>
    <mergeCell ref="Z13:Z14"/>
    <mergeCell ref="H13:I13"/>
    <mergeCell ref="J13:J14"/>
    <mergeCell ref="AJ13:AJ14"/>
    <mergeCell ref="AK13:AK14"/>
    <mergeCell ref="L23:AA23"/>
    <mergeCell ref="K24:AB24"/>
    <mergeCell ref="L41:AA41"/>
    <mergeCell ref="K42:AB42"/>
    <mergeCell ref="B4:G4"/>
    <mergeCell ref="N22:Y22"/>
    <mergeCell ref="A78:AB78"/>
    <mergeCell ref="N61:Y61"/>
    <mergeCell ref="A76:AB76"/>
    <mergeCell ref="K43:AB43"/>
    <mergeCell ref="K54:AB54"/>
    <mergeCell ref="K62:AB62"/>
    <mergeCell ref="G63:AF63"/>
    <mergeCell ref="G65:AF65"/>
    <mergeCell ref="G67:AF67"/>
  </mergeCells>
  <conditionalFormatting sqref="A41:J43">
    <cfRule type="cellIs" dxfId="41" priority="115" stopIfTrue="1" operator="equal">
      <formula>0</formula>
    </cfRule>
  </conditionalFormatting>
  <conditionalFormatting sqref="A66:AI68">
    <cfRule type="cellIs" dxfId="40" priority="3" stopIfTrue="1" operator="equal">
      <formula>0</formula>
    </cfRule>
  </conditionalFormatting>
  <conditionalFormatting sqref="A62:AK62 A63:AI64 A65:G65 AG65:AI65">
    <cfRule type="cellIs" dxfId="39" priority="7" stopIfTrue="1" operator="equal">
      <formula>0</formula>
    </cfRule>
  </conditionalFormatting>
  <conditionalFormatting sqref="A69:AK69">
    <cfRule type="cellIs" dxfId="38" priority="6" stopIfTrue="1" operator="equal">
      <formula>0</formula>
    </cfRule>
  </conditionalFormatting>
  <conditionalFormatting sqref="A1:XFD40 A70:XFD65184">
    <cfRule type="cellIs" dxfId="37" priority="24" stopIfTrue="1" operator="equal">
      <formula>0</formula>
    </cfRule>
  </conditionalFormatting>
  <conditionalFormatting sqref="A44:XFD61">
    <cfRule type="cellIs" dxfId="36" priority="8" stopIfTrue="1" operator="equal">
      <formula>0</formula>
    </cfRule>
  </conditionalFormatting>
  <conditionalFormatting sqref="L41 AC41:XFD43 K42:K43">
    <cfRule type="cellIs" dxfId="35" priority="130" stopIfTrue="1" operator="equal">
      <formula>0</formula>
    </cfRule>
  </conditionalFormatting>
  <conditionalFormatting sqref="AJ63:AK68">
    <cfRule type="cellIs" dxfId="34" priority="1" stopIfTrue="1" operator="equal">
      <formula>0</formula>
    </cfRule>
  </conditionalFormatting>
  <conditionalFormatting sqref="AL62:XFD69">
    <cfRule type="cellIs" dxfId="33" priority="4" stopIfTrue="1" operator="equal">
      <formula>0</formula>
    </cfRule>
  </conditionalFormatting>
  <pageMargins left="0.19685039370078741" right="0.19685039370078741" top="0.39370078740157483" bottom="0.39370078740157483" header="0.31496062992125984" footer="0.31496062992125984"/>
  <pageSetup paperSize="9" scale="31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10</vt:i4>
      </vt:variant>
    </vt:vector>
  </HeadingPairs>
  <TitlesOfParts>
    <vt:vector size="25" baseType="lpstr">
      <vt:lpstr>Бюджет</vt:lpstr>
      <vt:lpstr>Каф 07 Б</vt:lpstr>
      <vt:lpstr>Каф 08 Б</vt:lpstr>
      <vt:lpstr>Каф 10 Б</vt:lpstr>
      <vt:lpstr>Каф 12 Б</vt:lpstr>
      <vt:lpstr>Свод Б</vt:lpstr>
      <vt:lpstr>Бюджет_Конт</vt:lpstr>
      <vt:lpstr>Внебюджет_Конт</vt:lpstr>
      <vt:lpstr>Внебюджет</vt:lpstr>
      <vt:lpstr>Каф 07 ВБ</vt:lpstr>
      <vt:lpstr>Каф 08 ВБ</vt:lpstr>
      <vt:lpstr>Каф 10 ВБ</vt:lpstr>
      <vt:lpstr>Каф 12 ВБ</vt:lpstr>
      <vt:lpstr>Свод ВБ</vt:lpstr>
      <vt:lpstr>Свод общий</vt:lpstr>
      <vt:lpstr>Бюджет!Область_печати</vt:lpstr>
      <vt:lpstr>Внебюджет!Область_печати</vt:lpstr>
      <vt:lpstr>'Каф 07 Б'!Область_печати</vt:lpstr>
      <vt:lpstr>'Каф 07 ВБ'!Область_печати</vt:lpstr>
      <vt:lpstr>'Каф 08 Б'!Область_печати</vt:lpstr>
      <vt:lpstr>'Каф 08 ВБ'!Область_печати</vt:lpstr>
      <vt:lpstr>'Каф 10 Б'!Область_печати</vt:lpstr>
      <vt:lpstr>'Каф 10 ВБ'!Область_печати</vt:lpstr>
      <vt:lpstr>'Каф 12 Б'!Область_печати</vt:lpstr>
      <vt:lpstr>'Каф 12 ВБ'!Область_печати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2025-06-09T06:01:05Z</cp:lastPrinted>
  <dcterms:created xsi:type="dcterms:W3CDTF">2017-07-25T12:48:02Z</dcterms:created>
  <dcterms:modified xsi:type="dcterms:W3CDTF">2025-06-09T06:03:21Z</dcterms:modified>
</cp:coreProperties>
</file>