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6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WRadigan\Dropbox\Radigan Eng\Website\"/>
    </mc:Choice>
  </mc:AlternateContent>
  <bookViews>
    <workbookView xWindow="0" yWindow="372" windowWidth="4992" windowHeight="7080"/>
  </bookViews>
  <sheets>
    <sheet name="Belleville Spring Calculator" sheetId="10" r:id="rId1"/>
  </sheets>
  <definedNames>
    <definedName name="\delta" localSheetId="0">'Belleville Spring Calculator'!$D$35</definedName>
    <definedName name="\delta">#REF!</definedName>
    <definedName name="\mu" localSheetId="0">'Belleville Spring Calculator'!$D$44</definedName>
    <definedName name="\mu">#REF!</definedName>
    <definedName name="\sigma_1" localSheetId="0">'Belleville Spring Calculator'!$D$72</definedName>
    <definedName name="\sigma_1">#REF!</definedName>
    <definedName name="\sigma_2" localSheetId="0">'Belleville Spring Calculator'!$D$73</definedName>
    <definedName name="\sigma_2">#REF!</definedName>
    <definedName name="\sigma_3" localSheetId="0">'Belleville Spring Calculator'!$D$74</definedName>
    <definedName name="\sigma_3">#REF!</definedName>
    <definedName name="\sigma_4" localSheetId="0">'Belleville Spring Calculator'!$D$75</definedName>
    <definedName name="\sigma_4">#REF!</definedName>
    <definedName name="\sigma_O" localSheetId="0">'Belleville Spring Calculator'!$D$71</definedName>
    <definedName name="\sigma_O">#REF!</definedName>
    <definedName name="D_e" localSheetId="0">'Belleville Spring Calculator'!$D$5</definedName>
    <definedName name="D_e">#REF!</definedName>
    <definedName name="D_i" localSheetId="0">'Belleville Spring Calculator'!$D$6</definedName>
    <definedName name="D_i">#REF!</definedName>
    <definedName name="E" localSheetId="0">'Belleville Spring Calculator'!#REF!</definedName>
    <definedName name="E">#REF!</definedName>
    <definedName name="F" localSheetId="0">'Belleville Spring Calculator'!$D$48</definedName>
    <definedName name="F">#REF!</definedName>
    <definedName name="H_o" localSheetId="0">'Belleville Spring Calculator'!$D$11</definedName>
    <definedName name="H_o">#REF!</definedName>
    <definedName name="I_o" localSheetId="0">'Belleville Spring Calculator'!$D$10</definedName>
    <definedName name="I_o">#REF!</definedName>
    <definedName name="K_1" localSheetId="0">'Belleville Spring Calculator'!$D$40</definedName>
    <definedName name="K_1">#REF!</definedName>
    <definedName name="K_2" localSheetId="0">'Belleville Spring Calculator'!$D$41</definedName>
    <definedName name="K_2">#REF!</definedName>
    <definedName name="K_3" localSheetId="0">'Belleville Spring Calculator'!$D$42</definedName>
    <definedName name="K_3">#REF!</definedName>
    <definedName name="K_4" localSheetId="0">'Belleville Spring Calculator'!$D$43</definedName>
    <definedName name="K_4">#REF!</definedName>
    <definedName name="K_bias" localSheetId="0">'Belleville Spring Calculator'!$D$6</definedName>
    <definedName name="K_bias">#REF!</definedName>
    <definedName name="K_e" localSheetId="0">#REF!</definedName>
    <definedName name="K_e">#REF!</definedName>
    <definedName name="Load" localSheetId="0">#REF!</definedName>
    <definedName name="Load">#REF!</definedName>
    <definedName name="Material" localSheetId="0">'Belleville Spring Calculator'!$D$14</definedName>
    <definedName name="Material">#REF!</definedName>
    <definedName name="N_parallel" localSheetId="0">'Belleville Spring Calculator'!$M$10</definedName>
    <definedName name="N_parallel">#REF!</definedName>
    <definedName name="N_series" localSheetId="0">'Belleville Spring Calculator'!$M$9</definedName>
    <definedName name="N_series">#REF!</definedName>
    <definedName name="N_Springs" localSheetId="0">'Belleville Spring Calculator'!$M$11</definedName>
    <definedName name="N_Springs">#REF!</definedName>
    <definedName name="Req_h_o" localSheetId="0">'Belleville Spring Calculator'!$D$9</definedName>
    <definedName name="Req_h_o">#REF!</definedName>
    <definedName name="s" localSheetId="0">'Belleville Spring Calculator'!$D$31:$M$31</definedName>
    <definedName name="s">#REF!</definedName>
    <definedName name="s_in" localSheetId="0">#REF!</definedName>
    <definedName name="s_in">#REF!</definedName>
    <definedName name="s_mm" localSheetId="0">#REF!</definedName>
    <definedName name="s_mm">#REF!</definedName>
    <definedName name="Series_Height" localSheetId="0">'Belleville Spring Calculator'!$M$14</definedName>
    <definedName name="Series_Height">#REF!</definedName>
    <definedName name="Stack_Height" localSheetId="0">'Belleville Spring Calculator'!$M$15</definedName>
    <definedName name="Stack_Height">#REF!</definedName>
    <definedName name="Stiff" localSheetId="0">#REF!</definedName>
    <definedName name="Stiff">#REF!</definedName>
    <definedName name="t" localSheetId="0">'Belleville Spring Calculator'!$D$7</definedName>
    <definedName name="t">#REF!</definedName>
    <definedName name="WOB_max">#REF!</definedName>
    <definedName name="WOB_min">#REF!</definedName>
  </definedNames>
  <calcPr calcId="171027"/>
</workbook>
</file>

<file path=xl/calcChain.xml><?xml version="1.0" encoding="utf-8"?>
<calcChain xmlns="http://schemas.openxmlformats.org/spreadsheetml/2006/main">
  <c r="D17" i="10" l="1"/>
  <c r="D16" i="10"/>
  <c r="D15" i="10"/>
  <c r="U8" i="10" l="1"/>
  <c r="R9" i="10"/>
  <c r="D37" i="10"/>
  <c r="D35" i="10"/>
  <c r="D42" i="10" s="1"/>
  <c r="E29" i="10"/>
  <c r="F29" i="10" s="1"/>
  <c r="E14" i="10"/>
  <c r="D11" i="10"/>
  <c r="D36" i="10" s="1"/>
  <c r="I10" i="10"/>
  <c r="I7" i="10"/>
  <c r="I6" i="10"/>
  <c r="R5" i="10"/>
  <c r="M5" i="10"/>
  <c r="I5" i="10"/>
  <c r="M4" i="10"/>
  <c r="U6" i="10" l="1"/>
  <c r="U4" i="10"/>
  <c r="I11" i="10"/>
  <c r="D31" i="10"/>
  <c r="D70" i="10" s="1"/>
  <c r="D40" i="10"/>
  <c r="E31" i="10"/>
  <c r="G29" i="10"/>
  <c r="F31" i="10"/>
  <c r="D41" i="10"/>
  <c r="D30" i="10" l="1"/>
  <c r="D79" i="10"/>
  <c r="D32" i="10"/>
  <c r="E79" i="10"/>
  <c r="E70" i="10"/>
  <c r="E30" i="10"/>
  <c r="E32" i="10"/>
  <c r="H29" i="10"/>
  <c r="G31" i="10"/>
  <c r="F70" i="10"/>
  <c r="F30" i="10"/>
  <c r="F79" i="10"/>
  <c r="F32" i="10"/>
  <c r="G79" i="10" l="1"/>
  <c r="G70" i="10"/>
  <c r="G32" i="10"/>
  <c r="G30" i="10"/>
  <c r="I29" i="10"/>
  <c r="H31" i="10"/>
  <c r="H70" i="10" l="1"/>
  <c r="H79" i="10"/>
  <c r="H32" i="10"/>
  <c r="H30" i="10"/>
  <c r="I31" i="10"/>
  <c r="J29" i="10"/>
  <c r="J31" i="10" l="1"/>
  <c r="K29" i="10"/>
  <c r="I70" i="10"/>
  <c r="I79" i="10"/>
  <c r="I32" i="10"/>
  <c r="I30" i="10"/>
  <c r="K31" i="10" l="1"/>
  <c r="L29" i="10"/>
  <c r="J32" i="10"/>
  <c r="J70" i="10"/>
  <c r="J30" i="10"/>
  <c r="J79" i="10"/>
  <c r="M29" i="10" l="1"/>
  <c r="M31" i="10" s="1"/>
  <c r="L31" i="10"/>
  <c r="K30" i="10"/>
  <c r="K70" i="10"/>
  <c r="N9" i="10"/>
  <c r="K79" i="10"/>
  <c r="K32" i="10"/>
  <c r="M9" i="10"/>
  <c r="K61" i="10" s="1"/>
  <c r="K62" i="10" l="1"/>
  <c r="K66" i="10" s="1"/>
  <c r="K65" i="10"/>
  <c r="M70" i="10"/>
  <c r="M32" i="10"/>
  <c r="M30" i="10"/>
  <c r="M61" i="10"/>
  <c r="M62" i="10" s="1"/>
  <c r="M79" i="10"/>
  <c r="D48" i="10" a="1"/>
  <c r="D73" i="10" a="1"/>
  <c r="D72" i="10" a="1"/>
  <c r="D74" i="10" a="1"/>
  <c r="D75" i="10" a="1"/>
  <c r="D61" i="10"/>
  <c r="M14" i="10"/>
  <c r="R14" i="10" s="1"/>
  <c r="E61" i="10"/>
  <c r="F61" i="10"/>
  <c r="G61" i="10"/>
  <c r="H61" i="10"/>
  <c r="I61" i="10"/>
  <c r="J61" i="10"/>
  <c r="L70" i="10"/>
  <c r="L79" i="10"/>
  <c r="L30" i="10"/>
  <c r="L32" i="10"/>
  <c r="L61" i="10"/>
  <c r="L62" i="10" s="1"/>
  <c r="D71" i="10" a="1"/>
  <c r="M72" i="10" l="1"/>
  <c r="M81" i="10" s="1"/>
  <c r="I72" i="10"/>
  <c r="I81" i="10" s="1"/>
  <c r="G72" i="10"/>
  <c r="G81" i="10" s="1"/>
  <c r="J72" i="10"/>
  <c r="J81" i="10" s="1"/>
  <c r="L72" i="10"/>
  <c r="L81" i="10" s="1"/>
  <c r="E72" i="10"/>
  <c r="E81" i="10" s="1"/>
  <c r="D72" i="10"/>
  <c r="D81" i="10" s="1"/>
  <c r="F72" i="10"/>
  <c r="F81" i="10" s="1"/>
  <c r="H72" i="10"/>
  <c r="H81" i="10" s="1"/>
  <c r="K72" i="10"/>
  <c r="K81" i="10" s="1"/>
  <c r="I62" i="10"/>
  <c r="I66" i="10" s="1"/>
  <c r="I65" i="10"/>
  <c r="J48" i="10"/>
  <c r="G48" i="10"/>
  <c r="I48" i="10"/>
  <c r="D48" i="10"/>
  <c r="F48" i="10"/>
  <c r="E48" i="10"/>
  <c r="L48" i="10"/>
  <c r="M48" i="10"/>
  <c r="H48" i="10"/>
  <c r="K48" i="10"/>
  <c r="G65" i="10"/>
  <c r="G62" i="10"/>
  <c r="G66" i="10" s="1"/>
  <c r="L74" i="10"/>
  <c r="L83" i="10" s="1"/>
  <c r="K74" i="10"/>
  <c r="K83" i="10" s="1"/>
  <c r="F74" i="10"/>
  <c r="F83" i="10" s="1"/>
  <c r="J74" i="10"/>
  <c r="J83" i="10" s="1"/>
  <c r="D74" i="10"/>
  <c r="D83" i="10" s="1"/>
  <c r="H74" i="10"/>
  <c r="H83" i="10" s="1"/>
  <c r="M74" i="10"/>
  <c r="M83" i="10" s="1"/>
  <c r="I74" i="10"/>
  <c r="I83" i="10" s="1"/>
  <c r="G74" i="10"/>
  <c r="G83" i="10" s="1"/>
  <c r="E74" i="10"/>
  <c r="E83" i="10" s="1"/>
  <c r="J65" i="10"/>
  <c r="J62" i="10"/>
  <c r="J66" i="10" s="1"/>
  <c r="L73" i="10"/>
  <c r="L82" i="10" s="1"/>
  <c r="E73" i="10"/>
  <c r="E82" i="10" s="1"/>
  <c r="K73" i="10"/>
  <c r="K82" i="10" s="1"/>
  <c r="D73" i="10"/>
  <c r="D82" i="10" s="1"/>
  <c r="M73" i="10"/>
  <c r="M82" i="10" s="1"/>
  <c r="F73" i="10"/>
  <c r="F82" i="10" s="1"/>
  <c r="H73" i="10"/>
  <c r="H82" i="10" s="1"/>
  <c r="J73" i="10"/>
  <c r="J82" i="10" s="1"/>
  <c r="I73" i="10"/>
  <c r="I82" i="10" s="1"/>
  <c r="G73" i="10"/>
  <c r="G82" i="10" s="1"/>
  <c r="D71" i="10"/>
  <c r="D80" i="10" s="1"/>
  <c r="F71" i="10"/>
  <c r="F80" i="10" s="1"/>
  <c r="I71" i="10"/>
  <c r="I80" i="10" s="1"/>
  <c r="G71" i="10"/>
  <c r="G80" i="10" s="1"/>
  <c r="K71" i="10"/>
  <c r="K80" i="10" s="1"/>
  <c r="E71" i="10"/>
  <c r="E80" i="10" s="1"/>
  <c r="H71" i="10"/>
  <c r="H80" i="10" s="1"/>
  <c r="L71" i="10"/>
  <c r="L80" i="10" s="1"/>
  <c r="M71" i="10"/>
  <c r="M80" i="10" s="1"/>
  <c r="J71" i="10"/>
  <c r="J80" i="10" s="1"/>
  <c r="H65" i="10"/>
  <c r="H62" i="10"/>
  <c r="H66" i="10" s="1"/>
  <c r="F62" i="10"/>
  <c r="F66" i="10" s="1"/>
  <c r="F65" i="10"/>
  <c r="E65" i="10"/>
  <c r="E62" i="10"/>
  <c r="E66" i="10" s="1"/>
  <c r="D62" i="10"/>
  <c r="D66" i="10" s="1"/>
  <c r="D65" i="10"/>
  <c r="J75" i="10"/>
  <c r="J84" i="10" s="1"/>
  <c r="M75" i="10"/>
  <c r="M84" i="10" s="1"/>
  <c r="D75" i="10"/>
  <c r="D84" i="10" s="1"/>
  <c r="F75" i="10"/>
  <c r="F84" i="10" s="1"/>
  <c r="E75" i="10"/>
  <c r="E84" i="10" s="1"/>
  <c r="L75" i="10"/>
  <c r="L84" i="10" s="1"/>
  <c r="H75" i="10"/>
  <c r="H84" i="10" s="1"/>
  <c r="I75" i="10"/>
  <c r="I84" i="10" s="1"/>
  <c r="G75" i="10"/>
  <c r="G84" i="10" s="1"/>
  <c r="K75" i="10"/>
  <c r="K84" i="10" s="1"/>
  <c r="I85" i="10" l="1"/>
  <c r="F49" i="10"/>
  <c r="J85" i="10"/>
  <c r="F85" i="10"/>
  <c r="D49" i="10"/>
  <c r="M85" i="10"/>
  <c r="D85" i="10"/>
  <c r="I49" i="10"/>
  <c r="L85" i="10"/>
  <c r="M10" i="10"/>
  <c r="N10" i="10"/>
  <c r="K49" i="10"/>
  <c r="G49" i="10"/>
  <c r="H85" i="10"/>
  <c r="H49" i="10"/>
  <c r="J49" i="10"/>
  <c r="E85" i="10"/>
  <c r="M49" i="10"/>
  <c r="K85" i="10"/>
  <c r="L49" i="10"/>
  <c r="G85" i="10"/>
  <c r="E49" i="10"/>
  <c r="M6" i="10" l="1"/>
  <c r="R6" i="10" s="1"/>
  <c r="M16" i="10"/>
  <c r="R16" i="10" s="1"/>
  <c r="M11" i="10"/>
  <c r="M15" i="10"/>
  <c r="R15" i="10" s="1"/>
  <c r="U3" i="10"/>
  <c r="U7" i="10"/>
  <c r="M17" i="10"/>
  <c r="R17" i="10" s="1"/>
  <c r="K57" i="10"/>
  <c r="K58" i="10" s="1"/>
  <c r="G57" i="10"/>
  <c r="G58" i="10" s="1"/>
  <c r="D57" i="10"/>
  <c r="D58" i="10" s="1"/>
  <c r="L57" i="10"/>
  <c r="L58" i="10" s="1"/>
  <c r="H57" i="10"/>
  <c r="H58" i="10" s="1"/>
  <c r="I57" i="10"/>
  <c r="I58" i="10" s="1"/>
  <c r="F57" i="10"/>
  <c r="F58" i="10" s="1"/>
  <c r="M57" i="10"/>
  <c r="M58" i="10" s="1"/>
  <c r="E57" i="10"/>
  <c r="E58" i="10" s="1"/>
  <c r="J57" i="10"/>
  <c r="J58" i="10" s="1"/>
</calcChain>
</file>

<file path=xl/comments1.xml><?xml version="1.0" encoding="utf-8"?>
<comments xmlns="http://schemas.openxmlformats.org/spreadsheetml/2006/main">
  <authors>
    <author>WRadigan</author>
  </authors>
  <commentList>
    <comment ref="R4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Required deflection for the full-stack.</t>
        </r>
      </text>
    </comment>
    <comment ref="D7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See the list of stock thickness for Key Bellevilles Key6150 material.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Enter the desired spring rate for the full stack.</t>
        </r>
      </text>
    </comment>
    <comment ref="R8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Enter the desired pre-load for the full stack in inches.
Belleville springs should normally be pre-loaded to at least 20% of their full deflection.</t>
        </r>
      </text>
    </comment>
    <comment ref="M9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Springs, of course, only come in integers.</t>
        </r>
      </text>
    </comment>
    <comment ref="N9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These are the calculated values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This cell can contain the formula =Req_h_o*t+t
in order to have a fixed Ho/t. 
OR
Simply input the desired Io value.</t>
        </r>
      </text>
    </comment>
    <comment ref="D14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See the list of spring materials in the rows below.  Feel free to customize one of the rows with your own materials.</t>
        </r>
      </text>
    </comment>
    <comment ref="E14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Don't change this value.  It will update automatically when you select a material name from the drop-down in the box to the left.</t>
        </r>
      </text>
    </comment>
    <comment ref="D34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See the Schnorr Disk Spring handbook for more information regarding the DIN standard for disk springs.</t>
        </r>
      </text>
    </comment>
    <comment ref="D35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Conditional highlighting is GREEN for values within the DIN range.
If the cells are RED, then the selected spring is not recommended according to the DIN standard.</t>
        </r>
      </text>
    </comment>
    <comment ref="C69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See the Schnorr Disk Spring handbook (p 15) for more information regarding the calculation of spring stresses.</t>
        </r>
      </text>
    </comment>
    <comment ref="I89" authorId="0" shapeId="0">
      <text>
        <r>
          <rPr>
            <b/>
            <sz val="9"/>
            <color indexed="81"/>
            <rFont val="Tahoma"/>
            <family val="2"/>
          </rPr>
          <t>WRadigan:</t>
        </r>
        <r>
          <rPr>
            <sz val="9"/>
            <color indexed="81"/>
            <rFont val="Tahoma"/>
            <family val="2"/>
          </rPr>
          <t xml:space="preserve">
Enter a maximum strain to use the highlighting in the "Spring Strains" section above.</t>
        </r>
      </text>
    </comment>
  </commentList>
</comments>
</file>

<file path=xl/sharedStrings.xml><?xml version="1.0" encoding="utf-8"?>
<sst xmlns="http://schemas.openxmlformats.org/spreadsheetml/2006/main" count="165" uniqueCount="104">
  <si>
    <t>\delta</t>
  </si>
  <si>
    <t>mm</t>
  </si>
  <si>
    <t>Units</t>
  </si>
  <si>
    <t>D_e</t>
  </si>
  <si>
    <t>D_i</t>
  </si>
  <si>
    <t>t</t>
  </si>
  <si>
    <t>I_o</t>
  </si>
  <si>
    <t>h_o</t>
  </si>
  <si>
    <t>Label</t>
  </si>
  <si>
    <t>Value</t>
  </si>
  <si>
    <t>K_1</t>
  </si>
  <si>
    <t>K_2</t>
  </si>
  <si>
    <t>K_3</t>
  </si>
  <si>
    <t>K_4</t>
  </si>
  <si>
    <t>\mu</t>
  </si>
  <si>
    <t>Note</t>
  </si>
  <si>
    <t>material thickness</t>
  </si>
  <si>
    <t>Outer diameter</t>
  </si>
  <si>
    <t>inner diameter</t>
  </si>
  <si>
    <t>N</t>
  </si>
  <si>
    <t>lbf</t>
  </si>
  <si>
    <t>% Deflection</t>
  </si>
  <si>
    <t>Spring Figures of Merit</t>
  </si>
  <si>
    <t>h_o/t</t>
  </si>
  <si>
    <t>D_e/t</t>
  </si>
  <si>
    <t>Range: [16 … 40]</t>
  </si>
  <si>
    <t>Range: [0.4 … 1.3]</t>
  </si>
  <si>
    <t>Range: [1.75 … 2.5]</t>
  </si>
  <si>
    <t>Spring Materials</t>
  </si>
  <si>
    <t>51 CrV 4</t>
  </si>
  <si>
    <t>Name</t>
  </si>
  <si>
    <t>Modulus</t>
  </si>
  <si>
    <t>Mpa</t>
  </si>
  <si>
    <t>Calculation Constants</t>
  </si>
  <si>
    <t>Spring Stresses</t>
  </si>
  <si>
    <t>\sigma_O</t>
  </si>
  <si>
    <t>\sigma_1</t>
  </si>
  <si>
    <t>\sigma_2</t>
  </si>
  <si>
    <t>\sigma_3</t>
  </si>
  <si>
    <t>\sigma_4</t>
  </si>
  <si>
    <t>MPa</t>
  </si>
  <si>
    <t>Deflection (mm)</t>
  </si>
  <si>
    <t>Max Tensile</t>
  </si>
  <si>
    <t>Max Compresion</t>
  </si>
  <si>
    <t>Disk Spring Geometry</t>
  </si>
  <si>
    <t>Deflection Postions for Calculations</t>
  </si>
  <si>
    <t>English Units</t>
  </si>
  <si>
    <t>in</t>
  </si>
  <si>
    <t>s (inches)</t>
  </si>
  <si>
    <t>316 SS</t>
  </si>
  <si>
    <t>Overall height</t>
  </si>
  <si>
    <t>Available deflection</t>
  </si>
  <si>
    <t>Disk Spring Stack Geometry</t>
  </si>
  <si>
    <t># of Springs in stack</t>
  </si>
  <si>
    <t>Single Series Stack Height</t>
  </si>
  <si>
    <t>Spring Strains</t>
  </si>
  <si>
    <t>\epsilon_O</t>
  </si>
  <si>
    <t>\epsilon_1</t>
  </si>
  <si>
    <t>\epsilon_2</t>
  </si>
  <si>
    <t>\epsilon_3</t>
  </si>
  <si>
    <t>\epsilon_4</t>
  </si>
  <si>
    <t>Max Strain</t>
  </si>
  <si>
    <t>Metric</t>
  </si>
  <si>
    <t>Tolerance</t>
  </si>
  <si>
    <t>%</t>
  </si>
  <si>
    <t>Predicted Load @ 80% defl.</t>
  </si>
  <si>
    <t>Desired Load at 80%  defl.</t>
  </si>
  <si>
    <t>Desired Total Stack defl.</t>
  </si>
  <si>
    <t>Desired ho/t</t>
  </si>
  <si>
    <t>Grip length (20% Preload)</t>
  </si>
  <si>
    <t>Total Stack Height</t>
  </si>
  <si>
    <t>Deflection Limiter (80% Travel)</t>
  </si>
  <si>
    <t>STACK Deflection</t>
  </si>
  <si>
    <t>s (mm)</t>
  </si>
  <si>
    <t>Load Point (mm)</t>
  </si>
  <si>
    <t>Key 6150</t>
  </si>
  <si>
    <t>Strain Limit</t>
  </si>
  <si>
    <t>\epsilon_{max}</t>
  </si>
  <si>
    <t>δ</t>
  </si>
  <si>
    <t>kip/in</t>
  </si>
  <si>
    <t>STACK X Coordinate</t>
  </si>
  <si>
    <t>Desired Spring Rate</t>
  </si>
  <si>
    <t>5 x 3</t>
  </si>
  <si>
    <t>gives you</t>
  </si>
  <si>
    <t>load</t>
  </si>
  <si>
    <t>stroke</t>
  </si>
  <si>
    <t>parallel</t>
  </si>
  <si>
    <t>series</t>
  </si>
  <si>
    <t>Springs required in parallel (multiplies LOAD)</t>
  </si>
  <si>
    <t>Springs Required in series (multiplies STROKE)</t>
  </si>
  <si>
    <t>Preload</t>
  </si>
  <si>
    <t>Spring Material</t>
  </si>
  <si>
    <t>www.RadiganEngineering.com</t>
  </si>
  <si>
    <t>This work is licensed under a Creative Commons Attribution-ShareAlike 3.0 Unported License.</t>
  </si>
  <si>
    <t>Highlighted cells are input variables.</t>
  </si>
  <si>
    <t>`=Req_h_o*t+t</t>
  </si>
  <si>
    <t>Right Extent</t>
  </si>
  <si>
    <t>Orange is output, or information.</t>
  </si>
  <si>
    <t>Max Tensile Stress</t>
  </si>
  <si>
    <t>Max Compressive Stress</t>
  </si>
  <si>
    <t>SINGLE Spring force for Deflection 's' (Row 31)</t>
  </si>
  <si>
    <t>Poissons Ration (=0.3 for spring steel)</t>
  </si>
  <si>
    <t>STACK Spring force for Deflection 's * N_parallel'</t>
  </si>
  <si>
    <t>Metric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</si>
</sst>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%"/>
    <numFmt numFmtId="166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22"/>
      <color theme="1"/>
      <name val="Calibri"/>
      <family val="2"/>
      <scheme val="minor"/>
    </font>
    <font>
      <b/>
      <u/>
      <sz val="22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28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75">
    <xf numFmtId="0" fontId="0" fillId="0" borderId="0" xfId="0"/>
    <xf numFmtId="2" fontId="0" fillId="0" borderId="0" xfId="0" applyNumberFormat="1"/>
    <xf numFmtId="0" fontId="0" fillId="0" borderId="0" xfId="0" applyAlignment="1">
      <alignment vertical="center"/>
    </xf>
    <xf numFmtId="1" fontId="0" fillId="0" borderId="0" xfId="0" applyNumberFormat="1"/>
    <xf numFmtId="0" fontId="0" fillId="0" borderId="6" xfId="0" applyBorder="1"/>
    <xf numFmtId="0" fontId="0" fillId="0" borderId="5" xfId="0" applyBorder="1" applyAlignment="1">
      <alignment vertical="center"/>
    </xf>
    <xf numFmtId="1" fontId="0" fillId="0" borderId="0" xfId="0" applyNumberFormat="1" applyBorder="1" applyAlignment="1">
      <alignment vertical="center"/>
    </xf>
    <xf numFmtId="1" fontId="3" fillId="0" borderId="0" xfId="0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1" fontId="0" fillId="0" borderId="8" xfId="0" applyNumberFormat="1" applyBorder="1" applyAlignment="1">
      <alignment vertical="center"/>
    </xf>
    <xf numFmtId="1" fontId="3" fillId="0" borderId="8" xfId="0" applyNumberFormat="1" applyFont="1" applyBorder="1" applyAlignment="1">
      <alignment vertical="center"/>
    </xf>
    <xf numFmtId="0" fontId="0" fillId="0" borderId="9" xfId="0" applyBorder="1" applyAlignment="1">
      <alignment vertical="center"/>
    </xf>
    <xf numFmtId="2" fontId="0" fillId="0" borderId="10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0" fillId="0" borderId="12" xfId="0" applyBorder="1"/>
    <xf numFmtId="2" fontId="3" fillId="0" borderId="10" xfId="0" applyNumberFormat="1" applyFont="1" applyBorder="1" applyAlignment="1">
      <alignment horizontal="center"/>
    </xf>
    <xf numFmtId="0" fontId="4" fillId="0" borderId="5" xfId="0" applyFont="1" applyBorder="1"/>
    <xf numFmtId="0" fontId="4" fillId="0" borderId="0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Fill="1" applyBorder="1"/>
    <xf numFmtId="0" fontId="5" fillId="0" borderId="0" xfId="0" applyFont="1" applyBorder="1" applyAlignment="1">
      <alignment wrapText="1"/>
    </xf>
    <xf numFmtId="9" fontId="0" fillId="0" borderId="0" xfId="0" applyNumberFormat="1" applyBorder="1"/>
    <xf numFmtId="1" fontId="0" fillId="0" borderId="0" xfId="0" applyNumberFormat="1" applyBorder="1"/>
    <xf numFmtId="0" fontId="3" fillId="0" borderId="1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0" fillId="0" borderId="8" xfId="0" applyNumberFormat="1" applyBorder="1"/>
    <xf numFmtId="164" fontId="0" fillId="0" borderId="5" xfId="0" applyNumberFormat="1" applyBorder="1"/>
    <xf numFmtId="0" fontId="4" fillId="0" borderId="2" xfId="0" applyFont="1" applyBorder="1"/>
    <xf numFmtId="0" fontId="4" fillId="0" borderId="3" xfId="0" applyFont="1" applyBorder="1"/>
    <xf numFmtId="0" fontId="0" fillId="0" borderId="3" xfId="0" applyBorder="1"/>
    <xf numFmtId="2" fontId="0" fillId="0" borderId="0" xfId="0" applyNumberFormat="1" applyBorder="1"/>
    <xf numFmtId="0" fontId="0" fillId="0" borderId="7" xfId="0" applyFill="1" applyBorder="1"/>
    <xf numFmtId="0" fontId="0" fillId="0" borderId="0" xfId="0" applyBorder="1" applyAlignment="1">
      <alignment vertical="center"/>
    </xf>
    <xf numFmtId="1" fontId="0" fillId="0" borderId="8" xfId="0" applyNumberFormat="1" applyBorder="1"/>
    <xf numFmtId="9" fontId="7" fillId="0" borderId="0" xfId="1" applyFont="1" applyBorder="1"/>
    <xf numFmtId="2" fontId="7" fillId="0" borderId="0" xfId="0" applyNumberFormat="1" applyFont="1" applyBorder="1"/>
    <xf numFmtId="164" fontId="7" fillId="0" borderId="8" xfId="0" applyNumberFormat="1" applyFont="1" applyBorder="1"/>
    <xf numFmtId="9" fontId="7" fillId="0" borderId="6" xfId="0" applyNumberFormat="1" applyFont="1" applyBorder="1"/>
    <xf numFmtId="2" fontId="7" fillId="0" borderId="6" xfId="0" applyNumberFormat="1" applyFont="1" applyBorder="1"/>
    <xf numFmtId="164" fontId="7" fillId="0" borderId="9" xfId="0" applyNumberFormat="1" applyFont="1" applyBorder="1"/>
    <xf numFmtId="1" fontId="7" fillId="0" borderId="0" xfId="0" applyNumberFormat="1" applyFont="1" applyBorder="1"/>
    <xf numFmtId="0" fontId="0" fillId="0" borderId="8" xfId="0" applyBorder="1" applyAlignment="1">
      <alignment vertical="center"/>
    </xf>
    <xf numFmtId="0" fontId="8" fillId="0" borderId="5" xfId="0" applyFont="1" applyBorder="1" applyAlignment="1">
      <alignment vertical="center"/>
    </xf>
    <xf numFmtId="0" fontId="0" fillId="0" borderId="0" xfId="0" applyAlignment="1">
      <alignment vertical="center" wrapText="1"/>
    </xf>
    <xf numFmtId="164" fontId="0" fillId="0" borderId="0" xfId="0" applyNumberFormat="1" applyBorder="1"/>
    <xf numFmtId="0" fontId="4" fillId="0" borderId="7" xfId="0" applyFont="1" applyBorder="1"/>
    <xf numFmtId="0" fontId="4" fillId="0" borderId="8" xfId="0" applyFont="1" applyBorder="1"/>
    <xf numFmtId="0" fontId="9" fillId="0" borderId="0" xfId="0" applyFont="1" applyFill="1" applyBorder="1"/>
    <xf numFmtId="0" fontId="9" fillId="0" borderId="6" xfId="0" applyFont="1" applyFill="1" applyBorder="1"/>
    <xf numFmtId="0" fontId="0" fillId="0" borderId="0" xfId="0" applyBorder="1" applyAlignment="1">
      <alignment horizontal="left" wrapText="1"/>
    </xf>
    <xf numFmtId="165" fontId="0" fillId="0" borderId="0" xfId="1" applyNumberFormat="1" applyFont="1" applyBorder="1"/>
    <xf numFmtId="0" fontId="0" fillId="0" borderId="6" xfId="0" applyBorder="1" applyAlignment="1">
      <alignment horizontal="center" wrapText="1"/>
    </xf>
    <xf numFmtId="9" fontId="0" fillId="0" borderId="6" xfId="0" applyNumberFormat="1" applyBorder="1"/>
    <xf numFmtId="0" fontId="0" fillId="2" borderId="0" xfId="0" applyFill="1" applyBorder="1"/>
    <xf numFmtId="0" fontId="0" fillId="0" borderId="5" xfId="0" applyFill="1" applyBorder="1"/>
    <xf numFmtId="0" fontId="0" fillId="0" borderId="0" xfId="0" quotePrefix="1"/>
    <xf numFmtId="9" fontId="7" fillId="0" borderId="0" xfId="0" applyNumberFormat="1" applyFont="1" applyBorder="1"/>
    <xf numFmtId="0" fontId="4" fillId="0" borderId="5" xfId="0" applyFont="1" applyBorder="1" applyAlignment="1">
      <alignment horizontal="center"/>
    </xf>
    <xf numFmtId="0" fontId="0" fillId="0" borderId="0" xfId="0" applyBorder="1" applyAlignment="1">
      <alignment horizontal="left"/>
    </xf>
    <xf numFmtId="2" fontId="0" fillId="0" borderId="5" xfId="0" applyNumberFormat="1" applyFill="1" applyBorder="1" applyAlignment="1">
      <alignment horizontal="center" vertical="center"/>
    </xf>
    <xf numFmtId="1" fontId="0" fillId="0" borderId="7" xfId="0" applyNumberForma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/>
    <xf numFmtId="1" fontId="7" fillId="0" borderId="8" xfId="0" applyNumberFormat="1" applyFont="1" applyBorder="1"/>
    <xf numFmtId="1" fontId="12" fillId="0" borderId="0" xfId="0" applyNumberFormat="1" applyFont="1" applyBorder="1"/>
    <xf numFmtId="1" fontId="12" fillId="0" borderId="8" xfId="0" applyNumberFormat="1" applyFont="1" applyBorder="1"/>
    <xf numFmtId="2" fontId="12" fillId="0" borderId="0" xfId="0" applyNumberFormat="1" applyFont="1" applyBorder="1"/>
    <xf numFmtId="164" fontId="12" fillId="0" borderId="8" xfId="0" applyNumberFormat="1" applyFont="1" applyBorder="1"/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9" fontId="0" fillId="0" borderId="9" xfId="0" applyNumberFormat="1" applyBorder="1"/>
    <xf numFmtId="0" fontId="3" fillId="0" borderId="0" xfId="0" applyFont="1" applyBorder="1" applyAlignment="1">
      <alignment horizontal="center"/>
    </xf>
    <xf numFmtId="10" fontId="0" fillId="0" borderId="0" xfId="1" applyNumberFormat="1" applyFont="1" applyBorder="1"/>
    <xf numFmtId="165" fontId="0" fillId="0" borderId="0" xfId="0" applyNumberFormat="1"/>
    <xf numFmtId="2" fontId="0" fillId="0" borderId="0" xfId="0" applyNumberFormat="1" applyFont="1" applyBorder="1" applyAlignment="1">
      <alignment horizontal="center"/>
    </xf>
    <xf numFmtId="165" fontId="0" fillId="0" borderId="8" xfId="0" applyNumberFormat="1" applyBorder="1"/>
    <xf numFmtId="0" fontId="13" fillId="0" borderId="0" xfId="0" applyFont="1"/>
    <xf numFmtId="1" fontId="0" fillId="3" borderId="0" xfId="0" applyNumberFormat="1" applyFill="1" applyBorder="1"/>
    <xf numFmtId="0" fontId="3" fillId="0" borderId="0" xfId="0" applyFont="1"/>
    <xf numFmtId="0" fontId="0" fillId="0" borderId="0" xfId="0" applyFont="1" applyBorder="1"/>
    <xf numFmtId="0" fontId="0" fillId="0" borderId="6" xfId="0" applyFont="1" applyBorder="1"/>
    <xf numFmtId="0" fontId="0" fillId="0" borderId="6" xfId="0" applyFont="1" applyFill="1" applyBorder="1"/>
    <xf numFmtId="0" fontId="0" fillId="0" borderId="0" xfId="0" applyFont="1" applyFill="1" applyBorder="1"/>
    <xf numFmtId="2" fontId="0" fillId="2" borderId="0" xfId="0" applyNumberFormat="1" applyFont="1" applyFill="1" applyBorder="1"/>
    <xf numFmtId="0" fontId="0" fillId="0" borderId="0" xfId="0" applyBorder="1"/>
    <xf numFmtId="0" fontId="0" fillId="0" borderId="0" xfId="0" applyFill="1" applyBorder="1"/>
    <xf numFmtId="2" fontId="0" fillId="0" borderId="0" xfId="0" applyNumberFormat="1" applyBorder="1"/>
    <xf numFmtId="0" fontId="0" fillId="2" borderId="0" xfId="0" applyFill="1" applyBorder="1"/>
    <xf numFmtId="0" fontId="4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quotePrefix="1"/>
    <xf numFmtId="0" fontId="0" fillId="0" borderId="0" xfId="0" applyBorder="1" applyAlignment="1">
      <alignment horizontal="right"/>
    </xf>
    <xf numFmtId="0" fontId="4" fillId="0" borderId="0" xfId="0" applyFont="1" applyBorder="1" applyAlignment="1"/>
    <xf numFmtId="0" fontId="14" fillId="0" borderId="0" xfId="2" applyBorder="1"/>
    <xf numFmtId="0" fontId="14" fillId="0" borderId="0" xfId="2"/>
    <xf numFmtId="1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left"/>
    </xf>
    <xf numFmtId="0" fontId="15" fillId="2" borderId="0" xfId="0" applyFont="1" applyFill="1" applyBorder="1" applyAlignment="1">
      <alignment horizontal="left"/>
    </xf>
    <xf numFmtId="0" fontId="3" fillId="2" borderId="0" xfId="0" applyFont="1" applyFill="1"/>
    <xf numFmtId="0" fontId="3" fillId="2" borderId="0" xfId="0" applyFont="1" applyFill="1" applyBorder="1"/>
    <xf numFmtId="0" fontId="20" fillId="3" borderId="0" xfId="0" applyFont="1" applyFill="1" applyBorder="1"/>
    <xf numFmtId="0" fontId="0" fillId="3" borderId="0" xfId="0" applyFill="1" applyBorder="1"/>
    <xf numFmtId="0" fontId="0" fillId="3" borderId="0" xfId="0" applyFill="1" applyBorder="1" applyAlignment="1">
      <alignment horizontal="left"/>
    </xf>
    <xf numFmtId="0" fontId="3" fillId="3" borderId="0" xfId="0" applyFont="1" applyFill="1" applyBorder="1" applyAlignment="1">
      <alignment horizontal="left"/>
    </xf>
    <xf numFmtId="0" fontId="3" fillId="3" borderId="0" xfId="0" applyFont="1" applyFill="1"/>
    <xf numFmtId="0" fontId="3" fillId="3" borderId="0" xfId="0" applyFont="1" applyFill="1" applyBorder="1"/>
    <xf numFmtId="0" fontId="4" fillId="3" borderId="14" xfId="0" applyFont="1" applyFill="1" applyBorder="1" applyAlignment="1"/>
    <xf numFmtId="0" fontId="0" fillId="3" borderId="0" xfId="0" applyFill="1" applyBorder="1" applyAlignment="1">
      <alignment horizontal="left" wrapText="1"/>
    </xf>
    <xf numFmtId="166" fontId="3" fillId="3" borderId="0" xfId="0" applyNumberFormat="1" applyFont="1" applyFill="1" applyBorder="1"/>
    <xf numFmtId="0" fontId="3" fillId="3" borderId="0" xfId="0" applyFont="1" applyFill="1" applyBorder="1" applyAlignment="1">
      <alignment horizontal="left" wrapText="1"/>
    </xf>
    <xf numFmtId="166" fontId="0" fillId="3" borderId="0" xfId="0" applyNumberFormat="1" applyFill="1" applyBorder="1"/>
    <xf numFmtId="166" fontId="0" fillId="3" borderId="8" xfId="0" applyNumberFormat="1" applyFill="1" applyBorder="1"/>
    <xf numFmtId="0" fontId="0" fillId="3" borderId="8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 applyAlignment="1">
      <alignment horizontal="left" wrapText="1"/>
    </xf>
    <xf numFmtId="2" fontId="0" fillId="3" borderId="0" xfId="0" applyNumberFormat="1" applyFill="1" applyBorder="1"/>
    <xf numFmtId="0" fontId="0" fillId="3" borderId="6" xfId="0" applyFill="1" applyBorder="1"/>
    <xf numFmtId="2" fontId="3" fillId="3" borderId="0" xfId="0" applyNumberFormat="1" applyFont="1" applyFill="1" applyBorder="1"/>
    <xf numFmtId="0" fontId="3" fillId="3" borderId="6" xfId="0" applyFont="1" applyFill="1" applyBorder="1"/>
    <xf numFmtId="2" fontId="0" fillId="3" borderId="8" xfId="0" applyNumberFormat="1" applyFill="1" applyBorder="1"/>
    <xf numFmtId="0" fontId="0" fillId="3" borderId="9" xfId="0" applyFill="1" applyBorder="1"/>
    <xf numFmtId="2" fontId="0" fillId="3" borderId="0" xfId="0" applyNumberFormat="1" applyFont="1" applyFill="1" applyBorder="1"/>
    <xf numFmtId="0" fontId="0" fillId="3" borderId="6" xfId="0" applyFont="1" applyFill="1" applyBorder="1"/>
    <xf numFmtId="0" fontId="4" fillId="0" borderId="8" xfId="0" applyFont="1" applyFill="1" applyBorder="1" applyAlignment="1">
      <alignment horizontal="center"/>
    </xf>
    <xf numFmtId="0" fontId="19" fillId="3" borderId="14" xfId="0" applyFont="1" applyFill="1" applyBorder="1" applyAlignment="1">
      <alignment horizontal="center" vertical="center"/>
    </xf>
    <xf numFmtId="0" fontId="19" fillId="3" borderId="15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8" fillId="2" borderId="3" xfId="0" applyFont="1" applyFill="1" applyBorder="1" applyAlignment="1">
      <alignment horizontal="center"/>
    </xf>
    <xf numFmtId="0" fontId="18" fillId="2" borderId="4" xfId="0" applyFont="1" applyFill="1" applyBorder="1" applyAlignment="1">
      <alignment horizontal="center"/>
    </xf>
    <xf numFmtId="0" fontId="21" fillId="3" borderId="2" xfId="0" applyFont="1" applyFill="1" applyBorder="1" applyAlignment="1">
      <alignment horizontal="center"/>
    </xf>
    <xf numFmtId="0" fontId="21" fillId="3" borderId="3" xfId="0" applyFont="1" applyFill="1" applyBorder="1" applyAlignment="1">
      <alignment horizontal="center"/>
    </xf>
    <xf numFmtId="0" fontId="21" fillId="3" borderId="4" xfId="0" applyFont="1" applyFill="1" applyBorder="1" applyAlignment="1">
      <alignment horizontal="center"/>
    </xf>
    <xf numFmtId="0" fontId="22" fillId="0" borderId="0" xfId="0" applyFont="1" applyFill="1" applyBorder="1"/>
    <xf numFmtId="0" fontId="22" fillId="0" borderId="0" xfId="0" applyFont="1" applyBorder="1"/>
    <xf numFmtId="0" fontId="0" fillId="0" borderId="6" xfId="0" applyBorder="1" applyAlignment="1">
      <alignment horizontal="right"/>
    </xf>
    <xf numFmtId="0" fontId="4" fillId="0" borderId="6" xfId="0" applyFont="1" applyBorder="1" applyAlignment="1"/>
    <xf numFmtId="0" fontId="10" fillId="0" borderId="9" xfId="0" applyFont="1" applyBorder="1" applyAlignment="1">
      <alignment horizontal="right"/>
    </xf>
    <xf numFmtId="0" fontId="4" fillId="0" borderId="5" xfId="0" applyFont="1" applyBorder="1" applyAlignment="1"/>
    <xf numFmtId="0" fontId="4" fillId="0" borderId="7" xfId="0" applyFont="1" applyFill="1" applyBorder="1"/>
    <xf numFmtId="0" fontId="22" fillId="0" borderId="5" xfId="0" applyFont="1" applyFill="1" applyBorder="1" applyAlignment="1">
      <alignment horizontal="right"/>
    </xf>
    <xf numFmtId="0" fontId="22" fillId="0" borderId="7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/>
    </xf>
    <xf numFmtId="10" fontId="0" fillId="0" borderId="6" xfId="0" applyNumberFormat="1" applyBorder="1"/>
    <xf numFmtId="10" fontId="22" fillId="0" borderId="8" xfId="1" applyNumberFormat="1" applyFont="1" applyFill="1" applyBorder="1"/>
    <xf numFmtId="0" fontId="23" fillId="0" borderId="5" xfId="0" applyFont="1" applyBorder="1" applyAlignment="1">
      <alignment vertical="center"/>
    </xf>
    <xf numFmtId="1" fontId="23" fillId="0" borderId="0" xfId="0" applyNumberFormat="1" applyFont="1" applyBorder="1" applyAlignment="1">
      <alignment vertical="center"/>
    </xf>
    <xf numFmtId="1" fontId="15" fillId="0" borderId="0" xfId="0" applyNumberFormat="1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6" fillId="0" borderId="0" xfId="0" applyFont="1"/>
    <xf numFmtId="0" fontId="25" fillId="0" borderId="0" xfId="0" applyFont="1"/>
  </cellXfs>
  <cellStyles count="3">
    <cellStyle name="Hyperlink" xfId="2" builtinId="8"/>
    <cellStyle name="Normal" xfId="0" builtinId="0"/>
    <cellStyle name="Percent" xfId="1" builtinId="5"/>
  </cellStyles>
  <dxfs count="38">
    <dxf>
      <font>
        <color rgb="FF9C0006"/>
      </font>
      <fill>
        <patternFill>
          <bgColor rgb="FFFFC7CE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ont>
        <color rgb="FFFF0000"/>
      </font>
      <fill>
        <patternFill>
          <bgColor rgb="FFFF9999"/>
        </patternFill>
      </fill>
    </dxf>
    <dxf>
      <fill>
        <patternFill>
          <bgColor theme="6" tint="0.39994506668294322"/>
        </patternFill>
      </fill>
    </dxf>
    <dxf>
      <font>
        <color rgb="FFFF0000"/>
      </font>
      <fill>
        <patternFill>
          <bgColor rgb="FFFF9999"/>
        </patternFill>
      </fill>
    </dxf>
    <dxf>
      <fill>
        <patternFill>
          <bgColor theme="6" tint="0.39994506668294322"/>
        </patternFill>
      </fill>
    </dxf>
    <dxf>
      <fill>
        <patternFill>
          <bgColor rgb="FFFFC7CE"/>
        </patternFill>
      </fill>
    </dxf>
    <dxf>
      <fill>
        <patternFill>
          <bgColor rgb="FFBCE0EA"/>
        </patternFill>
      </fill>
    </dxf>
    <dxf>
      <font>
        <color rgb="FFFF0000"/>
      </font>
      <fill>
        <patternFill>
          <bgColor rgb="FFFF9999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ont>
        <color rgb="FFFF0000"/>
      </font>
      <fill>
        <patternFill>
          <bgColor rgb="FFFF9999"/>
        </patternFill>
      </fill>
    </dxf>
    <dxf>
      <fill>
        <patternFill>
          <bgColor theme="6" tint="0.39994506668294322"/>
        </patternFill>
      </fill>
    </dxf>
    <dxf>
      <font>
        <color rgb="FFFF0000"/>
      </font>
      <fill>
        <patternFill>
          <bgColor rgb="FFFF9999"/>
        </patternFill>
      </fill>
    </dxf>
    <dxf>
      <fill>
        <patternFill>
          <bgColor theme="6" tint="0.39994506668294322"/>
        </patternFill>
      </fill>
    </dxf>
    <dxf>
      <fill>
        <patternFill>
          <bgColor rgb="FFFFC7CE"/>
        </patternFill>
      </fill>
    </dxf>
    <dxf>
      <fill>
        <patternFill>
          <bgColor rgb="FFBCE0EA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ont>
        <color rgb="FFFF0000"/>
      </font>
      <fill>
        <patternFill>
          <bgColor rgb="FFFF9999"/>
        </patternFill>
      </fill>
    </dxf>
    <dxf>
      <fill>
        <patternFill>
          <bgColor theme="6" tint="0.39994506668294322"/>
        </patternFill>
      </fill>
    </dxf>
    <dxf>
      <fill>
        <patternFill>
          <bgColor rgb="FFFFC7CE"/>
        </patternFill>
      </fill>
    </dxf>
    <dxf>
      <fill>
        <patternFill>
          <bgColor rgb="FFBCE0EA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C7CE"/>
        </patternFill>
      </fill>
    </dxf>
    <dxf>
      <fill>
        <patternFill>
          <bgColor rgb="FFBCE0EA"/>
        </patternFill>
      </fill>
    </dxf>
  </dxfs>
  <tableStyles count="0" defaultTableStyle="TableStyleMedium2" defaultPivotStyle="PivotStyleLight16"/>
  <colors>
    <mruColors>
      <color rgb="FFFF9999"/>
      <color rgb="FFBCE0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Force</a:t>
            </a:r>
            <a:r>
              <a:rPr lang="en-US" baseline="0"/>
              <a:t> vs. Deflection (Single Disk Spring)</a:t>
            </a:r>
            <a:endParaRPr lang="en-US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Bias</c:v>
          </c:tx>
          <c:spPr>
            <a:ln w="25400" cap="flat" cmpd="sng" algn="ctr">
              <a:solidFill>
                <a:srgbClr val="0070C0"/>
              </a:solidFill>
              <a:prstDash val="solid"/>
            </a:ln>
            <a:effectLst/>
          </c:spPr>
          <c:marker>
            <c:spPr>
              <a:solidFill>
                <a:srgbClr val="0070C0"/>
              </a:solidFill>
              <a:ln w="25400" cap="flat" cmpd="sng" algn="ctr">
                <a:noFill/>
                <a:prstDash val="solid"/>
              </a:ln>
              <a:effectLst/>
            </c:spPr>
          </c:marker>
          <c:xVal>
            <c:numRef>
              <c:f>'Belleville Spring Calculator'!$D$31:$M$31</c:f>
              <c:numCache>
                <c:formatCode>0.00</c:formatCode>
                <c:ptCount val="10"/>
                <c:pt idx="0">
                  <c:v>0.16000000000000003</c:v>
                </c:pt>
                <c:pt idx="1">
                  <c:v>0.32000000000000006</c:v>
                </c:pt>
                <c:pt idx="2">
                  <c:v>0.48000000000000009</c:v>
                </c:pt>
                <c:pt idx="3">
                  <c:v>0.64000000000000012</c:v>
                </c:pt>
                <c:pt idx="4">
                  <c:v>0.8</c:v>
                </c:pt>
                <c:pt idx="5">
                  <c:v>0.96</c:v>
                </c:pt>
                <c:pt idx="6">
                  <c:v>1.1199999999999999</c:v>
                </c:pt>
                <c:pt idx="7">
                  <c:v>1.28</c:v>
                </c:pt>
                <c:pt idx="8">
                  <c:v>1.44</c:v>
                </c:pt>
                <c:pt idx="9">
                  <c:v>1.5999999999999999</c:v>
                </c:pt>
              </c:numCache>
            </c:numRef>
          </c:xVal>
          <c:yVal>
            <c:numRef>
              <c:f>'Belleville Spring Calculator'!$D$48:$M$48</c:f>
              <c:numCache>
                <c:formatCode>0</c:formatCode>
                <c:ptCount val="10"/>
                <c:pt idx="0">
                  <c:v>481.93736091418452</c:v>
                </c:pt>
                <c:pt idx="1">
                  <c:v>875.0748114336036</c:v>
                </c:pt>
                <c:pt idx="2">
                  <c:v>1189.2790082687861</c:v>
                </c:pt>
                <c:pt idx="3">
                  <c:v>1434.4166081302624</c:v>
                </c:pt>
                <c:pt idx="4">
                  <c:v>1620.3542677285609</c:v>
                </c:pt>
                <c:pt idx="5">
                  <c:v>1756.9586437742125</c:v>
                </c:pt>
                <c:pt idx="6">
                  <c:v>1854.0963929777458</c:v>
                </c:pt>
                <c:pt idx="7">
                  <c:v>1921.6341720496907</c:v>
                </c:pt>
                <c:pt idx="8">
                  <c:v>1969.4386377005769</c:v>
                </c:pt>
                <c:pt idx="9">
                  <c:v>2007.3764466409332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C4-49F0-9724-9369C5470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712128"/>
        <c:axId val="45714432"/>
      </c:scatterChart>
      <c:valAx>
        <c:axId val="45712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Spring</a:t>
                </a:r>
                <a:r>
                  <a:rPr lang="en-US" baseline="0"/>
                  <a:t> Deflection (mm)</a:t>
                </a:r>
                <a:endParaRPr lang="en-US"/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45714432"/>
        <c:crosses val="autoZero"/>
        <c:crossBetween val="midCat"/>
      </c:valAx>
      <c:valAx>
        <c:axId val="457144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Force</a:t>
                </a:r>
                <a:r>
                  <a:rPr lang="en-US" baseline="0"/>
                  <a:t> (N)</a:t>
                </a:r>
                <a:endParaRPr lang="en-US"/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457121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'Belleville Spring Calculator'!$U$3</c:f>
          <c:strCache>
            <c:ptCount val="1"/>
            <c:pt idx="0">
              <c:v>Force vs. Deflection - 27 x 13 Spring Stack</c:v>
            </c:pt>
          </c:strCache>
        </c:strRef>
      </c:tx>
      <c:overlay val="0"/>
      <c:txPr>
        <a:bodyPr/>
        <a:lstStyle/>
        <a:p>
          <a:pPr>
            <a:defRPr/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Bias</c:v>
          </c:tx>
          <c:spPr>
            <a:ln w="25400" cap="flat" cmpd="sng" algn="ctr">
              <a:solidFill>
                <a:srgbClr val="0070C0"/>
              </a:solidFill>
              <a:prstDash val="solid"/>
            </a:ln>
            <a:effectLst/>
          </c:spPr>
          <c:marker>
            <c:spPr>
              <a:solidFill>
                <a:srgbClr val="0070C0"/>
              </a:solidFill>
              <a:ln w="25400" cap="flat" cmpd="sng" algn="ctr">
                <a:noFill/>
                <a:prstDash val="solid"/>
              </a:ln>
              <a:effectLst/>
            </c:spPr>
          </c:marker>
          <c:xVal>
            <c:numRef>
              <c:f>'Belleville Spring Calculator'!$D$61:$M$61</c:f>
              <c:numCache>
                <c:formatCode>0.00</c:formatCode>
                <c:ptCount val="10"/>
                <c:pt idx="0">
                  <c:v>4.3200000000000012</c:v>
                </c:pt>
                <c:pt idx="1">
                  <c:v>8.6400000000000023</c:v>
                </c:pt>
                <c:pt idx="2">
                  <c:v>12.960000000000003</c:v>
                </c:pt>
                <c:pt idx="3">
                  <c:v>17.280000000000005</c:v>
                </c:pt>
                <c:pt idx="4">
                  <c:v>21.6</c:v>
                </c:pt>
                <c:pt idx="5">
                  <c:v>25.919999999999998</c:v>
                </c:pt>
                <c:pt idx="6">
                  <c:v>30.24</c:v>
                </c:pt>
                <c:pt idx="7">
                  <c:v>34.56</c:v>
                </c:pt>
                <c:pt idx="8">
                  <c:v>38.879999999999995</c:v>
                </c:pt>
                <c:pt idx="9">
                  <c:v>43.199999999999996</c:v>
                </c:pt>
              </c:numCache>
            </c:numRef>
          </c:xVal>
          <c:yVal>
            <c:numRef>
              <c:f>'Belleville Spring Calculator'!$D$57:$M$57</c:f>
              <c:numCache>
                <c:formatCode>0</c:formatCode>
                <c:ptCount val="10"/>
                <c:pt idx="0">
                  <c:v>6265.1856918843987</c:v>
                </c:pt>
                <c:pt idx="1">
                  <c:v>11375.972548636846</c:v>
                </c:pt>
                <c:pt idx="2">
                  <c:v>15460.62710749422</c:v>
                </c:pt>
                <c:pt idx="3">
                  <c:v>18647.415905693411</c:v>
                </c:pt>
                <c:pt idx="4">
                  <c:v>21064.605480471291</c:v>
                </c:pt>
                <c:pt idx="5">
                  <c:v>22840.462369064764</c:v>
                </c:pt>
                <c:pt idx="6">
                  <c:v>24103.253108710695</c:v>
                </c:pt>
                <c:pt idx="7">
                  <c:v>24981.24423664598</c:v>
                </c:pt>
                <c:pt idx="8">
                  <c:v>25602.7022901075</c:v>
                </c:pt>
                <c:pt idx="9">
                  <c:v>26095.893806332133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956-44F4-8EBA-DA81827BE6CC}"/>
            </c:ext>
          </c:extLst>
        </c:ser>
        <c:ser>
          <c:idx val="2"/>
          <c:order val="1"/>
          <c:tx>
            <c:strRef>
              <c:f>'Bias Spring'!#REF!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'Bias Spring'!#REF!</c:f>
            </c:numRef>
          </c:xVal>
          <c:yVal>
            <c:numRef>
              <c:f>'Bias Spring'!#REF!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956-44F4-8EBA-DA81827BE6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998656"/>
        <c:axId val="47000576"/>
      </c:scatterChart>
      <c:valAx>
        <c:axId val="4699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Spring</a:t>
                </a:r>
                <a:r>
                  <a:rPr lang="en-US" baseline="0"/>
                  <a:t> Deflection (mm)</a:t>
                </a:r>
                <a:endParaRPr lang="en-US"/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47000576"/>
        <c:crosses val="autoZero"/>
        <c:crossBetween val="midCat"/>
      </c:valAx>
      <c:valAx>
        <c:axId val="470005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Force</a:t>
                </a:r>
                <a:r>
                  <a:rPr lang="en-US" baseline="0"/>
                  <a:t> (N)</a:t>
                </a:r>
                <a:endParaRPr lang="en-US"/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46998656"/>
        <c:crosses val="autoZero"/>
        <c:crossBetween val="midCat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80222813687146532"/>
          <c:y val="0.71160508482436702"/>
          <c:w val="0.14840936173489658"/>
          <c:h val="0.14420056331566336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Force</a:t>
            </a:r>
            <a:r>
              <a:rPr lang="en-US" baseline="0"/>
              <a:t> vs. Deflection (Single Disk Spring)</a:t>
            </a:r>
            <a:endParaRPr lang="en-US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Bias</c:v>
          </c:tx>
          <c:spPr>
            <a:ln w="25400" cap="flat" cmpd="sng" algn="ctr">
              <a:solidFill>
                <a:srgbClr val="FF0000"/>
              </a:solidFill>
              <a:prstDash val="solid"/>
            </a:ln>
            <a:effectLst/>
          </c:spPr>
          <c:marker>
            <c:spPr>
              <a:solidFill>
                <a:srgbClr val="FF0000"/>
              </a:solidFill>
            </c:spPr>
          </c:marker>
          <c:trendline>
            <c:trendlineType val="linear"/>
            <c:dispRSqr val="0"/>
            <c:dispEq val="1"/>
            <c:trendlineLbl>
              <c:layout>
                <c:manualLayout>
                  <c:x val="-0.1753921235128223"/>
                  <c:y val="8.2580186433431554E-2"/>
                </c:manualLayout>
              </c:layout>
              <c:numFmt formatCode="General" sourceLinked="0"/>
            </c:trendlineLbl>
          </c:trendline>
          <c:xVal>
            <c:numRef>
              <c:f>'Belleville Spring Calculator'!$D$32:$M$32</c:f>
              <c:numCache>
                <c:formatCode>0.000</c:formatCode>
                <c:ptCount val="10"/>
                <c:pt idx="0">
                  <c:v>6.2992125984251985E-3</c:v>
                </c:pt>
                <c:pt idx="1">
                  <c:v>1.2598425196850397E-2</c:v>
                </c:pt>
                <c:pt idx="2">
                  <c:v>1.8897637795275597E-2</c:v>
                </c:pt>
                <c:pt idx="3">
                  <c:v>2.5196850393700794E-2</c:v>
                </c:pt>
                <c:pt idx="4">
                  <c:v>3.1496062992125984E-2</c:v>
                </c:pt>
                <c:pt idx="5">
                  <c:v>3.7795275590551181E-2</c:v>
                </c:pt>
                <c:pt idx="6">
                  <c:v>4.409448818897637E-2</c:v>
                </c:pt>
                <c:pt idx="7">
                  <c:v>5.0393700787401581E-2</c:v>
                </c:pt>
                <c:pt idx="8">
                  <c:v>5.6692913385826771E-2</c:v>
                </c:pt>
                <c:pt idx="9">
                  <c:v>6.2992125984251968E-2</c:v>
                </c:pt>
              </c:numCache>
            </c:numRef>
          </c:xVal>
          <c:yVal>
            <c:numRef>
              <c:f>'Belleville Spring Calculator'!$D$49:$M$49</c:f>
              <c:numCache>
                <c:formatCode>0</c:formatCode>
                <c:ptCount val="10"/>
                <c:pt idx="0">
                  <c:v>108.34382874738154</c:v>
                </c:pt>
                <c:pt idx="1">
                  <c:v>196.72464349156687</c:v>
                </c:pt>
                <c:pt idx="2">
                  <c:v>267.36055689957766</c:v>
                </c:pt>
                <c:pt idx="3">
                  <c:v>322.46968163843587</c:v>
                </c:pt>
                <c:pt idx="4">
                  <c:v>364.27013037516309</c:v>
                </c:pt>
                <c:pt idx="5">
                  <c:v>394.98001577678144</c:v>
                </c:pt>
                <c:pt idx="6">
                  <c:v>416.81745051031248</c:v>
                </c:pt>
                <c:pt idx="7">
                  <c:v>432.00054724277817</c:v>
                </c:pt>
                <c:pt idx="8">
                  <c:v>442.74741864120028</c:v>
                </c:pt>
                <c:pt idx="9">
                  <c:v>451.27617737260056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3C-4B23-92E4-3E8E6F0D75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06592"/>
        <c:axId val="48505984"/>
      </c:scatterChart>
      <c:valAx>
        <c:axId val="48206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Spring</a:t>
                </a:r>
                <a:r>
                  <a:rPr lang="en-US" baseline="0"/>
                  <a:t> Deflection (in)</a:t>
                </a:r>
                <a:endParaRPr lang="en-US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48505984"/>
        <c:crosses val="autoZero"/>
        <c:crossBetween val="midCat"/>
      </c:valAx>
      <c:valAx>
        <c:axId val="485059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Force</a:t>
                </a:r>
                <a:r>
                  <a:rPr lang="en-US" baseline="0"/>
                  <a:t> (lbf)</a:t>
                </a:r>
                <a:endParaRPr lang="en-US"/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4820659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1998872317561491"/>
          <c:y val="0.74307188856040907"/>
          <c:w val="0.15927854953302786"/>
          <c:h val="9.61659132407615E-2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'Belleville Spring Calculator'!$U$3</c:f>
          <c:strCache>
            <c:ptCount val="1"/>
            <c:pt idx="0">
              <c:v>Force vs. Deflection - 27 x 13 Spring Stack</c:v>
            </c:pt>
          </c:strCache>
        </c:strRef>
      </c:tx>
      <c:overlay val="0"/>
      <c:txPr>
        <a:bodyPr/>
        <a:lstStyle/>
        <a:p>
          <a:pPr>
            <a:defRPr/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Bias</c:v>
          </c:tx>
          <c:spPr>
            <a:ln w="25400" cap="flat" cmpd="sng" algn="ctr">
              <a:solidFill>
                <a:srgbClr val="FF0000"/>
              </a:solidFill>
              <a:prstDash val="solid"/>
            </a:ln>
            <a:effectLst/>
          </c:spPr>
          <c:marker>
            <c:spPr>
              <a:solidFill>
                <a:srgbClr val="FF0000"/>
              </a:solidFill>
              <a:ln w="25400" cap="flat" cmpd="sng" algn="ctr">
                <a:noFill/>
                <a:prstDash val="solid"/>
              </a:ln>
              <a:effectLst/>
            </c:spPr>
          </c:marker>
          <c:trendline>
            <c:trendlineType val="linear"/>
            <c:dispRSqr val="0"/>
            <c:dispEq val="1"/>
            <c:trendlineLbl>
              <c:layout>
                <c:manualLayout>
                  <c:x val="-0.21804043224180852"/>
                  <c:y val="6.9944519818058382E-2"/>
                </c:manualLayout>
              </c:layout>
              <c:numFmt formatCode="General" sourceLinked="0"/>
            </c:trendlineLbl>
          </c:trendline>
          <c:xVal>
            <c:numRef>
              <c:f>'Belleville Spring Calculator'!$D$62:$M$62</c:f>
              <c:numCache>
                <c:formatCode>0.000</c:formatCode>
                <c:ptCount val="10"/>
                <c:pt idx="0">
                  <c:v>0.1700787401574804</c:v>
                </c:pt>
                <c:pt idx="1">
                  <c:v>0.34015748031496079</c:v>
                </c:pt>
                <c:pt idx="2">
                  <c:v>0.5102362204724411</c:v>
                </c:pt>
                <c:pt idx="3">
                  <c:v>0.68031496062992158</c:v>
                </c:pt>
                <c:pt idx="4">
                  <c:v>0.85039370078740162</c:v>
                </c:pt>
                <c:pt idx="5">
                  <c:v>1.0204724409448818</c:v>
                </c:pt>
                <c:pt idx="6">
                  <c:v>1.1905511811023624</c:v>
                </c:pt>
                <c:pt idx="7">
                  <c:v>1.3606299212598427</c:v>
                </c:pt>
                <c:pt idx="8">
                  <c:v>1.5307086614173226</c:v>
                </c:pt>
                <c:pt idx="9">
                  <c:v>1.700787401574803</c:v>
                </c:pt>
              </c:numCache>
            </c:numRef>
          </c:xVal>
          <c:yVal>
            <c:numRef>
              <c:f>'Belleville Spring Calculator'!$D$58:$M$58</c:f>
              <c:numCache>
                <c:formatCode>0</c:formatCode>
                <c:ptCount val="10"/>
                <c:pt idx="0">
                  <c:v>1408.4697737159599</c:v>
                </c:pt>
                <c:pt idx="1">
                  <c:v>2557.4203653903692</c:v>
                </c:pt>
                <c:pt idx="2">
                  <c:v>3475.6872396945096</c:v>
                </c:pt>
                <c:pt idx="3">
                  <c:v>4192.1058612996667</c:v>
                </c:pt>
                <c:pt idx="4">
                  <c:v>4735.5116948771201</c:v>
                </c:pt>
                <c:pt idx="5">
                  <c:v>5134.7402050981591</c:v>
                </c:pt>
                <c:pt idx="6">
                  <c:v>5418.6268566340623</c:v>
                </c:pt>
                <c:pt idx="7">
                  <c:v>5616.0071141561166</c:v>
                </c:pt>
                <c:pt idx="8">
                  <c:v>5755.7164423356035</c:v>
                </c:pt>
                <c:pt idx="9">
                  <c:v>5866.590305843808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69-48B9-88C3-8D42BCF1E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328704"/>
        <c:axId val="114331008"/>
      </c:scatterChart>
      <c:valAx>
        <c:axId val="114328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Spring</a:t>
                </a:r>
                <a:r>
                  <a:rPr lang="en-US" baseline="0"/>
                  <a:t> Deflection (in)</a:t>
                </a:r>
                <a:endParaRPr lang="en-US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14331008"/>
        <c:crosses val="autoZero"/>
        <c:crossBetween val="midCat"/>
      </c:valAx>
      <c:valAx>
        <c:axId val="1143310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Force</a:t>
                </a:r>
                <a:r>
                  <a:rPr lang="en-US" baseline="0"/>
                  <a:t> (lbf)</a:t>
                </a:r>
                <a:endParaRPr lang="en-US"/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1432870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933531547615803"/>
          <c:y val="0.50224867512771854"/>
          <c:w val="0.14840936173489658"/>
          <c:h val="0.14420056331566336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emf"/><Relationship Id="rId13" Type="http://schemas.openxmlformats.org/officeDocument/2006/relationships/image" Target="../media/image12.emf"/><Relationship Id="rId18" Type="http://schemas.openxmlformats.org/officeDocument/2006/relationships/image" Target="../media/image17.emf"/><Relationship Id="rId26" Type="http://schemas.openxmlformats.org/officeDocument/2006/relationships/hyperlink" Target="http://www.RadiganEngineering.com" TargetMode="External"/><Relationship Id="rId3" Type="http://schemas.openxmlformats.org/officeDocument/2006/relationships/image" Target="../media/image3.emf"/><Relationship Id="rId21" Type="http://schemas.openxmlformats.org/officeDocument/2006/relationships/image" Target="../media/image20.emf"/><Relationship Id="rId7" Type="http://schemas.openxmlformats.org/officeDocument/2006/relationships/image" Target="../media/image6.emf"/><Relationship Id="rId12" Type="http://schemas.openxmlformats.org/officeDocument/2006/relationships/image" Target="../media/image11.emf"/><Relationship Id="rId17" Type="http://schemas.openxmlformats.org/officeDocument/2006/relationships/image" Target="../media/image16.emf"/><Relationship Id="rId25" Type="http://schemas.openxmlformats.org/officeDocument/2006/relationships/image" Target="../media/image21.png"/><Relationship Id="rId2" Type="http://schemas.openxmlformats.org/officeDocument/2006/relationships/image" Target="../media/image2.emf"/><Relationship Id="rId16" Type="http://schemas.openxmlformats.org/officeDocument/2006/relationships/image" Target="../media/image15.emf"/><Relationship Id="rId20" Type="http://schemas.openxmlformats.org/officeDocument/2006/relationships/image" Target="../media/image19.emf"/><Relationship Id="rId1" Type="http://schemas.openxmlformats.org/officeDocument/2006/relationships/image" Target="../media/image1.emf"/><Relationship Id="rId6" Type="http://schemas.openxmlformats.org/officeDocument/2006/relationships/chart" Target="../charts/chart1.xml"/><Relationship Id="rId11" Type="http://schemas.openxmlformats.org/officeDocument/2006/relationships/image" Target="../media/image10.emf"/><Relationship Id="rId24" Type="http://schemas.openxmlformats.org/officeDocument/2006/relationships/chart" Target="../charts/chart4.xml"/><Relationship Id="rId5" Type="http://schemas.openxmlformats.org/officeDocument/2006/relationships/image" Target="../media/image5.emf"/><Relationship Id="rId15" Type="http://schemas.openxmlformats.org/officeDocument/2006/relationships/image" Target="../media/image14.emf"/><Relationship Id="rId23" Type="http://schemas.openxmlformats.org/officeDocument/2006/relationships/chart" Target="../charts/chart3.xml"/><Relationship Id="rId28" Type="http://schemas.openxmlformats.org/officeDocument/2006/relationships/image" Target="../media/image23.png"/><Relationship Id="rId10" Type="http://schemas.openxmlformats.org/officeDocument/2006/relationships/image" Target="../media/image9.emf"/><Relationship Id="rId19" Type="http://schemas.openxmlformats.org/officeDocument/2006/relationships/image" Target="../media/image18.emf"/><Relationship Id="rId4" Type="http://schemas.openxmlformats.org/officeDocument/2006/relationships/image" Target="../media/image4.emf"/><Relationship Id="rId9" Type="http://schemas.openxmlformats.org/officeDocument/2006/relationships/image" Target="../media/image8.emf"/><Relationship Id="rId14" Type="http://schemas.openxmlformats.org/officeDocument/2006/relationships/image" Target="../media/image13.emf"/><Relationship Id="rId22" Type="http://schemas.openxmlformats.org/officeDocument/2006/relationships/chart" Target="../charts/chart2.xml"/><Relationship Id="rId27" Type="http://schemas.openxmlformats.org/officeDocument/2006/relationships/image" Target="../media/image2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276011</xdr:colOff>
      <xdr:row>5</xdr:row>
      <xdr:rowOff>54808</xdr:rowOff>
    </xdr:from>
    <xdr:to>
      <xdr:col>32</xdr:col>
      <xdr:colOff>374241</xdr:colOff>
      <xdr:row>15</xdr:row>
      <xdr:rowOff>162993</xdr:rowOff>
    </xdr:to>
    <xdr:pic>
      <xdr:nvPicPr>
        <xdr:cNvPr id="2" name="Picture 3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189"/>
        <a:stretch/>
      </xdr:blipFill>
      <xdr:spPr bwMode="auto">
        <a:xfrm>
          <a:off x="17529868" y="1048129"/>
          <a:ext cx="4384480" cy="2015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432792</xdr:colOff>
      <xdr:row>39</xdr:row>
      <xdr:rowOff>259487</xdr:rowOff>
    </xdr:from>
    <xdr:to>
      <xdr:col>12</xdr:col>
      <xdr:colOff>372788</xdr:colOff>
      <xdr:row>41</xdr:row>
      <xdr:rowOff>593913</xdr:rowOff>
    </xdr:to>
    <xdr:pic>
      <xdr:nvPicPr>
        <xdr:cNvPr id="3" name="Picture 3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1117" y="8165237"/>
          <a:ext cx="2987996" cy="20203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285280</xdr:colOff>
      <xdr:row>47</xdr:row>
      <xdr:rowOff>6430</xdr:rowOff>
    </xdr:from>
    <xdr:to>
      <xdr:col>16</xdr:col>
      <xdr:colOff>496077</xdr:colOff>
      <xdr:row>51</xdr:row>
      <xdr:rowOff>88524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24630" y="12465130"/>
          <a:ext cx="2487272" cy="8631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145677</xdr:colOff>
      <xdr:row>34</xdr:row>
      <xdr:rowOff>246529</xdr:rowOff>
    </xdr:from>
    <xdr:to>
      <xdr:col>12</xdr:col>
      <xdr:colOff>551483</xdr:colOff>
      <xdr:row>36</xdr:row>
      <xdr:rowOff>22410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2402" y="6152029"/>
          <a:ext cx="1015406" cy="709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41250</xdr:colOff>
      <xdr:row>29</xdr:row>
      <xdr:rowOff>188662</xdr:rowOff>
    </xdr:from>
    <xdr:to>
      <xdr:col>1</xdr:col>
      <xdr:colOff>579132</xdr:colOff>
      <xdr:row>30</xdr:row>
      <xdr:rowOff>176769</xdr:rowOff>
    </xdr:to>
    <xdr:pic>
      <xdr:nvPicPr>
        <xdr:cNvPr id="6" name="Picture 5" descr="CodeCogs:localemf:name:C4:R12:L0:Calibri@10@offline:=:::eqn:math:0A07176FD6D3244A78931E2CFE082BCD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1250" y="5113087"/>
          <a:ext cx="1147482" cy="178607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>
    <xdr:from>
      <xdr:col>34</xdr:col>
      <xdr:colOff>536555</xdr:colOff>
      <xdr:row>23</xdr:row>
      <xdr:rowOff>173418</xdr:rowOff>
    </xdr:from>
    <xdr:to>
      <xdr:col>46</xdr:col>
      <xdr:colOff>536555</xdr:colOff>
      <xdr:row>39</xdr:row>
      <xdr:rowOff>228836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127000</xdr:colOff>
      <xdr:row>39</xdr:row>
      <xdr:rowOff>27945</xdr:rowOff>
    </xdr:from>
    <xdr:to>
      <xdr:col>7</xdr:col>
      <xdr:colOff>100180</xdr:colOff>
      <xdr:row>39</xdr:row>
      <xdr:rowOff>829305</xdr:rowOff>
    </xdr:to>
    <xdr:pic>
      <xdr:nvPicPr>
        <xdr:cNvPr id="8" name="Picture 7" descr="CodeCogs:localemf:name:C4:R22:L-100:Calibri@10@offline:=:unit::eqn:math:79CAFCB258DD7AFCBD05BA4CFBEAED2C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46525" y="7933695"/>
          <a:ext cx="1801980" cy="8013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>
    <xdr:from>
      <xdr:col>4</xdr:col>
      <xdr:colOff>127000</xdr:colOff>
      <xdr:row>40</xdr:row>
      <xdr:rowOff>45458</xdr:rowOff>
    </xdr:from>
    <xdr:to>
      <xdr:col>6</xdr:col>
      <xdr:colOff>417911</xdr:colOff>
      <xdr:row>40</xdr:row>
      <xdr:rowOff>783218</xdr:rowOff>
    </xdr:to>
    <xdr:pic>
      <xdr:nvPicPr>
        <xdr:cNvPr id="9" name="Picture 8" descr="CodeCogs:localemf:name:C4:R23:L-100:Calibri@10@offline:=:unit::eqn:math:B1594F1B12FBCC7B2FA448F3050AA50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46525" y="8808458"/>
          <a:ext cx="1510111" cy="7377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>
    <xdr:from>
      <xdr:col>4</xdr:col>
      <xdr:colOff>127000</xdr:colOff>
      <xdr:row>41</xdr:row>
      <xdr:rowOff>113940</xdr:rowOff>
    </xdr:from>
    <xdr:to>
      <xdr:col>6</xdr:col>
      <xdr:colOff>138731</xdr:colOff>
      <xdr:row>41</xdr:row>
      <xdr:rowOff>571860</xdr:rowOff>
    </xdr:to>
    <xdr:pic>
      <xdr:nvPicPr>
        <xdr:cNvPr id="10" name="Picture 9" descr="CodeCogs:localemf:name:C4:R24:L-100:Calibri@10@offline:=:unit::eqn:math:57B323979FF22C2965BACAF7B03ADA0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46525" y="9705615"/>
          <a:ext cx="1230931" cy="4579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6</xdr:col>
      <xdr:colOff>37354</xdr:colOff>
      <xdr:row>36</xdr:row>
      <xdr:rowOff>48052</xdr:rowOff>
    </xdr:from>
    <xdr:to>
      <xdr:col>10</xdr:col>
      <xdr:colOff>251164</xdr:colOff>
      <xdr:row>36</xdr:row>
      <xdr:rowOff>455092</xdr:rowOff>
    </xdr:to>
    <xdr:pic>
      <xdr:nvPicPr>
        <xdr:cNvPr id="11" name="Picture 10" descr="CodeCogs:localemf:name:C4:R19:L0:Calibri@10@offline:=:unit::eqn:math:522D50D6FE1ECB193C076302B4D02008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76079" y="6887002"/>
          <a:ext cx="2652210" cy="40704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6</xdr:col>
      <xdr:colOff>37354</xdr:colOff>
      <xdr:row>35</xdr:row>
      <xdr:rowOff>33219</xdr:rowOff>
    </xdr:from>
    <xdr:to>
      <xdr:col>10</xdr:col>
      <xdr:colOff>289234</xdr:colOff>
      <xdr:row>36</xdr:row>
      <xdr:rowOff>15950</xdr:rowOff>
    </xdr:to>
    <xdr:pic>
      <xdr:nvPicPr>
        <xdr:cNvPr id="12" name="Picture 11" descr="CodeCogs:localemf:name:C4:R18:L0:Calibri@10@offline:=:unit::eqn:math:B44D7620339E36134543AA48E2ABE9E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76079" y="6434019"/>
          <a:ext cx="2690280" cy="42088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2</xdr:col>
      <xdr:colOff>328407</xdr:colOff>
      <xdr:row>11</xdr:row>
      <xdr:rowOff>29587</xdr:rowOff>
    </xdr:from>
    <xdr:to>
      <xdr:col>2</xdr:col>
      <xdr:colOff>1084680</xdr:colOff>
      <xdr:row>12</xdr:row>
      <xdr:rowOff>86737</xdr:rowOff>
    </xdr:to>
    <xdr:pic>
      <xdr:nvPicPr>
        <xdr:cNvPr id="13" name="Picture 12" descr="CodeCogs:localemf:name:C4:R9:L0:Calibri@10@offline:=:::eqn:math:E225E5D06BBFA0BA9588275345B8C86F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53050" y="2165908"/>
          <a:ext cx="756273" cy="247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25</xdr:col>
      <xdr:colOff>154498</xdr:colOff>
      <xdr:row>70</xdr:row>
      <xdr:rowOff>12920</xdr:rowOff>
    </xdr:from>
    <xdr:to>
      <xdr:col>32</xdr:col>
      <xdr:colOff>421342</xdr:colOff>
      <xdr:row>77</xdr:row>
      <xdr:rowOff>330110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12827" y="18632614"/>
          <a:ext cx="4534044" cy="38672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82177</xdr:colOff>
      <xdr:row>49</xdr:row>
      <xdr:rowOff>92083</xdr:rowOff>
    </xdr:from>
    <xdr:to>
      <xdr:col>12</xdr:col>
      <xdr:colOff>87749</xdr:colOff>
      <xdr:row>52</xdr:row>
      <xdr:rowOff>109625</xdr:rowOff>
    </xdr:to>
    <xdr:pic>
      <xdr:nvPicPr>
        <xdr:cNvPr id="15" name="Picture 14" descr="CodeCogs:localemf:name:C4:R35:L0:Calibri@10@offline:=:::eqn:math:B7A5EAE32987825762A424C885F00C20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01377" y="12950833"/>
          <a:ext cx="7482697" cy="58904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14</xdr:col>
      <xdr:colOff>93446</xdr:colOff>
      <xdr:row>74</xdr:row>
      <xdr:rowOff>26527</xdr:rowOff>
    </xdr:from>
    <xdr:to>
      <xdr:col>23</xdr:col>
      <xdr:colOff>529738</xdr:colOff>
      <xdr:row>74</xdr:row>
      <xdr:rowOff>611647</xdr:rowOff>
    </xdr:to>
    <xdr:pic>
      <xdr:nvPicPr>
        <xdr:cNvPr id="16" name="Picture 15" descr="CodeCogs:localemf:name:C4:R52:L0:Calibri@10@offline:=:::eqn:math:F87E93E3F3DC06B5D2C86C43695CC18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32796" y="20181427"/>
          <a:ext cx="7450093" cy="5851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14</xdr:col>
      <xdr:colOff>93446</xdr:colOff>
      <xdr:row>73</xdr:row>
      <xdr:rowOff>26527</xdr:rowOff>
    </xdr:from>
    <xdr:to>
      <xdr:col>23</xdr:col>
      <xdr:colOff>473492</xdr:colOff>
      <xdr:row>73</xdr:row>
      <xdr:rowOff>611647</xdr:rowOff>
    </xdr:to>
    <xdr:pic>
      <xdr:nvPicPr>
        <xdr:cNvPr id="17" name="Picture 16" descr="CodeCogs:localemf:name:C4:R51:L0:Calibri@10@offline:=:::eqn:math:8FB40B6045114BC8BF265E884D754FCC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32796" y="19543252"/>
          <a:ext cx="7393847" cy="5851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14</xdr:col>
      <xdr:colOff>93446</xdr:colOff>
      <xdr:row>71</xdr:row>
      <xdr:rowOff>26527</xdr:rowOff>
    </xdr:from>
    <xdr:to>
      <xdr:col>22</xdr:col>
      <xdr:colOff>75583</xdr:colOff>
      <xdr:row>71</xdr:row>
      <xdr:rowOff>611647</xdr:rowOff>
    </xdr:to>
    <xdr:pic>
      <xdr:nvPicPr>
        <xdr:cNvPr id="18" name="Picture 17" descr="CodeCogs:localemf:name:C4:R49:L0:Calibri@10@offline:=:::eqn:math:952946349BE3CCDA983A9F9C1858FE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32796" y="18266902"/>
          <a:ext cx="6370010" cy="5851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14</xdr:col>
      <xdr:colOff>93446</xdr:colOff>
      <xdr:row>70</xdr:row>
      <xdr:rowOff>26528</xdr:rowOff>
    </xdr:from>
    <xdr:to>
      <xdr:col>18</xdr:col>
      <xdr:colOff>353537</xdr:colOff>
      <xdr:row>70</xdr:row>
      <xdr:rowOff>611648</xdr:rowOff>
    </xdr:to>
    <xdr:pic>
      <xdr:nvPicPr>
        <xdr:cNvPr id="19" name="Picture 18" descr="CodeCogs:localemf:name:C4:R48:L0:Calibri@10@offline:=:::eqn:math:F45F6FB9F7C92D6103EFA26E613F28AD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32796" y="17628728"/>
          <a:ext cx="3782980" cy="5851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 editAs="oneCell">
    <xdr:from>
      <xdr:col>6</xdr:col>
      <xdr:colOff>37354</xdr:colOff>
      <xdr:row>34</xdr:row>
      <xdr:rowOff>23536</xdr:rowOff>
    </xdr:from>
    <xdr:to>
      <xdr:col>10</xdr:col>
      <xdr:colOff>98884</xdr:colOff>
      <xdr:row>35</xdr:row>
      <xdr:rowOff>1116</xdr:rowOff>
    </xdr:to>
    <xdr:pic>
      <xdr:nvPicPr>
        <xdr:cNvPr id="20" name="Picture 19" descr="CodeCogs:localemf:name:C4:R17:L0:Calibri@10@offline:=:unit::eqn:math:EE5A4509EE26B524B3D8DB73B9B3DCEB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76079" y="5929036"/>
          <a:ext cx="2499930" cy="47288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>
    <xdr:from>
      <xdr:col>0</xdr:col>
      <xdr:colOff>11204</xdr:colOff>
      <xdr:row>71</xdr:row>
      <xdr:rowOff>627537</xdr:rowOff>
    </xdr:from>
    <xdr:to>
      <xdr:col>1</xdr:col>
      <xdr:colOff>549088</xdr:colOff>
      <xdr:row>74</xdr:row>
      <xdr:rowOff>22419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1204" y="18867912"/>
          <a:ext cx="1147484" cy="130940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Tensile stress on</a:t>
          </a:r>
          <a:r>
            <a:rPr lang="en-US" sz="1100" baseline="0"/>
            <a:t> </a:t>
          </a:r>
          <a:r>
            <a:rPr lang="en-US" sz="1100"/>
            <a:t>the lower side of</a:t>
          </a:r>
          <a:r>
            <a:rPr lang="en-US" sz="1100" baseline="0"/>
            <a:t> </a:t>
          </a:r>
          <a:r>
            <a:rPr lang="en-US" sz="1100"/>
            <a:t>the spring (</a:t>
          </a:r>
          <a:r>
            <a:rPr lang="el-GR" sz="1100"/>
            <a:t>σ</a:t>
          </a:r>
          <a:r>
            <a:rPr lang="en-US" sz="1100" baseline="-25000"/>
            <a:t>2</a:t>
          </a:r>
          <a:r>
            <a:rPr lang="en-US" sz="1100"/>
            <a:t> and</a:t>
          </a:r>
          <a:r>
            <a:rPr lang="en-US" sz="1100" baseline="0"/>
            <a:t> </a:t>
          </a:r>
          <a:r>
            <a:rPr lang="el-G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σ</a:t>
          </a:r>
          <a:r>
            <a:rPr lang="en-US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1100" baseline="0"/>
            <a:t>) </a:t>
          </a:r>
          <a:r>
            <a:rPr lang="en-US" sz="1100"/>
            <a:t>is the </a:t>
          </a:r>
          <a:r>
            <a:rPr lang="en-US" sz="1100" baseline="0"/>
            <a:t> </a:t>
          </a:r>
          <a:r>
            <a:rPr lang="en-US" sz="1100"/>
            <a:t>controlling factor</a:t>
          </a:r>
          <a:r>
            <a:rPr lang="en-US" sz="1100" baseline="0"/>
            <a:t> </a:t>
          </a:r>
          <a:r>
            <a:rPr lang="en-US" sz="1100"/>
            <a:t>for dynamic springs!</a:t>
          </a:r>
        </a:p>
      </xdr:txBody>
    </xdr:sp>
    <xdr:clientData/>
  </xdr:twoCellAnchor>
  <xdr:twoCellAnchor editAs="oneCell">
    <xdr:from>
      <xdr:col>14</xdr:col>
      <xdr:colOff>350948</xdr:colOff>
      <xdr:row>77</xdr:row>
      <xdr:rowOff>7714</xdr:rowOff>
    </xdr:from>
    <xdr:to>
      <xdr:col>16</xdr:col>
      <xdr:colOff>567541</xdr:colOff>
      <xdr:row>83</xdr:row>
      <xdr:rowOff>91541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90298" y="21191314"/>
          <a:ext cx="2493068" cy="1651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93446</xdr:colOff>
      <xdr:row>72</xdr:row>
      <xdr:rowOff>26527</xdr:rowOff>
    </xdr:from>
    <xdr:to>
      <xdr:col>24</xdr:col>
      <xdr:colOff>20667</xdr:colOff>
      <xdr:row>72</xdr:row>
      <xdr:rowOff>611647</xdr:rowOff>
    </xdr:to>
    <xdr:pic>
      <xdr:nvPicPr>
        <xdr:cNvPr id="24" name="Picture 23" descr="CodeCogs:localemf:name:C4:R50:L0:Calibri@10@offline:=:::eqn:math:EED7EF35306BCF430FD4EAB408B072EB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32796" y="18905077"/>
          <a:ext cx="7553344" cy="5851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3175" cap="flat" cmpd="sng" algn="ctr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prstDash val="solid"/>
          <a:round/>
          <a:headEnd type="none" w="med" len="med"/>
          <a:tailEnd type="none" w="med" len="med"/>
        </a:ln>
      </xdr:spPr>
    </xdr:pic>
    <xdr:clientData/>
  </xdr:twoCellAnchor>
  <xdr:twoCellAnchor>
    <xdr:from>
      <xdr:col>34</xdr:col>
      <xdr:colOff>569892</xdr:colOff>
      <xdr:row>39</xdr:row>
      <xdr:rowOff>413346</xdr:rowOff>
    </xdr:from>
    <xdr:to>
      <xdr:col>46</xdr:col>
      <xdr:colOff>569892</xdr:colOff>
      <xdr:row>54</xdr:row>
      <xdr:rowOff>66982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21</xdr:col>
      <xdr:colOff>202560</xdr:colOff>
      <xdr:row>23</xdr:row>
      <xdr:rowOff>127724</xdr:rowOff>
    </xdr:from>
    <xdr:to>
      <xdr:col>33</xdr:col>
      <xdr:colOff>202560</xdr:colOff>
      <xdr:row>39</xdr:row>
      <xdr:rowOff>183142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21</xdr:col>
      <xdr:colOff>202375</xdr:colOff>
      <xdr:row>39</xdr:row>
      <xdr:rowOff>423058</xdr:rowOff>
    </xdr:from>
    <xdr:to>
      <xdr:col>33</xdr:col>
      <xdr:colOff>202375</xdr:colOff>
      <xdr:row>54</xdr:row>
      <xdr:rowOff>76694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15</xdr:col>
      <xdr:colOff>176893</xdr:colOff>
      <xdr:row>17</xdr:row>
      <xdr:rowOff>155122</xdr:rowOff>
    </xdr:from>
    <xdr:to>
      <xdr:col>16</xdr:col>
      <xdr:colOff>367160</xdr:colOff>
      <xdr:row>27</xdr:row>
      <xdr:rowOff>157600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10931979" y="3377293"/>
          <a:ext cx="1910210" cy="1961907"/>
        </a:xfrm>
        <a:prstGeom prst="rect">
          <a:avLst/>
        </a:prstGeom>
      </xdr:spPr>
    </xdr:pic>
    <xdr:clientData/>
  </xdr:twoCellAnchor>
  <xdr:twoCellAnchor editAs="oneCell">
    <xdr:from>
      <xdr:col>2</xdr:col>
      <xdr:colOff>30025</xdr:colOff>
      <xdr:row>18</xdr:row>
      <xdr:rowOff>106167</xdr:rowOff>
    </xdr:from>
    <xdr:to>
      <xdr:col>5</xdr:col>
      <xdr:colOff>107115</xdr:colOff>
      <xdr:row>25</xdr:row>
      <xdr:rowOff>54877</xdr:rowOff>
    </xdr:to>
    <xdr:pic>
      <xdr:nvPicPr>
        <xdr:cNvPr id="30" name="Picture 29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9225" y="3524281"/>
          <a:ext cx="3375461" cy="1320310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6</xdr:col>
      <xdr:colOff>68034</xdr:colOff>
      <xdr:row>22</xdr:row>
      <xdr:rowOff>193219</xdr:rowOff>
    </xdr:from>
    <xdr:to>
      <xdr:col>7</xdr:col>
      <xdr:colOff>292152</xdr:colOff>
      <xdr:row>24</xdr:row>
      <xdr:rowOff>107495</xdr:rowOff>
    </xdr:to>
    <xdr:pic>
      <xdr:nvPicPr>
        <xdr:cNvPr id="32" name="Picture 31" descr="Creative Commons License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5205" y="4395105"/>
          <a:ext cx="833718" cy="306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creativecommons.org/licenses/by-sa/3.0/" TargetMode="External"/><Relationship Id="rId1" Type="http://schemas.openxmlformats.org/officeDocument/2006/relationships/hyperlink" Target="http://www.radiganengineering.com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05"/>
  <sheetViews>
    <sheetView tabSelected="1" zoomScale="70" zoomScaleNormal="70" workbookViewId="0">
      <selection activeCell="A3" sqref="A3"/>
    </sheetView>
  </sheetViews>
  <sheetFormatPr defaultRowHeight="14.4" x14ac:dyDescent="0.3"/>
  <cols>
    <col min="3" max="3" width="21.5546875" customWidth="1"/>
    <col min="4" max="4" width="17.44140625" customWidth="1"/>
    <col min="5" max="5" width="9.109375" customWidth="1"/>
    <col min="13" max="13" width="11" customWidth="1"/>
    <col min="16" max="16" width="25.109375" customWidth="1"/>
    <col min="18" max="18" width="9.5546875" customWidth="1"/>
    <col min="21" max="21" width="15.44140625" customWidth="1"/>
  </cols>
  <sheetData>
    <row r="1" spans="1:26" ht="15" thickBot="1" x14ac:dyDescent="0.35"/>
    <row r="2" spans="1:26" ht="15" thickBot="1" x14ac:dyDescent="0.35">
      <c r="C2" s="140" t="s">
        <v>44</v>
      </c>
      <c r="D2" s="141"/>
      <c r="E2" s="141"/>
      <c r="F2" s="141"/>
      <c r="G2" s="141"/>
      <c r="H2" s="141"/>
      <c r="I2" s="141"/>
      <c r="J2" s="142"/>
      <c r="L2" s="143" t="s">
        <v>52</v>
      </c>
      <c r="M2" s="144"/>
      <c r="N2" s="144"/>
      <c r="O2" s="144"/>
      <c r="P2" s="144"/>
      <c r="Q2" s="144"/>
      <c r="R2" s="144"/>
      <c r="S2" s="145"/>
      <c r="V2" t="s">
        <v>82</v>
      </c>
    </row>
    <row r="3" spans="1:26" ht="15" thickBot="1" x14ac:dyDescent="0.35">
      <c r="C3" s="32" t="s">
        <v>8</v>
      </c>
      <c r="D3" s="33" t="s">
        <v>9</v>
      </c>
      <c r="E3" s="33" t="s">
        <v>2</v>
      </c>
      <c r="F3" s="33" t="s">
        <v>15</v>
      </c>
      <c r="G3" s="34"/>
      <c r="H3" s="34"/>
      <c r="I3" s="146" t="s">
        <v>46</v>
      </c>
      <c r="J3" s="147"/>
      <c r="L3" s="50" t="s">
        <v>8</v>
      </c>
      <c r="M3" s="51" t="s">
        <v>9</v>
      </c>
      <c r="N3" s="51" t="s">
        <v>2</v>
      </c>
      <c r="O3" s="51" t="s">
        <v>15</v>
      </c>
      <c r="P3" s="22"/>
      <c r="Q3" s="22"/>
      <c r="R3" s="148" t="s">
        <v>46</v>
      </c>
      <c r="S3" s="149"/>
      <c r="U3" t="str">
        <f>"Force vs. Deflection - " &amp; TEXT('Belleville Spring Calculator'!$M$9,"0") &amp; " x " &amp; TEXT('Belleville Spring Calculator'!$M$10,"0") &amp; " Spring Stack"</f>
        <v>Force vs. Deflection - 27 x 13 Spring Stack</v>
      </c>
      <c r="V3">
        <v>5</v>
      </c>
      <c r="W3" t="s">
        <v>83</v>
      </c>
      <c r="Y3" s="85" t="s">
        <v>85</v>
      </c>
      <c r="Z3" t="s">
        <v>87</v>
      </c>
    </row>
    <row r="4" spans="1:26" x14ac:dyDescent="0.3">
      <c r="C4" s="20"/>
      <c r="D4" s="91"/>
      <c r="E4" s="91"/>
      <c r="F4" s="91"/>
      <c r="G4" s="91"/>
      <c r="H4" s="91"/>
      <c r="I4" s="20"/>
      <c r="J4" s="4"/>
      <c r="L4" s="20"/>
      <c r="M4" s="35">
        <f>CONVERT(R4,S4,N4)</f>
        <v>25.4</v>
      </c>
      <c r="N4" s="19" t="s">
        <v>1</v>
      </c>
      <c r="O4" s="19" t="s">
        <v>67</v>
      </c>
      <c r="P4" s="19"/>
      <c r="Q4" s="19"/>
      <c r="R4" s="58">
        <v>1</v>
      </c>
      <c r="S4" s="4" t="s">
        <v>47</v>
      </c>
      <c r="U4" t="str">
        <f>"Force vs. Deflection - h/t=" &amp; TEXT('Belleville Spring Calculator'!$D$36,"0.0#") &amp; " - " &amp; U5 &amp;"= " &amp; TEXT('Belleville Spring Calculator'!$D$35,"0.0#") &amp; " E = " &amp; TEXT(E14,"0") &amp; " MPa"</f>
        <v>Force vs. Deflection - h/t=1.28 - δ= 2.01 E = 206000 MPa</v>
      </c>
      <c r="V4">
        <v>3</v>
      </c>
      <c r="W4" t="s">
        <v>83</v>
      </c>
      <c r="Y4" s="85" t="s">
        <v>84</v>
      </c>
      <c r="Z4" t="s">
        <v>86</v>
      </c>
    </row>
    <row r="5" spans="1:26" x14ac:dyDescent="0.3">
      <c r="C5" s="20" t="s">
        <v>3</v>
      </c>
      <c r="D5" s="94">
        <v>45</v>
      </c>
      <c r="E5" s="91" t="s">
        <v>1</v>
      </c>
      <c r="F5" s="91" t="s">
        <v>17</v>
      </c>
      <c r="G5" s="91"/>
      <c r="H5" s="91"/>
      <c r="I5" s="31">
        <f>CONVERT(D_e,E5,J5)</f>
        <v>1.7716535433070868</v>
      </c>
      <c r="J5" s="4" t="s">
        <v>47</v>
      </c>
      <c r="L5" s="20"/>
      <c r="M5" s="27">
        <f>CONVERT(R5,S5,N5)</f>
        <v>13344.664845781501</v>
      </c>
      <c r="N5" s="19" t="s">
        <v>19</v>
      </c>
      <c r="O5" s="19" t="s">
        <v>66</v>
      </c>
      <c r="P5" s="19"/>
      <c r="Q5" s="19"/>
      <c r="R5" s="84">
        <f>(R7*R4)*1000</f>
        <v>3000</v>
      </c>
      <c r="S5" s="4" t="s">
        <v>20</v>
      </c>
      <c r="U5" s="83" t="s">
        <v>78</v>
      </c>
    </row>
    <row r="6" spans="1:26" x14ac:dyDescent="0.3">
      <c r="C6" s="20" t="s">
        <v>4</v>
      </c>
      <c r="D6" s="94">
        <v>22.4</v>
      </c>
      <c r="E6" s="91" t="s">
        <v>1</v>
      </c>
      <c r="F6" s="91" t="s">
        <v>18</v>
      </c>
      <c r="G6" s="91"/>
      <c r="H6" s="91"/>
      <c r="I6" s="31">
        <f>CONVERT(D_i,E6,J6)</f>
        <v>0.88188976377952766</v>
      </c>
      <c r="J6" s="4" t="s">
        <v>47</v>
      </c>
      <c r="L6" s="20"/>
      <c r="M6" s="27">
        <f>N_parallel*(K48-E48)</f>
        <v>13605.271688009132</v>
      </c>
      <c r="N6" s="24" t="s">
        <v>19</v>
      </c>
      <c r="O6" s="24" t="s">
        <v>65</v>
      </c>
      <c r="P6" s="19"/>
      <c r="Q6" s="19"/>
      <c r="R6" s="27">
        <f>CONVERT(M6,N6,S6)</f>
        <v>3058.5867487657465</v>
      </c>
      <c r="S6" s="4" t="s">
        <v>20</v>
      </c>
      <c r="U6" t="str">
        <f>"De = " &amp; TEXT(D_e,"0.0#") &amp; ", Di=" &amp; TEXT(D_i,"0.0#") &amp; ", t=" &amp; TEXT(t,"0.0#") &amp; ", h = " &amp; TEXT(H_o,"0.0#") &amp; ", I = " &amp; TEXT(I_o,"0.0#")</f>
        <v>De = 45.0, Di=22.4, t=1.25, h = 1.6, I = 2.85</v>
      </c>
    </row>
    <row r="7" spans="1:26" x14ac:dyDescent="0.3">
      <c r="C7" s="20" t="s">
        <v>5</v>
      </c>
      <c r="D7" s="94">
        <v>1.25</v>
      </c>
      <c r="E7" s="91" t="s">
        <v>1</v>
      </c>
      <c r="F7" s="91" t="s">
        <v>16</v>
      </c>
      <c r="G7" s="91"/>
      <c r="H7" s="91"/>
      <c r="I7" s="31">
        <f>CONVERT(t,E7,J7)</f>
        <v>4.9212598425196853E-2</v>
      </c>
      <c r="J7" s="4" t="s">
        <v>47</v>
      </c>
      <c r="L7" s="20"/>
      <c r="M7" s="19"/>
      <c r="N7" s="19"/>
      <c r="O7" s="24" t="s">
        <v>81</v>
      </c>
      <c r="P7" s="19"/>
      <c r="Q7" s="19"/>
      <c r="R7" s="58">
        <v>3</v>
      </c>
      <c r="S7" s="4" t="s">
        <v>79</v>
      </c>
      <c r="U7" t="str">
        <f>"Module Diagram - " &amp; TEXT('Belleville Spring Calculator'!$M$9,"0") &amp; " x " &amp; TEXT('Belleville Spring Calculator'!$M$10,"0") &amp; " Spring Stack"</f>
        <v>Module Diagram - 27 x 13 Spring Stack</v>
      </c>
    </row>
    <row r="8" spans="1:26" x14ac:dyDescent="0.3">
      <c r="B8" s="60"/>
      <c r="C8" s="20"/>
      <c r="D8" s="91"/>
      <c r="E8" s="91"/>
      <c r="F8" s="91"/>
      <c r="G8" s="91"/>
      <c r="H8" s="91"/>
      <c r="I8" s="31"/>
      <c r="J8" s="4"/>
      <c r="L8" s="20"/>
      <c r="M8" s="19">
        <v>8</v>
      </c>
      <c r="N8" s="24" t="s">
        <v>64</v>
      </c>
      <c r="O8" s="24" t="s">
        <v>63</v>
      </c>
      <c r="P8" s="19"/>
      <c r="Q8" s="86" t="s">
        <v>90</v>
      </c>
      <c r="R8" s="90">
        <v>0.4</v>
      </c>
      <c r="S8" s="87" t="s">
        <v>47</v>
      </c>
      <c r="U8" t="str">
        <f>"Bias Spring with a " &amp; TEXT(R8,"0.00#") &amp; " in Preload"</f>
        <v>Bias Spring with a 0.40 in Preload</v>
      </c>
    </row>
    <row r="9" spans="1:26" x14ac:dyDescent="0.3">
      <c r="C9" s="20"/>
      <c r="D9" s="92">
        <v>1</v>
      </c>
      <c r="E9" s="91"/>
      <c r="F9" s="92" t="s">
        <v>68</v>
      </c>
      <c r="G9" s="91"/>
      <c r="H9" s="91"/>
      <c r="I9" s="31"/>
      <c r="J9" s="4"/>
      <c r="L9" s="20"/>
      <c r="M9" s="84">
        <f>CEILING(M4/(K31-E31)-(M8/100),1)</f>
        <v>27</v>
      </c>
      <c r="N9" s="49">
        <f>M4/(K31-E31)</f>
        <v>26.458333333333332</v>
      </c>
      <c r="O9" s="108" t="s">
        <v>89</v>
      </c>
      <c r="P9" s="109"/>
      <c r="Q9" s="109"/>
      <c r="R9" s="89">
        <f>CONVERT(R8,S8,S9)</f>
        <v>10.16</v>
      </c>
      <c r="S9" s="88" t="s">
        <v>1</v>
      </c>
    </row>
    <row r="10" spans="1:26" ht="15" customHeight="1" x14ac:dyDescent="0.3">
      <c r="A10" s="98" t="s">
        <v>95</v>
      </c>
      <c r="C10" s="20" t="s">
        <v>6</v>
      </c>
      <c r="D10" s="94">
        <v>2.85</v>
      </c>
      <c r="E10" s="91" t="s">
        <v>1</v>
      </c>
      <c r="F10" s="92" t="s">
        <v>50</v>
      </c>
      <c r="G10" s="91"/>
      <c r="H10" s="91"/>
      <c r="I10" s="31">
        <f>CONVERT(I_o,E10,J10)</f>
        <v>0.11220472440944881</v>
      </c>
      <c r="J10" s="4" t="s">
        <v>47</v>
      </c>
      <c r="L10" s="20"/>
      <c r="M10" s="84">
        <f>CEILING((M5/(K48-E48))-(M8/100),1)</f>
        <v>13</v>
      </c>
      <c r="N10" s="49">
        <f>M5/(K48-E48)</f>
        <v>12.750987041887219</v>
      </c>
      <c r="O10" s="108" t="s">
        <v>88</v>
      </c>
      <c r="P10" s="109"/>
      <c r="Q10" s="109"/>
      <c r="R10" s="52"/>
      <c r="S10" s="53"/>
    </row>
    <row r="11" spans="1:26" x14ac:dyDescent="0.3">
      <c r="C11" s="20" t="s">
        <v>7</v>
      </c>
      <c r="D11" s="93">
        <f>I_o-t</f>
        <v>1.6</v>
      </c>
      <c r="E11" s="91" t="s">
        <v>1</v>
      </c>
      <c r="F11" s="91" t="s">
        <v>51</v>
      </c>
      <c r="G11" s="91"/>
      <c r="H11" s="91"/>
      <c r="I11" s="31">
        <f>CONVERT(H_o,E11,J11)</f>
        <v>6.2992125984251968E-2</v>
      </c>
      <c r="J11" s="4" t="s">
        <v>47</v>
      </c>
      <c r="L11" s="20"/>
      <c r="M11" s="84">
        <f>CEILING(N_series,1)*N_parallel</f>
        <v>351</v>
      </c>
      <c r="N11" s="19"/>
      <c r="O11" s="110" t="s">
        <v>53</v>
      </c>
      <c r="P11" s="115"/>
      <c r="Q11" s="115"/>
      <c r="R11" s="19"/>
      <c r="S11" s="4"/>
    </row>
    <row r="12" spans="1:26" x14ac:dyDescent="0.3">
      <c r="C12" s="20"/>
      <c r="D12" s="79"/>
      <c r="E12" s="91"/>
      <c r="F12" s="92"/>
      <c r="G12" s="91"/>
      <c r="H12" s="91"/>
      <c r="I12" s="31"/>
      <c r="J12" s="4"/>
      <c r="L12" s="20"/>
      <c r="M12" s="27"/>
      <c r="N12" s="19"/>
      <c r="O12" s="63"/>
      <c r="P12" s="54"/>
      <c r="Q12" s="54"/>
      <c r="R12" s="19"/>
      <c r="S12" s="4"/>
    </row>
    <row r="13" spans="1:26" x14ac:dyDescent="0.3">
      <c r="C13" s="59"/>
      <c r="D13" s="92"/>
      <c r="E13" s="92" t="s">
        <v>31</v>
      </c>
      <c r="F13" s="92"/>
      <c r="G13" s="91"/>
      <c r="H13" s="91"/>
      <c r="I13" s="31"/>
      <c r="J13" s="4"/>
      <c r="L13" s="20"/>
      <c r="M13" s="27"/>
      <c r="N13" s="19"/>
      <c r="O13" s="63"/>
      <c r="P13" s="54"/>
      <c r="Q13" s="54"/>
      <c r="R13" s="19"/>
      <c r="S13" s="4"/>
    </row>
    <row r="14" spans="1:26" x14ac:dyDescent="0.3">
      <c r="C14" s="165" t="s">
        <v>91</v>
      </c>
      <c r="D14" s="94" t="s">
        <v>29</v>
      </c>
      <c r="E14" s="94">
        <f>INDEX($D$90:$D$105,MATCH(D14,$C$90:$C$105,FALSE),1)</f>
        <v>206000</v>
      </c>
      <c r="F14" s="94" t="s">
        <v>40</v>
      </c>
      <c r="G14" s="91"/>
      <c r="H14" s="91"/>
      <c r="I14" s="31"/>
      <c r="J14" s="4"/>
      <c r="L14" s="20"/>
      <c r="M14" s="84">
        <f>(N_series*t)+H_o</f>
        <v>35.35</v>
      </c>
      <c r="N14" s="109" t="s">
        <v>1</v>
      </c>
      <c r="O14" s="110" t="s">
        <v>54</v>
      </c>
      <c r="P14" s="115"/>
      <c r="Q14" s="115"/>
      <c r="R14" s="123">
        <f>CONVERT(M14,N14,S14)</f>
        <v>1.3917322834645671</v>
      </c>
      <c r="S14" s="124" t="s">
        <v>47</v>
      </c>
    </row>
    <row r="15" spans="1:26" ht="15" customHeight="1" x14ac:dyDescent="0.3">
      <c r="C15" s="163" t="s">
        <v>98</v>
      </c>
      <c r="D15" s="156">
        <f>INDEX($F$90:$F$105,MATCH(D14,$C$90:$C$105,FALSE),1)</f>
        <v>1150</v>
      </c>
      <c r="E15" s="157" t="s">
        <v>40</v>
      </c>
      <c r="F15" s="91"/>
      <c r="G15" s="91"/>
      <c r="H15" s="91"/>
      <c r="I15" s="31"/>
      <c r="J15" s="158"/>
      <c r="L15" s="20"/>
      <c r="M15" s="116">
        <f>(I_o*N_series)+((N_parallel-1)*N_series)*t</f>
        <v>481.95</v>
      </c>
      <c r="N15" s="113" t="s">
        <v>1</v>
      </c>
      <c r="O15" s="111" t="s">
        <v>70</v>
      </c>
      <c r="P15" s="117"/>
      <c r="Q15" s="117"/>
      <c r="R15" s="125">
        <f>CONVERT(M15,N15,S15)</f>
        <v>18.974409448818896</v>
      </c>
      <c r="S15" s="126" t="s">
        <v>47</v>
      </c>
    </row>
    <row r="16" spans="1:26" ht="15" customHeight="1" x14ac:dyDescent="0.3">
      <c r="C16" s="163" t="s">
        <v>99</v>
      </c>
      <c r="D16" s="156">
        <f>INDEX($G$90:$G$105,MATCH(D14,$C$90:$C$105,FALSE),1)</f>
        <v>-3340</v>
      </c>
      <c r="E16" s="157" t="s">
        <v>40</v>
      </c>
      <c r="F16" s="100"/>
      <c r="H16" s="100"/>
      <c r="I16" s="161"/>
      <c r="J16" s="159"/>
      <c r="L16" s="20"/>
      <c r="M16" s="118">
        <f>((N_series*t)+H_o-E31)*N_parallel</f>
        <v>455.39</v>
      </c>
      <c r="N16" s="109" t="s">
        <v>1</v>
      </c>
      <c r="O16" s="109" t="s">
        <v>69</v>
      </c>
      <c r="P16" s="109"/>
      <c r="Q16" s="109"/>
      <c r="R16" s="129">
        <f>CONVERT(M16,N16,S16)</f>
        <v>17.928740157480316</v>
      </c>
      <c r="S16" s="130" t="s">
        <v>47</v>
      </c>
    </row>
    <row r="17" spans="3:47" ht="15" customHeight="1" thickBot="1" x14ac:dyDescent="0.35">
      <c r="C17" s="164" t="s">
        <v>76</v>
      </c>
      <c r="D17" s="167">
        <f>INDEX($I$90:$I$105,MATCH(D14,$C$90:$C$105,FALSE),1)</f>
        <v>0.01</v>
      </c>
      <c r="E17" s="131"/>
      <c r="F17" s="131"/>
      <c r="G17" s="131"/>
      <c r="H17" s="131"/>
      <c r="I17" s="162"/>
      <c r="J17" s="160"/>
      <c r="L17" s="21"/>
      <c r="M17" s="119">
        <f>((N_series*t)+H_o-K31)*N_parallel</f>
        <v>442.91</v>
      </c>
      <c r="N17" s="120" t="s">
        <v>1</v>
      </c>
      <c r="O17" s="121" t="s">
        <v>71</v>
      </c>
      <c r="P17" s="122"/>
      <c r="Q17" s="122"/>
      <c r="R17" s="127">
        <f>CONVERT(M17,N17,S17)</f>
        <v>17.43740157480315</v>
      </c>
      <c r="S17" s="128" t="s">
        <v>47</v>
      </c>
      <c r="AU17" t="s">
        <v>96</v>
      </c>
    </row>
    <row r="18" spans="3:47" ht="15" customHeight="1" x14ac:dyDescent="0.3">
      <c r="C18" s="92"/>
      <c r="D18" s="96"/>
      <c r="E18" s="96"/>
      <c r="F18" s="96"/>
      <c r="G18" s="97"/>
      <c r="H18" s="97"/>
      <c r="I18" s="92"/>
      <c r="J18" s="99"/>
      <c r="L18" s="19"/>
      <c r="M18" s="19"/>
      <c r="N18" s="19"/>
      <c r="O18" s="54"/>
      <c r="P18" s="54"/>
      <c r="Q18" s="54"/>
      <c r="R18" s="19"/>
      <c r="S18" s="19"/>
    </row>
    <row r="19" spans="3:47" ht="15" customHeight="1" x14ac:dyDescent="0.3">
      <c r="C19" s="92"/>
      <c r="D19" s="96"/>
      <c r="E19" s="96"/>
      <c r="F19" s="96"/>
      <c r="G19" s="101" t="s">
        <v>92</v>
      </c>
      <c r="H19" s="97"/>
      <c r="I19" s="92"/>
      <c r="J19" s="99"/>
      <c r="L19" s="91"/>
      <c r="M19" s="91"/>
      <c r="N19" s="91"/>
      <c r="O19" s="54"/>
      <c r="P19" s="54"/>
      <c r="Q19" s="54"/>
      <c r="R19" s="91"/>
      <c r="S19" s="91"/>
    </row>
    <row r="20" spans="3:47" ht="15" customHeight="1" x14ac:dyDescent="0.3">
      <c r="C20" s="92"/>
      <c r="D20" s="96"/>
      <c r="E20" s="96"/>
      <c r="F20" s="96"/>
      <c r="G20" s="97"/>
      <c r="H20" s="97"/>
      <c r="I20" s="92"/>
      <c r="J20" s="99"/>
      <c r="L20" s="91"/>
      <c r="M20" s="91"/>
      <c r="N20" s="91"/>
      <c r="O20" s="54"/>
      <c r="P20" s="54"/>
      <c r="Q20" s="54"/>
      <c r="R20" s="91"/>
      <c r="S20" s="91"/>
    </row>
    <row r="21" spans="3:47" ht="15" customHeight="1" x14ac:dyDescent="0.3">
      <c r="C21" s="92"/>
      <c r="D21" s="96"/>
      <c r="E21" s="96"/>
      <c r="F21" s="96"/>
      <c r="G21" s="97"/>
      <c r="H21" s="97"/>
      <c r="I21" s="92"/>
      <c r="J21" s="99"/>
      <c r="L21" s="91"/>
      <c r="M21" s="91"/>
      <c r="N21" s="91"/>
      <c r="O21" s="54"/>
      <c r="P21" s="54"/>
      <c r="Q21" s="54"/>
      <c r="R21" s="91"/>
      <c r="S21" s="91"/>
    </row>
    <row r="22" spans="3:47" ht="15" customHeight="1" x14ac:dyDescent="0.3">
      <c r="C22" s="92"/>
      <c r="D22" s="96"/>
      <c r="E22" s="96"/>
      <c r="F22" s="96"/>
      <c r="G22" s="97"/>
      <c r="H22" s="97"/>
      <c r="I22" s="92"/>
      <c r="J22" s="99"/>
      <c r="L22" s="91"/>
      <c r="M22" s="91"/>
      <c r="N22" s="91"/>
      <c r="O22" s="54"/>
      <c r="P22" s="54"/>
      <c r="Q22" s="54"/>
      <c r="R22" s="91"/>
      <c r="S22" s="91"/>
      <c r="Y22" s="173" t="s">
        <v>46</v>
      </c>
      <c r="AL22" s="174" t="s">
        <v>103</v>
      </c>
    </row>
    <row r="23" spans="3:47" ht="15" customHeight="1" x14ac:dyDescent="0.3">
      <c r="C23" s="76"/>
      <c r="D23" s="74"/>
      <c r="E23" s="74"/>
      <c r="F23" s="74"/>
      <c r="G23" s="75"/>
      <c r="H23" s="75"/>
      <c r="I23" s="76"/>
      <c r="J23" s="99"/>
      <c r="L23" s="19"/>
      <c r="M23" s="19"/>
      <c r="N23" s="24"/>
      <c r="O23" s="54"/>
      <c r="P23" s="54"/>
      <c r="Q23" s="54"/>
      <c r="R23" s="19"/>
      <c r="S23" s="19"/>
    </row>
    <row r="24" spans="3:47" ht="15" customHeight="1" x14ac:dyDescent="0.3">
      <c r="C24" s="68"/>
      <c r="D24" s="66"/>
      <c r="E24" s="66"/>
      <c r="F24" s="66"/>
      <c r="G24" s="67"/>
      <c r="H24" s="67"/>
      <c r="I24" s="68"/>
      <c r="J24" s="105" t="s">
        <v>94</v>
      </c>
      <c r="K24" s="106"/>
      <c r="L24" s="107"/>
      <c r="M24" s="107"/>
      <c r="N24" s="94"/>
      <c r="O24" s="54"/>
      <c r="P24" s="54"/>
      <c r="Q24" s="54"/>
      <c r="R24" s="19"/>
      <c r="S24" s="19"/>
    </row>
    <row r="25" spans="3:47" ht="15" customHeight="1" x14ac:dyDescent="0.3">
      <c r="C25" s="91"/>
      <c r="D25" s="96"/>
      <c r="E25" s="96"/>
      <c r="F25" s="96"/>
      <c r="G25" s="96"/>
      <c r="H25" s="97"/>
      <c r="I25" s="92"/>
      <c r="J25" s="111" t="s">
        <v>97</v>
      </c>
      <c r="K25" s="112"/>
      <c r="L25" s="113"/>
      <c r="M25" s="113"/>
      <c r="N25" s="113"/>
      <c r="O25" s="54"/>
      <c r="P25" s="54"/>
      <c r="Q25" s="54"/>
      <c r="R25" s="19"/>
      <c r="S25" s="19"/>
    </row>
    <row r="26" spans="3:47" ht="15" customHeight="1" x14ac:dyDescent="0.3">
      <c r="C26" s="91"/>
      <c r="D26" s="103"/>
      <c r="E26" s="103"/>
      <c r="F26" s="103"/>
      <c r="G26" s="102" t="s">
        <v>93</v>
      </c>
      <c r="H26" s="103"/>
      <c r="I26" s="104"/>
      <c r="J26" s="93"/>
      <c r="K26" s="35"/>
      <c r="L26" s="35"/>
      <c r="M26" s="19"/>
      <c r="N26" s="19"/>
      <c r="O26" s="54"/>
      <c r="P26" s="54"/>
      <c r="Q26" s="54"/>
      <c r="R26" s="19"/>
      <c r="S26" s="19"/>
    </row>
    <row r="27" spans="3:47" ht="15" customHeight="1" thickBot="1" x14ac:dyDescent="0.35"/>
    <row r="28" spans="3:47" ht="24.75" customHeight="1" x14ac:dyDescent="0.3">
      <c r="C28" s="137" t="s">
        <v>45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9"/>
    </row>
    <row r="29" spans="3:47" x14ac:dyDescent="0.3">
      <c r="C29" s="20" t="s">
        <v>21</v>
      </c>
      <c r="D29" s="39">
        <v>0.1</v>
      </c>
      <c r="E29" s="26">
        <f>D29+0.1</f>
        <v>0.2</v>
      </c>
      <c r="F29" s="26">
        <f t="shared" ref="F29:L29" si="0">E29+0.1</f>
        <v>0.30000000000000004</v>
      </c>
      <c r="G29" s="26">
        <f t="shared" si="0"/>
        <v>0.4</v>
      </c>
      <c r="H29" s="26">
        <f t="shared" si="0"/>
        <v>0.5</v>
      </c>
      <c r="I29" s="26">
        <f t="shared" si="0"/>
        <v>0.6</v>
      </c>
      <c r="J29" s="26">
        <f t="shared" si="0"/>
        <v>0.7</v>
      </c>
      <c r="K29" s="26">
        <f t="shared" si="0"/>
        <v>0.79999999999999993</v>
      </c>
      <c r="L29" s="61">
        <f t="shared" si="0"/>
        <v>0.89999999999999991</v>
      </c>
      <c r="M29" s="42">
        <f>L29+0.1</f>
        <v>0.99999999999999989</v>
      </c>
    </row>
    <row r="30" spans="3:47" x14ac:dyDescent="0.3">
      <c r="C30" s="20" t="s">
        <v>74</v>
      </c>
      <c r="D30" s="40">
        <f t="shared" ref="D30:M30" si="1">I_o-D31</f>
        <v>2.69</v>
      </c>
      <c r="E30" s="35">
        <f t="shared" si="1"/>
        <v>2.5300000000000002</v>
      </c>
      <c r="F30" s="35">
        <f t="shared" si="1"/>
        <v>2.37</v>
      </c>
      <c r="G30" s="35">
        <f t="shared" si="1"/>
        <v>2.21</v>
      </c>
      <c r="H30" s="35">
        <f t="shared" si="1"/>
        <v>2.0499999999999998</v>
      </c>
      <c r="I30" s="35">
        <f t="shared" si="1"/>
        <v>1.8900000000000001</v>
      </c>
      <c r="J30" s="35">
        <f t="shared" si="1"/>
        <v>1.7300000000000002</v>
      </c>
      <c r="K30" s="35">
        <f t="shared" si="1"/>
        <v>1.57</v>
      </c>
      <c r="L30" s="40">
        <f t="shared" si="1"/>
        <v>1.4100000000000001</v>
      </c>
      <c r="M30" s="43">
        <f t="shared" si="1"/>
        <v>1.2500000000000002</v>
      </c>
    </row>
    <row r="31" spans="3:47" x14ac:dyDescent="0.3">
      <c r="C31" s="20" t="s">
        <v>73</v>
      </c>
      <c r="D31" s="40">
        <f t="shared" ref="D31:M31" si="2">H_o*D29</f>
        <v>0.16000000000000003</v>
      </c>
      <c r="E31" s="35">
        <f t="shared" si="2"/>
        <v>0.32000000000000006</v>
      </c>
      <c r="F31" s="35">
        <f t="shared" si="2"/>
        <v>0.48000000000000009</v>
      </c>
      <c r="G31" s="35">
        <f t="shared" si="2"/>
        <v>0.64000000000000012</v>
      </c>
      <c r="H31" s="35">
        <f t="shared" si="2"/>
        <v>0.8</v>
      </c>
      <c r="I31" s="35">
        <f t="shared" si="2"/>
        <v>0.96</v>
      </c>
      <c r="J31" s="35">
        <f t="shared" si="2"/>
        <v>1.1199999999999999</v>
      </c>
      <c r="K31" s="35">
        <f t="shared" si="2"/>
        <v>1.28</v>
      </c>
      <c r="L31" s="40">
        <f t="shared" si="2"/>
        <v>1.44</v>
      </c>
      <c r="M31" s="43">
        <f t="shared" si="2"/>
        <v>1.5999999999999999</v>
      </c>
    </row>
    <row r="32" spans="3:47" ht="15" thickBot="1" x14ac:dyDescent="0.35">
      <c r="C32" s="36" t="s">
        <v>48</v>
      </c>
      <c r="D32" s="41">
        <f>CONVERT(D31,"mm","in")</f>
        <v>6.2992125984251985E-3</v>
      </c>
      <c r="E32" s="30">
        <f t="shared" ref="E32:M32" si="3">CONVERT(E31,"mm","in")</f>
        <v>1.2598425196850397E-2</v>
      </c>
      <c r="F32" s="30">
        <f t="shared" si="3"/>
        <v>1.8897637795275597E-2</v>
      </c>
      <c r="G32" s="30">
        <f t="shared" si="3"/>
        <v>2.5196850393700794E-2</v>
      </c>
      <c r="H32" s="30">
        <f t="shared" si="3"/>
        <v>3.1496062992125984E-2</v>
      </c>
      <c r="I32" s="30">
        <f t="shared" si="3"/>
        <v>3.7795275590551181E-2</v>
      </c>
      <c r="J32" s="30">
        <f t="shared" si="3"/>
        <v>4.409448818897637E-2</v>
      </c>
      <c r="K32" s="30">
        <f t="shared" si="3"/>
        <v>5.0393700787401581E-2</v>
      </c>
      <c r="L32" s="41">
        <f t="shared" si="3"/>
        <v>5.6692913385826771E-2</v>
      </c>
      <c r="M32" s="44">
        <f t="shared" si="3"/>
        <v>6.2992125984251968E-2</v>
      </c>
    </row>
    <row r="33" spans="3:15" ht="15" thickBot="1" x14ac:dyDescent="0.35"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3:15" ht="38.25" customHeight="1" thickBot="1" x14ac:dyDescent="0.35">
      <c r="C34" s="114"/>
      <c r="D34" s="132" t="s">
        <v>22</v>
      </c>
      <c r="E34" s="133"/>
      <c r="F34" s="133"/>
      <c r="G34" s="133"/>
      <c r="H34" s="133"/>
      <c r="I34" s="133"/>
      <c r="J34" s="133"/>
      <c r="K34" s="134"/>
      <c r="L34" s="1"/>
      <c r="M34" s="1"/>
    </row>
    <row r="35" spans="3:15" s="2" customFormat="1" ht="39" customHeight="1" x14ac:dyDescent="0.3">
      <c r="C35" s="5" t="s">
        <v>0</v>
      </c>
      <c r="D35" s="64">
        <f>D_e/D_i</f>
        <v>2.0089285714285716</v>
      </c>
      <c r="E35" s="37" t="s">
        <v>27</v>
      </c>
      <c r="F35" s="37"/>
      <c r="G35" s="37"/>
      <c r="H35" s="37"/>
      <c r="I35" s="37"/>
      <c r="J35" s="37"/>
      <c r="K35" s="8"/>
      <c r="O35" s="91"/>
    </row>
    <row r="36" spans="3:15" s="2" customFormat="1" ht="34.5" customHeight="1" x14ac:dyDescent="0.3">
      <c r="C36" s="5" t="s">
        <v>23</v>
      </c>
      <c r="D36" s="64">
        <f>H_o/t</f>
        <v>1.28</v>
      </c>
      <c r="E36" s="37" t="s">
        <v>26</v>
      </c>
      <c r="F36" s="37"/>
      <c r="G36" s="37"/>
      <c r="H36" s="37"/>
      <c r="I36" s="37"/>
      <c r="J36" s="37"/>
      <c r="K36" s="8"/>
      <c r="O36" s="100"/>
    </row>
    <row r="37" spans="3:15" s="2" customFormat="1" ht="39" customHeight="1" thickBot="1" x14ac:dyDescent="0.35">
      <c r="C37" s="9" t="s">
        <v>24</v>
      </c>
      <c r="D37" s="65">
        <f>D_e/t</f>
        <v>36</v>
      </c>
      <c r="E37" s="46" t="s">
        <v>25</v>
      </c>
      <c r="F37" s="46"/>
      <c r="G37" s="46"/>
      <c r="H37" s="46"/>
      <c r="I37" s="46"/>
      <c r="J37" s="46"/>
      <c r="K37" s="12"/>
      <c r="O37" s="95"/>
    </row>
    <row r="38" spans="3:15" s="2" customFormat="1" ht="30" customHeight="1" x14ac:dyDescent="0.3">
      <c r="C38" s="135"/>
      <c r="D38" s="135"/>
      <c r="E38" s="135"/>
      <c r="F38" s="135"/>
      <c r="G38" s="135"/>
      <c r="H38" s="135"/>
      <c r="I38" s="135"/>
      <c r="J38" s="135"/>
      <c r="K38" s="135"/>
      <c r="O38" s="97"/>
    </row>
    <row r="39" spans="3:15" ht="15" customHeight="1" x14ac:dyDescent="0.3">
      <c r="C39" s="136" t="s">
        <v>33</v>
      </c>
      <c r="D39" s="136"/>
      <c r="E39" s="136"/>
      <c r="F39" s="136"/>
    </row>
    <row r="40" spans="3:15" s="2" customFormat="1" ht="67.5" customHeight="1" x14ac:dyDescent="0.3">
      <c r="C40" s="2" t="s">
        <v>10</v>
      </c>
      <c r="D40" s="2">
        <f>(1/PI())*(((\delta-1)/\delta)^2)/(((\delta+1)/(\delta-1))-(2/LN(\delta)))</f>
        <v>0.69611659854484842</v>
      </c>
    </row>
    <row r="41" spans="3:15" s="2" customFormat="1" ht="65.25" customHeight="1" x14ac:dyDescent="0.3">
      <c r="C41" s="2" t="s">
        <v>11</v>
      </c>
      <c r="D41" s="2">
        <f>(6/PI())*((((\delta-1)/(LN(\delta))-1)/(LN(\delta))))</f>
        <v>1.2218091436911398</v>
      </c>
    </row>
    <row r="42" spans="3:15" s="2" customFormat="1" ht="54" customHeight="1" x14ac:dyDescent="0.3">
      <c r="C42" s="2" t="s">
        <v>12</v>
      </c>
      <c r="D42" s="2">
        <f>(3/PI())*((\delta-1)/(LN(\delta)))</f>
        <v>1.3810976231103478</v>
      </c>
    </row>
    <row r="43" spans="3:15" ht="15" customHeight="1" x14ac:dyDescent="0.3">
      <c r="C43" t="s">
        <v>13</v>
      </c>
      <c r="D43">
        <v>1</v>
      </c>
    </row>
    <row r="44" spans="3:15" ht="15.75" customHeight="1" x14ac:dyDescent="0.3">
      <c r="C44" s="19" t="s">
        <v>14</v>
      </c>
      <c r="D44" s="19">
        <v>0.3</v>
      </c>
      <c r="E44" t="s">
        <v>101</v>
      </c>
    </row>
    <row r="45" spans="3:15" ht="15.75" customHeight="1" x14ac:dyDescent="0.3">
      <c r="C45" s="19"/>
      <c r="D45" s="19"/>
    </row>
    <row r="46" spans="3:15" ht="15" thickBot="1" x14ac:dyDescent="0.35"/>
    <row r="47" spans="3:15" ht="37.200000000000003" thickBot="1" x14ac:dyDescent="0.75">
      <c r="C47" s="153" t="s">
        <v>100</v>
      </c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5"/>
    </row>
    <row r="48" spans="3:15" ht="15" thickBot="1" x14ac:dyDescent="0.35">
      <c r="C48" s="20" t="s">
        <v>62</v>
      </c>
      <c r="D48" s="45">
        <f t="array" ref="D48:M48">((4*E14)/(1-\mu^2))*((t^4)/(K_1*D_e^2))*K_4*(s/t)*((K_4^2*((H_o/t)-(s/t))*((H_o/t)-(s/(2*t)))+1))</f>
        <v>481.93736091418452</v>
      </c>
      <c r="E48" s="27">
        <v>875.0748114336036</v>
      </c>
      <c r="F48" s="27">
        <v>1189.2790082687861</v>
      </c>
      <c r="G48" s="27">
        <v>1434.4166081302624</v>
      </c>
      <c r="H48" s="27">
        <v>1620.3542677285609</v>
      </c>
      <c r="I48" s="27">
        <v>1756.9586437742125</v>
      </c>
      <c r="J48" s="27">
        <v>1854.0963929777458</v>
      </c>
      <c r="K48" s="27">
        <v>1921.6341720496907</v>
      </c>
      <c r="L48" s="70">
        <v>1969.4386377005769</v>
      </c>
      <c r="M48" s="45">
        <v>2007.3764466409332</v>
      </c>
      <c r="N48" s="29" t="s">
        <v>19</v>
      </c>
    </row>
    <row r="49" spans="3:14" ht="15" thickBot="1" x14ac:dyDescent="0.35">
      <c r="C49" s="20" t="s">
        <v>46</v>
      </c>
      <c r="D49" s="45">
        <f t="shared" ref="D49:M49" si="4">CONVERT(D48,$N$48,$N$49)</f>
        <v>108.34382874738154</v>
      </c>
      <c r="E49" s="27">
        <f t="shared" si="4"/>
        <v>196.72464349156687</v>
      </c>
      <c r="F49" s="27">
        <f t="shared" si="4"/>
        <v>267.36055689957766</v>
      </c>
      <c r="G49" s="27">
        <f t="shared" si="4"/>
        <v>322.46968163843587</v>
      </c>
      <c r="H49" s="27">
        <f t="shared" si="4"/>
        <v>364.27013037516309</v>
      </c>
      <c r="I49" s="27">
        <f t="shared" si="4"/>
        <v>394.98001577678144</v>
      </c>
      <c r="J49" s="27">
        <f t="shared" si="4"/>
        <v>416.81745051031248</v>
      </c>
      <c r="K49" s="27">
        <f t="shared" si="4"/>
        <v>432.00054724277817</v>
      </c>
      <c r="L49" s="70">
        <f t="shared" si="4"/>
        <v>442.74741864120028</v>
      </c>
      <c r="M49" s="45">
        <f t="shared" si="4"/>
        <v>451.27617737260056</v>
      </c>
      <c r="N49" s="28" t="s">
        <v>20</v>
      </c>
    </row>
    <row r="50" spans="3:14" x14ac:dyDescent="0.3">
      <c r="C50" s="20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4"/>
    </row>
    <row r="51" spans="3:14" x14ac:dyDescent="0.3">
      <c r="C51" s="20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4"/>
    </row>
    <row r="52" spans="3:14" x14ac:dyDescent="0.3">
      <c r="C52" s="20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4"/>
    </row>
    <row r="53" spans="3:14" ht="15" thickBot="1" x14ac:dyDescent="0.35">
      <c r="C53" s="21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3"/>
    </row>
    <row r="54" spans="3:14" x14ac:dyDescent="0.3">
      <c r="D54" s="3"/>
      <c r="E54" s="3"/>
      <c r="F54" s="3"/>
      <c r="G54" s="3"/>
      <c r="H54" s="3"/>
      <c r="I54" s="3"/>
      <c r="J54" s="3"/>
      <c r="K54" s="3"/>
      <c r="L54" s="3"/>
    </row>
    <row r="55" spans="3:14" ht="15" thickBot="1" x14ac:dyDescent="0.35">
      <c r="D55" s="3"/>
      <c r="E55" s="3"/>
      <c r="F55" s="3"/>
      <c r="G55" s="3"/>
      <c r="H55" s="3"/>
      <c r="I55" s="3"/>
      <c r="J55" s="3"/>
      <c r="K55" s="3"/>
      <c r="L55" s="3"/>
    </row>
    <row r="56" spans="3:14" ht="37.200000000000003" thickBot="1" x14ac:dyDescent="0.75">
      <c r="C56" s="153" t="s">
        <v>102</v>
      </c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5"/>
    </row>
    <row r="57" spans="3:14" ht="15" thickBot="1" x14ac:dyDescent="0.35">
      <c r="C57" s="20" t="s">
        <v>62</v>
      </c>
      <c r="D57" s="45">
        <f>D48*N_parallel</f>
        <v>6265.1856918843987</v>
      </c>
      <c r="E57" s="27">
        <f>E48*N_parallel</f>
        <v>11375.972548636846</v>
      </c>
      <c r="F57" s="27">
        <f>F48*N_parallel</f>
        <v>15460.62710749422</v>
      </c>
      <c r="G57" s="27">
        <f>G48*N_parallel</f>
        <v>18647.415905693411</v>
      </c>
      <c r="H57" s="27">
        <f>H48*N_parallel</f>
        <v>21064.605480471291</v>
      </c>
      <c r="I57" s="27">
        <f>I48*N_parallel</f>
        <v>22840.462369064764</v>
      </c>
      <c r="J57" s="27">
        <f>J48*N_parallel</f>
        <v>24103.253108710695</v>
      </c>
      <c r="K57" s="27">
        <f>K48*N_parallel</f>
        <v>24981.24423664598</v>
      </c>
      <c r="L57" s="70">
        <f>L48*N_parallel</f>
        <v>25602.7022901075</v>
      </c>
      <c r="M57" s="45">
        <f>M48*N_parallel</f>
        <v>26095.893806332133</v>
      </c>
      <c r="N57" s="29" t="s">
        <v>19</v>
      </c>
    </row>
    <row r="58" spans="3:14" ht="15" thickBot="1" x14ac:dyDescent="0.35">
      <c r="C58" s="21" t="s">
        <v>46</v>
      </c>
      <c r="D58" s="69">
        <f>CONVERT(D57,$N$57,$N$58)</f>
        <v>1408.4697737159599</v>
      </c>
      <c r="E58" s="38">
        <f t="shared" ref="E58:M58" si="5">CONVERT(E57,$N$48,$N$49)</f>
        <v>2557.4203653903692</v>
      </c>
      <c r="F58" s="38">
        <f t="shared" si="5"/>
        <v>3475.6872396945096</v>
      </c>
      <c r="G58" s="38">
        <f t="shared" si="5"/>
        <v>4192.1058612996667</v>
      </c>
      <c r="H58" s="38">
        <f t="shared" si="5"/>
        <v>4735.5116948771201</v>
      </c>
      <c r="I58" s="38">
        <f t="shared" si="5"/>
        <v>5134.7402050981591</v>
      </c>
      <c r="J58" s="38">
        <f t="shared" si="5"/>
        <v>5418.6268566340623</v>
      </c>
      <c r="K58" s="38">
        <f t="shared" si="5"/>
        <v>5616.0071141561166</v>
      </c>
      <c r="L58" s="71">
        <f t="shared" si="5"/>
        <v>5755.7164423356035</v>
      </c>
      <c r="M58" s="69">
        <f t="shared" si="5"/>
        <v>5866.590305843808</v>
      </c>
      <c r="N58" s="28" t="s">
        <v>20</v>
      </c>
    </row>
    <row r="59" spans="3:14" ht="15" thickBot="1" x14ac:dyDescent="0.35">
      <c r="C59" s="19"/>
      <c r="D59" s="45"/>
      <c r="E59" s="27"/>
      <c r="F59" s="27"/>
      <c r="G59" s="27"/>
      <c r="H59" s="27"/>
      <c r="I59" s="27"/>
      <c r="J59" s="27"/>
      <c r="K59" s="27"/>
      <c r="L59" s="70"/>
      <c r="M59" s="45"/>
      <c r="N59" s="78"/>
    </row>
    <row r="60" spans="3:14" ht="37.200000000000003" thickBot="1" x14ac:dyDescent="0.75">
      <c r="C60" s="153" t="s">
        <v>72</v>
      </c>
      <c r="D60" s="154"/>
      <c r="E60" s="154"/>
      <c r="F60" s="154"/>
      <c r="G60" s="154"/>
      <c r="H60" s="154"/>
      <c r="I60" s="154"/>
      <c r="J60" s="154"/>
      <c r="K60" s="154"/>
      <c r="L60" s="154"/>
      <c r="M60" s="154"/>
      <c r="N60" s="155"/>
    </row>
    <row r="61" spans="3:14" ht="15" thickBot="1" x14ac:dyDescent="0.35">
      <c r="C61" s="20" t="s">
        <v>62</v>
      </c>
      <c r="D61" s="40">
        <f>D31*N_series</f>
        <v>4.3200000000000012</v>
      </c>
      <c r="E61" s="35">
        <f>E31*N_series</f>
        <v>8.6400000000000023</v>
      </c>
      <c r="F61" s="35">
        <f>F31*N_series</f>
        <v>12.960000000000003</v>
      </c>
      <c r="G61" s="35">
        <f>G31*N_series</f>
        <v>17.280000000000005</v>
      </c>
      <c r="H61" s="35">
        <f>H31*N_series</f>
        <v>21.6</v>
      </c>
      <c r="I61" s="35">
        <f>I31*N_series</f>
        <v>25.919999999999998</v>
      </c>
      <c r="J61" s="35">
        <f>J31*N_series</f>
        <v>30.24</v>
      </c>
      <c r="K61" s="35">
        <f>K31*N_series</f>
        <v>34.56</v>
      </c>
      <c r="L61" s="72">
        <f>L31*N_series</f>
        <v>38.879999999999995</v>
      </c>
      <c r="M61" s="40">
        <f>M31*N_series</f>
        <v>43.199999999999996</v>
      </c>
      <c r="N61" s="29" t="s">
        <v>1</v>
      </c>
    </row>
    <row r="62" spans="3:14" ht="15" thickBot="1" x14ac:dyDescent="0.35">
      <c r="C62" s="21" t="s">
        <v>46</v>
      </c>
      <c r="D62" s="41">
        <f>CONVERT(D61,$N$61,$N$62)</f>
        <v>0.1700787401574804</v>
      </c>
      <c r="E62" s="30">
        <f t="shared" ref="E62:M62" si="6">CONVERT(E61,$N$61,$N$62)</f>
        <v>0.34015748031496079</v>
      </c>
      <c r="F62" s="30">
        <f t="shared" si="6"/>
        <v>0.5102362204724411</v>
      </c>
      <c r="G62" s="30">
        <f t="shared" si="6"/>
        <v>0.68031496062992158</v>
      </c>
      <c r="H62" s="30">
        <f t="shared" si="6"/>
        <v>0.85039370078740162</v>
      </c>
      <c r="I62" s="30">
        <f t="shared" si="6"/>
        <v>1.0204724409448818</v>
      </c>
      <c r="J62" s="30">
        <f t="shared" si="6"/>
        <v>1.1905511811023624</v>
      </c>
      <c r="K62" s="30">
        <f t="shared" si="6"/>
        <v>1.3606299212598427</v>
      </c>
      <c r="L62" s="73">
        <f t="shared" si="6"/>
        <v>1.5307086614173226</v>
      </c>
      <c r="M62" s="41">
        <f t="shared" si="6"/>
        <v>1.700787401574803</v>
      </c>
      <c r="N62" s="28" t="s">
        <v>47</v>
      </c>
    </row>
    <row r="63" spans="3:14" ht="15" thickBot="1" x14ac:dyDescent="0.35">
      <c r="D63" s="3"/>
      <c r="E63" s="3"/>
      <c r="F63" s="3"/>
      <c r="G63" s="3"/>
      <c r="H63" s="3"/>
      <c r="I63" s="3"/>
      <c r="J63" s="3"/>
      <c r="K63" s="3"/>
      <c r="L63" s="3"/>
    </row>
    <row r="64" spans="3:14" ht="37.200000000000003" thickBot="1" x14ac:dyDescent="0.75">
      <c r="C64" s="153" t="s">
        <v>80</v>
      </c>
      <c r="D64" s="154"/>
      <c r="E64" s="154"/>
      <c r="F64" s="154"/>
      <c r="G64" s="154"/>
      <c r="H64" s="154"/>
      <c r="I64" s="154"/>
      <c r="J64" s="154"/>
      <c r="K64" s="154"/>
      <c r="L64" s="154"/>
      <c r="M64" s="154"/>
      <c r="N64" s="155"/>
    </row>
    <row r="65" spans="1:14" ht="15" thickBot="1" x14ac:dyDescent="0.35">
      <c r="C65" s="20" t="s">
        <v>62</v>
      </c>
      <c r="D65" s="35">
        <f>D61-$R$9</f>
        <v>-5.839999999999999</v>
      </c>
      <c r="E65" s="35">
        <f t="shared" ref="E65:K65" si="7">E61-$R$9</f>
        <v>-1.5199999999999978</v>
      </c>
      <c r="F65" s="35">
        <f t="shared" si="7"/>
        <v>2.8000000000000025</v>
      </c>
      <c r="G65" s="35">
        <f t="shared" si="7"/>
        <v>7.1200000000000045</v>
      </c>
      <c r="H65" s="35">
        <f t="shared" si="7"/>
        <v>11.440000000000001</v>
      </c>
      <c r="I65" s="35">
        <f t="shared" si="7"/>
        <v>15.759999999999998</v>
      </c>
      <c r="J65" s="35">
        <f t="shared" si="7"/>
        <v>20.079999999999998</v>
      </c>
      <c r="K65" s="35">
        <f t="shared" si="7"/>
        <v>24.400000000000002</v>
      </c>
      <c r="L65" s="72"/>
      <c r="M65" s="40"/>
      <c r="N65" s="29" t="s">
        <v>1</v>
      </c>
    </row>
    <row r="66" spans="1:14" ht="15" thickBot="1" x14ac:dyDescent="0.35">
      <c r="C66" s="21" t="s">
        <v>46</v>
      </c>
      <c r="D66" s="30">
        <f>D62-$R$8</f>
        <v>-0.22992125984251963</v>
      </c>
      <c r="E66" s="30">
        <f t="shared" ref="E66:J66" si="8">E62-$R$8</f>
        <v>-5.984251968503923E-2</v>
      </c>
      <c r="F66" s="30">
        <f t="shared" si="8"/>
        <v>0.11023622047244108</v>
      </c>
      <c r="G66" s="30">
        <f t="shared" si="8"/>
        <v>0.28031496062992156</v>
      </c>
      <c r="H66" s="30">
        <f t="shared" si="8"/>
        <v>0.4503937007874016</v>
      </c>
      <c r="I66" s="30">
        <f t="shared" si="8"/>
        <v>0.62047244094488174</v>
      </c>
      <c r="J66" s="30">
        <f t="shared" si="8"/>
        <v>0.79055118110236233</v>
      </c>
      <c r="K66" s="30">
        <f>K62-$R$8</f>
        <v>0.9606299212598427</v>
      </c>
      <c r="L66" s="73"/>
      <c r="M66" s="41"/>
      <c r="N66" s="28" t="s">
        <v>47</v>
      </c>
    </row>
    <row r="67" spans="1:14" x14ac:dyDescent="0.3">
      <c r="D67" s="3"/>
      <c r="E67" s="3"/>
      <c r="F67" s="3"/>
      <c r="G67" s="3"/>
      <c r="H67" s="3"/>
      <c r="I67" s="3"/>
      <c r="J67" s="3"/>
      <c r="K67" s="3"/>
      <c r="L67" s="3"/>
    </row>
    <row r="68" spans="1:14" ht="15" thickBot="1" x14ac:dyDescent="0.35"/>
    <row r="69" spans="1:14" ht="36.6" x14ac:dyDescent="0.7">
      <c r="C69" s="153" t="s">
        <v>34</v>
      </c>
      <c r="D69" s="154"/>
      <c r="E69" s="154"/>
      <c r="F69" s="154"/>
      <c r="G69" s="154"/>
      <c r="H69" s="154"/>
      <c r="I69" s="154"/>
      <c r="J69" s="154"/>
      <c r="K69" s="154"/>
      <c r="L69" s="154"/>
      <c r="M69" s="154"/>
      <c r="N69" s="155"/>
    </row>
    <row r="70" spans="1:14" x14ac:dyDescent="0.3">
      <c r="C70" s="14" t="s">
        <v>41</v>
      </c>
      <c r="D70" s="13">
        <f>D31</f>
        <v>0.16000000000000003</v>
      </c>
      <c r="E70" s="13">
        <f>E31</f>
        <v>0.32000000000000006</v>
      </c>
      <c r="F70" s="13">
        <f>F31</f>
        <v>0.48000000000000009</v>
      </c>
      <c r="G70" s="13">
        <f>G31</f>
        <v>0.64000000000000012</v>
      </c>
      <c r="H70" s="13">
        <f>H31</f>
        <v>0.8</v>
      </c>
      <c r="I70" s="13">
        <f>I31</f>
        <v>0.96</v>
      </c>
      <c r="J70" s="13">
        <f>J31</f>
        <v>1.1199999999999999</v>
      </c>
      <c r="K70" s="13">
        <f>K31</f>
        <v>1.28</v>
      </c>
      <c r="L70" s="13">
        <f>L31</f>
        <v>1.44</v>
      </c>
      <c r="M70" s="16">
        <f>M31</f>
        <v>1.5999999999999999</v>
      </c>
      <c r="N70" s="15" t="s">
        <v>1</v>
      </c>
    </row>
    <row r="71" spans="1:14" s="2" customFormat="1" ht="50.25" customHeight="1" x14ac:dyDescent="0.3">
      <c r="C71" s="5" t="s">
        <v>35</v>
      </c>
      <c r="D71" s="6">
        <f t="array" ref="D71:M71">-((4*E14)/(1-\mu^2))*((t^2)/(K_1*D_e^2))*K_4*(s/t)*(3/PI())</f>
        <v>-122.68181150559315</v>
      </c>
      <c r="E71" s="6">
        <v>-245.36362301118629</v>
      </c>
      <c r="F71" s="6">
        <v>-368.04543451677944</v>
      </c>
      <c r="G71" s="6">
        <v>-490.72724602237258</v>
      </c>
      <c r="H71" s="6">
        <v>-613.40905752796562</v>
      </c>
      <c r="I71" s="6">
        <v>-736.09086903355876</v>
      </c>
      <c r="J71" s="6">
        <v>-858.77268053915179</v>
      </c>
      <c r="K71" s="6">
        <v>-981.45449204474494</v>
      </c>
      <c r="L71" s="6">
        <v>-1104.1363035503382</v>
      </c>
      <c r="M71" s="7">
        <v>-1226.818115055931</v>
      </c>
      <c r="N71" s="8" t="s">
        <v>40</v>
      </c>
    </row>
    <row r="72" spans="1:14" s="2" customFormat="1" ht="50.25" customHeight="1" x14ac:dyDescent="0.3">
      <c r="C72" s="168" t="s">
        <v>36</v>
      </c>
      <c r="D72" s="169">
        <f t="array" ref="D72:M72">-((4*E14)/(1-\mu^2))*((t^2)/(K_1*D_e^2))*K_4*(s/t)*(K_4*K_2*((H_o/t)-(s/(2*t)))+K_3)</f>
        <v>-368.3060486594697</v>
      </c>
      <c r="E72" s="169">
        <v>-716.52014500796167</v>
      </c>
      <c r="F72" s="169">
        <v>-1044.6422890454764</v>
      </c>
      <c r="G72" s="169">
        <v>-1352.6724807720134</v>
      </c>
      <c r="H72" s="169">
        <v>-1640.610720187573</v>
      </c>
      <c r="I72" s="169">
        <v>-1908.4570072921547</v>
      </c>
      <c r="J72" s="169">
        <v>-2156.2113420857595</v>
      </c>
      <c r="K72" s="169">
        <v>-2383.873724568386</v>
      </c>
      <c r="L72" s="169">
        <v>-2591.4441547400361</v>
      </c>
      <c r="M72" s="170">
        <v>-2778.9226326007074</v>
      </c>
      <c r="N72" s="171" t="s">
        <v>40</v>
      </c>
    </row>
    <row r="73" spans="1:14" s="2" customFormat="1" ht="50.25" customHeight="1" x14ac:dyDescent="0.3">
      <c r="A73" s="48"/>
      <c r="C73" s="47" t="s">
        <v>37</v>
      </c>
      <c r="D73" s="6">
        <f t="array" ref="D73:M73">-((4*E14)/(1-\mu^2))*((t^2)/(K_1*D_e^2))*K_4*(s/t)*(K_4*K_2*((H_o/t)-(s/(2*t)))-K_3)</f>
        <v>-13.441045249103052</v>
      </c>
      <c r="E73" s="6">
        <v>-6.7901381872285382</v>
      </c>
      <c r="F73" s="6">
        <v>19.952721185623368</v>
      </c>
      <c r="G73" s="6">
        <v>66.787532869452832</v>
      </c>
      <c r="H73" s="6">
        <v>133.71429686425978</v>
      </c>
      <c r="I73" s="6">
        <v>220.73301317004425</v>
      </c>
      <c r="J73" s="6">
        <v>327.8436817868062</v>
      </c>
      <c r="K73" s="6">
        <v>455.04630271454579</v>
      </c>
      <c r="L73" s="6">
        <v>602.34087595326264</v>
      </c>
      <c r="M73" s="7">
        <v>769.72740150295704</v>
      </c>
      <c r="N73" s="8" t="s">
        <v>40</v>
      </c>
    </row>
    <row r="74" spans="1:14" s="2" customFormat="1" ht="50.25" customHeight="1" x14ac:dyDescent="0.3">
      <c r="C74" s="172" t="s">
        <v>38</v>
      </c>
      <c r="D74" s="169">
        <f t="array" ref="D74:M74">-((4*E14)/(1-\mu^2))*((t^2)/(K_1*D_e^2))*K_4*(1/\delta)*(s/t)*(K_4*(K_2-(2*K_3))*((H_o/t)-(s/(2*t)))-K_3)</f>
        <v>208.10834434028931</v>
      </c>
      <c r="E74" s="169">
        <v>403.60759521363849</v>
      </c>
      <c r="F74" s="169">
        <v>586.49775262004744</v>
      </c>
      <c r="G74" s="169">
        <v>756.77881655951626</v>
      </c>
      <c r="H74" s="169">
        <v>914.4507870320449</v>
      </c>
      <c r="I74" s="169">
        <v>1059.5136640376336</v>
      </c>
      <c r="J74" s="169">
        <v>1191.9674475762818</v>
      </c>
      <c r="K74" s="169">
        <v>1311.8121376479899</v>
      </c>
      <c r="L74" s="169">
        <v>1419.0477342527581</v>
      </c>
      <c r="M74" s="170">
        <v>1513.6742373905861</v>
      </c>
      <c r="N74" s="171" t="s">
        <v>40</v>
      </c>
    </row>
    <row r="75" spans="1:14" s="2" customFormat="1" ht="50.25" customHeight="1" thickBot="1" x14ac:dyDescent="0.35">
      <c r="C75" s="9" t="s">
        <v>39</v>
      </c>
      <c r="D75" s="10">
        <f t="array" ref="D75:M75">-((4*E14)/(1-\mu^2))*((t^2)/(K_1*D_e^2))*K_4*(1/\delta)*(s/t)*(K_4*(K_2-(2*K_3))*((H_o/t)-(s/(2*t)))+K_3)</f>
        <v>31.464431531573531</v>
      </c>
      <c r="E75" s="10">
        <v>50.319769596206918</v>
      </c>
      <c r="F75" s="10">
        <v>56.566014193900187</v>
      </c>
      <c r="G75" s="10">
        <v>50.203165324653234</v>
      </c>
      <c r="H75" s="10">
        <v>31.231222988466168</v>
      </c>
      <c r="I75" s="10">
        <v>-0.34981281466103364</v>
      </c>
      <c r="J75" s="10">
        <v>-44.539942084728374</v>
      </c>
      <c r="K75" s="10">
        <v>-101.33916482173588</v>
      </c>
      <c r="L75" s="10">
        <v>-170.74748102568353</v>
      </c>
      <c r="M75" s="11">
        <v>-252.76489069657117</v>
      </c>
      <c r="N75" s="12" t="s">
        <v>40</v>
      </c>
    </row>
    <row r="77" spans="1:14" ht="15" thickBot="1" x14ac:dyDescent="0.35"/>
    <row r="78" spans="1:14" ht="36.6" x14ac:dyDescent="0.7">
      <c r="C78" s="153" t="s">
        <v>55</v>
      </c>
      <c r="D78" s="154"/>
      <c r="E78" s="154"/>
      <c r="F78" s="154"/>
      <c r="G78" s="154"/>
      <c r="H78" s="154"/>
      <c r="I78" s="154"/>
      <c r="J78" s="154"/>
      <c r="K78" s="154"/>
      <c r="L78" s="154"/>
      <c r="M78" s="154"/>
      <c r="N78" s="155"/>
    </row>
    <row r="79" spans="1:14" x14ac:dyDescent="0.3">
      <c r="C79" s="62" t="s">
        <v>41</v>
      </c>
      <c r="D79" s="81">
        <f>D31</f>
        <v>0.16000000000000003</v>
      </c>
      <c r="E79" s="81">
        <f>E31</f>
        <v>0.32000000000000006</v>
      </c>
      <c r="F79" s="81">
        <f>F31</f>
        <v>0.48000000000000009</v>
      </c>
      <c r="G79" s="81">
        <f>G31</f>
        <v>0.64000000000000012</v>
      </c>
      <c r="H79" s="81">
        <f>H31</f>
        <v>0.8</v>
      </c>
      <c r="I79" s="81">
        <f>I31</f>
        <v>0.96</v>
      </c>
      <c r="J79" s="81">
        <f>J31</f>
        <v>1.1199999999999999</v>
      </c>
      <c r="K79" s="81">
        <f>K31</f>
        <v>1.28</v>
      </c>
      <c r="L79" s="81">
        <f>L31</f>
        <v>1.44</v>
      </c>
      <c r="M79" s="81">
        <f>M31</f>
        <v>1.5999999999999999</v>
      </c>
      <c r="N79" s="4" t="s">
        <v>1</v>
      </c>
    </row>
    <row r="80" spans="1:14" x14ac:dyDescent="0.3">
      <c r="C80" s="5" t="s">
        <v>56</v>
      </c>
      <c r="D80" s="55">
        <f>D71/$E$14</f>
        <v>-5.9554277429899581E-4</v>
      </c>
      <c r="E80" s="55">
        <f t="shared" ref="E80:M80" si="9">E71/$E$14</f>
        <v>-1.1910855485979916E-3</v>
      </c>
      <c r="F80" s="55">
        <f t="shared" si="9"/>
        <v>-1.7866283228969875E-3</v>
      </c>
      <c r="G80" s="55">
        <f t="shared" si="9"/>
        <v>-2.3821710971959832E-3</v>
      </c>
      <c r="H80" s="55">
        <f t="shared" si="9"/>
        <v>-2.9777138714949785E-3</v>
      </c>
      <c r="I80" s="55">
        <f t="shared" si="9"/>
        <v>-3.5732566457939746E-3</v>
      </c>
      <c r="J80" s="55">
        <f t="shared" si="9"/>
        <v>-4.1687994200929699E-3</v>
      </c>
      <c r="K80" s="55">
        <f t="shared" si="9"/>
        <v>-4.7643421943919656E-3</v>
      </c>
      <c r="L80" s="55">
        <f t="shared" si="9"/>
        <v>-5.3598849686909622E-3</v>
      </c>
      <c r="M80" s="55">
        <f t="shared" si="9"/>
        <v>-5.9554277429899561E-3</v>
      </c>
      <c r="N80" s="4"/>
    </row>
    <row r="81" spans="3:14" x14ac:dyDescent="0.3">
      <c r="C81" s="168" t="s">
        <v>57</v>
      </c>
      <c r="D81" s="55">
        <f t="shared" ref="D81:M84" si="10">D72/$E$14</f>
        <v>-1.7878934400945132E-3</v>
      </c>
      <c r="E81" s="55">
        <f t="shared" si="10"/>
        <v>-3.4782531311066101E-3</v>
      </c>
      <c r="F81" s="55">
        <f t="shared" si="10"/>
        <v>-5.0710790730362932E-3</v>
      </c>
      <c r="G81" s="55">
        <f t="shared" si="10"/>
        <v>-6.5663712658835605E-3</v>
      </c>
      <c r="H81" s="55">
        <f t="shared" si="10"/>
        <v>-7.9641297096484116E-3</v>
      </c>
      <c r="I81" s="55">
        <f t="shared" si="10"/>
        <v>-9.2643544043308473E-3</v>
      </c>
      <c r="J81" s="55">
        <f t="shared" si="10"/>
        <v>-1.0467045349930872E-2</v>
      </c>
      <c r="K81" s="55">
        <f t="shared" si="10"/>
        <v>-1.1572202546448475E-2</v>
      </c>
      <c r="L81" s="55">
        <f t="shared" si="10"/>
        <v>-1.2579825993883671E-2</v>
      </c>
      <c r="M81" s="55">
        <f t="shared" si="10"/>
        <v>-1.3489915692236443E-2</v>
      </c>
      <c r="N81" s="4"/>
    </row>
    <row r="82" spans="3:14" ht="21" x14ac:dyDescent="0.3">
      <c r="C82" s="47" t="s">
        <v>58</v>
      </c>
      <c r="D82" s="55">
        <f t="shared" si="10"/>
        <v>-6.5247792471374039E-5</v>
      </c>
      <c r="E82" s="55">
        <f t="shared" si="10"/>
        <v>-3.2961835860332709E-5</v>
      </c>
      <c r="F82" s="55">
        <f t="shared" si="10"/>
        <v>9.6857869833123143E-5</v>
      </c>
      <c r="G82" s="55">
        <f t="shared" si="10"/>
        <v>3.2421132460899434E-4</v>
      </c>
      <c r="H82" s="55">
        <f t="shared" si="10"/>
        <v>6.4909852846728043E-4</v>
      </c>
      <c r="I82" s="55">
        <f t="shared" si="10"/>
        <v>1.0715194814079818E-3</v>
      </c>
      <c r="J82" s="55">
        <f t="shared" si="10"/>
        <v>1.5914741834310981E-3</v>
      </c>
      <c r="K82" s="55">
        <f t="shared" si="10"/>
        <v>2.2089626345366299E-3</v>
      </c>
      <c r="L82" s="55">
        <f t="shared" si="10"/>
        <v>2.923984834724576E-3</v>
      </c>
      <c r="M82" s="55">
        <f t="shared" si="10"/>
        <v>3.7365407839949371E-3</v>
      </c>
      <c r="N82" s="4"/>
    </row>
    <row r="83" spans="3:14" ht="21" x14ac:dyDescent="0.3">
      <c r="C83" s="172" t="s">
        <v>59</v>
      </c>
      <c r="D83" s="55">
        <f t="shared" si="10"/>
        <v>1.0102346812635404E-3</v>
      </c>
      <c r="E83" s="55">
        <f t="shared" si="10"/>
        <v>1.9592601709399926E-3</v>
      </c>
      <c r="F83" s="55">
        <f t="shared" si="10"/>
        <v>2.8470764690293566E-3</v>
      </c>
      <c r="G83" s="55">
        <f t="shared" si="10"/>
        <v>3.6736835755316324E-3</v>
      </c>
      <c r="H83" s="55">
        <f t="shared" si="10"/>
        <v>4.4390814904468195E-3</v>
      </c>
      <c r="I83" s="55">
        <f t="shared" si="10"/>
        <v>5.1432702137749206E-3</v>
      </c>
      <c r="J83" s="55">
        <f t="shared" si="10"/>
        <v>5.7862497455159305E-3</v>
      </c>
      <c r="K83" s="55">
        <f t="shared" si="10"/>
        <v>6.3680200856698534E-3</v>
      </c>
      <c r="L83" s="55">
        <f t="shared" si="10"/>
        <v>6.8885812342366895E-3</v>
      </c>
      <c r="M83" s="55">
        <f t="shared" si="10"/>
        <v>7.3479331912164377E-3</v>
      </c>
      <c r="N83" s="4"/>
    </row>
    <row r="84" spans="3:14" x14ac:dyDescent="0.3">
      <c r="C84" s="5" t="s">
        <v>60</v>
      </c>
      <c r="D84" s="55">
        <f t="shared" si="10"/>
        <v>1.5273995889113364E-4</v>
      </c>
      <c r="E84" s="55">
        <f t="shared" si="10"/>
        <v>2.4427072619517923E-4</v>
      </c>
      <c r="F84" s="55">
        <f t="shared" si="10"/>
        <v>2.7459230191213683E-4</v>
      </c>
      <c r="G84" s="55">
        <f t="shared" si="10"/>
        <v>2.43704686042006E-4</v>
      </c>
      <c r="H84" s="55">
        <f t="shared" si="10"/>
        <v>1.5160787858478723E-4</v>
      </c>
      <c r="I84" s="55">
        <f t="shared" si="10"/>
        <v>-1.6981204595195809E-6</v>
      </c>
      <c r="J84" s="55">
        <f t="shared" si="10"/>
        <v>-2.1621331109091443E-4</v>
      </c>
      <c r="K84" s="55">
        <f t="shared" si="10"/>
        <v>-4.9193769330939743E-4</v>
      </c>
      <c r="L84" s="55">
        <f t="shared" si="10"/>
        <v>-8.2887126711496861E-4</v>
      </c>
      <c r="M84" s="55">
        <f t="shared" si="10"/>
        <v>-1.227014032507627E-3</v>
      </c>
      <c r="N84" s="4"/>
    </row>
    <row r="85" spans="3:14" ht="15" thickBot="1" x14ac:dyDescent="0.35">
      <c r="C85" s="21" t="s">
        <v>77</v>
      </c>
      <c r="D85" s="82">
        <f>MAX(MAX(D80:D84),ABS(MIN(D80:D84)))</f>
        <v>1.7878934400945132E-3</v>
      </c>
      <c r="E85" s="82">
        <f t="shared" ref="E85:M85" si="11">MAX(MAX(E80:E84),ABS(MIN(E80:E84)))</f>
        <v>3.4782531311066101E-3</v>
      </c>
      <c r="F85" s="82">
        <f t="shared" si="11"/>
        <v>5.0710790730362932E-3</v>
      </c>
      <c r="G85" s="82">
        <f t="shared" si="11"/>
        <v>6.5663712658835605E-3</v>
      </c>
      <c r="H85" s="82">
        <f t="shared" si="11"/>
        <v>7.9641297096484116E-3</v>
      </c>
      <c r="I85" s="82">
        <f t="shared" si="11"/>
        <v>9.2643544043308473E-3</v>
      </c>
      <c r="J85" s="82">
        <f t="shared" si="11"/>
        <v>1.0467045349930872E-2</v>
      </c>
      <c r="K85" s="82">
        <f t="shared" si="11"/>
        <v>1.1572202546448475E-2</v>
      </c>
      <c r="L85" s="82">
        <f t="shared" si="11"/>
        <v>1.2579825993883671E-2</v>
      </c>
      <c r="M85" s="82">
        <f t="shared" si="11"/>
        <v>1.3489915692236443E-2</v>
      </c>
      <c r="N85" s="23"/>
    </row>
    <row r="86" spans="3:14" x14ac:dyDescent="0.3">
      <c r="D86" s="80"/>
    </row>
    <row r="87" spans="3:14" ht="15" thickBot="1" x14ac:dyDescent="0.35"/>
    <row r="88" spans="3:14" ht="32.25" customHeight="1" x14ac:dyDescent="0.55000000000000004">
      <c r="C88" s="150" t="s">
        <v>28</v>
      </c>
      <c r="D88" s="151"/>
      <c r="E88" s="151"/>
      <c r="F88" s="151"/>
      <c r="G88" s="151"/>
      <c r="H88" s="151"/>
      <c r="I88" s="152"/>
    </row>
    <row r="89" spans="3:14" ht="41.4" x14ac:dyDescent="0.3">
      <c r="C89" s="17" t="s">
        <v>30</v>
      </c>
      <c r="D89" s="18" t="s">
        <v>31</v>
      </c>
      <c r="E89" s="19"/>
      <c r="F89" s="25" t="s">
        <v>42</v>
      </c>
      <c r="G89" s="25" t="s">
        <v>43</v>
      </c>
      <c r="H89" s="19"/>
      <c r="I89" s="56" t="s">
        <v>61</v>
      </c>
    </row>
    <row r="90" spans="3:14" x14ac:dyDescent="0.3">
      <c r="C90" s="20" t="s">
        <v>29</v>
      </c>
      <c r="D90" s="19">
        <v>206000</v>
      </c>
      <c r="E90" s="19" t="s">
        <v>32</v>
      </c>
      <c r="F90" s="19">
        <v>1150</v>
      </c>
      <c r="G90" s="19">
        <v>-3340</v>
      </c>
      <c r="H90" s="19" t="s">
        <v>40</v>
      </c>
      <c r="I90" s="166">
        <v>0.01</v>
      </c>
    </row>
    <row r="91" spans="3:14" x14ac:dyDescent="0.3">
      <c r="C91" s="20" t="s">
        <v>49</v>
      </c>
      <c r="D91" s="92">
        <v>212200</v>
      </c>
      <c r="E91" s="91" t="s">
        <v>32</v>
      </c>
      <c r="F91" s="92">
        <v>800</v>
      </c>
      <c r="G91" s="92">
        <v>-800</v>
      </c>
      <c r="H91" s="91" t="s">
        <v>40</v>
      </c>
      <c r="I91" s="166">
        <v>1.0999999999999999E-2</v>
      </c>
    </row>
    <row r="92" spans="3:14" x14ac:dyDescent="0.3">
      <c r="C92" s="20" t="s">
        <v>75</v>
      </c>
      <c r="D92" s="92">
        <v>206842</v>
      </c>
      <c r="E92" s="92" t="s">
        <v>40</v>
      </c>
      <c r="F92" s="92">
        <v>1150</v>
      </c>
      <c r="G92" s="92">
        <v>-3340</v>
      </c>
      <c r="H92" s="91" t="s">
        <v>40</v>
      </c>
      <c r="I92" s="166">
        <v>0.01</v>
      </c>
    </row>
    <row r="93" spans="3:14" x14ac:dyDescent="0.3">
      <c r="C93" s="20"/>
      <c r="D93" s="19"/>
      <c r="E93" s="19"/>
      <c r="F93" s="19"/>
      <c r="G93" s="19"/>
      <c r="H93" s="19"/>
      <c r="I93" s="57"/>
    </row>
    <row r="94" spans="3:14" x14ac:dyDescent="0.3">
      <c r="C94" s="20"/>
      <c r="D94" s="19"/>
      <c r="E94" s="19"/>
      <c r="F94" s="19"/>
      <c r="G94" s="19"/>
      <c r="H94" s="19"/>
      <c r="I94" s="57"/>
    </row>
    <row r="95" spans="3:14" x14ac:dyDescent="0.3">
      <c r="C95" s="20"/>
      <c r="D95" s="19"/>
      <c r="E95" s="19"/>
      <c r="F95" s="19"/>
      <c r="G95" s="19"/>
      <c r="H95" s="19"/>
      <c r="I95" s="57"/>
    </row>
    <row r="96" spans="3:14" x14ac:dyDescent="0.3">
      <c r="C96" s="20"/>
      <c r="D96" s="19"/>
      <c r="E96" s="19"/>
      <c r="F96" s="19"/>
      <c r="G96" s="19"/>
      <c r="H96" s="19"/>
      <c r="I96" s="57"/>
    </row>
    <row r="97" spans="3:9" x14ac:dyDescent="0.3">
      <c r="C97" s="20"/>
      <c r="D97" s="19"/>
      <c r="E97" s="19"/>
      <c r="F97" s="19"/>
      <c r="G97" s="19"/>
      <c r="H97" s="19"/>
      <c r="I97" s="57"/>
    </row>
    <row r="98" spans="3:9" x14ac:dyDescent="0.3">
      <c r="C98" s="20"/>
      <c r="D98" s="19"/>
      <c r="E98" s="19"/>
      <c r="F98" s="19"/>
      <c r="G98" s="19"/>
      <c r="H98" s="19"/>
      <c r="I98" s="57"/>
    </row>
    <row r="99" spans="3:9" x14ac:dyDescent="0.3">
      <c r="C99" s="20"/>
      <c r="D99" s="19"/>
      <c r="E99" s="19"/>
      <c r="F99" s="19"/>
      <c r="G99" s="19"/>
      <c r="H99" s="19"/>
      <c r="I99" s="57"/>
    </row>
    <row r="100" spans="3:9" x14ac:dyDescent="0.3">
      <c r="C100" s="20"/>
      <c r="D100" s="19"/>
      <c r="E100" s="19"/>
      <c r="F100" s="19"/>
      <c r="G100" s="19"/>
      <c r="H100" s="19"/>
      <c r="I100" s="57"/>
    </row>
    <row r="101" spans="3:9" x14ac:dyDescent="0.3">
      <c r="C101" s="20"/>
      <c r="D101" s="19"/>
      <c r="E101" s="19"/>
      <c r="F101" s="19"/>
      <c r="G101" s="19"/>
      <c r="H101" s="19"/>
      <c r="I101" s="57"/>
    </row>
    <row r="102" spans="3:9" x14ac:dyDescent="0.3">
      <c r="C102" s="20"/>
      <c r="D102" s="19"/>
      <c r="E102" s="19"/>
      <c r="F102" s="19"/>
      <c r="G102" s="19"/>
      <c r="H102" s="19"/>
      <c r="I102" s="57"/>
    </row>
    <row r="103" spans="3:9" x14ac:dyDescent="0.3">
      <c r="C103" s="20"/>
      <c r="D103" s="24"/>
      <c r="E103" s="19"/>
      <c r="F103" s="24"/>
      <c r="G103" s="24"/>
      <c r="H103" s="19"/>
      <c r="I103" s="57"/>
    </row>
    <row r="104" spans="3:9" x14ac:dyDescent="0.3">
      <c r="C104" s="20"/>
      <c r="D104" s="24"/>
      <c r="E104" s="24"/>
      <c r="F104" s="24"/>
      <c r="G104" s="24"/>
      <c r="H104" s="19"/>
      <c r="I104" s="57"/>
    </row>
    <row r="105" spans="3:9" ht="15" thickBot="1" x14ac:dyDescent="0.35">
      <c r="C105" s="21"/>
      <c r="D105" s="22"/>
      <c r="E105" s="22"/>
      <c r="F105" s="22"/>
      <c r="G105" s="22"/>
      <c r="H105" s="22"/>
      <c r="I105" s="77"/>
    </row>
  </sheetData>
  <mergeCells count="15">
    <mergeCell ref="C88:I88"/>
    <mergeCell ref="C64:N64"/>
    <mergeCell ref="C69:N69"/>
    <mergeCell ref="C78:N78"/>
    <mergeCell ref="C47:N47"/>
    <mergeCell ref="C56:N56"/>
    <mergeCell ref="C60:N60"/>
    <mergeCell ref="D34:K34"/>
    <mergeCell ref="C38:K38"/>
    <mergeCell ref="C39:F39"/>
    <mergeCell ref="C28:M28"/>
    <mergeCell ref="C2:J2"/>
    <mergeCell ref="L2:S2"/>
    <mergeCell ref="I3:J3"/>
    <mergeCell ref="R3:S3"/>
  </mergeCells>
  <conditionalFormatting sqref="D71:M75">
    <cfRule type="cellIs" dxfId="20" priority="15" operator="lessThan">
      <formula>$D$16</formula>
    </cfRule>
    <cfRule type="cellIs" dxfId="19" priority="16" operator="greaterThan">
      <formula>$D$15</formula>
    </cfRule>
  </conditionalFormatting>
  <conditionalFormatting sqref="D35">
    <cfRule type="cellIs" dxfId="18" priority="3" operator="between">
      <formula>1.75</formula>
      <formula>2.5</formula>
    </cfRule>
    <cfRule type="cellIs" dxfId="17" priority="14" operator="notBetween">
      <formula>1.75</formula>
      <formula>2.5</formula>
    </cfRule>
  </conditionalFormatting>
  <conditionalFormatting sqref="D36">
    <cfRule type="cellIs" dxfId="16" priority="13" operator="between">
      <formula>0.4</formula>
      <formula>1.3</formula>
    </cfRule>
    <cfRule type="cellIs" dxfId="15" priority="2" operator="notBetween">
      <formula>0.4</formula>
      <formula>1.3</formula>
    </cfRule>
  </conditionalFormatting>
  <conditionalFormatting sqref="D37">
    <cfRule type="cellIs" dxfId="11" priority="12" operator="between">
      <formula>16</formula>
      <formula>40</formula>
    </cfRule>
    <cfRule type="cellIs" dxfId="10" priority="1" operator="notBetween">
      <formula>16</formula>
      <formula>40</formula>
    </cfRule>
  </conditionalFormatting>
  <conditionalFormatting sqref="D80:M84">
    <cfRule type="cellIs" dxfId="14" priority="10" operator="greaterThan">
      <formula>$D$17</formula>
    </cfRule>
    <cfRule type="cellIs" dxfId="13" priority="11" operator="lessThan">
      <formula>$D$17*-1</formula>
    </cfRule>
  </conditionalFormatting>
  <conditionalFormatting sqref="D85:M85">
    <cfRule type="cellIs" dxfId="12" priority="9" operator="greaterThan">
      <formula>$D$17</formula>
    </cfRule>
  </conditionalFormatting>
  <dataValidations disablePrompts="1" count="1">
    <dataValidation type="list" allowBlank="1" showInputMessage="1" showErrorMessage="1" sqref="D13:D14 I22:I26 I18:I20">
      <formula1>$C$90:$C$105</formula1>
    </dataValidation>
  </dataValidations>
  <hyperlinks>
    <hyperlink ref="G19" r:id="rId1"/>
    <hyperlink ref="G26" r:id="rId2" display="http://creativecommons.org/licenses/by-sa/3.0/"/>
  </hyperlinks>
  <pageMargins left="0.7" right="0.7" top="0.75" bottom="0.75" header="0.3" footer="0.3"/>
  <pageSetup orientation="portrait" verticalDpi="0" r:id="rId3"/>
  <drawing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26</vt:i4>
      </vt:variant>
    </vt:vector>
  </HeadingPairs>
  <TitlesOfParts>
    <vt:vector size="27" baseType="lpstr">
      <vt:lpstr>Belleville Spring Calculator</vt:lpstr>
      <vt:lpstr>'Belleville Spring Calculator'!\delta</vt:lpstr>
      <vt:lpstr>'Belleville Spring Calculator'!\mu</vt:lpstr>
      <vt:lpstr>'Belleville Spring Calculator'!\sigma_1</vt:lpstr>
      <vt:lpstr>'Belleville Spring Calculator'!\sigma_2</vt:lpstr>
      <vt:lpstr>'Belleville Spring Calculator'!\sigma_3</vt:lpstr>
      <vt:lpstr>'Belleville Spring Calculator'!\sigma_4</vt:lpstr>
      <vt:lpstr>'Belleville Spring Calculator'!\sigma_O</vt:lpstr>
      <vt:lpstr>'Belleville Spring Calculator'!D_e</vt:lpstr>
      <vt:lpstr>'Belleville Spring Calculator'!D_i</vt:lpstr>
      <vt:lpstr>'Belleville Spring Calculator'!F</vt:lpstr>
      <vt:lpstr>'Belleville Spring Calculator'!H_o</vt:lpstr>
      <vt:lpstr>'Belleville Spring Calculator'!I_o</vt:lpstr>
      <vt:lpstr>'Belleville Spring Calculator'!K_1</vt:lpstr>
      <vt:lpstr>'Belleville Spring Calculator'!K_2</vt:lpstr>
      <vt:lpstr>'Belleville Spring Calculator'!K_3</vt:lpstr>
      <vt:lpstr>'Belleville Spring Calculator'!K_4</vt:lpstr>
      <vt:lpstr>'Belleville Spring Calculator'!K_bias</vt:lpstr>
      <vt:lpstr>'Belleville Spring Calculator'!Material</vt:lpstr>
      <vt:lpstr>'Belleville Spring Calculator'!N_parallel</vt:lpstr>
      <vt:lpstr>'Belleville Spring Calculator'!N_series</vt:lpstr>
      <vt:lpstr>'Belleville Spring Calculator'!N_Springs</vt:lpstr>
      <vt:lpstr>'Belleville Spring Calculator'!Req_h_o</vt:lpstr>
      <vt:lpstr>'Belleville Spring Calculator'!s</vt:lpstr>
      <vt:lpstr>'Belleville Spring Calculator'!Series_Height</vt:lpstr>
      <vt:lpstr>'Belleville Spring Calculator'!Stack_Height</vt:lpstr>
      <vt:lpstr>'Belleville Spring Calculator'!t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WRadigan</dc:creator>
  <cp:lastModifiedBy>WRadigan</cp:lastModifiedBy>
  <cp:lastPrinted>2013-07-18T15:33:11Z</cp:lastPrinted>
  <dcterms:created xsi:type="dcterms:W3CDTF">2013-03-12T02:49:06Z</dcterms:created>
  <dcterms:modified xsi:type="dcterms:W3CDTF">2017-03-20T18:25:04Z</dcterms:modified>
</cp:coreProperties>
</file>