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_rels/drawing1.xml.rels" ContentType="application/vnd.openxmlformats-package.relationship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SimpleCalculator 2020" sheetId="1" state="visible" r:id="rId3"/>
    <sheet name="SimpleCalculator 2021" sheetId="2" state="visible" r:id="rId4"/>
    <sheet name="SimpleCalculator 2022" sheetId="3" state="visible" r:id="rId5"/>
    <sheet name="Summary" sheetId="4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Unknown Author</author>
  </authors>
  <commentList>
    <comment ref="D55" author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Gross wages +Employer Pension</t>
        </r>
      </text>
    </comment>
    <comment ref="D56" author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Employer NI</t>
        </r>
      </text>
    </comment>
  </commentList>
</comments>
</file>

<file path=xl/sharedStrings.xml><?xml version="1.0" encoding="utf-8"?>
<sst xmlns="http://schemas.openxmlformats.org/spreadsheetml/2006/main" count="264" uniqueCount="93">
  <si>
    <t xml:space="preserve">Company Carbon Footprint Calculator</t>
  </si>
  <si>
    <t xml:space="preserve">Categories</t>
  </si>
  <si>
    <t xml:space="preserve">Total Spend</t>
  </si>
  <si>
    <t xml:space="preserve">Price per Unit</t>
  </si>
  <si>
    <t xml:space="preserve">Quantity Used</t>
  </si>
  <si>
    <t xml:space="preserve">Estimated Quantity</t>
  </si>
  <si>
    <r>
      <rPr>
        <sz val="12"/>
        <color rgb="FF000000"/>
        <rFont val="Arial"/>
        <family val="2"/>
        <charset val="1"/>
      </rPr>
      <t xml:space="preserve">Carbon Factor (kg CO</t>
    </r>
    <r>
      <rPr>
        <vertAlign val="subscript"/>
        <sz val="12"/>
        <rFont val="Arial"/>
        <family val="2"/>
        <charset val="1"/>
      </rPr>
      <t xml:space="preserve">2</t>
    </r>
    <r>
      <rPr>
        <sz val="12"/>
        <rFont val="Arial"/>
        <family val="2"/>
        <charset val="1"/>
      </rPr>
      <t xml:space="preserve">e / £)</t>
    </r>
  </si>
  <si>
    <t xml:space="preserve">Carbon Emissions</t>
  </si>
  <si>
    <t xml:space="preserve">% of Total Carbon Emissions </t>
  </si>
  <si>
    <r>
      <rPr>
        <sz val="12"/>
        <color rgb="FF000000"/>
        <rFont val="Arial"/>
        <family val="2"/>
        <charset val="1"/>
      </rPr>
      <t xml:space="preserve">Calculated Carbon Factors (kg CO</t>
    </r>
    <r>
      <rPr>
        <vertAlign val="subscript"/>
        <sz val="12"/>
        <rFont val="Arial"/>
        <family val="2"/>
        <charset val="1"/>
      </rPr>
      <t xml:space="preserve">2</t>
    </r>
    <r>
      <rPr>
        <sz val="12"/>
        <rFont val="Arial"/>
        <family val="2"/>
        <charset val="1"/>
      </rPr>
      <t xml:space="preserve">e / £)</t>
    </r>
  </si>
  <si>
    <t xml:space="preserve">Energy</t>
  </si>
  <si>
    <t xml:space="preserve">Gas</t>
  </si>
  <si>
    <t xml:space="preserve">Electricity</t>
  </si>
  <si>
    <t xml:space="preserve">Petrol/Diesel</t>
  </si>
  <si>
    <t xml:space="preserve">Total</t>
  </si>
  <si>
    <t xml:space="preserve">Goods and Services</t>
  </si>
  <si>
    <t xml:space="preserve">Accounting</t>
  </si>
  <si>
    <t xml:space="preserve">Bank and other fees</t>
  </si>
  <si>
    <t xml:space="preserve">Business liability insurance</t>
  </si>
  <si>
    <t xml:space="preserve">Car - lease</t>
  </si>
  <si>
    <t xml:space="preserve">Communications</t>
  </si>
  <si>
    <t xml:space="preserve">Computer/IT service</t>
  </si>
  <si>
    <t xml:space="preserve">Facility expense other</t>
  </si>
  <si>
    <t xml:space="preserve">Hotel</t>
  </si>
  <si>
    <t xml:space="preserve">Human resources</t>
  </si>
  <si>
    <t xml:space="preserve">Insurance other</t>
  </si>
  <si>
    <t xml:space="preserve">Legal</t>
  </si>
  <si>
    <t xml:space="preserve">Licenses and permits</t>
  </si>
  <si>
    <t xml:space="preserve">Marketing other</t>
  </si>
  <si>
    <t xml:space="preserve">Meals</t>
  </si>
  <si>
    <t xml:space="preserve">Office expense other</t>
  </si>
  <si>
    <t xml:space="preserve">Office supplies</t>
  </si>
  <si>
    <t xml:space="preserve">Other expenses other</t>
  </si>
  <si>
    <t xml:space="preserve">Postage and delivery</t>
  </si>
  <si>
    <t xml:space="preserve">Professional fees other</t>
  </si>
  <si>
    <t xml:space="preserve">Property expense &lt;$2500</t>
  </si>
  <si>
    <t xml:space="preserve">Property taxes</t>
  </si>
  <si>
    <t xml:space="preserve">fire extinguishers</t>
  </si>
  <si>
    <t xml:space="preserve">Regulatory</t>
  </si>
  <si>
    <t xml:space="preserve">Rent</t>
  </si>
  <si>
    <t xml:space="preserve">Rental car / transportation</t>
  </si>
  <si>
    <t xml:space="preserve">Tax penalty</t>
  </si>
  <si>
    <t xml:space="preserve">Technical services labor</t>
  </si>
  <si>
    <t xml:space="preserve">Technical services other</t>
  </si>
  <si>
    <t xml:space="preserve">Technical services parts</t>
  </si>
  <si>
    <t xml:space="preserve">TMF</t>
  </si>
  <si>
    <t xml:space="preserve">Trade shows</t>
  </si>
  <si>
    <t xml:space="preserve">Training</t>
  </si>
  <si>
    <t xml:space="preserve">Utilities</t>
  </si>
  <si>
    <t xml:space="preserve">Hemofilters / Placed / Service / Spare Parts / Sold</t>
  </si>
  <si>
    <t xml:space="preserve">Others</t>
  </si>
  <si>
    <t xml:space="preserve">Solutions</t>
  </si>
  <si>
    <t xml:space="preserve">Aqualines / Aquasets / Disposables other</t>
  </si>
  <si>
    <t xml:space="preserve">Business Travel</t>
  </si>
  <si>
    <t xml:space="preserve"> </t>
  </si>
  <si>
    <t xml:space="preserve">Waste</t>
  </si>
  <si>
    <t xml:space="preserve">Transport of goods produced</t>
  </si>
  <si>
    <t xml:space="preserve">Total Spend on all goods and services</t>
  </si>
  <si>
    <t xml:space="preserve">Scope 3 Supply Chain (incTaxes)</t>
  </si>
  <si>
    <t xml:space="preserve">Employees</t>
  </si>
  <si>
    <t xml:space="preserve">Wages</t>
  </si>
  <si>
    <t xml:space="preserve">PAYE + Employee NI + Pension</t>
  </si>
  <si>
    <t xml:space="preserve">Taxes</t>
  </si>
  <si>
    <t xml:space="preserve">Employers NI</t>
  </si>
  <si>
    <t xml:space="preserve">Number of Employees</t>
  </si>
  <si>
    <t xml:space="preserve">Average Employee Commute</t>
  </si>
  <si>
    <t xml:space="preserve">Non Pay Spend</t>
  </si>
  <si>
    <t xml:space="preserve">Spend Based Carbon Intensity</t>
  </si>
  <si>
    <t xml:space="preserve">Revenue</t>
  </si>
  <si>
    <t xml:space="preserve">Revenue Based Carbon Intensity</t>
  </si>
  <si>
    <t xml:space="preserve">Carbon Reduction Plan</t>
  </si>
  <si>
    <t xml:space="preserve">General decarbonisation</t>
  </si>
  <si>
    <t xml:space="preserve">Electricity decarbonisation</t>
  </si>
  <si>
    <t xml:space="preserve">Category</t>
  </si>
  <si>
    <t xml:space="preserve">Scope 1 and 2</t>
  </si>
  <si>
    <t xml:space="preserve">%Scope 1 and 2</t>
  </si>
  <si>
    <t xml:space="preserve">Scope 3 Supply chain</t>
  </si>
  <si>
    <t xml:space="preserve">%Scope 3 Supply Chain</t>
  </si>
  <si>
    <t xml:space="preserve">Employee Commute</t>
  </si>
  <si>
    <t xml:space="preserve">check total</t>
  </si>
  <si>
    <t xml:space="preserve">Summary</t>
  </si>
  <si>
    <t xml:space="preserve">Supply Chain</t>
  </si>
  <si>
    <t xml:space="preserve">Supply Chain split</t>
  </si>
  <si>
    <t xml:space="preserve">Upsteam transport</t>
  </si>
  <si>
    <t xml:space="preserve">Factory gate carbon</t>
  </si>
  <si>
    <t xml:space="preserve">Factory gate</t>
  </si>
  <si>
    <t xml:space="preserve">transport</t>
  </si>
  <si>
    <t xml:space="preserve">total</t>
  </si>
  <si>
    <t xml:space="preserve">Surgical and Medical Instrument Manufacturing</t>
  </si>
  <si>
    <t xml:space="preserve">All GHGs</t>
  </si>
  <si>
    <t xml:space="preserve">kg CO2e/2021 USD, purchaser price</t>
  </si>
  <si>
    <t xml:space="preserve">Surgical Appliance and Supplies Manufacturing</t>
  </si>
  <si>
    <t xml:space="preserve">Average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</si>
</sst>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£-809]#,##0.00;[RED]\-[$£-809]#,##0.00"/>
    <numFmt numFmtId="166" formatCode="#,##0.0000&quot; p/Kwh &quot;"/>
    <numFmt numFmtId="167" formatCode="#,##0.00"/>
    <numFmt numFmtId="168" formatCode="#,##0.0000000"/>
    <numFmt numFmtId="169" formatCode="#,##0&quot; kg &quot;"/>
    <numFmt numFmtId="170" formatCode="0.00%"/>
    <numFmt numFmtId="171" formatCode="0.00"/>
    <numFmt numFmtId="172" formatCode="\£#,##0.00"/>
    <numFmt numFmtId="173" formatCode="#,##0&quot; p/L &quot;"/>
    <numFmt numFmtId="174" formatCode="* #,##0.00\ ;\-* #,##0.00\ ;* \-#\ ;@\ "/>
    <numFmt numFmtId="175" formatCode="#,##0.00_ ;[RED]\-#,##0.00\ "/>
    <numFmt numFmtId="176" formatCode="[$£-809]#,##0;[RED]\-[$£-809]#,##0"/>
    <numFmt numFmtId="177" formatCode="#,##0"/>
    <numFmt numFmtId="178" formatCode="[$£-809]#,##0.0;[RED]\-[$£-809]#,##0.0"/>
    <numFmt numFmtId="179" formatCode="0%"/>
  </numFmts>
  <fonts count="28">
    <font>
      <sz val="11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i val="true"/>
      <sz val="10"/>
      <color rgb="FF808080"/>
      <name val="Arial"/>
      <family val="2"/>
      <charset val="1"/>
    </font>
    <font>
      <b val="true"/>
      <sz val="24"/>
      <color rgb="FF000000"/>
      <name val="Arial"/>
      <family val="2"/>
      <charset val="1"/>
    </font>
    <font>
      <u val="single"/>
      <sz val="10"/>
      <color rgb="FF0000EE"/>
      <name val="Arial"/>
      <family val="2"/>
      <charset val="1"/>
    </font>
    <font>
      <sz val="10"/>
      <name val="Arial"/>
      <family val="2"/>
      <charset val="1"/>
    </font>
    <font>
      <b val="true"/>
      <i val="true"/>
      <u val="single"/>
      <sz val="10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sz val="11"/>
      <name val="Arial"/>
      <family val="2"/>
      <charset val="1"/>
    </font>
    <font>
      <sz val="16"/>
      <color rgb="FFFFFFFF"/>
      <name val="Arial"/>
      <family val="2"/>
      <charset val="1"/>
    </font>
    <font>
      <sz val="12"/>
      <color rgb="FF000000"/>
      <name val="Arial"/>
      <family val="2"/>
      <charset val="1"/>
    </font>
    <font>
      <vertAlign val="subscript"/>
      <sz val="12"/>
      <name val="Arial"/>
      <family val="2"/>
      <charset val="1"/>
    </font>
    <font>
      <sz val="12"/>
      <name val="Arial"/>
      <family val="2"/>
      <charset val="1"/>
    </font>
    <font>
      <sz val="10"/>
      <color rgb="FF404040"/>
      <name val="Arial"/>
      <family val="2"/>
      <charset val="1"/>
    </font>
    <font>
      <sz val="10"/>
      <name val="Arial"/>
      <family val="2"/>
    </font>
    <font>
      <sz val="11"/>
      <color rgb="FFFF0000"/>
      <name val="Arial"/>
      <family val="2"/>
      <charset val="1"/>
    </font>
    <font>
      <sz val="11"/>
      <color rgb="FFFFFFFF"/>
      <name val="Arial"/>
      <family val="2"/>
      <charset val="1"/>
    </font>
    <font>
      <b val="true"/>
      <sz val="18"/>
      <color rgb="FF1B5337"/>
      <name val="Arial"/>
      <family val="2"/>
    </font>
    <font>
      <b val="true"/>
      <sz val="9"/>
      <color rgb="FF262626"/>
      <name val="Calibri"/>
      <family val="2"/>
    </font>
    <font>
      <sz val="9"/>
      <color rgb="FF262626"/>
      <name val="Calibri"/>
      <family val="2"/>
    </font>
    <font>
      <b val="true"/>
      <sz val="9"/>
      <color rgb="FF34473D"/>
      <name val="Calibri"/>
      <family val="2"/>
    </font>
    <font>
      <sz val="9"/>
      <color rgb="FF34473D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262626"/>
      </patternFill>
    </fill>
    <fill>
      <patternFill patternType="solid">
        <fgColor rgb="FF808080"/>
        <bgColor rgb="FF739A28"/>
      </patternFill>
    </fill>
    <fill>
      <patternFill patternType="solid">
        <fgColor rgb="FFDDDDDD"/>
        <bgColor rgb="FFD9D9D9"/>
      </patternFill>
    </fill>
    <fill>
      <patternFill patternType="solid">
        <fgColor rgb="FFCC0000"/>
        <bgColor rgb="FFFF0000"/>
      </patternFill>
    </fill>
    <fill>
      <patternFill patternType="solid">
        <fgColor rgb="FF297D53"/>
        <bgColor rgb="FF31937B"/>
      </patternFill>
    </fill>
    <fill>
      <patternFill patternType="solid">
        <fgColor rgb="FF7DD4A9"/>
        <bgColor rgb="FF99CCFF"/>
      </patternFill>
    </fill>
    <fill>
      <patternFill patternType="solid">
        <fgColor rgb="FFD4F1E2"/>
        <bgColor rgb="FFDDDDDD"/>
      </patternFill>
    </fill>
    <fill>
      <patternFill patternType="solid">
        <fgColor rgb="FFE2DFCC"/>
        <bgColor rgb="FFDDDDDD"/>
      </patternFill>
    </fill>
    <fill>
      <patternFill patternType="solid">
        <fgColor rgb="FFD9D9D9"/>
        <bgColor rgb="FFDDDDDD"/>
      </patternFill>
    </fill>
    <fill>
      <patternFill patternType="solid">
        <fgColor rgb="FFB9E7FD"/>
        <bgColor rgb="FFD4F1E2"/>
      </patternFill>
    </fill>
  </fills>
  <borders count="37">
    <border diagonalUp="false" diagonalDown="false">
      <left/>
      <right/>
      <top/>
      <bottom/>
      <diagonal/>
    </border>
    <border diagonalUp="false" diagonalDown="false">
      <left style="medium">
        <color rgb="FF1C5438"/>
      </left>
      <right style="thin">
        <color rgb="FFFFFFFF"/>
      </right>
      <top style="medium">
        <color rgb="FF1C5438"/>
      </top>
      <bottom/>
      <diagonal/>
    </border>
    <border diagonalUp="false" diagonalDown="false">
      <left style="thin">
        <color rgb="FFFFFFFF"/>
      </left>
      <right style="thin">
        <color rgb="FFFFFFFF"/>
      </right>
      <top style="medium">
        <color rgb="FF1C5438"/>
      </top>
      <bottom/>
      <diagonal/>
    </border>
    <border diagonalUp="false" diagonalDown="false">
      <left style="thin">
        <color rgb="FFFFFFFF"/>
      </left>
      <right style="medium">
        <color rgb="FF1C5438"/>
      </right>
      <top style="medium">
        <color rgb="FF1C5438"/>
      </top>
      <bottom/>
      <diagonal/>
    </border>
    <border diagonalUp="false" diagonalDown="false">
      <left style="medium">
        <color rgb="FF1C5438"/>
      </left>
      <right style="thin">
        <color rgb="FFD4F1E2"/>
      </right>
      <top/>
      <bottom style="thin">
        <color rgb="FFD4F1E2"/>
      </bottom>
      <diagonal/>
    </border>
    <border diagonalUp="false" diagonalDown="false">
      <left style="thin">
        <color rgb="FFD4F1E2"/>
      </left>
      <right style="thin">
        <color rgb="FFD4F1E2"/>
      </right>
      <top/>
      <bottom style="thin">
        <color rgb="FFD4F1E2"/>
      </bottom>
      <diagonal/>
    </border>
    <border diagonalUp="false" diagonalDown="false">
      <left style="thin">
        <color rgb="FFD4F1E2"/>
      </left>
      <right/>
      <top/>
      <bottom style="thin">
        <color rgb="FFD4F1E2"/>
      </bottom>
      <diagonal/>
    </border>
    <border diagonalUp="false" diagonalDown="false">
      <left/>
      <right style="thin">
        <color rgb="FFD4F1E2"/>
      </right>
      <top/>
      <bottom style="thin">
        <color rgb="FFD4F1E2"/>
      </bottom>
      <diagonal/>
    </border>
    <border diagonalUp="false" diagonalDown="false">
      <left style="thin">
        <color rgb="FFD4F1E2"/>
      </left>
      <right style="medium">
        <color rgb="FF1C5438"/>
      </right>
      <top/>
      <bottom style="thin">
        <color rgb="FFD4F1E2"/>
      </bottom>
      <diagonal/>
    </border>
    <border diagonalUp="false" diagonalDown="false">
      <left style="medium">
        <color rgb="FF1C5438"/>
      </left>
      <right style="thin">
        <color rgb="FFD4F1E2"/>
      </right>
      <top style="thin">
        <color rgb="FFD4F1E2"/>
      </top>
      <bottom style="thin">
        <color rgb="FFD4F1E2"/>
      </bottom>
      <diagonal/>
    </border>
    <border diagonalUp="false" diagonalDown="false">
      <left style="thin">
        <color rgb="FFD4F1E2"/>
      </left>
      <right style="thin">
        <color rgb="FFD4F1E2"/>
      </right>
      <top style="thin">
        <color rgb="FFD4F1E2"/>
      </top>
      <bottom style="thin">
        <color rgb="FFD4F1E2"/>
      </bottom>
      <diagonal/>
    </border>
    <border diagonalUp="false" diagonalDown="false">
      <left style="thin">
        <color rgb="FFD4F1E2"/>
      </left>
      <right/>
      <top style="thin">
        <color rgb="FFD4F1E2"/>
      </top>
      <bottom style="thin">
        <color rgb="FFD4F1E2"/>
      </bottom>
      <diagonal/>
    </border>
    <border diagonalUp="false" diagonalDown="false">
      <left/>
      <right style="thin">
        <color rgb="FFD4F1E2"/>
      </right>
      <top style="thin">
        <color rgb="FFD4F1E2"/>
      </top>
      <bottom style="thin">
        <color rgb="FFD4F1E2"/>
      </bottom>
      <diagonal/>
    </border>
    <border diagonalUp="false" diagonalDown="false">
      <left style="thin">
        <color rgb="FFD4F1E2"/>
      </left>
      <right style="medium">
        <color rgb="FF1C5438"/>
      </right>
      <top style="thin">
        <color rgb="FFD4F1E2"/>
      </top>
      <bottom style="thin">
        <color rgb="FFD4F1E2"/>
      </bottom>
      <diagonal/>
    </border>
    <border diagonalUp="false" diagonalDown="false">
      <left style="medium">
        <color rgb="FF1C5438"/>
      </left>
      <right/>
      <top style="thin">
        <color rgb="FFD4F1E2"/>
      </top>
      <bottom/>
      <diagonal/>
    </border>
    <border diagonalUp="false" diagonalDown="false">
      <left/>
      <right/>
      <top style="thin">
        <color rgb="FFD4F1E2"/>
      </top>
      <bottom style="thin">
        <color rgb="FFD4F1E2"/>
      </bottom>
      <diagonal/>
    </border>
    <border diagonalUp="false" diagonalDown="false">
      <left/>
      <right style="medium">
        <color rgb="FF1C5438"/>
      </right>
      <top style="thin">
        <color rgb="FFD4F1E2"/>
      </top>
      <bottom style="thin">
        <color rgb="FFD4F1E2"/>
      </bottom>
      <diagonal/>
    </border>
    <border diagonalUp="false" diagonalDown="false">
      <left style="medium">
        <color rgb="FF1C5438"/>
      </left>
      <right/>
      <top style="thin">
        <color rgb="FFD4F1E2"/>
      </top>
      <bottom style="thin">
        <color rgb="FFD4F1E2"/>
      </bottom>
      <diagonal/>
    </border>
    <border diagonalUp="false" diagonalDown="false">
      <left style="medium">
        <color rgb="FF1C5438"/>
      </left>
      <right style="thin">
        <color rgb="FFD4F1E2"/>
      </right>
      <top style="thin">
        <color rgb="FFD4F1E2"/>
      </top>
      <bottom style="medium">
        <color rgb="FF1C5438"/>
      </bottom>
      <diagonal/>
    </border>
    <border diagonalUp="false" diagonalDown="false">
      <left style="thin">
        <color rgb="FFD4F1E2"/>
      </left>
      <right style="thin">
        <color rgb="FFD4F1E2"/>
      </right>
      <top style="thin">
        <color rgb="FFD4F1E2"/>
      </top>
      <bottom style="medium">
        <color rgb="FF1C5438"/>
      </bottom>
      <diagonal/>
    </border>
    <border diagonalUp="false" diagonalDown="false">
      <left style="thin">
        <color rgb="FFD4F1E2"/>
      </left>
      <right/>
      <top style="thin">
        <color rgb="FFD4F1E2"/>
      </top>
      <bottom style="medium">
        <color rgb="FF1C5438"/>
      </bottom>
      <diagonal/>
    </border>
    <border diagonalUp="false" diagonalDown="false">
      <left/>
      <right style="thin">
        <color rgb="FFD4F1E2"/>
      </right>
      <top style="thin">
        <color rgb="FFD4F1E2"/>
      </top>
      <bottom style="medium">
        <color rgb="FF1C5438"/>
      </bottom>
      <diagonal/>
    </border>
    <border diagonalUp="false" diagonalDown="false">
      <left style="thin">
        <color rgb="FFD4F1E2"/>
      </left>
      <right style="medium">
        <color rgb="FF1C5438"/>
      </right>
      <top style="thin">
        <color rgb="FFD4F1E2"/>
      </top>
      <bottom style="medium">
        <color rgb="FF1C5438"/>
      </bottom>
      <diagonal/>
    </border>
    <border diagonalUp="false" diagonalDown="false">
      <left style="thin">
        <color rgb="FF1C5438"/>
      </left>
      <right style="thin">
        <color rgb="FFFFFFFF"/>
      </right>
      <top style="thin">
        <color rgb="FF1C5438"/>
      </top>
      <bottom/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1C5438"/>
      </top>
      <bottom/>
      <diagonal/>
    </border>
    <border diagonalUp="false" diagonalDown="false">
      <left style="thin">
        <color rgb="FFFFFFFF"/>
      </left>
      <right style="thin">
        <color rgb="FF1C5438"/>
      </right>
      <top style="thin">
        <color rgb="FF1C5438"/>
      </top>
      <bottom/>
      <diagonal/>
    </border>
    <border diagonalUp="false" diagonalDown="false">
      <left style="thin">
        <color rgb="FF1C5438"/>
      </left>
      <right style="thin">
        <color rgb="FFD4F1E2"/>
      </right>
      <top/>
      <bottom style="thin">
        <color rgb="FFD4F1E2"/>
      </bottom>
      <diagonal/>
    </border>
    <border diagonalUp="false" diagonalDown="false">
      <left style="thin">
        <color rgb="FFD4F1E2"/>
      </left>
      <right style="thin">
        <color rgb="FF1C5438"/>
      </right>
      <top/>
      <bottom style="thin">
        <color rgb="FFD4F1E2"/>
      </bottom>
      <diagonal/>
    </border>
    <border diagonalUp="false" diagonalDown="false">
      <left style="thin">
        <color rgb="FF1C5438"/>
      </left>
      <right style="thin">
        <color rgb="FFD4F1E2"/>
      </right>
      <top style="thin">
        <color rgb="FFD4F1E2"/>
      </top>
      <bottom style="thin">
        <color rgb="FFD4F1E2"/>
      </bottom>
      <diagonal/>
    </border>
    <border diagonalUp="false" diagonalDown="false">
      <left style="thin">
        <color rgb="FFD4F1E2"/>
      </left>
      <right style="thin">
        <color rgb="FF1C5438"/>
      </right>
      <top style="thin">
        <color rgb="FFD4F1E2"/>
      </top>
      <bottom style="thin">
        <color rgb="FFD4F1E2"/>
      </bottom>
      <diagonal/>
    </border>
    <border diagonalUp="false" diagonalDown="false">
      <left style="thin">
        <color rgb="FF1C5438"/>
      </left>
      <right style="thin">
        <color rgb="FFD4F1E2"/>
      </right>
      <top style="thin">
        <color rgb="FFD4F1E2"/>
      </top>
      <bottom style="thin">
        <color rgb="FF1C5438"/>
      </bottom>
      <diagonal/>
    </border>
    <border diagonalUp="false" diagonalDown="false">
      <left style="thin">
        <color rgb="FFD4F1E2"/>
      </left>
      <right style="thin">
        <color rgb="FFD4F1E2"/>
      </right>
      <top style="thin">
        <color rgb="FFD4F1E2"/>
      </top>
      <bottom style="thin">
        <color rgb="FF1C5438"/>
      </bottom>
      <diagonal/>
    </border>
    <border diagonalUp="false" diagonalDown="false">
      <left style="thin">
        <color rgb="FFD4F1E2"/>
      </left>
      <right style="thin">
        <color rgb="FF1C5438"/>
      </right>
      <top style="thin">
        <color rgb="FFD4F1E2"/>
      </top>
      <bottom style="thin">
        <color rgb="FF1C5438"/>
      </bottom>
      <diagonal/>
    </border>
    <border diagonalUp="false" diagonalDown="false">
      <left style="thin">
        <color rgb="FF1C5438"/>
      </left>
      <right/>
      <top/>
      <bottom style="thin">
        <color rgb="FF1C5438"/>
      </bottom>
      <diagonal/>
    </border>
    <border diagonalUp="false" diagonalDown="false">
      <left/>
      <right/>
      <top/>
      <bottom style="thin">
        <color rgb="FF1C5438"/>
      </bottom>
      <diagonal/>
    </border>
    <border diagonalUp="false" diagonalDown="false">
      <left/>
      <right style="thin"/>
      <top/>
      <bottom style="thin">
        <color rgb="FF1C5438"/>
      </bottom>
      <diagonal/>
    </border>
    <border diagonalUp="false" diagonalDown="false">
      <left/>
      <right/>
      <top style="thin">
        <color rgb="FF1C5438"/>
      </top>
      <bottom/>
      <diagonal/>
    </border>
  </borders>
  <cellStyleXfs count="3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4" fontId="12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9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6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6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4" fillId="6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6" fillId="7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6" fillId="7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6" fillId="7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4" fillId="8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8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4" fillId="9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9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14" fillId="9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14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4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0" fillId="0" borderId="8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4" fillId="8" borderId="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8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9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9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14" fillId="9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14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1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4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10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4" fillId="9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14" fillId="9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0" fillId="0" borderId="10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0" fillId="0" borderId="10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9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0" fillId="0" borderId="11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0" fillId="0" borderId="12" xfId="0" applyFont="fals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0" borderId="10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14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0" fillId="0" borderId="1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1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4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0" fillId="0" borderId="1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0" fillId="0" borderId="15" xfId="0" applyFont="fals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0" borderId="1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14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8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9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10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0" fillId="0" borderId="12" xfId="0" applyFont="false" applyBorder="true" applyAlignment="true" applyProtection="true">
      <alignment horizontal="left" vertical="center" textRotation="0" wrapText="false" indent="0" shrinkToFit="false"/>
      <protection locked="true" hidden="false"/>
    </xf>
    <xf numFmtId="167" fontId="14" fillId="0" borderId="1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11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0" fillId="0" borderId="10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1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4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1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14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1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14" fillId="0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4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14" fillId="9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8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4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8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0" fillId="9" borderId="19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2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2" fillId="8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14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2" fontId="14" fillId="9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0" fillId="0" borderId="10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0" fillId="0" borderId="10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21" fillId="9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7" borderId="2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7" borderId="2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7" borderId="2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2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0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0" borderId="27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0" borderId="1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0" borderId="29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1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10" borderId="1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10" borderId="29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8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2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3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3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0" borderId="3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0" borderId="3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1" borderId="3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34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3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3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27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29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3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2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5" xfId="20"/>
    <cellStyle name="Accent 2 6" xfId="21"/>
    <cellStyle name="Accent 3 7" xfId="22"/>
    <cellStyle name="Accent 4" xfId="23"/>
    <cellStyle name="Error 8" xfId="24"/>
    <cellStyle name="Footnote 9" xfId="25"/>
    <cellStyle name="Heading 10" xfId="26"/>
    <cellStyle name="Hyperlink 11" xfId="27"/>
    <cellStyle name="Normal 2" xfId="28"/>
    <cellStyle name="Normal 2 2" xfId="29"/>
    <cellStyle name="Result 12" xfId="30"/>
    <cellStyle name="Status 13" xfId="31"/>
    <cellStyle name="Text 14" xfId="32"/>
    <cellStyle name="Warning 15" xfId="33"/>
  </cellStyles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51C3F9"/>
      <rgbColor rgb="FFCC0000"/>
      <rgbColor rgb="FF4A7C29"/>
      <rgbColor rgb="FF000080"/>
      <rgbColor rgb="FF739A28"/>
      <rgbColor rgb="FF800080"/>
      <rgbColor rgb="FF297D53"/>
      <rgbColor rgb="FFBFBFBF"/>
      <rgbColor rgb="FF808080"/>
      <rgbColor rgb="FF4EB3CF"/>
      <rgbColor rgb="FF993366"/>
      <rgbColor rgb="FFFFFFCC"/>
      <rgbColor rgb="FFB9E7FD"/>
      <rgbColor rgb="FF660066"/>
      <rgbColor rgb="FFFF8080"/>
      <rgbColor rgb="FF37A76F"/>
      <rgbColor rgb="FFD9D9D9"/>
      <rgbColor rgb="FF000080"/>
      <rgbColor rgb="FFFF00FF"/>
      <rgbColor rgb="FFFFFF00"/>
      <rgbColor rgb="FF00FFFF"/>
      <rgbColor rgb="FF800080"/>
      <rgbColor rgb="FF800000"/>
      <rgbColor rgb="FF2E8EA8"/>
      <rgbColor rgb="FF0000FF"/>
      <rgbColor rgb="FF08A5EF"/>
      <rgbColor rgb="FFDDDDDD"/>
      <rgbColor rgb="FFD4F1E2"/>
      <rgbColor rgb="FFFFFF99"/>
      <rgbColor rgb="FF99CCFF"/>
      <rgbColor rgb="FFFF99CC"/>
      <rgbColor rgb="FF7DD4A9"/>
      <rgbColor rgb="FFE2DFCC"/>
      <rgbColor rgb="FF3366FF"/>
      <rgbColor rgb="FF44C1A3"/>
      <rgbColor rgb="FF99CB38"/>
      <rgbColor rgb="FFFFCC00"/>
      <rgbColor rgb="FFFF9900"/>
      <rgbColor rgb="FFD36F2B"/>
      <rgbColor rgb="FF406E97"/>
      <rgbColor rgb="FF63A537"/>
      <rgbColor rgb="FF1B5337"/>
      <rgbColor rgb="FF31937B"/>
      <rgbColor rgb="FF1C5438"/>
      <rgbColor rgb="FF404040"/>
      <rgbColor rgb="FF4F7A32"/>
      <rgbColor rgb="FF993366"/>
      <rgbColor rgb="FF34473D"/>
      <rgbColor rgb="FF262626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n-GB" sz="1800" spc="-1" strike="noStrike">
                <a:solidFill>
                  <a:srgbClr val="1b5337"/>
                </a:solidFill>
                <a:latin typeface="Arial"/>
                <a:ea typeface="DejaVu Sans"/>
              </a:defRPr>
            </a:pPr>
            <a:r>
              <a:rPr b="1" lang="en-GB" sz="1800" spc="-1" strike="noStrike">
                <a:solidFill>
                  <a:srgbClr val="1b5337"/>
                </a:solidFill>
                <a:latin typeface="Arial"/>
                <a:ea typeface="DejaVu Sans"/>
              </a:rPr>
              <a:t>Carbon Reduction plan details kg CO2e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885769302441146"/>
          <c:y val="0.0981245011971269"/>
          <c:w val="0.850580781414995"/>
          <c:h val="0.859736632083001"/>
        </c:manualLayout>
      </c:layout>
      <c:areaChart>
        <c:grouping val="stacked"/>
        <c:ser>
          <c:idx val="0"/>
          <c:order val="0"/>
          <c:tx>
            <c:strRef>
              <c:f>Summary!$B$7:$B$7</c:f>
              <c:strCache>
                <c:ptCount val="1"/>
                <c:pt idx="0">
                  <c:v>Petrol/Diesel</c:v>
                </c:pt>
              </c:strCache>
            </c:strRef>
          </c:tx>
          <c:spPr>
            <a:gradFill>
              <a:gsLst>
                <a:gs pos="0">
                  <a:srgbClr val="08a5ef"/>
                </a:gs>
                <a:gs pos="100000">
                  <a:srgbClr val="51c3f9"/>
                </a:gs>
              </a:gsLst>
              <a:lin ang="0"/>
            </a:gradFill>
            <a:ln w="0">
              <a:noFill/>
            </a:ln>
          </c:spP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262626"/>
                    </a:solidFill>
                    <a:latin typeface="Calibri"/>
                    <a:ea typeface="DejaVu Sans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Summary!$C$4:$M$4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Summary!$C$7:$M$7</c:f>
              <c:numCache>
                <c:formatCode>#,##0" kg "</c:formatCode>
                <c:ptCount val="11"/>
                <c:pt idx="0">
                  <c:v>19103</c:v>
                </c:pt>
                <c:pt idx="1">
                  <c:v>29617</c:v>
                </c:pt>
                <c:pt idx="2">
                  <c:v>30771</c:v>
                </c:pt>
                <c:pt idx="3">
                  <c:v>29694.015</c:v>
                </c:pt>
                <c:pt idx="4">
                  <c:v>28654.724475</c:v>
                </c:pt>
                <c:pt idx="5">
                  <c:v>27651.809118375</c:v>
                </c:pt>
                <c:pt idx="6">
                  <c:v>26683.9957992319</c:v>
                </c:pt>
                <c:pt idx="7">
                  <c:v>25750.0559462588</c:v>
                </c:pt>
                <c:pt idx="8">
                  <c:v>24848.8039881397</c:v>
                </c:pt>
                <c:pt idx="9">
                  <c:v>23979.0958485548</c:v>
                </c:pt>
                <c:pt idx="10">
                  <c:v>23139.8274938554</c:v>
                </c:pt>
              </c:numCache>
            </c:numRef>
          </c:val>
        </c:ser>
        <c:ser>
          <c:idx val="1"/>
          <c:order val="1"/>
          <c:tx>
            <c:strRef>
              <c:f>Summary!$B$10:$B$10</c:f>
              <c:strCache>
                <c:ptCount val="1"/>
                <c:pt idx="0">
                  <c:v>Hemofilters / Placed / Service / Spare Parts / Sold</c:v>
                </c:pt>
              </c:strCache>
            </c:strRef>
          </c:tx>
          <c:spPr>
            <a:solidFill>
              <a:srgbClr val="406e97"/>
            </a:solidFill>
            <a:ln w="25560">
              <a:noFill/>
            </a:ln>
          </c:spP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  <a:ea typeface="DejaVu Sans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Summary!$C$4:$M$4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Summary!$C$10:$M$10</c:f>
              <c:numCache>
                <c:formatCode>#,##0" kg "</c:formatCode>
                <c:ptCount val="11"/>
                <c:pt idx="0">
                  <c:v>78377.94</c:v>
                </c:pt>
                <c:pt idx="1">
                  <c:v>108149.859</c:v>
                </c:pt>
                <c:pt idx="2">
                  <c:v>114291.414</c:v>
                </c:pt>
                <c:pt idx="3">
                  <c:v>110291.21451</c:v>
                </c:pt>
                <c:pt idx="4">
                  <c:v>106431.02200215</c:v>
                </c:pt>
                <c:pt idx="5">
                  <c:v>102705.936232075</c:v>
                </c:pt>
                <c:pt idx="6">
                  <c:v>99111.2284639521</c:v>
                </c:pt>
                <c:pt idx="7">
                  <c:v>95642.3354677138</c:v>
                </c:pt>
                <c:pt idx="8">
                  <c:v>92294.8537263438</c:v>
                </c:pt>
                <c:pt idx="9">
                  <c:v>89064.5338459218</c:v>
                </c:pt>
                <c:pt idx="10">
                  <c:v>85947.2751613145</c:v>
                </c:pt>
              </c:numCache>
            </c:numRef>
          </c:val>
        </c:ser>
        <c:ser>
          <c:idx val="2"/>
          <c:order val="2"/>
          <c:tx>
            <c:strRef>
              <c:f>Summary!$B$11:$B$11</c:f>
              <c:strCache>
                <c:ptCount val="1"/>
                <c:pt idx="0">
                  <c:v>Aqualines / Aquasets / Disposables other</c:v>
                </c:pt>
              </c:strCache>
            </c:strRef>
          </c:tx>
          <c:spPr>
            <a:solidFill>
              <a:srgbClr val="4f7a32"/>
            </a:solidFill>
            <a:ln w="25560">
              <a:noFill/>
            </a:ln>
          </c:spP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  <a:ea typeface="DejaVu Sans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Summary!$C$4:$M$4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Summary!$C$11:$M$11</c:f>
              <c:numCache>
                <c:formatCode>#,##0" kg "</c:formatCode>
                <c:ptCount val="11"/>
                <c:pt idx="0">
                  <c:v>498323.244</c:v>
                </c:pt>
                <c:pt idx="1">
                  <c:v>796740.054</c:v>
                </c:pt>
                <c:pt idx="2">
                  <c:v>811964.166</c:v>
                </c:pt>
                <c:pt idx="3">
                  <c:v>783545.42019</c:v>
                </c:pt>
                <c:pt idx="4">
                  <c:v>756121.33048335</c:v>
                </c:pt>
                <c:pt idx="5">
                  <c:v>729657.083916433</c:v>
                </c:pt>
                <c:pt idx="6">
                  <c:v>704119.085979358</c:v>
                </c:pt>
                <c:pt idx="7">
                  <c:v>679474.91797008</c:v>
                </c:pt>
                <c:pt idx="8">
                  <c:v>655693.295841127</c:v>
                </c:pt>
                <c:pt idx="9">
                  <c:v>632744.030486688</c:v>
                </c:pt>
                <c:pt idx="10">
                  <c:v>610597.989419654</c:v>
                </c:pt>
              </c:numCache>
            </c:numRef>
          </c:val>
        </c:ser>
        <c:ser>
          <c:idx val="3"/>
          <c:order val="3"/>
          <c:tx>
            <c:strRef>
              <c:f>Summary!$B$17:$B$17</c:f>
              <c:strCache>
                <c:ptCount val="1"/>
                <c:pt idx="0">
                  <c:v>Transport of goods produced</c:v>
                </c:pt>
              </c:strCache>
            </c:strRef>
          </c:tx>
          <c:spPr>
            <a:solidFill>
              <a:srgbClr val="d36f2b"/>
            </a:solidFill>
            <a:ln w="25560">
              <a:noFill/>
            </a:ln>
          </c:spP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  <a:ea typeface="DejaVu Sans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Summary!$C$4:$M$4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Summary!$C$17:$M$17</c:f>
              <c:numCache>
                <c:formatCode>#,##0" kg "</c:formatCode>
                <c:ptCount val="11"/>
                <c:pt idx="0">
                  <c:v>16367.094</c:v>
                </c:pt>
                <c:pt idx="1">
                  <c:v>28980.13</c:v>
                </c:pt>
                <c:pt idx="2">
                  <c:v>48449.373</c:v>
                </c:pt>
                <c:pt idx="3">
                  <c:v>46753.644945</c:v>
                </c:pt>
                <c:pt idx="4">
                  <c:v>45117.267371925</c:v>
                </c:pt>
                <c:pt idx="5">
                  <c:v>43538.1630139076</c:v>
                </c:pt>
                <c:pt idx="6">
                  <c:v>42014.3273084209</c:v>
                </c:pt>
                <c:pt idx="7">
                  <c:v>40543.8258526261</c:v>
                </c:pt>
                <c:pt idx="8">
                  <c:v>39124.7919477842</c:v>
                </c:pt>
                <c:pt idx="9">
                  <c:v>37755.4242296118</c:v>
                </c:pt>
                <c:pt idx="10">
                  <c:v>36433.9843815754</c:v>
                </c:pt>
              </c:numCache>
            </c:numRef>
          </c:val>
        </c:ser>
        <c:axId val="66220819"/>
        <c:axId val="94935827"/>
      </c:areaChart>
      <c:catAx>
        <c:axId val="66220819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720">
            <a:solidFill>
              <a:srgbClr val="bfbfbf"/>
            </a:solidFill>
            <a:round/>
          </a:ln>
        </c:spPr>
        <c:txPr>
          <a:bodyPr/>
          <a:lstStyle/>
          <a:p>
            <a:pPr>
              <a:defRPr b="1" sz="900" spc="-1" strike="noStrike">
                <a:solidFill>
                  <a:srgbClr val="262626"/>
                </a:solidFill>
                <a:latin typeface="Calibri"/>
                <a:ea typeface="DejaVu Sans"/>
              </a:defRPr>
            </a:pPr>
          </a:p>
        </c:txPr>
        <c:crossAx val="94935827"/>
        <c:crosses val="autoZero"/>
        <c:auto val="1"/>
        <c:lblAlgn val="ctr"/>
        <c:lblOffset val="100"/>
        <c:noMultiLvlLbl val="0"/>
      </c:catAx>
      <c:valAx>
        <c:axId val="94935827"/>
        <c:scaling>
          <c:orientation val="minMax"/>
        </c:scaling>
        <c:delete val="0"/>
        <c:axPos val="l"/>
        <c:majorGridlines>
          <c:spPr>
            <a:ln w="9360">
              <a:solidFill>
                <a:srgbClr val="bfbfbf">
                  <a:alpha val="36000"/>
                </a:srgbClr>
              </a:solidFill>
              <a:prstDash val="sysDot"/>
              <a:round/>
            </a:ln>
          </c:spPr>
        </c:majorGridlines>
        <c:numFmt formatCode="#,##0&quot; kg &quot;" sourceLinked="0"/>
        <c:majorTickMark val="out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262626"/>
                </a:solidFill>
                <a:latin typeface="Calibri"/>
                <a:ea typeface="DejaVu Sans"/>
              </a:defRPr>
            </a:pPr>
          </a:p>
        </c:txPr>
        <c:crossAx val="66220819"/>
        <c:crosses val="autoZero"/>
        <c:crossBetween val="midCat"/>
      </c:valAx>
      <c:spPr>
        <a:noFill/>
        <a:ln w="0">
          <a:noFill/>
        </a:ln>
      </c:spPr>
    </c:plotArea>
    <c:legend>
      <c:legendPos val="r"/>
      <c:layout>
        <c:manualLayout>
          <c:xMode val="edge"/>
          <c:yMode val="edge"/>
          <c:x val="0.759223602484472"/>
          <c:y val="0.0723405953235975"/>
          <c:w val="0.23388198757764"/>
          <c:h val="0.210597717660203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262626"/>
              </a:solidFill>
              <a:latin typeface="Calibri"/>
              <a:ea typeface="DejaVu Sans"/>
            </a:defRPr>
          </a:pPr>
        </a:p>
      </c:txPr>
    </c:legend>
    <c:plotVisOnly val="1"/>
    <c:dispBlanksAs val="zero"/>
  </c:chart>
  <c:spPr>
    <a:noFill/>
    <a:ln w="936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n-GB" sz="1800" spc="-1" strike="noStrike">
                <a:solidFill>
                  <a:srgbClr val="1b5337"/>
                </a:solidFill>
                <a:latin typeface="Arial"/>
                <a:ea typeface="DejaVu Sans"/>
              </a:defRPr>
            </a:pPr>
            <a:r>
              <a:rPr b="1" lang="en-GB" sz="1800" spc="-1" strike="noStrike">
                <a:solidFill>
                  <a:srgbClr val="1b5337"/>
                </a:solidFill>
                <a:latin typeface="Arial"/>
                <a:ea typeface="DejaVu Sans"/>
              </a:rPr>
              <a:t>High Level Carbon Reduction Plan kg CO2e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areaChart>
        <c:grouping val="stacked"/>
        <c:ser>
          <c:idx val="0"/>
          <c:order val="0"/>
          <c:tx>
            <c:strRef>
              <c:f>Summary!$B$27:$B$27</c:f>
              <c:strCache>
                <c:ptCount val="1"/>
                <c:pt idx="0">
                  <c:v>Scope 1 and 2</c:v>
                </c:pt>
              </c:strCache>
            </c:strRef>
          </c:tx>
          <c:spPr>
            <a:gradFill>
              <a:gsLst>
                <a:gs pos="0">
                  <a:srgbClr val="739a28"/>
                </a:gs>
                <a:gs pos="100000">
                  <a:srgbClr val="99cb38"/>
                </a:gs>
              </a:gsLst>
              <a:lin ang="0"/>
            </a:gradFill>
            <a:ln w="0">
              <a:noFill/>
            </a:ln>
          </c:spP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34473d"/>
                    </a:solidFill>
                    <a:latin typeface="Calibri"/>
                    <a:ea typeface="DejaVu Sans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Summary!$C$26:$M$26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Summary!$C$27:$M$27</c:f>
              <c:numCache>
                <c:formatCode>#,##0" kg "</c:formatCode>
                <c:ptCount val="11"/>
                <c:pt idx="0">
                  <c:v>19103</c:v>
                </c:pt>
                <c:pt idx="1">
                  <c:v>29617</c:v>
                </c:pt>
                <c:pt idx="2">
                  <c:v>30771</c:v>
                </c:pt>
                <c:pt idx="3">
                  <c:v>29694.015</c:v>
                </c:pt>
                <c:pt idx="4">
                  <c:v>28654.724475</c:v>
                </c:pt>
                <c:pt idx="5">
                  <c:v>27651.809118375</c:v>
                </c:pt>
                <c:pt idx="6">
                  <c:v>26683.9957992319</c:v>
                </c:pt>
                <c:pt idx="7">
                  <c:v>25750.0559462588</c:v>
                </c:pt>
                <c:pt idx="8">
                  <c:v>24848.8039881397</c:v>
                </c:pt>
                <c:pt idx="9">
                  <c:v>23979.0958485548</c:v>
                </c:pt>
                <c:pt idx="10">
                  <c:v>23139.8274938554</c:v>
                </c:pt>
              </c:numCache>
            </c:numRef>
          </c:val>
        </c:ser>
        <c:ser>
          <c:idx val="1"/>
          <c:order val="1"/>
          <c:tx>
            <c:strRef>
              <c:f>Summary!$B$28:$B$28</c:f>
              <c:strCache>
                <c:ptCount val="1"/>
                <c:pt idx="0">
                  <c:v>Supply Chain</c:v>
                </c:pt>
              </c:strCache>
            </c:strRef>
          </c:tx>
          <c:spPr>
            <a:gradFill>
              <a:gsLst>
                <a:gs pos="0">
                  <a:srgbClr val="4a7c29"/>
                </a:gs>
                <a:gs pos="100000">
                  <a:srgbClr val="63a537"/>
                </a:gs>
              </a:gsLst>
              <a:lin ang="0"/>
            </a:gradFill>
            <a:ln w="0">
              <a:noFill/>
            </a:ln>
          </c:spP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34473d"/>
                    </a:solidFill>
                    <a:latin typeface="Calibri"/>
                    <a:ea typeface="DejaVu Sans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Summary!$C$26:$M$26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Summary!$C$28:$M$28</c:f>
              <c:numCache>
                <c:formatCode>#,##0" kg "</c:formatCode>
                <c:ptCount val="11"/>
                <c:pt idx="0">
                  <c:v>576701.184</c:v>
                </c:pt>
                <c:pt idx="1">
                  <c:v>904889.913</c:v>
                </c:pt>
                <c:pt idx="2">
                  <c:v>926255.58</c:v>
                </c:pt>
                <c:pt idx="3">
                  <c:v>893836.6347</c:v>
                </c:pt>
                <c:pt idx="4">
                  <c:v>862552.3524855</c:v>
                </c:pt>
                <c:pt idx="5">
                  <c:v>832363.020148507</c:v>
                </c:pt>
                <c:pt idx="6">
                  <c:v>803230.31444331</c:v>
                </c:pt>
                <c:pt idx="7">
                  <c:v>775117.253437794</c:v>
                </c:pt>
                <c:pt idx="8">
                  <c:v>747988.149567471</c:v>
                </c:pt>
                <c:pt idx="9">
                  <c:v>721808.56433261</c:v>
                </c:pt>
                <c:pt idx="10">
                  <c:v>696545.264580968</c:v>
                </c:pt>
              </c:numCache>
            </c:numRef>
          </c:val>
        </c:ser>
        <c:ser>
          <c:idx val="2"/>
          <c:order val="2"/>
          <c:tx>
            <c:strRef>
              <c:f>Summary!$B$29:$B$29</c:f>
              <c:strCache>
                <c:ptCount val="1"/>
                <c:pt idx="0">
                  <c:v>Business Travel</c:v>
                </c:pt>
              </c:strCache>
            </c:strRef>
          </c:tx>
          <c:spPr>
            <a:gradFill>
              <a:gsLst>
                <a:gs pos="0">
                  <a:srgbClr val="297d53"/>
                </a:gs>
                <a:gs pos="100000">
                  <a:srgbClr val="37a76f"/>
                </a:gs>
              </a:gsLst>
              <a:lin ang="0"/>
            </a:gradFill>
            <a:ln w="0">
              <a:noFill/>
            </a:ln>
          </c:spP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34473d"/>
                    </a:solidFill>
                    <a:latin typeface="Calibri"/>
                    <a:ea typeface="DejaVu Sans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Summary!$C$26:$M$26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Summary!$C$29:$M$29</c:f>
              <c:numCache>
                <c:formatCode>#,##0" kg "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Summary!$B$30:$B$30</c:f>
              <c:strCache>
                <c:ptCount val="1"/>
                <c:pt idx="0">
                  <c:v>Waste</c:v>
                </c:pt>
              </c:strCache>
            </c:strRef>
          </c:tx>
          <c:spPr>
            <a:gradFill>
              <a:gsLst>
                <a:gs pos="0">
                  <a:srgbClr val="31937b"/>
                </a:gs>
                <a:gs pos="100000">
                  <a:srgbClr val="44c1a3"/>
                </a:gs>
              </a:gsLst>
              <a:lin ang="0"/>
            </a:gradFill>
            <a:ln w="0">
              <a:noFill/>
            </a:ln>
          </c:spP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34473d"/>
                    </a:solidFill>
                    <a:latin typeface="Calibri"/>
                    <a:ea typeface="DejaVu Sans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Summary!$C$26:$M$26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Summary!$C$30:$M$30</c:f>
              <c:numCache>
                <c:formatCode>#,##0" kg "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Summary!$B$31:$B$31</c:f>
              <c:strCache>
                <c:ptCount val="1"/>
                <c:pt idx="0">
                  <c:v>Transport of goods produced</c:v>
                </c:pt>
              </c:strCache>
            </c:strRef>
          </c:tx>
          <c:spPr>
            <a:gradFill>
              <a:gsLst>
                <a:gs pos="0">
                  <a:srgbClr val="2e8ea8"/>
                </a:gs>
                <a:gs pos="100000">
                  <a:srgbClr val="4eb3cf"/>
                </a:gs>
              </a:gsLst>
              <a:lin ang="0"/>
            </a:gradFill>
            <a:ln w="0">
              <a:noFill/>
            </a:ln>
          </c:spP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34473d"/>
                    </a:solidFill>
                    <a:latin typeface="Calibri"/>
                    <a:ea typeface="DejaVu Sans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Summary!$C$26:$M$26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Summary!$C$31:$M$31</c:f>
              <c:numCache>
                <c:formatCode>#,##0" kg "</c:formatCode>
                <c:ptCount val="11"/>
                <c:pt idx="0">
                  <c:v>16367.094</c:v>
                </c:pt>
                <c:pt idx="1">
                  <c:v>28980.13</c:v>
                </c:pt>
                <c:pt idx="2">
                  <c:v>48449.373</c:v>
                </c:pt>
                <c:pt idx="3">
                  <c:v>46753.644945</c:v>
                </c:pt>
                <c:pt idx="4">
                  <c:v>45117.267371925</c:v>
                </c:pt>
                <c:pt idx="5">
                  <c:v>43538.1630139076</c:v>
                </c:pt>
                <c:pt idx="6">
                  <c:v>42014.3273084209</c:v>
                </c:pt>
                <c:pt idx="7">
                  <c:v>40543.8258526261</c:v>
                </c:pt>
                <c:pt idx="8">
                  <c:v>39124.7919477842</c:v>
                </c:pt>
                <c:pt idx="9">
                  <c:v>37755.4242296118</c:v>
                </c:pt>
                <c:pt idx="10">
                  <c:v>36433.9843815754</c:v>
                </c:pt>
              </c:numCache>
            </c:numRef>
          </c:val>
        </c:ser>
        <c:ser>
          <c:idx val="5"/>
          <c:order val="5"/>
          <c:tx>
            <c:strRef>
              <c:f>Summary!$B$32:$B$32</c:f>
              <c:strCache>
                <c:ptCount val="1"/>
                <c:pt idx="0">
                  <c:v>Employee Commute</c:v>
                </c:pt>
              </c:strCache>
            </c:strRef>
          </c:tx>
          <c:spPr>
            <a:gradFill>
              <a:gsLst>
                <a:gs pos="0">
                  <a:srgbClr val="08a5ef"/>
                </a:gs>
                <a:gs pos="100000">
                  <a:srgbClr val="51c3f9"/>
                </a:gs>
              </a:gsLst>
              <a:lin ang="0"/>
            </a:gradFill>
            <a:ln w="0">
              <a:noFill/>
            </a:ln>
          </c:spP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34473d"/>
                    </a:solidFill>
                    <a:latin typeface="Calibri"/>
                    <a:ea typeface="DejaVu Sans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Summary!$C$26:$M$26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Summary!$C$32:$M$32</c:f>
              <c:numCache>
                <c:formatCode>#,##0" kg "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axId val="1508922"/>
        <c:axId val="49034918"/>
      </c:areaChart>
      <c:catAx>
        <c:axId val="150892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720">
            <a:solidFill>
              <a:srgbClr val="bfbfbf"/>
            </a:solidFill>
            <a:round/>
          </a:ln>
        </c:spPr>
        <c:txPr>
          <a:bodyPr/>
          <a:lstStyle/>
          <a:p>
            <a:pPr>
              <a:defRPr b="1" sz="900" spc="-1" strike="noStrike">
                <a:solidFill>
                  <a:srgbClr val="34473d"/>
                </a:solidFill>
                <a:latin typeface="Calibri"/>
                <a:ea typeface="DejaVu Sans"/>
              </a:defRPr>
            </a:pPr>
          </a:p>
        </c:txPr>
        <c:crossAx val="49034918"/>
        <c:crosses val="autoZero"/>
        <c:auto val="1"/>
        <c:lblAlgn val="ctr"/>
        <c:lblOffset val="100"/>
        <c:noMultiLvlLbl val="0"/>
      </c:catAx>
      <c:valAx>
        <c:axId val="49034918"/>
        <c:scaling>
          <c:orientation val="minMax"/>
        </c:scaling>
        <c:delete val="0"/>
        <c:axPos val="l"/>
        <c:majorGridlines>
          <c:spPr>
            <a:ln w="9360">
              <a:solidFill>
                <a:srgbClr val="bfbfbf">
                  <a:alpha val="36000"/>
                </a:srgbClr>
              </a:solidFill>
              <a:prstDash val="sysDot"/>
              <a:round/>
            </a:ln>
          </c:spPr>
        </c:majorGridlines>
        <c:numFmt formatCode="#,##0&quot; kg &quot;" sourceLinked="0"/>
        <c:majorTickMark val="out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34473d"/>
                </a:solidFill>
                <a:latin typeface="Calibri"/>
                <a:ea typeface="DejaVu Sans"/>
              </a:defRPr>
            </a:pPr>
          </a:p>
        </c:txPr>
        <c:crossAx val="1508922"/>
        <c:crosses val="autoZero"/>
        <c:crossBetween val="midCat"/>
      </c:valAx>
      <c:spPr>
        <a:noFill/>
        <a:ln w="0">
          <a:noFill/>
        </a:ln>
      </c:spPr>
    </c:plotArea>
    <c:legend>
      <c:legendPos val="r"/>
      <c:layout>
        <c:manualLayout>
          <c:xMode val="edge"/>
          <c:yMode val="edge"/>
          <c:x val="0.811894341981869"/>
          <c:y val="0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34473d"/>
              </a:solidFill>
              <a:latin typeface="Calibri"/>
              <a:ea typeface="DejaVu Sans"/>
            </a:defRPr>
          </a:pPr>
        </a:p>
      </c:txPr>
    </c:legend>
    <c:plotVisOnly val="1"/>
    <c:dispBlanksAs val="zero"/>
  </c:chart>
  <c:spPr>
    <a:noFill/>
    <a:ln w="936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515880</xdr:colOff>
      <xdr:row>3</xdr:row>
      <xdr:rowOff>19080</xdr:rowOff>
    </xdr:from>
    <xdr:to>
      <xdr:col>27</xdr:col>
      <xdr:colOff>718560</xdr:colOff>
      <xdr:row>52</xdr:row>
      <xdr:rowOff>39240</xdr:rowOff>
    </xdr:to>
    <xdr:graphicFrame>
      <xdr:nvGraphicFramePr>
        <xdr:cNvPr id="0" name="Chart 1"/>
        <xdr:cNvGraphicFramePr/>
      </xdr:nvGraphicFramePr>
      <xdr:xfrm>
        <a:off x="14082480" y="857160"/>
        <a:ext cx="11590920" cy="9021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13</xdr:col>
      <xdr:colOff>506160</xdr:colOff>
      <xdr:row>53</xdr:row>
      <xdr:rowOff>85680</xdr:rowOff>
    </xdr:from>
    <xdr:to>
      <xdr:col>27</xdr:col>
      <xdr:colOff>487800</xdr:colOff>
      <xdr:row>75</xdr:row>
      <xdr:rowOff>146520</xdr:rowOff>
    </xdr:to>
    <xdr:graphicFrame>
      <xdr:nvGraphicFramePr>
        <xdr:cNvPr id="1" name="Chart 2"/>
        <xdr:cNvGraphicFramePr/>
      </xdr:nvGraphicFramePr>
      <xdr:xfrm>
        <a:off x="14072760" y="10105920"/>
        <a:ext cx="11369880" cy="4002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J73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B9" activeCellId="0" sqref="B9"/>
    </sheetView>
  </sheetViews>
  <sheetFormatPr defaultColWidth="9.00390625" defaultRowHeight="14.25" zeroHeight="false" outlineLevelRow="0" outlineLevelCol="0"/>
  <cols>
    <col collapsed="false" customWidth="true" hidden="false" outlineLevel="0" max="1" min="1" style="1" width="10.62"/>
    <col collapsed="false" customWidth="true" hidden="false" outlineLevel="0" max="2" min="2" style="1" width="31.75"/>
    <col collapsed="false" customWidth="true" hidden="false" outlineLevel="0" max="3" min="3" style="1" width="25.26"/>
    <col collapsed="false" customWidth="true" hidden="false" outlineLevel="0" max="4" min="4" style="1" width="18.38"/>
    <col collapsed="false" customWidth="true" hidden="false" outlineLevel="0" max="5" min="5" style="1" width="25.88"/>
    <col collapsed="false" customWidth="true" hidden="false" outlineLevel="0" max="6" min="6" style="1" width="15.12"/>
    <col collapsed="false" customWidth="true" hidden="false" outlineLevel="0" max="7" min="7" style="1" width="21.26"/>
    <col collapsed="false" customWidth="true" hidden="false" outlineLevel="0" max="8" min="8" style="1" width="26.5"/>
    <col collapsed="false" customWidth="true" hidden="false" outlineLevel="0" max="9" min="9" style="1" width="1.38"/>
    <col collapsed="false" customWidth="true" hidden="false" outlineLevel="0" max="10" min="10" style="1" width="29.88"/>
    <col collapsed="false" customWidth="true" hidden="false" outlineLevel="0" max="11" min="11" style="1" width="18.5"/>
    <col collapsed="false" customWidth="true" hidden="false" outlineLevel="0" max="12" min="12" style="1" width="27.25"/>
    <col collapsed="false" customWidth="true" hidden="false" outlineLevel="0" max="13" min="13" style="1" width="38.25"/>
    <col collapsed="false" customWidth="false" hidden="false" outlineLevel="0" max="14" min="14" style="1" width="9"/>
    <col collapsed="false" customWidth="true" hidden="false" outlineLevel="0" max="15" min="15" style="1" width="11.12"/>
    <col collapsed="false" customWidth="false" hidden="false" outlineLevel="0" max="1020" min="16" style="1" width="9"/>
  </cols>
  <sheetData>
    <row r="1" s="4" customFormat="true" ht="29.25" hidden="false" customHeight="true" outlineLevel="0" collapsed="false">
      <c r="A1" s="2" t="s">
        <v>0</v>
      </c>
      <c r="B1" s="3"/>
      <c r="AMG1" s="3"/>
      <c r="AMH1" s="3"/>
      <c r="AMI1" s="3"/>
      <c r="AMJ1" s="3"/>
    </row>
    <row r="2" customFormat="false" ht="26.25" hidden="false" customHeight="true" outlineLevel="0" collapsed="false"/>
    <row r="3" customFormat="false" ht="21" hidden="false" customHeight="true" outlineLevel="0" collapsed="false">
      <c r="B3" s="5" t="s">
        <v>1</v>
      </c>
      <c r="C3" s="6"/>
      <c r="D3" s="6" t="s">
        <v>2</v>
      </c>
      <c r="E3" s="6" t="s">
        <v>3</v>
      </c>
      <c r="F3" s="6" t="s">
        <v>4</v>
      </c>
      <c r="G3" s="6" t="s">
        <v>5</v>
      </c>
      <c r="H3" s="6" t="s">
        <v>6</v>
      </c>
      <c r="I3" s="6"/>
      <c r="J3" s="6"/>
      <c r="K3" s="6" t="s">
        <v>7</v>
      </c>
      <c r="L3" s="6" t="s">
        <v>8</v>
      </c>
      <c r="M3" s="7" t="s">
        <v>9</v>
      </c>
    </row>
    <row r="4" customFormat="false" ht="14.25" hidden="false" customHeight="false" outlineLevel="0" collapsed="false">
      <c r="B4" s="8" t="s">
        <v>10</v>
      </c>
      <c r="C4" s="9" t="s">
        <v>11</v>
      </c>
      <c r="D4" s="10" t="n">
        <v>0</v>
      </c>
      <c r="E4" s="11" t="n">
        <v>0.023415</v>
      </c>
      <c r="F4" s="12" t="n">
        <v>0</v>
      </c>
      <c r="G4" s="13" t="n">
        <f aca="false">D4*100/E4</f>
        <v>0</v>
      </c>
      <c r="H4" s="14" t="n">
        <v>0.18387</v>
      </c>
      <c r="I4" s="15" t="str">
        <f aca="false">CHAR(185)</f>
        <v>�</v>
      </c>
      <c r="J4" s="16"/>
      <c r="K4" s="17" t="n">
        <f aca="false">IF(F4,F4*H4,G4*H4)</f>
        <v>0</v>
      </c>
      <c r="L4" s="18" t="n">
        <f aca="false">K4/K$59</f>
        <v>0</v>
      </c>
      <c r="M4" s="19" t="n">
        <f aca="false">IF(D4=0, 0, K4/D4)</f>
        <v>0</v>
      </c>
      <c r="N4" s="20"/>
      <c r="AMG4" s="1"/>
    </row>
    <row r="5" customFormat="false" ht="14.25" hidden="false" customHeight="false" outlineLevel="0" collapsed="false">
      <c r="B5" s="21"/>
      <c r="C5" s="22" t="s">
        <v>12</v>
      </c>
      <c r="D5" s="23"/>
      <c r="E5" s="24" t="n">
        <v>0.13344</v>
      </c>
      <c r="F5" s="25"/>
      <c r="G5" s="26" t="n">
        <f aca="false">D5/E5</f>
        <v>0</v>
      </c>
      <c r="H5" s="27" t="n">
        <f aca="false">0.23314</f>
        <v>0.23314</v>
      </c>
      <c r="I5" s="28" t="str">
        <f aca="false">CHAR(178)</f>
        <v>�</v>
      </c>
      <c r="J5" s="29"/>
      <c r="K5" s="30" t="n">
        <f aca="false">IF(F5,F5*H5,G5*H5)</f>
        <v>0</v>
      </c>
      <c r="L5" s="31" t="n">
        <f aca="false">K5/K$59</f>
        <v>0</v>
      </c>
      <c r="M5" s="19" t="n">
        <f aca="false">IF(D5=0, 0, K5/D5)</f>
        <v>0</v>
      </c>
      <c r="N5" s="20"/>
      <c r="AMG5" s="1"/>
    </row>
    <row r="6" customFormat="false" ht="14.25" hidden="false" customHeight="false" outlineLevel="0" collapsed="false">
      <c r="B6" s="21"/>
      <c r="C6" s="22" t="s">
        <v>13</v>
      </c>
      <c r="D6" s="32" t="n">
        <f aca="false">F6*1.33</f>
        <v>10157.476</v>
      </c>
      <c r="E6" s="33" t="n">
        <v>133</v>
      </c>
      <c r="F6" s="25" t="n">
        <v>7637.2</v>
      </c>
      <c r="G6" s="34" t="n">
        <f aca="false">D6*100/E6</f>
        <v>7637.2</v>
      </c>
      <c r="H6" s="27" t="n">
        <f aca="false">(0.0575+0.06425)/2</f>
        <v>0.060875</v>
      </c>
      <c r="I6" s="28" t="str">
        <f aca="false">CHAR(179)</f>
        <v>�</v>
      </c>
      <c r="J6" s="29"/>
      <c r="K6" s="30" t="n">
        <v>19103</v>
      </c>
      <c r="L6" s="31" t="n">
        <f aca="false">K6/K$59</f>
        <v>0.0312053189793723</v>
      </c>
      <c r="M6" s="19" t="n">
        <f aca="false">IF(D6=0, 0, K6/D6)</f>
        <v>1.88068374466255</v>
      </c>
      <c r="N6" s="20"/>
      <c r="AMG6" s="1"/>
    </row>
    <row r="7" customFormat="false" ht="14.25" hidden="false" customHeight="false" outlineLevel="0" collapsed="false">
      <c r="B7" s="21"/>
      <c r="C7" s="22" t="s">
        <v>14</v>
      </c>
      <c r="D7" s="35" t="n">
        <f aca="false">SUM(D4:D6)</f>
        <v>10157.476</v>
      </c>
      <c r="E7" s="36" t="str">
        <f aca="false">TEXT(D7/D61, "0.00%") &amp;" of Non Pay Spend"</f>
        <v>1.16% of Non Pay Spend</v>
      </c>
      <c r="F7" s="29"/>
      <c r="G7" s="29"/>
      <c r="H7" s="37"/>
      <c r="I7" s="38"/>
      <c r="J7" s="29"/>
      <c r="K7" s="39" t="n">
        <f aca="false">SUM(K4:K6)</f>
        <v>19103</v>
      </c>
      <c r="L7" s="31" t="n">
        <f aca="false">K7/K$59</f>
        <v>0.0312053189793723</v>
      </c>
      <c r="M7" s="40"/>
    </row>
    <row r="8" customFormat="false" ht="14.25" hidden="false" customHeight="false" outlineLevel="0" collapsed="false">
      <c r="B8" s="41"/>
      <c r="C8" s="42"/>
      <c r="D8" s="43"/>
      <c r="E8" s="44"/>
      <c r="F8" s="45"/>
      <c r="G8" s="42"/>
      <c r="H8" s="46"/>
      <c r="I8" s="47"/>
      <c r="J8" s="42"/>
      <c r="K8" s="48"/>
      <c r="L8" s="44"/>
      <c r="M8" s="49"/>
    </row>
    <row r="9" customFormat="false" ht="14.25" hidden="false" customHeight="false" outlineLevel="0" collapsed="false">
      <c r="B9" s="8" t="s">
        <v>15</v>
      </c>
      <c r="C9" s="50" t="s">
        <v>16</v>
      </c>
      <c r="D9" s="51"/>
      <c r="E9" s="52"/>
      <c r="F9" s="52"/>
      <c r="G9" s="52"/>
      <c r="H9" s="53" t="n">
        <v>0.17</v>
      </c>
      <c r="I9" s="54"/>
      <c r="J9" s="52"/>
      <c r="K9" s="39" t="n">
        <f aca="false">D9*H9</f>
        <v>0</v>
      </c>
      <c r="L9" s="52"/>
      <c r="M9" s="40"/>
    </row>
    <row r="10" customFormat="false" ht="14.25" hidden="false" customHeight="false" outlineLevel="0" collapsed="false">
      <c r="B10" s="21"/>
      <c r="C10" s="50" t="s">
        <v>17</v>
      </c>
      <c r="D10" s="51"/>
      <c r="E10" s="52"/>
      <c r="F10" s="52"/>
      <c r="G10" s="52"/>
      <c r="H10" s="53" t="n">
        <v>0.15</v>
      </c>
      <c r="I10" s="54"/>
      <c r="J10" s="52"/>
      <c r="K10" s="39" t="n">
        <f aca="false">D10*H10</f>
        <v>0</v>
      </c>
      <c r="L10" s="52"/>
      <c r="M10" s="40"/>
    </row>
    <row r="11" customFormat="false" ht="14.25" hidden="false" customHeight="false" outlineLevel="0" collapsed="false">
      <c r="B11" s="21"/>
      <c r="C11" s="50" t="s">
        <v>18</v>
      </c>
      <c r="D11" s="51"/>
      <c r="E11" s="52"/>
      <c r="F11" s="52"/>
      <c r="G11" s="52"/>
      <c r="H11" s="53" t="n">
        <v>0.28</v>
      </c>
      <c r="I11" s="54"/>
      <c r="J11" s="52"/>
      <c r="K11" s="39" t="n">
        <f aca="false">D11*H11</f>
        <v>0</v>
      </c>
      <c r="L11" s="52"/>
      <c r="M11" s="40"/>
    </row>
    <row r="12" customFormat="false" ht="14.25" hidden="false" customHeight="false" outlineLevel="0" collapsed="false">
      <c r="B12" s="21"/>
      <c r="C12" s="22" t="s">
        <v>19</v>
      </c>
      <c r="D12" s="23"/>
      <c r="E12" s="29"/>
      <c r="F12" s="29"/>
      <c r="G12" s="29"/>
      <c r="H12" s="53" t="n">
        <v>0.32</v>
      </c>
      <c r="I12" s="55"/>
      <c r="J12" s="29"/>
      <c r="K12" s="30" t="n">
        <f aca="false">D12*H12</f>
        <v>0</v>
      </c>
      <c r="L12" s="52"/>
      <c r="M12" s="40"/>
    </row>
    <row r="13" customFormat="false" ht="14.25" hidden="false" customHeight="false" outlineLevel="0" collapsed="false">
      <c r="B13" s="21"/>
      <c r="C13" s="22" t="s">
        <v>20</v>
      </c>
      <c r="D13" s="51"/>
      <c r="E13" s="29"/>
      <c r="F13" s="29"/>
      <c r="G13" s="29"/>
      <c r="H13" s="53" t="n">
        <v>0.41</v>
      </c>
      <c r="I13" s="55"/>
      <c r="J13" s="29"/>
      <c r="K13" s="30" t="n">
        <f aca="false">D13*H13</f>
        <v>0</v>
      </c>
      <c r="L13" s="52"/>
      <c r="M13" s="40"/>
    </row>
    <row r="14" customFormat="false" ht="14.25" hidden="false" customHeight="false" outlineLevel="0" collapsed="false">
      <c r="B14" s="21"/>
      <c r="C14" s="22" t="s">
        <v>21</v>
      </c>
      <c r="D14" s="51"/>
      <c r="E14" s="29"/>
      <c r="F14" s="29"/>
      <c r="G14" s="29"/>
      <c r="H14" s="53" t="n">
        <v>0.2</v>
      </c>
      <c r="I14" s="55"/>
      <c r="J14" s="29"/>
      <c r="K14" s="30" t="n">
        <f aca="false">D14*H14</f>
        <v>0</v>
      </c>
      <c r="L14" s="52"/>
      <c r="M14" s="40"/>
    </row>
    <row r="15" customFormat="false" ht="14.25" hidden="false" customHeight="false" outlineLevel="0" collapsed="false">
      <c r="B15" s="21"/>
      <c r="C15" s="22" t="s">
        <v>22</v>
      </c>
      <c r="D15" s="51"/>
      <c r="E15" s="29"/>
      <c r="F15" s="29"/>
      <c r="G15" s="29"/>
      <c r="H15" s="53" t="n">
        <v>0.31</v>
      </c>
      <c r="I15" s="55"/>
      <c r="J15" s="29"/>
      <c r="K15" s="30" t="n">
        <f aca="false">D15*H15</f>
        <v>0</v>
      </c>
      <c r="L15" s="52"/>
      <c r="M15" s="40"/>
      <c r="O15" s="56"/>
    </row>
    <row r="16" customFormat="false" ht="14.25" hidden="false" customHeight="false" outlineLevel="0" collapsed="false">
      <c r="B16" s="21"/>
      <c r="C16" s="22" t="s">
        <v>23</v>
      </c>
      <c r="D16" s="51"/>
      <c r="E16" s="29"/>
      <c r="F16" s="29"/>
      <c r="G16" s="29"/>
      <c r="H16" s="53" t="n">
        <v>0.49</v>
      </c>
      <c r="I16" s="55"/>
      <c r="J16" s="29"/>
      <c r="K16" s="30" t="n">
        <f aca="false">D16*H16</f>
        <v>0</v>
      </c>
      <c r="L16" s="52"/>
      <c r="M16" s="40"/>
    </row>
    <row r="17" customFormat="false" ht="14.25" hidden="false" customHeight="false" outlineLevel="0" collapsed="false">
      <c r="B17" s="21"/>
      <c r="C17" s="22" t="s">
        <v>24</v>
      </c>
      <c r="D17" s="51"/>
      <c r="E17" s="29"/>
      <c r="F17" s="29"/>
      <c r="G17" s="29"/>
      <c r="H17" s="53" t="n">
        <v>0.17</v>
      </c>
      <c r="I17" s="55"/>
      <c r="J17" s="29"/>
      <c r="K17" s="30" t="n">
        <f aca="false">D17*H17</f>
        <v>0</v>
      </c>
      <c r="L17" s="52"/>
      <c r="M17" s="40"/>
    </row>
    <row r="18" customFormat="false" ht="14.25" hidden="false" customHeight="false" outlineLevel="0" collapsed="false">
      <c r="B18" s="21"/>
      <c r="C18" s="22" t="s">
        <v>25</v>
      </c>
      <c r="D18" s="51"/>
      <c r="E18" s="29"/>
      <c r="F18" s="29"/>
      <c r="G18" s="29"/>
      <c r="H18" s="53" t="n">
        <v>0.28</v>
      </c>
      <c r="I18" s="55"/>
      <c r="J18" s="29"/>
      <c r="K18" s="30" t="n">
        <f aca="false">D18*H18</f>
        <v>0</v>
      </c>
      <c r="L18" s="52"/>
      <c r="M18" s="40"/>
    </row>
    <row r="19" customFormat="false" ht="14.25" hidden="false" customHeight="false" outlineLevel="0" collapsed="false">
      <c r="B19" s="21"/>
      <c r="C19" s="22" t="s">
        <v>26</v>
      </c>
      <c r="D19" s="51"/>
      <c r="E19" s="29"/>
      <c r="F19" s="29"/>
      <c r="G19" s="29"/>
      <c r="H19" s="53" t="n">
        <v>0.17</v>
      </c>
      <c r="I19" s="55"/>
      <c r="J19" s="29"/>
      <c r="K19" s="30" t="n">
        <f aca="false">D19*H19</f>
        <v>0</v>
      </c>
      <c r="L19" s="52"/>
      <c r="M19" s="40"/>
    </row>
    <row r="20" customFormat="false" ht="14.25" hidden="false" customHeight="false" outlineLevel="0" collapsed="false">
      <c r="B20" s="21"/>
      <c r="C20" s="22" t="s">
        <v>27</v>
      </c>
      <c r="D20" s="51"/>
      <c r="E20" s="29"/>
      <c r="F20" s="29"/>
      <c r="G20" s="29"/>
      <c r="H20" s="53" t="n">
        <v>0.17</v>
      </c>
      <c r="I20" s="55"/>
      <c r="J20" s="29"/>
      <c r="K20" s="30" t="n">
        <f aca="false">D20*H20</f>
        <v>0</v>
      </c>
      <c r="L20" s="52"/>
      <c r="M20" s="40"/>
    </row>
    <row r="21" customFormat="false" ht="14.25" hidden="false" customHeight="false" outlineLevel="0" collapsed="false">
      <c r="B21" s="21"/>
      <c r="C21" s="22" t="s">
        <v>28</v>
      </c>
      <c r="D21" s="51"/>
      <c r="E21" s="29"/>
      <c r="F21" s="29"/>
      <c r="G21" s="29"/>
      <c r="H21" s="53" t="n">
        <v>0.17</v>
      </c>
      <c r="I21" s="55"/>
      <c r="J21" s="29"/>
      <c r="K21" s="30" t="n">
        <f aca="false">D21*H21</f>
        <v>0</v>
      </c>
      <c r="L21" s="52"/>
      <c r="M21" s="40"/>
    </row>
    <row r="22" customFormat="false" ht="14.25" hidden="false" customHeight="false" outlineLevel="0" collapsed="false">
      <c r="B22" s="21"/>
      <c r="C22" s="22" t="s">
        <v>29</v>
      </c>
      <c r="D22" s="51"/>
      <c r="E22" s="29"/>
      <c r="F22" s="29"/>
      <c r="G22" s="29"/>
      <c r="H22" s="53" t="n">
        <v>0.97</v>
      </c>
      <c r="I22" s="55"/>
      <c r="J22" s="29"/>
      <c r="K22" s="30" t="n">
        <f aca="false">D22*H22</f>
        <v>0</v>
      </c>
      <c r="L22" s="52"/>
      <c r="M22" s="40"/>
    </row>
    <row r="23" customFormat="false" ht="14.25" hidden="false" customHeight="false" outlineLevel="0" collapsed="false">
      <c r="B23" s="21"/>
      <c r="C23" s="22" t="s">
        <v>30</v>
      </c>
      <c r="D23" s="51"/>
      <c r="E23" s="29"/>
      <c r="F23" s="29"/>
      <c r="G23" s="29"/>
      <c r="H23" s="53" t="n">
        <v>0.31</v>
      </c>
      <c r="I23" s="55"/>
      <c r="J23" s="29"/>
      <c r="K23" s="30" t="n">
        <f aca="false">D23*H23</f>
        <v>0</v>
      </c>
      <c r="L23" s="52"/>
      <c r="M23" s="40"/>
    </row>
    <row r="24" customFormat="false" ht="14.25" hidden="false" customHeight="false" outlineLevel="0" collapsed="false">
      <c r="B24" s="21"/>
      <c r="C24" s="22" t="s">
        <v>31</v>
      </c>
      <c r="D24" s="51"/>
      <c r="E24" s="29"/>
      <c r="F24" s="29"/>
      <c r="G24" s="29"/>
      <c r="H24" s="53" t="n">
        <f aca="false">(0.78+0.48)/2</f>
        <v>0.63</v>
      </c>
      <c r="I24" s="55"/>
      <c r="J24" s="29"/>
      <c r="K24" s="30" t="n">
        <f aca="false">D24*H24</f>
        <v>0</v>
      </c>
      <c r="L24" s="52"/>
      <c r="M24" s="40"/>
    </row>
    <row r="25" customFormat="false" ht="14.25" hidden="false" customHeight="false" outlineLevel="0" collapsed="false">
      <c r="B25" s="21"/>
      <c r="C25" s="22" t="s">
        <v>32</v>
      </c>
      <c r="D25" s="51"/>
      <c r="E25" s="29"/>
      <c r="F25" s="29"/>
      <c r="G25" s="29"/>
      <c r="H25" s="53" t="n">
        <v>0.31</v>
      </c>
      <c r="I25" s="55"/>
      <c r="J25" s="29"/>
      <c r="K25" s="30" t="n">
        <f aca="false">D25*H25</f>
        <v>0</v>
      </c>
      <c r="L25" s="52"/>
      <c r="M25" s="40"/>
    </row>
    <row r="26" customFormat="false" ht="14.25" hidden="false" customHeight="false" outlineLevel="0" collapsed="false">
      <c r="B26" s="21"/>
      <c r="C26" s="22" t="s">
        <v>33</v>
      </c>
      <c r="D26" s="51"/>
      <c r="E26" s="29"/>
      <c r="F26" s="29"/>
      <c r="G26" s="29"/>
      <c r="H26" s="53" t="n">
        <v>0.41</v>
      </c>
      <c r="I26" s="55"/>
      <c r="J26" s="29"/>
      <c r="K26" s="30" t="n">
        <f aca="false">D26*H26</f>
        <v>0</v>
      </c>
      <c r="L26" s="52"/>
      <c r="M26" s="40"/>
    </row>
    <row r="27" customFormat="false" ht="14.25" hidden="false" customHeight="false" outlineLevel="0" collapsed="false">
      <c r="B27" s="21"/>
      <c r="C27" s="22" t="s">
        <v>34</v>
      </c>
      <c r="D27" s="51"/>
      <c r="E27" s="29"/>
      <c r="F27" s="29"/>
      <c r="G27" s="29"/>
      <c r="H27" s="53" t="n">
        <v>0.17</v>
      </c>
      <c r="I27" s="55"/>
      <c r="J27" s="29"/>
      <c r="K27" s="30" t="n">
        <f aca="false">D27*H27</f>
        <v>0</v>
      </c>
      <c r="L27" s="52"/>
      <c r="M27" s="40"/>
    </row>
    <row r="28" customFormat="false" ht="14.25" hidden="false" customHeight="false" outlineLevel="0" collapsed="false">
      <c r="B28" s="21"/>
      <c r="C28" s="22" t="s">
        <v>35</v>
      </c>
      <c r="D28" s="51"/>
      <c r="E28" s="29"/>
      <c r="F28" s="29"/>
      <c r="G28" s="29"/>
      <c r="H28" s="53" t="n">
        <v>0.31</v>
      </c>
      <c r="I28" s="55"/>
      <c r="J28" s="29"/>
      <c r="K28" s="30" t="n">
        <f aca="false">D28*H28</f>
        <v>0</v>
      </c>
      <c r="L28" s="52"/>
      <c r="M28" s="40"/>
    </row>
    <row r="29" customFormat="false" ht="14.25" hidden="false" customHeight="false" outlineLevel="0" collapsed="false">
      <c r="B29" s="21"/>
      <c r="C29" s="22" t="s">
        <v>36</v>
      </c>
      <c r="D29" s="51"/>
      <c r="E29" s="29" t="s">
        <v>37</v>
      </c>
      <c r="F29" s="29"/>
      <c r="G29" s="29"/>
      <c r="H29" s="53" t="n">
        <v>0.31</v>
      </c>
      <c r="I29" s="55"/>
      <c r="J29" s="29"/>
      <c r="K29" s="30" t="n">
        <f aca="false">D29*H29</f>
        <v>0</v>
      </c>
      <c r="L29" s="52"/>
      <c r="M29" s="40"/>
    </row>
    <row r="30" customFormat="false" ht="14.25" hidden="false" customHeight="false" outlineLevel="0" collapsed="false">
      <c r="B30" s="21"/>
      <c r="C30" s="22" t="s">
        <v>38</v>
      </c>
      <c r="D30" s="51"/>
      <c r="E30" s="29"/>
      <c r="F30" s="29"/>
      <c r="G30" s="29"/>
      <c r="H30" s="53" t="n">
        <v>0.17</v>
      </c>
      <c r="I30" s="55"/>
      <c r="J30" s="29"/>
      <c r="K30" s="30" t="n">
        <f aca="false">D30*H30</f>
        <v>0</v>
      </c>
      <c r="L30" s="52"/>
      <c r="M30" s="40"/>
    </row>
    <row r="31" customFormat="false" ht="14.25" hidden="false" customHeight="false" outlineLevel="0" collapsed="false">
      <c r="B31" s="21"/>
      <c r="C31" s="22" t="s">
        <v>39</v>
      </c>
      <c r="D31" s="51"/>
      <c r="E31" s="29"/>
      <c r="F31" s="29"/>
      <c r="G31" s="29"/>
      <c r="H31" s="53" t="n">
        <v>0.12</v>
      </c>
      <c r="I31" s="55"/>
      <c r="J31" s="29"/>
      <c r="K31" s="30" t="n">
        <f aca="false">D31*H31</f>
        <v>0</v>
      </c>
      <c r="L31" s="52"/>
      <c r="M31" s="40"/>
    </row>
    <row r="32" customFormat="false" ht="14.25" hidden="false" customHeight="false" outlineLevel="0" collapsed="false">
      <c r="B32" s="21"/>
      <c r="C32" s="22" t="s">
        <v>40</v>
      </c>
      <c r="D32" s="51"/>
      <c r="E32" s="29"/>
      <c r="F32" s="29"/>
      <c r="G32" s="29"/>
      <c r="H32" s="53" t="n">
        <v>0.95</v>
      </c>
      <c r="I32" s="55"/>
      <c r="J32" s="29"/>
      <c r="K32" s="30" t="n">
        <f aca="false">D32*H32</f>
        <v>0</v>
      </c>
      <c r="L32" s="52"/>
      <c r="M32" s="40"/>
    </row>
    <row r="33" customFormat="false" ht="14.25" hidden="false" customHeight="false" outlineLevel="0" collapsed="false">
      <c r="B33" s="21"/>
      <c r="C33" s="22" t="s">
        <v>41</v>
      </c>
      <c r="D33" s="51"/>
      <c r="E33" s="29"/>
      <c r="F33" s="29"/>
      <c r="G33" s="29"/>
      <c r="H33" s="53" t="n">
        <v>0.39</v>
      </c>
      <c r="I33" s="55"/>
      <c r="J33" s="29"/>
      <c r="K33" s="30" t="n">
        <f aca="false">D33*H33</f>
        <v>0</v>
      </c>
      <c r="L33" s="52"/>
      <c r="M33" s="40"/>
    </row>
    <row r="34" customFormat="false" ht="14.25" hidden="false" customHeight="false" outlineLevel="0" collapsed="false">
      <c r="B34" s="21"/>
      <c r="C34" s="22" t="s">
        <v>42</v>
      </c>
      <c r="D34" s="23"/>
      <c r="E34" s="29"/>
      <c r="F34" s="29"/>
      <c r="G34" s="29"/>
      <c r="H34" s="53" t="n">
        <v>0.31</v>
      </c>
      <c r="I34" s="55"/>
      <c r="J34" s="29"/>
      <c r="K34" s="30" t="n">
        <f aca="false">D34*H34</f>
        <v>0</v>
      </c>
      <c r="L34" s="52"/>
      <c r="M34" s="40"/>
    </row>
    <row r="35" customFormat="false" ht="14.25" hidden="false" customHeight="false" outlineLevel="0" collapsed="false">
      <c r="B35" s="21"/>
      <c r="C35" s="22" t="s">
        <v>43</v>
      </c>
      <c r="D35" s="23"/>
      <c r="E35" s="29"/>
      <c r="F35" s="29"/>
      <c r="G35" s="29"/>
      <c r="H35" s="53" t="n">
        <v>0.31</v>
      </c>
      <c r="I35" s="55"/>
      <c r="J35" s="29"/>
      <c r="K35" s="30" t="n">
        <f aca="false">D35*H35</f>
        <v>0</v>
      </c>
      <c r="L35" s="52"/>
      <c r="M35" s="40"/>
    </row>
    <row r="36" customFormat="false" ht="14.25" hidden="false" customHeight="false" outlineLevel="0" collapsed="false">
      <c r="B36" s="21"/>
      <c r="C36" s="22" t="s">
        <v>44</v>
      </c>
      <c r="D36" s="23"/>
      <c r="E36" s="29"/>
      <c r="F36" s="29"/>
      <c r="G36" s="29"/>
      <c r="H36" s="53" t="n">
        <v>0.3</v>
      </c>
      <c r="I36" s="55"/>
      <c r="J36" s="29"/>
      <c r="K36" s="30" t="n">
        <f aca="false">D36*H36</f>
        <v>0</v>
      </c>
      <c r="L36" s="52"/>
      <c r="M36" s="40"/>
    </row>
    <row r="37" customFormat="false" ht="14.25" hidden="false" customHeight="false" outlineLevel="0" collapsed="false">
      <c r="B37" s="21"/>
      <c r="C37" s="22" t="s">
        <v>45</v>
      </c>
      <c r="D37" s="23"/>
      <c r="E37" s="29"/>
      <c r="F37" s="29"/>
      <c r="G37" s="29"/>
      <c r="H37" s="53" t="n">
        <v>0.17</v>
      </c>
      <c r="I37" s="54"/>
      <c r="J37" s="29"/>
      <c r="K37" s="30" t="n">
        <f aca="false">D37*H37</f>
        <v>0</v>
      </c>
      <c r="L37" s="52"/>
      <c r="M37" s="40"/>
    </row>
    <row r="38" customFormat="false" ht="14.25" hidden="false" customHeight="false" outlineLevel="0" collapsed="false">
      <c r="B38" s="21"/>
      <c r="C38" s="22" t="s">
        <v>46</v>
      </c>
      <c r="D38" s="23"/>
      <c r="E38" s="29"/>
      <c r="F38" s="29"/>
      <c r="G38" s="29"/>
      <c r="H38" s="53" t="n">
        <f aca="false">(0.31+0.49)/2</f>
        <v>0.4</v>
      </c>
      <c r="I38" s="54"/>
      <c r="J38" s="29"/>
      <c r="K38" s="30" t="n">
        <f aca="false">D38*H38</f>
        <v>0</v>
      </c>
      <c r="L38" s="52"/>
      <c r="M38" s="40"/>
    </row>
    <row r="39" customFormat="false" ht="14.25" hidden="false" customHeight="false" outlineLevel="0" collapsed="false">
      <c r="B39" s="21"/>
      <c r="C39" s="22" t="s">
        <v>47</v>
      </c>
      <c r="D39" s="23"/>
      <c r="E39" s="29"/>
      <c r="F39" s="29"/>
      <c r="G39" s="29"/>
      <c r="H39" s="53" t="n">
        <v>0.23</v>
      </c>
      <c r="I39" s="54"/>
      <c r="J39" s="29"/>
      <c r="K39" s="30" t="n">
        <f aca="false">D39*H39</f>
        <v>0</v>
      </c>
      <c r="L39" s="52"/>
      <c r="M39" s="40"/>
    </row>
    <row r="40" customFormat="false" ht="14.25" hidden="false" customHeight="false" outlineLevel="0" collapsed="false">
      <c r="B40" s="21"/>
      <c r="C40" s="22" t="s">
        <v>48</v>
      </c>
      <c r="D40" s="23"/>
      <c r="E40" s="29"/>
      <c r="F40" s="29"/>
      <c r="G40" s="29"/>
      <c r="H40" s="53" t="n">
        <f aca="false">(0.31+0.39)/2</f>
        <v>0.35</v>
      </c>
      <c r="I40" s="54"/>
      <c r="J40" s="29"/>
      <c r="K40" s="30" t="n">
        <f aca="false">D40*H40</f>
        <v>0</v>
      </c>
      <c r="L40" s="52"/>
      <c r="M40" s="40"/>
    </row>
    <row r="41" customFormat="false" ht="14.25" hidden="false" customHeight="false" outlineLevel="0" collapsed="false">
      <c r="B41" s="21"/>
      <c r="C41" s="22" t="s">
        <v>49</v>
      </c>
      <c r="D41" s="51" t="n">
        <v>261259.8</v>
      </c>
      <c r="E41" s="29"/>
      <c r="F41" s="29"/>
      <c r="G41" s="29"/>
      <c r="H41" s="57" t="n">
        <v>0.3</v>
      </c>
      <c r="I41" s="54"/>
      <c r="J41" s="29"/>
      <c r="K41" s="30" t="n">
        <f aca="false">D41*H41</f>
        <v>78377.94</v>
      </c>
      <c r="L41" s="52"/>
      <c r="M41" s="40"/>
    </row>
    <row r="42" customFormat="false" ht="14.25" hidden="false" customHeight="false" outlineLevel="0" collapsed="false">
      <c r="B42" s="21"/>
      <c r="C42" s="22" t="s">
        <v>50</v>
      </c>
      <c r="D42" s="51" t="n">
        <v>0</v>
      </c>
      <c r="E42" s="29"/>
      <c r="F42" s="29"/>
      <c r="G42" s="29"/>
      <c r="H42" s="57" t="n">
        <v>0.31</v>
      </c>
      <c r="I42" s="54"/>
      <c r="J42" s="29"/>
      <c r="K42" s="30" t="n">
        <f aca="false">D42*H42</f>
        <v>0</v>
      </c>
      <c r="L42" s="52"/>
      <c r="M42" s="40"/>
    </row>
    <row r="43" customFormat="false" ht="14.25" hidden="false" customHeight="false" outlineLevel="0" collapsed="false">
      <c r="B43" s="21"/>
      <c r="C43" s="22" t="s">
        <v>51</v>
      </c>
      <c r="D43" s="51"/>
      <c r="E43" s="29"/>
      <c r="F43" s="29"/>
      <c r="G43" s="29"/>
      <c r="H43" s="57" t="n">
        <v>0.76</v>
      </c>
      <c r="I43" s="54"/>
      <c r="J43" s="29"/>
      <c r="K43" s="30" t="n">
        <f aca="false">D43*H43</f>
        <v>0</v>
      </c>
      <c r="L43" s="52"/>
      <c r="M43" s="40"/>
    </row>
    <row r="44" customFormat="false" ht="14.25" hidden="false" customHeight="false" outlineLevel="0" collapsed="false">
      <c r="B44" s="21"/>
      <c r="C44" s="22" t="s">
        <v>52</v>
      </c>
      <c r="D44" s="51" t="n">
        <v>586262.64</v>
      </c>
      <c r="E44" s="29"/>
      <c r="F44" s="29"/>
      <c r="G44" s="29"/>
      <c r="H44" s="57" t="n">
        <v>0.85</v>
      </c>
      <c r="I44" s="54"/>
      <c r="J44" s="29"/>
      <c r="K44" s="30" t="n">
        <f aca="false">D44*H44</f>
        <v>498323.244</v>
      </c>
      <c r="L44" s="52"/>
      <c r="M44" s="40"/>
    </row>
    <row r="45" customFormat="false" ht="14.25" hidden="false" customHeight="false" outlineLevel="0" collapsed="false">
      <c r="B45" s="21"/>
      <c r="C45" s="22" t="s">
        <v>14</v>
      </c>
      <c r="D45" s="58" t="n">
        <f aca="false">SUM(D9:D44)</f>
        <v>847522.44</v>
      </c>
      <c r="E45" s="29"/>
      <c r="F45" s="29"/>
      <c r="G45" s="29"/>
      <c r="H45" s="59"/>
      <c r="I45" s="60"/>
      <c r="J45" s="29"/>
      <c r="K45" s="39" t="n">
        <f aca="false">SUM(K9:K44)</f>
        <v>576701.184</v>
      </c>
      <c r="L45" s="31" t="n">
        <f aca="false">K45/K$59</f>
        <v>0.942058545909107</v>
      </c>
      <c r="M45" s="40"/>
    </row>
    <row r="46" customFormat="false" ht="14.25" hidden="false" customHeight="false" outlineLevel="0" collapsed="false">
      <c r="B46" s="61"/>
      <c r="C46" s="42"/>
      <c r="D46" s="45"/>
      <c r="E46" s="42"/>
      <c r="F46" s="42"/>
      <c r="G46" s="42"/>
      <c r="H46" s="42"/>
      <c r="I46" s="62"/>
      <c r="J46" s="42"/>
      <c r="K46" s="63"/>
      <c r="L46" s="64"/>
      <c r="M46" s="49"/>
    </row>
    <row r="47" customFormat="false" ht="18" hidden="false" customHeight="true" outlineLevel="0" collapsed="false">
      <c r="B47" s="21" t="s">
        <v>53</v>
      </c>
      <c r="C47" s="29"/>
      <c r="D47" s="23"/>
      <c r="E47" s="29" t="s">
        <v>54</v>
      </c>
      <c r="F47" s="29"/>
      <c r="G47" s="29"/>
      <c r="H47" s="65" t="n">
        <f aca="false">(0.93+0.95+1.2)/3</f>
        <v>1.02666666666667</v>
      </c>
      <c r="I47" s="55"/>
      <c r="J47" s="29"/>
      <c r="K47" s="30" t="n">
        <f aca="false">D47*H47</f>
        <v>0</v>
      </c>
      <c r="L47" s="31" t="n">
        <f aca="false">K47/K$59</f>
        <v>0</v>
      </c>
      <c r="M47" s="40"/>
    </row>
    <row r="48" customFormat="false" ht="14.25" hidden="false" customHeight="false" outlineLevel="0" collapsed="false">
      <c r="B48" s="61"/>
      <c r="C48" s="42"/>
      <c r="D48" s="45"/>
      <c r="E48" s="42"/>
      <c r="F48" s="42"/>
      <c r="G48" s="42"/>
      <c r="H48" s="42"/>
      <c r="I48" s="62"/>
      <c r="J48" s="42"/>
      <c r="K48" s="63"/>
      <c r="L48" s="64"/>
      <c r="M48" s="49"/>
    </row>
    <row r="49" customFormat="false" ht="18" hidden="false" customHeight="true" outlineLevel="0" collapsed="false">
      <c r="B49" s="21" t="s">
        <v>55</v>
      </c>
      <c r="C49" s="29"/>
      <c r="D49" s="23"/>
      <c r="E49" s="29"/>
      <c r="F49" s="29"/>
      <c r="G49" s="29"/>
      <c r="H49" s="59" t="n">
        <v>1.42</v>
      </c>
      <c r="I49" s="60"/>
      <c r="J49" s="29"/>
      <c r="K49" s="30" t="n">
        <f aca="false">D49*H49</f>
        <v>0</v>
      </c>
      <c r="L49" s="52"/>
      <c r="M49" s="40"/>
    </row>
    <row r="50" customFormat="false" ht="14.25" hidden="false" customHeight="false" outlineLevel="0" collapsed="false">
      <c r="B50" s="61"/>
      <c r="C50" s="42"/>
      <c r="D50" s="45"/>
      <c r="E50" s="42"/>
      <c r="F50" s="42"/>
      <c r="G50" s="42"/>
      <c r="H50" s="42"/>
      <c r="I50" s="62"/>
      <c r="J50" s="42"/>
      <c r="K50" s="63"/>
      <c r="L50" s="64"/>
      <c r="M50" s="49"/>
    </row>
    <row r="51" customFormat="false" ht="18.75" hidden="false" customHeight="true" outlineLevel="0" collapsed="false">
      <c r="B51" s="21" t="s">
        <v>56</v>
      </c>
      <c r="C51" s="29"/>
      <c r="D51" s="23" t="n">
        <v>17228.52</v>
      </c>
      <c r="E51" s="29"/>
      <c r="F51" s="29"/>
      <c r="G51" s="29"/>
      <c r="H51" s="59" t="n">
        <v>0.95</v>
      </c>
      <c r="I51" s="60"/>
      <c r="J51" s="29"/>
      <c r="K51" s="30" t="n">
        <f aca="false">D51*H51</f>
        <v>16367.094</v>
      </c>
      <c r="L51" s="52"/>
      <c r="M51" s="40"/>
    </row>
    <row r="52" customFormat="false" ht="14.25" hidden="false" customHeight="false" outlineLevel="0" collapsed="false">
      <c r="B52" s="61"/>
      <c r="C52" s="42"/>
      <c r="D52" s="45"/>
      <c r="E52" s="42"/>
      <c r="F52" s="42"/>
      <c r="G52" s="42"/>
      <c r="H52" s="42"/>
      <c r="I52" s="62"/>
      <c r="J52" s="42"/>
      <c r="K52" s="63"/>
      <c r="L52" s="64"/>
      <c r="M52" s="49"/>
    </row>
    <row r="53" customFormat="false" ht="19.5" hidden="false" customHeight="true" outlineLevel="0" collapsed="false">
      <c r="B53" s="21" t="s">
        <v>57</v>
      </c>
      <c r="C53" s="29"/>
      <c r="D53" s="66" t="n">
        <f aca="false">D45+D47+D49+D51</f>
        <v>864750.96</v>
      </c>
      <c r="E53" s="29"/>
      <c r="F53" s="29"/>
      <c r="G53" s="29"/>
      <c r="H53" s="59"/>
      <c r="I53" s="60"/>
      <c r="J53" s="29" t="s">
        <v>58</v>
      </c>
      <c r="K53" s="30" t="n">
        <f aca="false">K45+K56+K49+K51</f>
        <v>593068.278</v>
      </c>
      <c r="L53" s="31" t="n">
        <f aca="false">K53/K$59</f>
        <v>0.968794681020628</v>
      </c>
      <c r="M53" s="40"/>
    </row>
    <row r="54" customFormat="false" ht="14.25" hidden="false" customHeight="false" outlineLevel="0" collapsed="false">
      <c r="B54" s="61"/>
      <c r="C54" s="42"/>
      <c r="D54" s="45"/>
      <c r="E54" s="42"/>
      <c r="F54" s="42"/>
      <c r="G54" s="42"/>
      <c r="H54" s="42"/>
      <c r="I54" s="62"/>
      <c r="J54" s="42"/>
      <c r="K54" s="63"/>
      <c r="L54" s="64"/>
      <c r="M54" s="49"/>
    </row>
    <row r="55" customFormat="false" ht="14.25" hidden="false" customHeight="false" outlineLevel="0" collapsed="false">
      <c r="B55" s="21" t="s">
        <v>59</v>
      </c>
      <c r="C55" s="22" t="s">
        <v>60</v>
      </c>
      <c r="D55" s="32"/>
      <c r="E55" s="67" t="s">
        <v>61</v>
      </c>
      <c r="F55" s="29"/>
      <c r="G55" s="29"/>
      <c r="H55" s="59"/>
      <c r="I55" s="60"/>
      <c r="J55" s="29"/>
      <c r="K55" s="30"/>
      <c r="L55" s="52"/>
      <c r="M55" s="40"/>
    </row>
    <row r="56" customFormat="false" ht="14.25" hidden="false" customHeight="false" outlineLevel="0" collapsed="false">
      <c r="B56" s="21"/>
      <c r="C56" s="22" t="s">
        <v>62</v>
      </c>
      <c r="D56" s="32"/>
      <c r="E56" s="67" t="s">
        <v>63</v>
      </c>
      <c r="F56" s="29"/>
      <c r="G56" s="29"/>
      <c r="H56" s="65" t="n">
        <v>0.39</v>
      </c>
      <c r="I56" s="55"/>
      <c r="J56" s="29"/>
      <c r="K56" s="30" t="n">
        <f aca="false">D56*H56</f>
        <v>0</v>
      </c>
      <c r="L56" s="31"/>
      <c r="M56" s="40"/>
    </row>
    <row r="57" customFormat="false" ht="14.25" hidden="false" customHeight="false" outlineLevel="0" collapsed="false">
      <c r="B57" s="21"/>
      <c r="C57" s="22" t="s">
        <v>64</v>
      </c>
      <c r="D57" s="68"/>
      <c r="E57" s="29"/>
      <c r="F57" s="29"/>
      <c r="G57" s="29"/>
      <c r="H57" s="65" t="n">
        <v>641.341546885695</v>
      </c>
      <c r="I57" s="55"/>
      <c r="J57" s="69" t="s">
        <v>65</v>
      </c>
      <c r="K57" s="30" t="n">
        <f aca="false">D57*H57/2</f>
        <v>0</v>
      </c>
      <c r="L57" s="31" t="n">
        <f aca="false">K57/K$59</f>
        <v>0</v>
      </c>
      <c r="M57" s="40"/>
    </row>
    <row r="58" customFormat="false" ht="14.25" hidden="false" customHeight="false" outlineLevel="0" collapsed="false">
      <c r="B58" s="61"/>
      <c r="C58" s="42"/>
      <c r="D58" s="45"/>
      <c r="E58" s="42"/>
      <c r="F58" s="42"/>
      <c r="G58" s="42"/>
      <c r="H58" s="42"/>
      <c r="I58" s="62"/>
      <c r="J58" s="42"/>
      <c r="K58" s="63"/>
      <c r="L58" s="64"/>
      <c r="M58" s="49"/>
    </row>
    <row r="59" customFormat="false" ht="19.5" hidden="false" customHeight="true" outlineLevel="0" collapsed="false">
      <c r="B59" s="21" t="s">
        <v>2</v>
      </c>
      <c r="C59" s="29"/>
      <c r="D59" s="70" t="n">
        <f aca="false">D7+D53+D55+D56</f>
        <v>874908.436</v>
      </c>
      <c r="E59" s="29"/>
      <c r="F59" s="29"/>
      <c r="G59" s="29"/>
      <c r="H59" s="59"/>
      <c r="I59" s="60"/>
      <c r="J59" s="29"/>
      <c r="K59" s="39" t="n">
        <f aca="false">SUM(K7,K47,K53,K57)</f>
        <v>612171.278</v>
      </c>
      <c r="L59" s="31" t="n">
        <f aca="false">K59/K$59</f>
        <v>1</v>
      </c>
      <c r="M59" s="40"/>
    </row>
    <row r="60" customFormat="false" ht="14.25" hidden="false" customHeight="false" outlineLevel="0" collapsed="false">
      <c r="B60" s="61"/>
      <c r="C60" s="42"/>
      <c r="D60" s="45"/>
      <c r="E60" s="42"/>
      <c r="F60" s="42"/>
      <c r="G60" s="42"/>
      <c r="H60" s="42"/>
      <c r="I60" s="62"/>
      <c r="J60" s="42"/>
      <c r="K60" s="42"/>
      <c r="L60" s="42"/>
      <c r="M60" s="49"/>
    </row>
    <row r="61" customFormat="false" ht="18" hidden="false" customHeight="true" outlineLevel="0" collapsed="false">
      <c r="B61" s="21" t="s">
        <v>66</v>
      </c>
      <c r="C61" s="29"/>
      <c r="D61" s="35" t="n">
        <f aca="false">D59-D55</f>
        <v>874908.436</v>
      </c>
      <c r="E61" s="29"/>
      <c r="F61" s="29"/>
      <c r="G61" s="29"/>
      <c r="H61" s="59"/>
      <c r="I61" s="60"/>
      <c r="J61" s="69" t="s">
        <v>67</v>
      </c>
      <c r="K61" s="29" t="n">
        <f aca="false">K59/D61</f>
        <v>0.699697537263202</v>
      </c>
      <c r="L61" s="29"/>
      <c r="M61" s="40"/>
    </row>
    <row r="62" customFormat="false" ht="14.25" hidden="false" customHeight="false" outlineLevel="0" collapsed="false">
      <c r="B62" s="61"/>
      <c r="C62" s="42"/>
      <c r="D62" s="42"/>
      <c r="E62" s="42"/>
      <c r="F62" s="42"/>
      <c r="G62" s="42"/>
      <c r="H62" s="42"/>
      <c r="I62" s="62"/>
      <c r="J62" s="42"/>
      <c r="K62" s="42"/>
      <c r="L62" s="42"/>
      <c r="M62" s="49"/>
    </row>
    <row r="63" customFormat="false" ht="18" hidden="false" customHeight="true" outlineLevel="0" collapsed="false">
      <c r="B63" s="71" t="s">
        <v>68</v>
      </c>
      <c r="C63" s="72"/>
      <c r="D63" s="73" t="n">
        <f aca="false">D61*1.5</f>
        <v>1312362.654</v>
      </c>
      <c r="E63" s="72"/>
      <c r="F63" s="72"/>
      <c r="G63" s="72"/>
      <c r="H63" s="74"/>
      <c r="I63" s="75"/>
      <c r="J63" s="76" t="s">
        <v>69</v>
      </c>
      <c r="K63" s="72" t="n">
        <f aca="false">K59/D63</f>
        <v>0.466465024842135</v>
      </c>
      <c r="L63" s="72"/>
      <c r="M63" s="77"/>
    </row>
    <row r="64" customFormat="false" ht="14.25" hidden="false" customHeight="false" outlineLevel="0" collapsed="false">
      <c r="I64" s="78"/>
    </row>
    <row r="65" customFormat="false" ht="14.25" hidden="false" customHeight="false" outlineLevel="0" collapsed="false">
      <c r="I65" s="78"/>
    </row>
    <row r="66" customFormat="false" ht="14.25" hidden="false" customHeight="false" outlineLevel="0" collapsed="false">
      <c r="B66" s="1" t="str">
        <f aca="false">CHAR(185)&amp;" Defra 2020 Gross Calorific value"</f>
        <v>� Defra 2020 Gross Calorific value</v>
      </c>
      <c r="I66" s="78"/>
    </row>
    <row r="67" customFormat="false" ht="14.25" hidden="false" customHeight="false" outlineLevel="0" collapsed="false">
      <c r="B67" s="1" t="str">
        <f aca="false">CHAR(178)&amp;" Defra 2020"</f>
        <v>� Defra 2020</v>
      </c>
      <c r="I67" s="78"/>
    </row>
    <row r="68" customFormat="false" ht="14.25" hidden="false" customHeight="false" outlineLevel="0" collapsed="false">
      <c r="B68" s="1" t="str">
        <f aca="false">CHAR(179)&amp;" Average of Petrol and Diesel value"</f>
        <v>� Average of Petrol and Diesel value</v>
      </c>
      <c r="I68" s="78"/>
    </row>
    <row r="69" customFormat="false" ht="14.25" hidden="false" customHeight="false" outlineLevel="0" collapsed="false">
      <c r="I69" s="78"/>
    </row>
    <row r="70" customFormat="false" ht="14.25" hidden="false" customHeight="false" outlineLevel="0" collapsed="false">
      <c r="I70" s="78"/>
    </row>
    <row r="71" customFormat="false" ht="14.25" hidden="false" customHeight="false" outlineLevel="0" collapsed="false">
      <c r="I71" s="78"/>
    </row>
    <row r="72" customFormat="false" ht="14.25" hidden="false" customHeight="false" outlineLevel="0" collapsed="false">
      <c r="I72" s="78"/>
    </row>
    <row r="73" customFormat="false" ht="14.25" hidden="false" customHeight="false" outlineLevel="0" collapsed="false">
      <c r="I73" s="78"/>
    </row>
  </sheetData>
  <mergeCells count="1">
    <mergeCell ref="H3:I3"/>
  </mergeCells>
  <printOptions headings="false" gridLines="false" gridLinesSet="true" horizontalCentered="false" verticalCentered="false"/>
  <pageMargins left="0" right="0" top="0.39375" bottom="0.39375" header="0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J73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D64" activeCellId="0" sqref="D64"/>
    </sheetView>
  </sheetViews>
  <sheetFormatPr defaultColWidth="9.00390625" defaultRowHeight="14.25" zeroHeight="false" outlineLevelRow="0" outlineLevelCol="0"/>
  <cols>
    <col collapsed="false" customWidth="true" hidden="false" outlineLevel="0" max="1" min="1" style="1" width="10.62"/>
    <col collapsed="false" customWidth="true" hidden="false" outlineLevel="0" max="2" min="2" style="1" width="31.75"/>
    <col collapsed="false" customWidth="true" hidden="false" outlineLevel="0" max="3" min="3" style="1" width="25.26"/>
    <col collapsed="false" customWidth="true" hidden="false" outlineLevel="0" max="4" min="4" style="1" width="18.38"/>
    <col collapsed="false" customWidth="true" hidden="false" outlineLevel="0" max="5" min="5" style="1" width="25.88"/>
    <col collapsed="false" customWidth="true" hidden="false" outlineLevel="0" max="6" min="6" style="1" width="15.12"/>
    <col collapsed="false" customWidth="true" hidden="false" outlineLevel="0" max="7" min="7" style="1" width="21.26"/>
    <col collapsed="false" customWidth="true" hidden="false" outlineLevel="0" max="8" min="8" style="1" width="26.5"/>
    <col collapsed="false" customWidth="true" hidden="false" outlineLevel="0" max="9" min="9" style="1" width="1.38"/>
    <col collapsed="false" customWidth="true" hidden="false" outlineLevel="0" max="10" min="10" style="1" width="29.88"/>
    <col collapsed="false" customWidth="true" hidden="false" outlineLevel="0" max="11" min="11" style="1" width="18.5"/>
    <col collapsed="false" customWidth="true" hidden="false" outlineLevel="0" max="12" min="12" style="1" width="27.25"/>
    <col collapsed="false" customWidth="true" hidden="false" outlineLevel="0" max="13" min="13" style="1" width="38.25"/>
    <col collapsed="false" customWidth="false" hidden="false" outlineLevel="0" max="14" min="14" style="1" width="9"/>
    <col collapsed="false" customWidth="true" hidden="false" outlineLevel="0" max="15" min="15" style="1" width="10.38"/>
    <col collapsed="false" customWidth="true" hidden="false" outlineLevel="0" max="16" min="16" style="1" width="13.5"/>
    <col collapsed="false" customWidth="false" hidden="false" outlineLevel="0" max="1020" min="17" style="1" width="9"/>
  </cols>
  <sheetData>
    <row r="1" s="4" customFormat="true" ht="29.25" hidden="false" customHeight="true" outlineLevel="0" collapsed="false">
      <c r="A1" s="2" t="s">
        <v>0</v>
      </c>
      <c r="B1" s="3"/>
      <c r="AMG1" s="3"/>
      <c r="AMH1" s="3"/>
      <c r="AMI1" s="3"/>
      <c r="AMJ1" s="3"/>
    </row>
    <row r="2" customFormat="false" ht="26.25" hidden="false" customHeight="true" outlineLevel="0" collapsed="false"/>
    <row r="3" customFormat="false" ht="21" hidden="false" customHeight="true" outlineLevel="0" collapsed="false">
      <c r="B3" s="5" t="s">
        <v>1</v>
      </c>
      <c r="C3" s="6"/>
      <c r="D3" s="6" t="s">
        <v>2</v>
      </c>
      <c r="E3" s="6" t="s">
        <v>3</v>
      </c>
      <c r="F3" s="6"/>
      <c r="G3" s="6" t="s">
        <v>5</v>
      </c>
      <c r="H3" s="6" t="s">
        <v>6</v>
      </c>
      <c r="I3" s="6"/>
      <c r="J3" s="6"/>
      <c r="K3" s="6" t="s">
        <v>7</v>
      </c>
      <c r="L3" s="6" t="s">
        <v>8</v>
      </c>
      <c r="M3" s="7" t="s">
        <v>9</v>
      </c>
    </row>
    <row r="4" customFormat="false" ht="14.25" hidden="false" customHeight="false" outlineLevel="0" collapsed="false">
      <c r="B4" s="8" t="s">
        <v>10</v>
      </c>
      <c r="C4" s="9" t="s">
        <v>11</v>
      </c>
      <c r="D4" s="79"/>
      <c r="E4" s="11" t="n">
        <v>0.023415</v>
      </c>
      <c r="F4" s="12"/>
      <c r="G4" s="13" t="n">
        <f aca="false">D4/E4</f>
        <v>0</v>
      </c>
      <c r="H4" s="14" t="n">
        <v>0.18316</v>
      </c>
      <c r="I4" s="15" t="str">
        <f aca="false">CHAR(185)</f>
        <v>�</v>
      </c>
      <c r="J4" s="16"/>
      <c r="K4" s="17" t="n">
        <f aca="false">IF(F4,F4*H4,G4*H4)</f>
        <v>0</v>
      </c>
      <c r="L4" s="18" t="n">
        <f aca="false">K4/K$59</f>
        <v>0</v>
      </c>
      <c r="M4" s="19" t="n">
        <f aca="false">IF(D4=0, 0, K4/D4)</f>
        <v>0</v>
      </c>
      <c r="N4" s="20"/>
      <c r="AMG4" s="1"/>
    </row>
    <row r="5" customFormat="false" ht="14.25" hidden="false" customHeight="false" outlineLevel="0" collapsed="false">
      <c r="B5" s="21"/>
      <c r="C5" s="22" t="s">
        <v>12</v>
      </c>
      <c r="D5" s="23"/>
      <c r="E5" s="24" t="n">
        <v>0.13344</v>
      </c>
      <c r="F5" s="25"/>
      <c r="G5" s="26" t="n">
        <f aca="false">D5/E5</f>
        <v>0</v>
      </c>
      <c r="H5" s="27" t="n">
        <v>0.21233</v>
      </c>
      <c r="I5" s="28" t="str">
        <f aca="false">CHAR(178)</f>
        <v>�</v>
      </c>
      <c r="J5" s="29"/>
      <c r="K5" s="30" t="n">
        <f aca="false">IF(F5,F5*H5,G5*H5)</f>
        <v>0</v>
      </c>
      <c r="L5" s="31" t="n">
        <f aca="false">K5/K$59</f>
        <v>0</v>
      </c>
      <c r="M5" s="19" t="n">
        <f aca="false">IF(D5=0, 0, K5/D5)</f>
        <v>0</v>
      </c>
      <c r="N5" s="20"/>
      <c r="AMG5" s="1"/>
    </row>
    <row r="6" customFormat="false" ht="14.25" hidden="false" customHeight="false" outlineLevel="0" collapsed="false">
      <c r="B6" s="21"/>
      <c r="C6" s="22" t="s">
        <v>13</v>
      </c>
      <c r="D6" s="32" t="n">
        <f aca="false">F6*1.33</f>
        <v>15615.2108</v>
      </c>
      <c r="E6" s="33" t="n">
        <v>133</v>
      </c>
      <c r="F6" s="25" t="n">
        <v>11740.76</v>
      </c>
      <c r="G6" s="34" t="n">
        <f aca="false">D6*100/E6</f>
        <v>11740.76</v>
      </c>
      <c r="H6" s="27" t="n">
        <f aca="false">(0.0575+0.06425)/2</f>
        <v>0.060875</v>
      </c>
      <c r="I6" s="28" t="str">
        <f aca="false">CHAR(179)</f>
        <v>�</v>
      </c>
      <c r="J6" s="29"/>
      <c r="K6" s="30" t="n">
        <v>29617</v>
      </c>
      <c r="L6" s="31" t="n">
        <f aca="false">K6/K$59</f>
        <v>0.0307393858746474</v>
      </c>
      <c r="M6" s="19" t="n">
        <f aca="false">IF(D6=0, 0, K6/D6)</f>
        <v>1.89667628438292</v>
      </c>
      <c r="N6" s="20"/>
      <c r="AMG6" s="1"/>
    </row>
    <row r="7" customFormat="false" ht="14.25" hidden="false" customHeight="false" outlineLevel="0" collapsed="false">
      <c r="B7" s="21"/>
      <c r="C7" s="22" t="s">
        <v>14</v>
      </c>
      <c r="D7" s="35" t="n">
        <f aca="false">SUM(D4:D6)</f>
        <v>15615.2108</v>
      </c>
      <c r="E7" s="36" t="str">
        <f aca="false">TEXT(D7/D61, "0.00%") &amp;" of Non Pay Spend"</f>
        <v>1.16% of Non Pay Spend</v>
      </c>
      <c r="F7" s="29"/>
      <c r="G7" s="29"/>
      <c r="H7" s="37"/>
      <c r="I7" s="38"/>
      <c r="J7" s="29"/>
      <c r="K7" s="39" t="n">
        <f aca="false">SUM(K4:K6)</f>
        <v>29617</v>
      </c>
      <c r="L7" s="31" t="n">
        <f aca="false">K7/K$59</f>
        <v>0.0307393858746474</v>
      </c>
      <c r="M7" s="40"/>
    </row>
    <row r="8" customFormat="false" ht="14.25" hidden="false" customHeight="false" outlineLevel="0" collapsed="false">
      <c r="B8" s="41"/>
      <c r="C8" s="42"/>
      <c r="D8" s="43"/>
      <c r="E8" s="44"/>
      <c r="F8" s="42"/>
      <c r="G8" s="42"/>
      <c r="H8" s="46"/>
      <c r="I8" s="47"/>
      <c r="J8" s="42"/>
      <c r="K8" s="48"/>
      <c r="L8" s="44"/>
      <c r="M8" s="49"/>
    </row>
    <row r="9" customFormat="false" ht="14.25" hidden="false" customHeight="false" outlineLevel="0" collapsed="false">
      <c r="B9" s="8" t="s">
        <v>15</v>
      </c>
      <c r="C9" s="50" t="s">
        <v>16</v>
      </c>
      <c r="D9" s="51"/>
      <c r="E9" s="52"/>
      <c r="F9" s="52"/>
      <c r="G9" s="52"/>
      <c r="H9" s="53" t="n">
        <v>0.17</v>
      </c>
      <c r="I9" s="54"/>
      <c r="J9" s="52"/>
      <c r="K9" s="39" t="n">
        <f aca="false">D9*H9</f>
        <v>0</v>
      </c>
      <c r="L9" s="52"/>
      <c r="M9" s="40"/>
    </row>
    <row r="10" customFormat="false" ht="14.25" hidden="false" customHeight="false" outlineLevel="0" collapsed="false">
      <c r="B10" s="21"/>
      <c r="C10" s="50" t="s">
        <v>17</v>
      </c>
      <c r="D10" s="51"/>
      <c r="E10" s="52"/>
      <c r="F10" s="52"/>
      <c r="G10" s="52"/>
      <c r="H10" s="53" t="n">
        <v>0.15</v>
      </c>
      <c r="I10" s="54"/>
      <c r="J10" s="52"/>
      <c r="K10" s="39" t="n">
        <f aca="false">D10*H10</f>
        <v>0</v>
      </c>
      <c r="L10" s="52"/>
      <c r="M10" s="40"/>
    </row>
    <row r="11" customFormat="false" ht="14.25" hidden="false" customHeight="false" outlineLevel="0" collapsed="false">
      <c r="B11" s="21"/>
      <c r="C11" s="50" t="s">
        <v>18</v>
      </c>
      <c r="D11" s="51"/>
      <c r="E11" s="52"/>
      <c r="F11" s="52"/>
      <c r="G11" s="52"/>
      <c r="H11" s="53" t="n">
        <v>0.28</v>
      </c>
      <c r="I11" s="54"/>
      <c r="J11" s="52"/>
      <c r="K11" s="39" t="n">
        <f aca="false">D11*H11</f>
        <v>0</v>
      </c>
      <c r="L11" s="52"/>
      <c r="M11" s="40"/>
      <c r="P11" s="56"/>
    </row>
    <row r="12" customFormat="false" ht="14.25" hidden="false" customHeight="false" outlineLevel="0" collapsed="false">
      <c r="B12" s="21"/>
      <c r="C12" s="22" t="s">
        <v>19</v>
      </c>
      <c r="D12" s="23"/>
      <c r="E12" s="29"/>
      <c r="F12" s="29"/>
      <c r="G12" s="29"/>
      <c r="H12" s="53" t="n">
        <v>0.32</v>
      </c>
      <c r="I12" s="55"/>
      <c r="J12" s="29"/>
      <c r="K12" s="30" t="n">
        <f aca="false">D12*H12</f>
        <v>0</v>
      </c>
      <c r="L12" s="52"/>
      <c r="M12" s="40"/>
      <c r="P12" s="56"/>
    </row>
    <row r="13" customFormat="false" ht="14.25" hidden="false" customHeight="false" outlineLevel="0" collapsed="false">
      <c r="B13" s="21"/>
      <c r="C13" s="22" t="s">
        <v>20</v>
      </c>
      <c r="D13" s="51"/>
      <c r="E13" s="29"/>
      <c r="F13" s="29"/>
      <c r="G13" s="29"/>
      <c r="H13" s="53" t="n">
        <v>0.41</v>
      </c>
      <c r="I13" s="55"/>
      <c r="J13" s="29"/>
      <c r="K13" s="30" t="n">
        <f aca="false">D13*H13</f>
        <v>0</v>
      </c>
      <c r="L13" s="52"/>
      <c r="M13" s="40"/>
    </row>
    <row r="14" customFormat="false" ht="14.25" hidden="false" customHeight="false" outlineLevel="0" collapsed="false">
      <c r="B14" s="21"/>
      <c r="C14" s="22" t="s">
        <v>21</v>
      </c>
      <c r="D14" s="51"/>
      <c r="E14" s="29"/>
      <c r="F14" s="29"/>
      <c r="G14" s="29"/>
      <c r="H14" s="53" t="n">
        <v>0.2</v>
      </c>
      <c r="I14" s="55"/>
      <c r="J14" s="29"/>
      <c r="K14" s="30" t="n">
        <f aca="false">D14*H14</f>
        <v>0</v>
      </c>
      <c r="L14" s="52"/>
      <c r="M14" s="40"/>
    </row>
    <row r="15" customFormat="false" ht="14.25" hidden="false" customHeight="false" outlineLevel="0" collapsed="false">
      <c r="B15" s="21"/>
      <c r="C15" s="22" t="s">
        <v>22</v>
      </c>
      <c r="D15" s="51"/>
      <c r="E15" s="29"/>
      <c r="F15" s="29"/>
      <c r="G15" s="29"/>
      <c r="H15" s="53" t="n">
        <v>0.31</v>
      </c>
      <c r="I15" s="55"/>
      <c r="J15" s="29"/>
      <c r="K15" s="30" t="n">
        <f aca="false">D15*H15</f>
        <v>0</v>
      </c>
      <c r="L15" s="52"/>
      <c r="M15" s="40"/>
      <c r="O15" s="56"/>
      <c r="P15" s="56"/>
    </row>
    <row r="16" customFormat="false" ht="14.25" hidden="false" customHeight="false" outlineLevel="0" collapsed="false">
      <c r="B16" s="21"/>
      <c r="C16" s="22" t="s">
        <v>23</v>
      </c>
      <c r="D16" s="51"/>
      <c r="E16" s="29"/>
      <c r="F16" s="29"/>
      <c r="G16" s="29"/>
      <c r="H16" s="53" t="n">
        <v>0.49</v>
      </c>
      <c r="I16" s="55"/>
      <c r="J16" s="29"/>
      <c r="K16" s="30" t="n">
        <f aca="false">D16*H16</f>
        <v>0</v>
      </c>
      <c r="L16" s="52"/>
      <c r="M16" s="40"/>
    </row>
    <row r="17" customFormat="false" ht="14.25" hidden="false" customHeight="false" outlineLevel="0" collapsed="false">
      <c r="B17" s="21"/>
      <c r="C17" s="22" t="s">
        <v>24</v>
      </c>
      <c r="D17" s="51"/>
      <c r="E17" s="29"/>
      <c r="F17" s="29"/>
      <c r="G17" s="29"/>
      <c r="H17" s="53" t="n">
        <v>0.17</v>
      </c>
      <c r="I17" s="55"/>
      <c r="J17" s="29"/>
      <c r="K17" s="30" t="n">
        <f aca="false">D17*H17</f>
        <v>0</v>
      </c>
      <c r="L17" s="52"/>
      <c r="M17" s="40"/>
    </row>
    <row r="18" customFormat="false" ht="14.25" hidden="false" customHeight="false" outlineLevel="0" collapsed="false">
      <c r="B18" s="21"/>
      <c r="C18" s="22" t="s">
        <v>25</v>
      </c>
      <c r="D18" s="51"/>
      <c r="E18" s="29"/>
      <c r="F18" s="29"/>
      <c r="G18" s="29"/>
      <c r="H18" s="53" t="n">
        <v>0.28</v>
      </c>
      <c r="I18" s="55"/>
      <c r="J18" s="29"/>
      <c r="K18" s="30" t="n">
        <f aca="false">D18*H18</f>
        <v>0</v>
      </c>
      <c r="L18" s="52"/>
      <c r="M18" s="40"/>
    </row>
    <row r="19" customFormat="false" ht="14.25" hidden="false" customHeight="false" outlineLevel="0" collapsed="false">
      <c r="B19" s="21"/>
      <c r="C19" s="22" t="s">
        <v>26</v>
      </c>
      <c r="D19" s="51"/>
      <c r="E19" s="29"/>
      <c r="F19" s="29"/>
      <c r="G19" s="29"/>
      <c r="H19" s="53" t="n">
        <v>0.17</v>
      </c>
      <c r="I19" s="55"/>
      <c r="J19" s="29"/>
      <c r="K19" s="30" t="n">
        <f aca="false">D19*H19</f>
        <v>0</v>
      </c>
      <c r="L19" s="52"/>
      <c r="M19" s="40"/>
    </row>
    <row r="20" customFormat="false" ht="14.25" hidden="false" customHeight="false" outlineLevel="0" collapsed="false">
      <c r="B20" s="21"/>
      <c r="C20" s="22" t="s">
        <v>27</v>
      </c>
      <c r="D20" s="51"/>
      <c r="E20" s="29"/>
      <c r="F20" s="29"/>
      <c r="G20" s="29"/>
      <c r="H20" s="53" t="n">
        <v>0.17</v>
      </c>
      <c r="I20" s="55"/>
      <c r="J20" s="29"/>
      <c r="K20" s="30" t="n">
        <f aca="false">D20*H20</f>
        <v>0</v>
      </c>
      <c r="L20" s="52"/>
      <c r="M20" s="40"/>
    </row>
    <row r="21" customFormat="false" ht="14.25" hidden="false" customHeight="false" outlineLevel="0" collapsed="false">
      <c r="B21" s="21"/>
      <c r="C21" s="22" t="s">
        <v>28</v>
      </c>
      <c r="D21" s="51"/>
      <c r="E21" s="29"/>
      <c r="F21" s="29"/>
      <c r="G21" s="29"/>
      <c r="H21" s="53" t="n">
        <v>0.17</v>
      </c>
      <c r="I21" s="55"/>
      <c r="J21" s="29"/>
      <c r="K21" s="30" t="n">
        <f aca="false">D21*H21</f>
        <v>0</v>
      </c>
      <c r="L21" s="52"/>
      <c r="M21" s="40"/>
    </row>
    <row r="22" customFormat="false" ht="14.25" hidden="false" customHeight="false" outlineLevel="0" collapsed="false">
      <c r="B22" s="21"/>
      <c r="C22" s="22" t="s">
        <v>29</v>
      </c>
      <c r="D22" s="51"/>
      <c r="E22" s="29"/>
      <c r="F22" s="29"/>
      <c r="G22" s="29"/>
      <c r="H22" s="53" t="n">
        <v>0.97</v>
      </c>
      <c r="I22" s="55"/>
      <c r="J22" s="29"/>
      <c r="K22" s="30" t="n">
        <f aca="false">D22*H22</f>
        <v>0</v>
      </c>
      <c r="L22" s="52"/>
      <c r="M22" s="40"/>
    </row>
    <row r="23" customFormat="false" ht="14.25" hidden="false" customHeight="false" outlineLevel="0" collapsed="false">
      <c r="B23" s="21"/>
      <c r="C23" s="22" t="s">
        <v>30</v>
      </c>
      <c r="D23" s="51"/>
      <c r="E23" s="29"/>
      <c r="F23" s="29"/>
      <c r="G23" s="29"/>
      <c r="H23" s="53" t="n">
        <v>0.31</v>
      </c>
      <c r="I23" s="55"/>
      <c r="J23" s="29"/>
      <c r="K23" s="30" t="n">
        <f aca="false">D23*H23</f>
        <v>0</v>
      </c>
      <c r="L23" s="52"/>
      <c r="M23" s="40"/>
    </row>
    <row r="24" customFormat="false" ht="14.25" hidden="false" customHeight="false" outlineLevel="0" collapsed="false">
      <c r="B24" s="21"/>
      <c r="C24" s="22" t="s">
        <v>31</v>
      </c>
      <c r="D24" s="51"/>
      <c r="E24" s="29"/>
      <c r="F24" s="29"/>
      <c r="G24" s="29"/>
      <c r="H24" s="53" t="n">
        <f aca="false">(0.78+0.48)/2</f>
        <v>0.63</v>
      </c>
      <c r="I24" s="55"/>
      <c r="J24" s="29"/>
      <c r="K24" s="30" t="n">
        <f aca="false">D24*H24</f>
        <v>0</v>
      </c>
      <c r="L24" s="52"/>
      <c r="M24" s="40"/>
    </row>
    <row r="25" customFormat="false" ht="14.25" hidden="false" customHeight="false" outlineLevel="0" collapsed="false">
      <c r="B25" s="21"/>
      <c r="C25" s="22" t="s">
        <v>32</v>
      </c>
      <c r="D25" s="51"/>
      <c r="E25" s="29"/>
      <c r="F25" s="29"/>
      <c r="G25" s="29"/>
      <c r="H25" s="53" t="n">
        <v>0.31</v>
      </c>
      <c r="I25" s="55"/>
      <c r="J25" s="29"/>
      <c r="K25" s="30" t="n">
        <f aca="false">D25*H25</f>
        <v>0</v>
      </c>
      <c r="L25" s="52"/>
      <c r="M25" s="40"/>
    </row>
    <row r="26" customFormat="false" ht="14.25" hidden="false" customHeight="false" outlineLevel="0" collapsed="false">
      <c r="B26" s="21"/>
      <c r="C26" s="22" t="s">
        <v>33</v>
      </c>
      <c r="D26" s="51"/>
      <c r="E26" s="29"/>
      <c r="F26" s="29"/>
      <c r="G26" s="29"/>
      <c r="H26" s="53" t="n">
        <v>0.41</v>
      </c>
      <c r="I26" s="55"/>
      <c r="J26" s="29"/>
      <c r="K26" s="30" t="n">
        <f aca="false">D26*H26</f>
        <v>0</v>
      </c>
      <c r="L26" s="52"/>
      <c r="M26" s="40"/>
    </row>
    <row r="27" customFormat="false" ht="14.25" hidden="false" customHeight="false" outlineLevel="0" collapsed="false">
      <c r="B27" s="21"/>
      <c r="C27" s="22" t="s">
        <v>34</v>
      </c>
      <c r="D27" s="51"/>
      <c r="E27" s="29"/>
      <c r="F27" s="29"/>
      <c r="G27" s="29"/>
      <c r="H27" s="53" t="n">
        <v>0.17</v>
      </c>
      <c r="I27" s="55"/>
      <c r="J27" s="29"/>
      <c r="K27" s="30" t="n">
        <f aca="false">D27*H27</f>
        <v>0</v>
      </c>
      <c r="L27" s="52"/>
      <c r="M27" s="40"/>
    </row>
    <row r="28" customFormat="false" ht="14.25" hidden="false" customHeight="false" outlineLevel="0" collapsed="false">
      <c r="B28" s="21"/>
      <c r="C28" s="22" t="s">
        <v>35</v>
      </c>
      <c r="D28" s="51"/>
      <c r="E28" s="29"/>
      <c r="F28" s="29"/>
      <c r="G28" s="29"/>
      <c r="H28" s="53" t="n">
        <v>0.31</v>
      </c>
      <c r="I28" s="55"/>
      <c r="J28" s="29"/>
      <c r="K28" s="30" t="n">
        <f aca="false">D28*H28</f>
        <v>0</v>
      </c>
      <c r="L28" s="52"/>
      <c r="M28" s="40"/>
    </row>
    <row r="29" customFormat="false" ht="14.25" hidden="false" customHeight="false" outlineLevel="0" collapsed="false">
      <c r="B29" s="21"/>
      <c r="C29" s="22" t="s">
        <v>36</v>
      </c>
      <c r="D29" s="51"/>
      <c r="E29" s="29"/>
      <c r="F29" s="29"/>
      <c r="G29" s="29"/>
      <c r="H29" s="53" t="n">
        <v>0.31</v>
      </c>
      <c r="I29" s="55"/>
      <c r="J29" s="29"/>
      <c r="K29" s="30" t="n">
        <f aca="false">D29*H29</f>
        <v>0</v>
      </c>
      <c r="L29" s="52"/>
      <c r="M29" s="40"/>
    </row>
    <row r="30" customFormat="false" ht="14.25" hidden="false" customHeight="false" outlineLevel="0" collapsed="false">
      <c r="B30" s="21"/>
      <c r="C30" s="22" t="s">
        <v>38</v>
      </c>
      <c r="D30" s="51"/>
      <c r="E30" s="29"/>
      <c r="F30" s="29"/>
      <c r="G30" s="29"/>
      <c r="H30" s="53" t="n">
        <v>0.17</v>
      </c>
      <c r="I30" s="55"/>
      <c r="J30" s="29"/>
      <c r="K30" s="30" t="n">
        <f aca="false">D30*H30</f>
        <v>0</v>
      </c>
      <c r="L30" s="52"/>
      <c r="M30" s="40"/>
    </row>
    <row r="31" customFormat="false" ht="14.25" hidden="false" customHeight="false" outlineLevel="0" collapsed="false">
      <c r="B31" s="21"/>
      <c r="C31" s="22" t="s">
        <v>39</v>
      </c>
      <c r="D31" s="51"/>
      <c r="E31" s="29"/>
      <c r="F31" s="29"/>
      <c r="G31" s="29"/>
      <c r="H31" s="53" t="n">
        <v>0.12</v>
      </c>
      <c r="I31" s="55"/>
      <c r="J31" s="29"/>
      <c r="K31" s="30" t="n">
        <f aca="false">D31*H31</f>
        <v>0</v>
      </c>
      <c r="L31" s="52"/>
      <c r="M31" s="40"/>
    </row>
    <row r="32" customFormat="false" ht="14.25" hidden="false" customHeight="false" outlineLevel="0" collapsed="false">
      <c r="B32" s="21"/>
      <c r="C32" s="22" t="s">
        <v>40</v>
      </c>
      <c r="D32" s="51"/>
      <c r="E32" s="29"/>
      <c r="F32" s="29"/>
      <c r="G32" s="29"/>
      <c r="H32" s="53" t="n">
        <v>0.95</v>
      </c>
      <c r="I32" s="55"/>
      <c r="J32" s="29"/>
      <c r="K32" s="30" t="n">
        <f aca="false">D32*H32</f>
        <v>0</v>
      </c>
      <c r="L32" s="52"/>
      <c r="M32" s="40"/>
    </row>
    <row r="33" customFormat="false" ht="14.25" hidden="false" customHeight="false" outlineLevel="0" collapsed="false">
      <c r="B33" s="21"/>
      <c r="C33" s="22" t="s">
        <v>41</v>
      </c>
      <c r="D33" s="23"/>
      <c r="E33" s="29"/>
      <c r="F33" s="29"/>
      <c r="G33" s="29"/>
      <c r="H33" s="53" t="n">
        <v>0.39</v>
      </c>
      <c r="I33" s="55"/>
      <c r="J33" s="29"/>
      <c r="K33" s="30" t="n">
        <f aca="false">D33*H33</f>
        <v>0</v>
      </c>
      <c r="L33" s="52"/>
      <c r="M33" s="40"/>
    </row>
    <row r="34" customFormat="false" ht="14.25" hidden="false" customHeight="false" outlineLevel="0" collapsed="false">
      <c r="B34" s="21"/>
      <c r="C34" s="22" t="s">
        <v>42</v>
      </c>
      <c r="D34" s="23"/>
      <c r="E34" s="29"/>
      <c r="F34" s="29"/>
      <c r="G34" s="29"/>
      <c r="H34" s="53" t="n">
        <v>0.31</v>
      </c>
      <c r="I34" s="55"/>
      <c r="J34" s="29"/>
      <c r="K34" s="30" t="n">
        <f aca="false">D34*H34</f>
        <v>0</v>
      </c>
      <c r="L34" s="52"/>
      <c r="M34" s="40"/>
    </row>
    <row r="35" customFormat="false" ht="14.25" hidden="false" customHeight="false" outlineLevel="0" collapsed="false">
      <c r="B35" s="21"/>
      <c r="C35" s="22" t="s">
        <v>43</v>
      </c>
      <c r="D35" s="23"/>
      <c r="E35" s="29"/>
      <c r="F35" s="29"/>
      <c r="G35" s="29"/>
      <c r="H35" s="53" t="n">
        <v>0.31</v>
      </c>
      <c r="I35" s="55"/>
      <c r="J35" s="29"/>
      <c r="K35" s="30" t="n">
        <f aca="false">D35*H35</f>
        <v>0</v>
      </c>
      <c r="L35" s="52"/>
      <c r="M35" s="40"/>
    </row>
    <row r="36" customFormat="false" ht="14.25" hidden="false" customHeight="false" outlineLevel="0" collapsed="false">
      <c r="B36" s="21"/>
      <c r="C36" s="22" t="s">
        <v>44</v>
      </c>
      <c r="D36" s="23"/>
      <c r="E36" s="29"/>
      <c r="F36" s="29"/>
      <c r="G36" s="29"/>
      <c r="H36" s="53" t="n">
        <v>0.3</v>
      </c>
      <c r="I36" s="54"/>
      <c r="J36" s="29"/>
      <c r="K36" s="30" t="n">
        <f aca="false">D36*H36</f>
        <v>0</v>
      </c>
      <c r="L36" s="52"/>
      <c r="M36" s="40"/>
    </row>
    <row r="37" customFormat="false" ht="14.25" hidden="false" customHeight="false" outlineLevel="0" collapsed="false">
      <c r="B37" s="21"/>
      <c r="C37" s="22" t="s">
        <v>45</v>
      </c>
      <c r="D37" s="23"/>
      <c r="E37" s="29"/>
      <c r="F37" s="29"/>
      <c r="G37" s="29"/>
      <c r="H37" s="53" t="n">
        <v>0.17</v>
      </c>
      <c r="I37" s="54"/>
      <c r="J37" s="29"/>
      <c r="K37" s="30" t="n">
        <f aca="false">D37*H37</f>
        <v>0</v>
      </c>
      <c r="L37" s="52"/>
      <c r="M37" s="40"/>
    </row>
    <row r="38" customFormat="false" ht="14.25" hidden="false" customHeight="false" outlineLevel="0" collapsed="false">
      <c r="B38" s="21"/>
      <c r="C38" s="22" t="s">
        <v>46</v>
      </c>
      <c r="D38" s="23"/>
      <c r="E38" s="29"/>
      <c r="F38" s="29"/>
      <c r="G38" s="29"/>
      <c r="H38" s="53" t="n">
        <f aca="false">(0.31+0.49)/2</f>
        <v>0.4</v>
      </c>
      <c r="I38" s="54"/>
      <c r="J38" s="29"/>
      <c r="K38" s="30" t="n">
        <f aca="false">D38*H38</f>
        <v>0</v>
      </c>
      <c r="L38" s="52"/>
      <c r="M38" s="40"/>
    </row>
    <row r="39" customFormat="false" ht="14.25" hidden="false" customHeight="false" outlineLevel="0" collapsed="false">
      <c r="B39" s="21"/>
      <c r="C39" s="22" t="s">
        <v>47</v>
      </c>
      <c r="D39" s="23"/>
      <c r="E39" s="29"/>
      <c r="F39" s="29"/>
      <c r="G39" s="29"/>
      <c r="H39" s="53" t="n">
        <v>0.23</v>
      </c>
      <c r="I39" s="54"/>
      <c r="J39" s="29"/>
      <c r="K39" s="30" t="n">
        <f aca="false">D39*H39</f>
        <v>0</v>
      </c>
      <c r="L39" s="52"/>
      <c r="M39" s="40"/>
    </row>
    <row r="40" customFormat="false" ht="14.25" hidden="false" customHeight="false" outlineLevel="0" collapsed="false">
      <c r="B40" s="21"/>
      <c r="C40" s="22" t="s">
        <v>48</v>
      </c>
      <c r="D40" s="23"/>
      <c r="E40" s="29"/>
      <c r="F40" s="29"/>
      <c r="G40" s="29"/>
      <c r="H40" s="53" t="n">
        <f aca="false">(0.31+0.39)/2</f>
        <v>0.35</v>
      </c>
      <c r="I40" s="54"/>
      <c r="J40" s="29"/>
      <c r="K40" s="30" t="n">
        <f aca="false">D40*H40</f>
        <v>0</v>
      </c>
      <c r="L40" s="52"/>
      <c r="M40" s="40"/>
    </row>
    <row r="41" customFormat="false" ht="14.25" hidden="false" customHeight="false" outlineLevel="0" collapsed="false">
      <c r="B41" s="21"/>
      <c r="C41" s="22" t="s">
        <v>49</v>
      </c>
      <c r="D41" s="51" t="n">
        <v>360499.53</v>
      </c>
      <c r="E41" s="29"/>
      <c r="F41" s="29"/>
      <c r="G41" s="29"/>
      <c r="H41" s="57" t="n">
        <v>0.3</v>
      </c>
      <c r="I41" s="54"/>
      <c r="J41" s="29"/>
      <c r="K41" s="30" t="n">
        <f aca="false">D41*H41</f>
        <v>108149.859</v>
      </c>
      <c r="L41" s="52"/>
      <c r="M41" s="40"/>
    </row>
    <row r="42" customFormat="false" ht="14.25" hidden="false" customHeight="false" outlineLevel="0" collapsed="false">
      <c r="B42" s="21"/>
      <c r="C42" s="22" t="s">
        <v>50</v>
      </c>
      <c r="D42" s="51" t="n">
        <v>0</v>
      </c>
      <c r="E42" s="29"/>
      <c r="F42" s="29"/>
      <c r="G42" s="29"/>
      <c r="H42" s="57" t="n">
        <v>0.31</v>
      </c>
      <c r="I42" s="54"/>
      <c r="J42" s="29"/>
      <c r="K42" s="30" t="n">
        <f aca="false">D42*H42</f>
        <v>0</v>
      </c>
      <c r="L42" s="52"/>
      <c r="M42" s="40"/>
    </row>
    <row r="43" customFormat="false" ht="14.25" hidden="false" customHeight="false" outlineLevel="0" collapsed="false">
      <c r="B43" s="21"/>
      <c r="C43" s="22" t="s">
        <v>51</v>
      </c>
      <c r="D43" s="51"/>
      <c r="E43" s="29"/>
      <c r="F43" s="29"/>
      <c r="G43" s="29"/>
      <c r="H43" s="57" t="n">
        <v>0.76</v>
      </c>
      <c r="I43" s="54"/>
      <c r="J43" s="29"/>
      <c r="K43" s="30" t="n">
        <f aca="false">D43*H43</f>
        <v>0</v>
      </c>
      <c r="L43" s="52"/>
      <c r="M43" s="40"/>
    </row>
    <row r="44" customFormat="false" ht="14.25" hidden="false" customHeight="false" outlineLevel="0" collapsed="false">
      <c r="B44" s="21"/>
      <c r="C44" s="22" t="s">
        <v>52</v>
      </c>
      <c r="D44" s="51" t="n">
        <v>937341.24</v>
      </c>
      <c r="E44" s="29"/>
      <c r="F44" s="29"/>
      <c r="G44" s="29"/>
      <c r="H44" s="57" t="n">
        <v>0.85</v>
      </c>
      <c r="I44" s="54"/>
      <c r="J44" s="29"/>
      <c r="K44" s="30" t="n">
        <f aca="false">D44*H44</f>
        <v>796740.054</v>
      </c>
      <c r="L44" s="52"/>
      <c r="M44" s="40"/>
    </row>
    <row r="45" customFormat="false" ht="14.25" hidden="false" customHeight="false" outlineLevel="0" collapsed="false">
      <c r="B45" s="21"/>
      <c r="C45" s="22" t="s">
        <v>14</v>
      </c>
      <c r="D45" s="80" t="n">
        <f aca="false">SUM(D9:D44)</f>
        <v>1297840.77</v>
      </c>
      <c r="E45" s="29"/>
      <c r="F45" s="29"/>
      <c r="G45" s="29"/>
      <c r="H45" s="59"/>
      <c r="I45" s="60"/>
      <c r="J45" s="29"/>
      <c r="K45" s="39" t="n">
        <f aca="false">SUM(K9:K44)</f>
        <v>904889.913</v>
      </c>
      <c r="L45" s="31" t="n">
        <f aca="false">K45/K$59</f>
        <v>0.939182233507213</v>
      </c>
      <c r="M45" s="40"/>
    </row>
    <row r="46" customFormat="false" ht="14.25" hidden="false" customHeight="false" outlineLevel="0" collapsed="false">
      <c r="B46" s="61"/>
      <c r="C46" s="42"/>
      <c r="D46" s="45"/>
      <c r="E46" s="42"/>
      <c r="F46" s="42"/>
      <c r="G46" s="42"/>
      <c r="H46" s="42"/>
      <c r="I46" s="62"/>
      <c r="J46" s="42"/>
      <c r="K46" s="63"/>
      <c r="L46" s="64"/>
      <c r="M46" s="49"/>
    </row>
    <row r="47" customFormat="false" ht="18" hidden="false" customHeight="true" outlineLevel="0" collapsed="false">
      <c r="B47" s="21" t="s">
        <v>53</v>
      </c>
      <c r="C47" s="29"/>
      <c r="D47" s="23"/>
      <c r="E47" s="29" t="s">
        <v>54</v>
      </c>
      <c r="F47" s="29"/>
      <c r="G47" s="29"/>
      <c r="H47" s="65" t="n">
        <f aca="false">(0.93+0.95+1.2)/3</f>
        <v>1.02666666666667</v>
      </c>
      <c r="I47" s="55"/>
      <c r="J47" s="29"/>
      <c r="K47" s="30" t="n">
        <f aca="false">D47*H47</f>
        <v>0</v>
      </c>
      <c r="L47" s="31" t="n">
        <f aca="false">K47/K$59</f>
        <v>0</v>
      </c>
      <c r="M47" s="40"/>
    </row>
    <row r="48" customFormat="false" ht="14.25" hidden="false" customHeight="false" outlineLevel="0" collapsed="false">
      <c r="B48" s="61"/>
      <c r="C48" s="42"/>
      <c r="D48" s="45"/>
      <c r="E48" s="42"/>
      <c r="F48" s="42"/>
      <c r="G48" s="42"/>
      <c r="H48" s="42"/>
      <c r="I48" s="62"/>
      <c r="J48" s="42"/>
      <c r="K48" s="63"/>
      <c r="L48" s="64"/>
      <c r="M48" s="49"/>
    </row>
    <row r="49" customFormat="false" ht="18" hidden="false" customHeight="true" outlineLevel="0" collapsed="false">
      <c r="B49" s="21" t="s">
        <v>55</v>
      </c>
      <c r="C49" s="29"/>
      <c r="D49" s="23"/>
      <c r="E49" s="29"/>
      <c r="F49" s="29"/>
      <c r="G49" s="29"/>
      <c r="H49" s="59" t="n">
        <v>1.42</v>
      </c>
      <c r="I49" s="60"/>
      <c r="J49" s="29"/>
      <c r="K49" s="30" t="n">
        <f aca="false">D49*H49</f>
        <v>0</v>
      </c>
      <c r="L49" s="52"/>
      <c r="M49" s="40"/>
    </row>
    <row r="50" customFormat="false" ht="14.25" hidden="false" customHeight="false" outlineLevel="0" collapsed="false">
      <c r="B50" s="61"/>
      <c r="C50" s="42"/>
      <c r="D50" s="45"/>
      <c r="E50" s="42"/>
      <c r="F50" s="42"/>
      <c r="G50" s="42"/>
      <c r="H50" s="42"/>
      <c r="I50" s="62"/>
      <c r="J50" s="42"/>
      <c r="K50" s="63"/>
      <c r="L50" s="64"/>
      <c r="M50" s="49"/>
    </row>
    <row r="51" customFormat="false" ht="18.75" hidden="false" customHeight="true" outlineLevel="0" collapsed="false">
      <c r="B51" s="21" t="s">
        <v>56</v>
      </c>
      <c r="C51" s="29"/>
      <c r="D51" s="23" t="n">
        <v>30505.4</v>
      </c>
      <c r="E51" s="29"/>
      <c r="F51" s="29"/>
      <c r="G51" s="29"/>
      <c r="H51" s="59" t="n">
        <v>0.95</v>
      </c>
      <c r="I51" s="60"/>
      <c r="J51" s="29"/>
      <c r="K51" s="30" t="n">
        <f aca="false">D51*H51</f>
        <v>28980.13</v>
      </c>
      <c r="L51" s="52"/>
      <c r="M51" s="40"/>
    </row>
    <row r="52" customFormat="false" ht="14.25" hidden="false" customHeight="false" outlineLevel="0" collapsed="false">
      <c r="B52" s="61"/>
      <c r="C52" s="42"/>
      <c r="D52" s="45"/>
      <c r="E52" s="42"/>
      <c r="F52" s="42"/>
      <c r="G52" s="42"/>
      <c r="H52" s="42"/>
      <c r="I52" s="62"/>
      <c r="J52" s="42"/>
      <c r="K52" s="63"/>
      <c r="L52" s="64"/>
      <c r="M52" s="49"/>
    </row>
    <row r="53" customFormat="false" ht="19.5" hidden="false" customHeight="true" outlineLevel="0" collapsed="false">
      <c r="B53" s="21" t="s">
        <v>57</v>
      </c>
      <c r="C53" s="29"/>
      <c r="D53" s="66" t="n">
        <f aca="false">D45+D47+D49+D51</f>
        <v>1328346.17</v>
      </c>
      <c r="E53" s="29"/>
      <c r="F53" s="29"/>
      <c r="G53" s="29"/>
      <c r="H53" s="59"/>
      <c r="I53" s="60"/>
      <c r="J53" s="29" t="s">
        <v>58</v>
      </c>
      <c r="K53" s="30" t="n">
        <f aca="false">K45+K56+K49+K51</f>
        <v>933870.043</v>
      </c>
      <c r="L53" s="31" t="n">
        <f aca="false">K53/K$59</f>
        <v>0.969260614125353</v>
      </c>
      <c r="M53" s="40"/>
    </row>
    <row r="54" customFormat="false" ht="14.25" hidden="false" customHeight="false" outlineLevel="0" collapsed="false">
      <c r="B54" s="61"/>
      <c r="C54" s="42"/>
      <c r="D54" s="45"/>
      <c r="E54" s="42"/>
      <c r="F54" s="42"/>
      <c r="G54" s="42"/>
      <c r="H54" s="42"/>
      <c r="I54" s="62"/>
      <c r="J54" s="42"/>
      <c r="K54" s="63"/>
      <c r="L54" s="64"/>
      <c r="M54" s="49"/>
    </row>
    <row r="55" customFormat="false" ht="14.25" hidden="false" customHeight="false" outlineLevel="0" collapsed="false">
      <c r="B55" s="21" t="s">
        <v>59</v>
      </c>
      <c r="C55" s="22" t="s">
        <v>60</v>
      </c>
      <c r="D55" s="32"/>
      <c r="E55" s="67" t="s">
        <v>61</v>
      </c>
      <c r="F55" s="29"/>
      <c r="G55" s="29"/>
      <c r="H55" s="59"/>
      <c r="I55" s="60"/>
      <c r="J55" s="29"/>
      <c r="K55" s="30"/>
      <c r="L55" s="52"/>
      <c r="M55" s="40"/>
    </row>
    <row r="56" customFormat="false" ht="14.25" hidden="false" customHeight="false" outlineLevel="0" collapsed="false">
      <c r="B56" s="21"/>
      <c r="C56" s="22" t="s">
        <v>62</v>
      </c>
      <c r="D56" s="32"/>
      <c r="E56" s="67" t="s">
        <v>63</v>
      </c>
      <c r="F56" s="29"/>
      <c r="G56" s="29"/>
      <c r="H56" s="65" t="n">
        <v>0.39</v>
      </c>
      <c r="I56" s="55"/>
      <c r="J56" s="29"/>
      <c r="K56" s="30" t="n">
        <f aca="false">D56*H56</f>
        <v>0</v>
      </c>
      <c r="L56" s="31"/>
      <c r="M56" s="40"/>
    </row>
    <row r="57" customFormat="false" ht="14.25" hidden="false" customHeight="false" outlineLevel="0" collapsed="false">
      <c r="B57" s="21"/>
      <c r="C57" s="22" t="s">
        <v>64</v>
      </c>
      <c r="D57" s="68"/>
      <c r="E57" s="29"/>
      <c r="F57" s="29"/>
      <c r="G57" s="29"/>
      <c r="H57" s="65" t="n">
        <v>641.341546885695</v>
      </c>
      <c r="I57" s="55"/>
      <c r="J57" s="69" t="s">
        <v>65</v>
      </c>
      <c r="K57" s="30" t="n">
        <f aca="false">D57*H57/2</f>
        <v>0</v>
      </c>
      <c r="L57" s="31" t="n">
        <f aca="false">K57/K$59</f>
        <v>0</v>
      </c>
      <c r="M57" s="40"/>
    </row>
    <row r="58" customFormat="false" ht="14.25" hidden="false" customHeight="false" outlineLevel="0" collapsed="false">
      <c r="B58" s="61"/>
      <c r="C58" s="42"/>
      <c r="D58" s="45"/>
      <c r="E58" s="42"/>
      <c r="F58" s="42"/>
      <c r="G58" s="42"/>
      <c r="H58" s="42"/>
      <c r="I58" s="62"/>
      <c r="J58" s="42"/>
      <c r="K58" s="63"/>
      <c r="L58" s="64"/>
      <c r="M58" s="49"/>
    </row>
    <row r="59" customFormat="false" ht="19.5" hidden="false" customHeight="true" outlineLevel="0" collapsed="false">
      <c r="B59" s="21" t="s">
        <v>2</v>
      </c>
      <c r="C59" s="29"/>
      <c r="D59" s="70" t="n">
        <f aca="false">D7+D53+D55+D56</f>
        <v>1343961.3808</v>
      </c>
      <c r="E59" s="29"/>
      <c r="F59" s="29"/>
      <c r="G59" s="29"/>
      <c r="H59" s="59"/>
      <c r="I59" s="60"/>
      <c r="J59" s="29"/>
      <c r="K59" s="39" t="n">
        <f aca="false">SUM(K7,K47,K53,K57)</f>
        <v>963487.043</v>
      </c>
      <c r="L59" s="31" t="n">
        <f aca="false">K59/K$59</f>
        <v>1</v>
      </c>
      <c r="M59" s="40"/>
    </row>
    <row r="60" customFormat="false" ht="14.25" hidden="false" customHeight="false" outlineLevel="0" collapsed="false">
      <c r="B60" s="61"/>
      <c r="C60" s="42"/>
      <c r="D60" s="45"/>
      <c r="E60" s="42"/>
      <c r="F60" s="42"/>
      <c r="G60" s="42"/>
      <c r="H60" s="42"/>
      <c r="I60" s="62"/>
      <c r="J60" s="42"/>
      <c r="K60" s="42"/>
      <c r="L60" s="42"/>
      <c r="M60" s="49"/>
    </row>
    <row r="61" customFormat="false" ht="18" hidden="false" customHeight="true" outlineLevel="0" collapsed="false">
      <c r="B61" s="21" t="s">
        <v>66</v>
      </c>
      <c r="C61" s="29"/>
      <c r="D61" s="35" t="n">
        <f aca="false">D59-D55</f>
        <v>1343961.3808</v>
      </c>
      <c r="E61" s="29"/>
      <c r="F61" s="29"/>
      <c r="G61" s="29"/>
      <c r="H61" s="59"/>
      <c r="I61" s="60"/>
      <c r="J61" s="69" t="s">
        <v>67</v>
      </c>
      <c r="K61" s="29" t="n">
        <f aca="false">K59/D61</f>
        <v>0.716900840131641</v>
      </c>
      <c r="L61" s="29"/>
      <c r="M61" s="40"/>
    </row>
    <row r="62" customFormat="false" ht="14.25" hidden="false" customHeight="false" outlineLevel="0" collapsed="false">
      <c r="B62" s="61"/>
      <c r="C62" s="42"/>
      <c r="D62" s="42"/>
      <c r="E62" s="42"/>
      <c r="F62" s="42"/>
      <c r="G62" s="42"/>
      <c r="H62" s="42"/>
      <c r="I62" s="62"/>
      <c r="J62" s="42"/>
      <c r="K62" s="42"/>
      <c r="L62" s="42"/>
      <c r="M62" s="49"/>
    </row>
    <row r="63" customFormat="false" ht="18" hidden="false" customHeight="true" outlineLevel="0" collapsed="false">
      <c r="B63" s="71" t="s">
        <v>68</v>
      </c>
      <c r="C63" s="72"/>
      <c r="D63" s="73" t="n">
        <f aca="false">D61*1.5</f>
        <v>2015942.0712</v>
      </c>
      <c r="E63" s="72"/>
      <c r="F63" s="72"/>
      <c r="G63" s="72"/>
      <c r="H63" s="74"/>
      <c r="I63" s="75"/>
      <c r="J63" s="76" t="s">
        <v>69</v>
      </c>
      <c r="K63" s="72" t="n">
        <f aca="false">K59/D63</f>
        <v>0.477933893421094</v>
      </c>
      <c r="L63" s="72"/>
      <c r="M63" s="77"/>
    </row>
    <row r="64" customFormat="false" ht="14.25" hidden="false" customHeight="false" outlineLevel="0" collapsed="false">
      <c r="I64" s="78"/>
    </row>
    <row r="65" customFormat="false" ht="14.25" hidden="false" customHeight="false" outlineLevel="0" collapsed="false">
      <c r="I65" s="78"/>
    </row>
    <row r="66" customFormat="false" ht="14.25" hidden="false" customHeight="false" outlineLevel="0" collapsed="false">
      <c r="B66" s="1" t="str">
        <f aca="false">CHAR(185)&amp;" Defra 2020 Gross Calorific value"</f>
        <v>� Defra 2020 Gross Calorific value</v>
      </c>
      <c r="I66" s="78"/>
    </row>
    <row r="67" customFormat="false" ht="14.25" hidden="false" customHeight="false" outlineLevel="0" collapsed="false">
      <c r="B67" s="1" t="str">
        <f aca="false">CHAR(178)&amp;" Defra 2020"</f>
        <v>� Defra 2020</v>
      </c>
      <c r="I67" s="78"/>
    </row>
    <row r="68" customFormat="false" ht="14.25" hidden="false" customHeight="false" outlineLevel="0" collapsed="false">
      <c r="B68" s="1" t="str">
        <f aca="false">CHAR(179)&amp;" Average of Petrol and Diesel value"</f>
        <v>� Average of Petrol and Diesel value</v>
      </c>
      <c r="I68" s="78"/>
    </row>
    <row r="69" customFormat="false" ht="14.25" hidden="false" customHeight="false" outlineLevel="0" collapsed="false">
      <c r="I69" s="78"/>
    </row>
    <row r="70" customFormat="false" ht="14.25" hidden="false" customHeight="false" outlineLevel="0" collapsed="false">
      <c r="I70" s="78"/>
    </row>
    <row r="71" customFormat="false" ht="14.25" hidden="false" customHeight="false" outlineLevel="0" collapsed="false">
      <c r="I71" s="78"/>
    </row>
    <row r="72" customFormat="false" ht="14.25" hidden="false" customHeight="false" outlineLevel="0" collapsed="false">
      <c r="I72" s="78"/>
    </row>
    <row r="73" customFormat="false" ht="14.25" hidden="false" customHeight="false" outlineLevel="0" collapsed="false">
      <c r="I73" s="78"/>
    </row>
  </sheetData>
  <mergeCells count="1">
    <mergeCell ref="H3:I3"/>
  </mergeCells>
  <printOptions headings="false" gridLines="false" gridLinesSet="true" horizontalCentered="false" verticalCentered="false"/>
  <pageMargins left="0" right="0" top="0.39375" bottom="0.39375" header="0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J73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D64" activeCellId="0" sqref="D64"/>
    </sheetView>
  </sheetViews>
  <sheetFormatPr defaultColWidth="9.00390625" defaultRowHeight="14.25" zeroHeight="false" outlineLevelRow="0" outlineLevelCol="0"/>
  <cols>
    <col collapsed="false" customWidth="true" hidden="false" outlineLevel="0" max="1" min="1" style="1" width="10.62"/>
    <col collapsed="false" customWidth="true" hidden="false" outlineLevel="0" max="2" min="2" style="1" width="31.75"/>
    <col collapsed="false" customWidth="true" hidden="false" outlineLevel="0" max="3" min="3" style="1" width="25.26"/>
    <col collapsed="false" customWidth="true" hidden="false" outlineLevel="0" max="4" min="4" style="1" width="18.38"/>
    <col collapsed="false" customWidth="true" hidden="false" outlineLevel="0" max="5" min="5" style="1" width="25.88"/>
    <col collapsed="false" customWidth="true" hidden="false" outlineLevel="0" max="6" min="6" style="1" width="15.12"/>
    <col collapsed="false" customWidth="true" hidden="false" outlineLevel="0" max="7" min="7" style="1" width="21.26"/>
    <col collapsed="false" customWidth="true" hidden="false" outlineLevel="0" max="8" min="8" style="1" width="26.5"/>
    <col collapsed="false" customWidth="true" hidden="false" outlineLevel="0" max="9" min="9" style="1" width="1.38"/>
    <col collapsed="false" customWidth="true" hidden="false" outlineLevel="0" max="10" min="10" style="1" width="29.88"/>
    <col collapsed="false" customWidth="true" hidden="false" outlineLevel="0" max="11" min="11" style="1" width="18.5"/>
    <col collapsed="false" customWidth="true" hidden="false" outlineLevel="0" max="12" min="12" style="1" width="27.25"/>
    <col collapsed="false" customWidth="true" hidden="false" outlineLevel="0" max="13" min="13" style="1" width="38.25"/>
    <col collapsed="false" customWidth="false" hidden="false" outlineLevel="0" max="14" min="14" style="1" width="9"/>
    <col collapsed="false" customWidth="true" hidden="false" outlineLevel="0" max="15" min="15" style="1" width="10.38"/>
    <col collapsed="false" customWidth="true" hidden="false" outlineLevel="0" max="16" min="16" style="1" width="13.5"/>
    <col collapsed="false" customWidth="false" hidden="false" outlineLevel="0" max="1020" min="17" style="1" width="9"/>
  </cols>
  <sheetData>
    <row r="1" customFormat="false" ht="29.25" hidden="false" customHeight="true" outlineLevel="0" collapsed="false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3"/>
      <c r="AMH1" s="3"/>
      <c r="AMI1" s="3"/>
      <c r="AMJ1" s="3"/>
    </row>
    <row r="2" customFormat="false" ht="26.25" hidden="false" customHeight="true" outlineLevel="0" collapsed="false"/>
    <row r="3" customFormat="false" ht="21" hidden="false" customHeight="true" outlineLevel="0" collapsed="false">
      <c r="B3" s="5" t="s">
        <v>1</v>
      </c>
      <c r="C3" s="6"/>
      <c r="D3" s="6" t="s">
        <v>2</v>
      </c>
      <c r="E3" s="6" t="s">
        <v>3</v>
      </c>
      <c r="F3" s="6" t="s">
        <v>4</v>
      </c>
      <c r="G3" s="6" t="s">
        <v>5</v>
      </c>
      <c r="H3" s="6" t="s">
        <v>6</v>
      </c>
      <c r="I3" s="6"/>
      <c r="J3" s="6"/>
      <c r="K3" s="6" t="s">
        <v>7</v>
      </c>
      <c r="L3" s="6" t="s">
        <v>8</v>
      </c>
      <c r="M3" s="7" t="s">
        <v>9</v>
      </c>
    </row>
    <row r="4" customFormat="false" ht="14.25" hidden="false" customHeight="false" outlineLevel="0" collapsed="false">
      <c r="B4" s="8" t="s">
        <v>10</v>
      </c>
      <c r="C4" s="9" t="s">
        <v>11</v>
      </c>
      <c r="D4" s="79"/>
      <c r="E4" s="11" t="n">
        <v>0.023415</v>
      </c>
      <c r="F4" s="12"/>
      <c r="G4" s="13" t="n">
        <f aca="false">D4/E4</f>
        <v>0</v>
      </c>
      <c r="H4" s="14" t="n">
        <v>0.18316</v>
      </c>
      <c r="I4" s="15" t="str">
        <f aca="false">CHAR(185)</f>
        <v>�</v>
      </c>
      <c r="J4" s="16"/>
      <c r="K4" s="17" t="n">
        <f aca="false">IF(F4,F4*H4,G4*H4)</f>
        <v>0</v>
      </c>
      <c r="L4" s="18" t="n">
        <f aca="false">K4/K$59</f>
        <v>0</v>
      </c>
      <c r="M4" s="19" t="n">
        <f aca="false">IF(D4=0, 0, K4/D4)</f>
        <v>0</v>
      </c>
      <c r="N4" s="20"/>
      <c r="AMG4" s="1"/>
    </row>
    <row r="5" customFormat="false" ht="14.25" hidden="false" customHeight="false" outlineLevel="0" collapsed="false">
      <c r="B5" s="21"/>
      <c r="C5" s="22" t="s">
        <v>12</v>
      </c>
      <c r="D5" s="23"/>
      <c r="E5" s="24" t="n">
        <v>0.13344</v>
      </c>
      <c r="F5" s="25"/>
      <c r="G5" s="26" t="n">
        <f aca="false">D5/E5</f>
        <v>0</v>
      </c>
      <c r="H5" s="27" t="n">
        <v>0.21233</v>
      </c>
      <c r="I5" s="28" t="str">
        <f aca="false">CHAR(178)</f>
        <v>�</v>
      </c>
      <c r="J5" s="29"/>
      <c r="K5" s="30" t="n">
        <f aca="false">IF(F5,F5*H5,G5*H5)</f>
        <v>0</v>
      </c>
      <c r="L5" s="31" t="n">
        <f aca="false">K5/K$59</f>
        <v>0</v>
      </c>
      <c r="M5" s="19" t="n">
        <f aca="false">IF(D5=0, 0, K5/D5)</f>
        <v>0</v>
      </c>
      <c r="N5" s="20"/>
      <c r="AMG5" s="1"/>
    </row>
    <row r="6" customFormat="false" ht="14.25" hidden="false" customHeight="false" outlineLevel="0" collapsed="false">
      <c r="B6" s="21"/>
      <c r="C6" s="22" t="s">
        <v>13</v>
      </c>
      <c r="D6" s="23" t="n">
        <f aca="false">F6*1.33</f>
        <v>16245.019</v>
      </c>
      <c r="E6" s="33" t="n">
        <v>133</v>
      </c>
      <c r="F6" s="25" t="n">
        <v>12214.3</v>
      </c>
      <c r="G6" s="34" t="n">
        <f aca="false">D6*100/E6</f>
        <v>12214.3</v>
      </c>
      <c r="H6" s="27" t="n">
        <f aca="false">(0.0575+0.06425)/2</f>
        <v>0.060875</v>
      </c>
      <c r="I6" s="28" t="str">
        <f aca="false">CHAR(179)</f>
        <v>�</v>
      </c>
      <c r="J6" s="29"/>
      <c r="K6" s="30" t="n">
        <v>30771</v>
      </c>
      <c r="L6" s="31" t="n">
        <f aca="false">K6/K$59</f>
        <v>0.0306034171261777</v>
      </c>
      <c r="M6" s="19" t="n">
        <f aca="false">IF(D6=0, 0, K6/D6)</f>
        <v>1.89418061006885</v>
      </c>
      <c r="N6" s="20"/>
      <c r="AMG6" s="1"/>
    </row>
    <row r="7" customFormat="false" ht="14.25" hidden="false" customHeight="false" outlineLevel="0" collapsed="false">
      <c r="B7" s="21"/>
      <c r="C7" s="22" t="s">
        <v>14</v>
      </c>
      <c r="D7" s="81" t="n">
        <f aca="false">SUM(D4:D6)</f>
        <v>16245.019</v>
      </c>
      <c r="E7" s="36" t="str">
        <f aca="false">TEXT(D7/D61, "0.00%") &amp;" of Non Pay Spend"</f>
        <v>1.16% of Non Pay Spend</v>
      </c>
      <c r="F7" s="29"/>
      <c r="G7" s="29"/>
      <c r="H7" s="37"/>
      <c r="I7" s="38"/>
      <c r="J7" s="29"/>
      <c r="K7" s="39" t="n">
        <f aca="false">SUM(K4:K6)</f>
        <v>30771</v>
      </c>
      <c r="L7" s="31" t="n">
        <f aca="false">K7/K$59</f>
        <v>0.0306034171261777</v>
      </c>
      <c r="M7" s="40"/>
    </row>
    <row r="8" customFormat="false" ht="14.25" hidden="false" customHeight="false" outlineLevel="0" collapsed="false">
      <c r="B8" s="41"/>
      <c r="C8" s="42"/>
      <c r="D8" s="43"/>
      <c r="E8" s="44"/>
      <c r="F8" s="42"/>
      <c r="G8" s="42"/>
      <c r="H8" s="46"/>
      <c r="I8" s="47"/>
      <c r="J8" s="42"/>
      <c r="K8" s="48"/>
      <c r="L8" s="44"/>
      <c r="M8" s="49"/>
    </row>
    <row r="9" customFormat="false" ht="14.25" hidden="false" customHeight="false" outlineLevel="0" collapsed="false">
      <c r="B9" s="8" t="s">
        <v>15</v>
      </c>
      <c r="C9" s="50" t="s">
        <v>16</v>
      </c>
      <c r="D9" s="51"/>
      <c r="E9" s="52"/>
      <c r="F9" s="52"/>
      <c r="G9" s="52"/>
      <c r="H9" s="53" t="n">
        <v>0.17</v>
      </c>
      <c r="I9" s="54"/>
      <c r="J9" s="52"/>
      <c r="K9" s="39" t="n">
        <f aca="false">D9*H9</f>
        <v>0</v>
      </c>
      <c r="L9" s="52"/>
      <c r="M9" s="40"/>
    </row>
    <row r="10" customFormat="false" ht="14.25" hidden="false" customHeight="false" outlineLevel="0" collapsed="false">
      <c r="B10" s="21"/>
      <c r="C10" s="50" t="s">
        <v>17</v>
      </c>
      <c r="D10" s="51"/>
      <c r="E10" s="52"/>
      <c r="F10" s="52"/>
      <c r="G10" s="52"/>
      <c r="H10" s="53" t="n">
        <v>0.15</v>
      </c>
      <c r="I10" s="54"/>
      <c r="J10" s="52"/>
      <c r="K10" s="39" t="n">
        <f aca="false">D10*H10</f>
        <v>0</v>
      </c>
      <c r="L10" s="52"/>
      <c r="M10" s="40"/>
    </row>
    <row r="11" customFormat="false" ht="14.25" hidden="false" customHeight="false" outlineLevel="0" collapsed="false">
      <c r="B11" s="21"/>
      <c r="C11" s="50" t="s">
        <v>18</v>
      </c>
      <c r="D11" s="51"/>
      <c r="E11" s="52"/>
      <c r="F11" s="52"/>
      <c r="G11" s="52"/>
      <c r="H11" s="53" t="n">
        <v>0.28</v>
      </c>
      <c r="I11" s="54"/>
      <c r="J11" s="52"/>
      <c r="K11" s="39" t="n">
        <f aca="false">D11*H11</f>
        <v>0</v>
      </c>
      <c r="L11" s="52"/>
      <c r="M11" s="40"/>
      <c r="P11" s="56"/>
    </row>
    <row r="12" customFormat="false" ht="14.25" hidden="false" customHeight="false" outlineLevel="0" collapsed="false">
      <c r="B12" s="21"/>
      <c r="C12" s="22" t="s">
        <v>19</v>
      </c>
      <c r="D12" s="23"/>
      <c r="E12" s="29"/>
      <c r="F12" s="29"/>
      <c r="G12" s="29"/>
      <c r="H12" s="53" t="n">
        <v>0.32</v>
      </c>
      <c r="I12" s="55"/>
      <c r="J12" s="29"/>
      <c r="K12" s="30" t="n">
        <f aca="false">D12*H12</f>
        <v>0</v>
      </c>
      <c r="L12" s="52"/>
      <c r="M12" s="40"/>
      <c r="P12" s="56"/>
    </row>
    <row r="13" customFormat="false" ht="14.25" hidden="false" customHeight="false" outlineLevel="0" collapsed="false">
      <c r="B13" s="21"/>
      <c r="C13" s="22" t="s">
        <v>20</v>
      </c>
      <c r="D13" s="51"/>
      <c r="E13" s="29"/>
      <c r="F13" s="29"/>
      <c r="G13" s="29"/>
      <c r="H13" s="53" t="n">
        <v>0.41</v>
      </c>
      <c r="I13" s="55"/>
      <c r="J13" s="29"/>
      <c r="K13" s="30" t="n">
        <f aca="false">D13*H13</f>
        <v>0</v>
      </c>
      <c r="L13" s="52"/>
      <c r="M13" s="40"/>
    </row>
    <row r="14" customFormat="false" ht="14.25" hidden="false" customHeight="false" outlineLevel="0" collapsed="false">
      <c r="B14" s="21"/>
      <c r="C14" s="22" t="s">
        <v>21</v>
      </c>
      <c r="D14" s="51"/>
      <c r="E14" s="29"/>
      <c r="F14" s="29"/>
      <c r="G14" s="29"/>
      <c r="H14" s="53" t="n">
        <v>0.2</v>
      </c>
      <c r="I14" s="55"/>
      <c r="J14" s="29"/>
      <c r="K14" s="30" t="n">
        <f aca="false">D14*H14</f>
        <v>0</v>
      </c>
      <c r="L14" s="52"/>
      <c r="M14" s="40"/>
    </row>
    <row r="15" customFormat="false" ht="14.25" hidden="false" customHeight="false" outlineLevel="0" collapsed="false">
      <c r="B15" s="21"/>
      <c r="C15" s="22" t="s">
        <v>22</v>
      </c>
      <c r="D15" s="51"/>
      <c r="E15" s="29"/>
      <c r="F15" s="29"/>
      <c r="G15" s="29"/>
      <c r="H15" s="53" t="n">
        <v>0.31</v>
      </c>
      <c r="I15" s="55"/>
      <c r="J15" s="29"/>
      <c r="K15" s="30" t="n">
        <f aca="false">D15*H15</f>
        <v>0</v>
      </c>
      <c r="L15" s="52"/>
      <c r="M15" s="40"/>
      <c r="O15" s="56"/>
      <c r="P15" s="56"/>
    </row>
    <row r="16" customFormat="false" ht="14.25" hidden="false" customHeight="false" outlineLevel="0" collapsed="false">
      <c r="B16" s="21"/>
      <c r="C16" s="22" t="s">
        <v>23</v>
      </c>
      <c r="D16" s="51"/>
      <c r="E16" s="29"/>
      <c r="F16" s="29"/>
      <c r="G16" s="29"/>
      <c r="H16" s="53" t="n">
        <v>0.49</v>
      </c>
      <c r="I16" s="55"/>
      <c r="J16" s="29"/>
      <c r="K16" s="30" t="n">
        <f aca="false">D16*H16</f>
        <v>0</v>
      </c>
      <c r="L16" s="52"/>
      <c r="M16" s="40"/>
    </row>
    <row r="17" customFormat="false" ht="14.25" hidden="false" customHeight="false" outlineLevel="0" collapsed="false">
      <c r="B17" s="21"/>
      <c r="C17" s="22" t="s">
        <v>24</v>
      </c>
      <c r="D17" s="51"/>
      <c r="E17" s="29"/>
      <c r="F17" s="29"/>
      <c r="G17" s="29"/>
      <c r="H17" s="53" t="n">
        <v>0.17</v>
      </c>
      <c r="I17" s="55"/>
      <c r="J17" s="29"/>
      <c r="K17" s="30" t="n">
        <f aca="false">D17*H17</f>
        <v>0</v>
      </c>
      <c r="L17" s="52"/>
      <c r="M17" s="40"/>
    </row>
    <row r="18" customFormat="false" ht="14.25" hidden="false" customHeight="false" outlineLevel="0" collapsed="false">
      <c r="B18" s="21"/>
      <c r="C18" s="22" t="s">
        <v>25</v>
      </c>
      <c r="D18" s="51"/>
      <c r="E18" s="29"/>
      <c r="F18" s="29"/>
      <c r="G18" s="29"/>
      <c r="H18" s="53" t="n">
        <v>0.28</v>
      </c>
      <c r="I18" s="55"/>
      <c r="J18" s="29"/>
      <c r="K18" s="30" t="n">
        <f aca="false">D18*H18</f>
        <v>0</v>
      </c>
      <c r="L18" s="52"/>
      <c r="M18" s="40"/>
    </row>
    <row r="19" customFormat="false" ht="14.25" hidden="false" customHeight="false" outlineLevel="0" collapsed="false">
      <c r="B19" s="21"/>
      <c r="C19" s="22" t="s">
        <v>26</v>
      </c>
      <c r="D19" s="51"/>
      <c r="E19" s="29"/>
      <c r="F19" s="29"/>
      <c r="G19" s="29"/>
      <c r="H19" s="53" t="n">
        <v>0.17</v>
      </c>
      <c r="I19" s="55"/>
      <c r="J19" s="29"/>
      <c r="K19" s="30" t="n">
        <f aca="false">D19*H19</f>
        <v>0</v>
      </c>
      <c r="L19" s="52"/>
      <c r="M19" s="40"/>
    </row>
    <row r="20" customFormat="false" ht="14.25" hidden="false" customHeight="false" outlineLevel="0" collapsed="false">
      <c r="B20" s="21"/>
      <c r="C20" s="22" t="s">
        <v>27</v>
      </c>
      <c r="D20" s="82"/>
      <c r="E20" s="29"/>
      <c r="F20" s="29"/>
      <c r="G20" s="29"/>
      <c r="H20" s="53" t="n">
        <v>0.17</v>
      </c>
      <c r="I20" s="55"/>
      <c r="J20" s="29"/>
      <c r="K20" s="30" t="n">
        <f aca="false">D20*H20</f>
        <v>0</v>
      </c>
      <c r="L20" s="52"/>
      <c r="M20" s="40"/>
    </row>
    <row r="21" customFormat="false" ht="14.25" hidden="false" customHeight="false" outlineLevel="0" collapsed="false">
      <c r="B21" s="21"/>
      <c r="C21" s="22" t="s">
        <v>28</v>
      </c>
      <c r="D21" s="51"/>
      <c r="E21" s="29"/>
      <c r="F21" s="29"/>
      <c r="G21" s="29"/>
      <c r="H21" s="53" t="n">
        <v>0.17</v>
      </c>
      <c r="I21" s="55"/>
      <c r="J21" s="29"/>
      <c r="K21" s="30" t="n">
        <f aca="false">D21*H21</f>
        <v>0</v>
      </c>
      <c r="L21" s="52"/>
      <c r="M21" s="40"/>
    </row>
    <row r="22" customFormat="false" ht="14.25" hidden="false" customHeight="false" outlineLevel="0" collapsed="false">
      <c r="B22" s="21"/>
      <c r="C22" s="22" t="s">
        <v>29</v>
      </c>
      <c r="D22" s="51"/>
      <c r="E22" s="29"/>
      <c r="F22" s="29"/>
      <c r="G22" s="29"/>
      <c r="H22" s="53" t="n">
        <v>0.97</v>
      </c>
      <c r="I22" s="55"/>
      <c r="J22" s="29"/>
      <c r="K22" s="30" t="n">
        <f aca="false">D22*H22</f>
        <v>0</v>
      </c>
      <c r="L22" s="52"/>
      <c r="M22" s="40"/>
    </row>
    <row r="23" customFormat="false" ht="14.25" hidden="false" customHeight="false" outlineLevel="0" collapsed="false">
      <c r="B23" s="21"/>
      <c r="C23" s="22" t="s">
        <v>30</v>
      </c>
      <c r="D23" s="51"/>
      <c r="E23" s="29"/>
      <c r="F23" s="29"/>
      <c r="G23" s="29"/>
      <c r="H23" s="53" t="n">
        <v>0.31</v>
      </c>
      <c r="I23" s="55"/>
      <c r="J23" s="29"/>
      <c r="K23" s="30" t="n">
        <f aca="false">D23*H23</f>
        <v>0</v>
      </c>
      <c r="L23" s="52"/>
      <c r="M23" s="40"/>
    </row>
    <row r="24" customFormat="false" ht="14.25" hidden="false" customHeight="false" outlineLevel="0" collapsed="false">
      <c r="B24" s="21"/>
      <c r="C24" s="22" t="s">
        <v>31</v>
      </c>
      <c r="D24" s="51"/>
      <c r="E24" s="29"/>
      <c r="F24" s="29"/>
      <c r="G24" s="29"/>
      <c r="H24" s="53" t="n">
        <f aca="false">(0.78+0.48)/2</f>
        <v>0.63</v>
      </c>
      <c r="I24" s="55"/>
      <c r="J24" s="29"/>
      <c r="K24" s="30" t="n">
        <f aca="false">D24*H24</f>
        <v>0</v>
      </c>
      <c r="L24" s="52"/>
      <c r="M24" s="40"/>
    </row>
    <row r="25" customFormat="false" ht="14.25" hidden="false" customHeight="false" outlineLevel="0" collapsed="false">
      <c r="B25" s="21"/>
      <c r="C25" s="22" t="s">
        <v>32</v>
      </c>
      <c r="D25" s="51"/>
      <c r="E25" s="29"/>
      <c r="F25" s="29"/>
      <c r="G25" s="29"/>
      <c r="H25" s="53" t="n">
        <v>0.31</v>
      </c>
      <c r="I25" s="55"/>
      <c r="J25" s="29"/>
      <c r="K25" s="30" t="n">
        <f aca="false">D25*H25</f>
        <v>0</v>
      </c>
      <c r="L25" s="52"/>
      <c r="M25" s="40"/>
    </row>
    <row r="26" customFormat="false" ht="14.25" hidden="false" customHeight="false" outlineLevel="0" collapsed="false">
      <c r="B26" s="21"/>
      <c r="C26" s="22" t="s">
        <v>33</v>
      </c>
      <c r="D26" s="51"/>
      <c r="E26" s="29"/>
      <c r="F26" s="29"/>
      <c r="G26" s="29"/>
      <c r="H26" s="53" t="n">
        <v>0.41</v>
      </c>
      <c r="I26" s="55"/>
      <c r="J26" s="29"/>
      <c r="K26" s="30" t="n">
        <f aca="false">D26*H26</f>
        <v>0</v>
      </c>
      <c r="L26" s="52"/>
      <c r="M26" s="40"/>
    </row>
    <row r="27" customFormat="false" ht="14.25" hidden="false" customHeight="false" outlineLevel="0" collapsed="false">
      <c r="B27" s="21"/>
      <c r="C27" s="22" t="s">
        <v>34</v>
      </c>
      <c r="D27" s="51"/>
      <c r="E27" s="29"/>
      <c r="F27" s="29"/>
      <c r="G27" s="29"/>
      <c r="H27" s="53" t="n">
        <v>0.17</v>
      </c>
      <c r="I27" s="55"/>
      <c r="J27" s="29"/>
      <c r="K27" s="30" t="n">
        <f aca="false">D27*H27</f>
        <v>0</v>
      </c>
      <c r="L27" s="52"/>
      <c r="M27" s="40"/>
    </row>
    <row r="28" customFormat="false" ht="14.25" hidden="false" customHeight="false" outlineLevel="0" collapsed="false">
      <c r="B28" s="21"/>
      <c r="C28" s="22" t="s">
        <v>35</v>
      </c>
      <c r="D28" s="51"/>
      <c r="E28" s="29"/>
      <c r="F28" s="29"/>
      <c r="G28" s="29"/>
      <c r="H28" s="53" t="n">
        <v>0.31</v>
      </c>
      <c r="I28" s="55"/>
      <c r="J28" s="29"/>
      <c r="K28" s="30" t="n">
        <f aca="false">D28*H28</f>
        <v>0</v>
      </c>
      <c r="L28" s="52"/>
      <c r="M28" s="40"/>
    </row>
    <row r="29" customFormat="false" ht="14.25" hidden="false" customHeight="false" outlineLevel="0" collapsed="false">
      <c r="B29" s="21"/>
      <c r="C29" s="22" t="s">
        <v>36</v>
      </c>
      <c r="D29" s="51"/>
      <c r="E29" s="29"/>
      <c r="F29" s="29"/>
      <c r="G29" s="29"/>
      <c r="H29" s="53" t="n">
        <v>0.31</v>
      </c>
      <c r="I29" s="55"/>
      <c r="J29" s="29"/>
      <c r="K29" s="30" t="n">
        <f aca="false">D29*H29</f>
        <v>0</v>
      </c>
      <c r="L29" s="52"/>
      <c r="M29" s="40"/>
    </row>
    <row r="30" customFormat="false" ht="14.25" hidden="false" customHeight="false" outlineLevel="0" collapsed="false">
      <c r="B30" s="21"/>
      <c r="C30" s="22" t="s">
        <v>38</v>
      </c>
      <c r="D30" s="51"/>
      <c r="E30" s="29"/>
      <c r="F30" s="29"/>
      <c r="G30" s="29"/>
      <c r="H30" s="53" t="n">
        <v>0.17</v>
      </c>
      <c r="I30" s="55"/>
      <c r="J30" s="29"/>
      <c r="K30" s="30" t="n">
        <f aca="false">D30*H30</f>
        <v>0</v>
      </c>
      <c r="L30" s="52"/>
      <c r="M30" s="40"/>
    </row>
    <row r="31" customFormat="false" ht="14.25" hidden="false" customHeight="false" outlineLevel="0" collapsed="false">
      <c r="B31" s="21"/>
      <c r="C31" s="22" t="s">
        <v>39</v>
      </c>
      <c r="D31" s="51"/>
      <c r="E31" s="29"/>
      <c r="F31" s="29"/>
      <c r="G31" s="29"/>
      <c r="H31" s="53" t="n">
        <v>0.12</v>
      </c>
      <c r="I31" s="55"/>
      <c r="J31" s="29"/>
      <c r="K31" s="30" t="n">
        <f aca="false">D31*H31</f>
        <v>0</v>
      </c>
      <c r="L31" s="52"/>
      <c r="M31" s="40"/>
    </row>
    <row r="32" customFormat="false" ht="14.25" hidden="false" customHeight="false" outlineLevel="0" collapsed="false">
      <c r="B32" s="21"/>
      <c r="C32" s="22" t="s">
        <v>40</v>
      </c>
      <c r="D32" s="51"/>
      <c r="E32" s="29"/>
      <c r="F32" s="29"/>
      <c r="G32" s="29"/>
      <c r="H32" s="53" t="n">
        <v>0.95</v>
      </c>
      <c r="I32" s="55"/>
      <c r="J32" s="29"/>
      <c r="K32" s="30" t="n">
        <f aca="false">D32*H32</f>
        <v>0</v>
      </c>
      <c r="L32" s="52"/>
      <c r="M32" s="40"/>
    </row>
    <row r="33" customFormat="false" ht="14.25" hidden="false" customHeight="false" outlineLevel="0" collapsed="false">
      <c r="B33" s="21"/>
      <c r="C33" s="22" t="s">
        <v>41</v>
      </c>
      <c r="D33" s="23"/>
      <c r="E33" s="29"/>
      <c r="F33" s="29"/>
      <c r="G33" s="29"/>
      <c r="H33" s="53" t="n">
        <v>0.39</v>
      </c>
      <c r="I33" s="55"/>
      <c r="J33" s="29"/>
      <c r="K33" s="30" t="n">
        <f aca="false">D33*H33</f>
        <v>0</v>
      </c>
      <c r="L33" s="52"/>
      <c r="M33" s="40"/>
    </row>
    <row r="34" customFormat="false" ht="14.25" hidden="false" customHeight="false" outlineLevel="0" collapsed="false">
      <c r="B34" s="21"/>
      <c r="C34" s="22" t="s">
        <v>42</v>
      </c>
      <c r="D34" s="23"/>
      <c r="E34" s="29"/>
      <c r="F34" s="29"/>
      <c r="G34" s="29"/>
      <c r="H34" s="53" t="n">
        <v>0.31</v>
      </c>
      <c r="I34" s="55"/>
      <c r="J34" s="29"/>
      <c r="K34" s="30" t="n">
        <f aca="false">D34*H34</f>
        <v>0</v>
      </c>
      <c r="L34" s="52"/>
      <c r="M34" s="40"/>
    </row>
    <row r="35" customFormat="false" ht="14.25" hidden="false" customHeight="false" outlineLevel="0" collapsed="false">
      <c r="B35" s="21"/>
      <c r="C35" s="22" t="s">
        <v>43</v>
      </c>
      <c r="D35" s="23"/>
      <c r="E35" s="29"/>
      <c r="F35" s="29"/>
      <c r="G35" s="29"/>
      <c r="H35" s="53" t="n">
        <v>0.31</v>
      </c>
      <c r="I35" s="55"/>
      <c r="J35" s="29"/>
      <c r="K35" s="30" t="n">
        <f aca="false">D35*H35</f>
        <v>0</v>
      </c>
      <c r="L35" s="52"/>
      <c r="M35" s="40"/>
    </row>
    <row r="36" customFormat="false" ht="14.25" hidden="false" customHeight="false" outlineLevel="0" collapsed="false">
      <c r="B36" s="21"/>
      <c r="C36" s="22" t="s">
        <v>44</v>
      </c>
      <c r="D36" s="23"/>
      <c r="E36" s="29"/>
      <c r="F36" s="29"/>
      <c r="G36" s="29"/>
      <c r="H36" s="53" t="n">
        <v>0.3</v>
      </c>
      <c r="I36" s="54"/>
      <c r="J36" s="29"/>
      <c r="K36" s="30" t="n">
        <f aca="false">D36*H36</f>
        <v>0</v>
      </c>
      <c r="L36" s="52"/>
      <c r="M36" s="40"/>
    </row>
    <row r="37" customFormat="false" ht="14.25" hidden="false" customHeight="false" outlineLevel="0" collapsed="false">
      <c r="B37" s="21"/>
      <c r="C37" s="22" t="s">
        <v>45</v>
      </c>
      <c r="D37" s="23"/>
      <c r="E37" s="29"/>
      <c r="F37" s="29"/>
      <c r="G37" s="29"/>
      <c r="H37" s="53" t="n">
        <v>0.17</v>
      </c>
      <c r="I37" s="54"/>
      <c r="J37" s="29"/>
      <c r="K37" s="30" t="n">
        <f aca="false">D37*H37</f>
        <v>0</v>
      </c>
      <c r="L37" s="52"/>
      <c r="M37" s="40"/>
    </row>
    <row r="38" customFormat="false" ht="14.25" hidden="false" customHeight="false" outlineLevel="0" collapsed="false">
      <c r="B38" s="21"/>
      <c r="C38" s="22" t="s">
        <v>46</v>
      </c>
      <c r="D38" s="23"/>
      <c r="E38" s="29"/>
      <c r="F38" s="29"/>
      <c r="G38" s="29"/>
      <c r="H38" s="53" t="n">
        <f aca="false">(0.31+0.49)/2</f>
        <v>0.4</v>
      </c>
      <c r="I38" s="54"/>
      <c r="J38" s="29"/>
      <c r="K38" s="30" t="n">
        <f aca="false">D38*H38</f>
        <v>0</v>
      </c>
      <c r="L38" s="52"/>
      <c r="M38" s="40"/>
    </row>
    <row r="39" customFormat="false" ht="14.25" hidden="false" customHeight="false" outlineLevel="0" collapsed="false">
      <c r="B39" s="21"/>
      <c r="C39" s="22" t="s">
        <v>47</v>
      </c>
      <c r="D39" s="23"/>
      <c r="E39" s="29"/>
      <c r="F39" s="29"/>
      <c r="G39" s="29"/>
      <c r="H39" s="53" t="n">
        <v>0.23</v>
      </c>
      <c r="I39" s="54"/>
      <c r="J39" s="29"/>
      <c r="K39" s="30" t="n">
        <f aca="false">D39*H39</f>
        <v>0</v>
      </c>
      <c r="L39" s="52"/>
      <c r="M39" s="40"/>
    </row>
    <row r="40" customFormat="false" ht="14.25" hidden="false" customHeight="false" outlineLevel="0" collapsed="false">
      <c r="B40" s="21"/>
      <c r="C40" s="22" t="s">
        <v>48</v>
      </c>
      <c r="D40" s="23"/>
      <c r="E40" s="29"/>
      <c r="F40" s="29"/>
      <c r="G40" s="29"/>
      <c r="H40" s="53" t="n">
        <f aca="false">(0.31+0.39)/2</f>
        <v>0.35</v>
      </c>
      <c r="I40" s="54"/>
      <c r="J40" s="29"/>
      <c r="K40" s="30" t="n">
        <f aca="false">D40*H40</f>
        <v>0</v>
      </c>
      <c r="L40" s="52"/>
      <c r="M40" s="40"/>
    </row>
    <row r="41" customFormat="false" ht="14.25" hidden="false" customHeight="false" outlineLevel="0" collapsed="false">
      <c r="B41" s="21"/>
      <c r="C41" s="22" t="s">
        <v>49</v>
      </c>
      <c r="D41" s="51" t="n">
        <v>380971.38</v>
      </c>
      <c r="E41" s="29"/>
      <c r="F41" s="29"/>
      <c r="G41" s="29"/>
      <c r="H41" s="57" t="n">
        <v>0.3</v>
      </c>
      <c r="I41" s="54"/>
      <c r="J41" s="29"/>
      <c r="K41" s="30" t="n">
        <f aca="false">D41*H41</f>
        <v>114291.414</v>
      </c>
      <c r="L41" s="52"/>
      <c r="M41" s="40"/>
    </row>
    <row r="42" customFormat="false" ht="14.25" hidden="false" customHeight="false" outlineLevel="0" collapsed="false">
      <c r="B42" s="21"/>
      <c r="C42" s="22" t="s">
        <v>50</v>
      </c>
      <c r="D42" s="51"/>
      <c r="E42" s="29"/>
      <c r="F42" s="29"/>
      <c r="G42" s="29"/>
      <c r="H42" s="57" t="n">
        <v>0.31</v>
      </c>
      <c r="I42" s="54"/>
      <c r="J42" s="29"/>
      <c r="K42" s="30" t="n">
        <f aca="false">D42*H42</f>
        <v>0</v>
      </c>
      <c r="L42" s="52"/>
      <c r="M42" s="40"/>
    </row>
    <row r="43" customFormat="false" ht="14.25" hidden="false" customHeight="false" outlineLevel="0" collapsed="false">
      <c r="B43" s="21"/>
      <c r="C43" s="22" t="s">
        <v>51</v>
      </c>
      <c r="D43" s="51"/>
      <c r="E43" s="29"/>
      <c r="F43" s="29"/>
      <c r="G43" s="29"/>
      <c r="H43" s="57" t="n">
        <v>0.76</v>
      </c>
      <c r="I43" s="54"/>
      <c r="J43" s="29"/>
      <c r="K43" s="30" t="n">
        <f aca="false">D43*H43</f>
        <v>0</v>
      </c>
      <c r="L43" s="52"/>
      <c r="M43" s="40"/>
    </row>
    <row r="44" customFormat="false" ht="14.25" hidden="false" customHeight="false" outlineLevel="0" collapsed="false">
      <c r="B44" s="21"/>
      <c r="C44" s="22" t="s">
        <v>52</v>
      </c>
      <c r="D44" s="51" t="n">
        <v>955251.96</v>
      </c>
      <c r="E44" s="29"/>
      <c r="F44" s="29"/>
      <c r="G44" s="29"/>
      <c r="H44" s="57" t="n">
        <v>0.85</v>
      </c>
      <c r="I44" s="54"/>
      <c r="J44" s="29"/>
      <c r="K44" s="30" t="n">
        <f aca="false">D44*H44</f>
        <v>811964.166</v>
      </c>
      <c r="L44" s="52"/>
      <c r="M44" s="40"/>
    </row>
    <row r="45" customFormat="false" ht="14.25" hidden="false" customHeight="false" outlineLevel="0" collapsed="false">
      <c r="B45" s="21"/>
      <c r="C45" s="22" t="s">
        <v>14</v>
      </c>
      <c r="D45" s="81" t="n">
        <f aca="false">SUM(D9:D44)</f>
        <v>1336223.34</v>
      </c>
      <c r="E45" s="29"/>
      <c r="F45" s="29"/>
      <c r="G45" s="29"/>
      <c r="H45" s="59"/>
      <c r="I45" s="60"/>
      <c r="J45" s="29"/>
      <c r="K45" s="39" t="n">
        <f aca="false">SUM(K9:K44)</f>
        <v>926255.58</v>
      </c>
      <c r="L45" s="31" t="n">
        <f aca="false">K45/K$59</f>
        <v>0.921211071469553</v>
      </c>
      <c r="M45" s="40"/>
    </row>
    <row r="46" customFormat="false" ht="14.25" hidden="false" customHeight="false" outlineLevel="0" collapsed="false">
      <c r="B46" s="61"/>
      <c r="C46" s="42"/>
      <c r="D46" s="45"/>
      <c r="E46" s="42"/>
      <c r="F46" s="42"/>
      <c r="G46" s="42"/>
      <c r="H46" s="42"/>
      <c r="I46" s="62"/>
      <c r="J46" s="42"/>
      <c r="K46" s="63"/>
      <c r="L46" s="64"/>
      <c r="M46" s="49"/>
    </row>
    <row r="47" customFormat="false" ht="18" hidden="false" customHeight="true" outlineLevel="0" collapsed="false">
      <c r="B47" s="21" t="s">
        <v>53</v>
      </c>
      <c r="C47" s="29"/>
      <c r="D47" s="23"/>
      <c r="E47" s="29" t="s">
        <v>54</v>
      </c>
      <c r="F47" s="29"/>
      <c r="G47" s="29"/>
      <c r="H47" s="65" t="n">
        <f aca="false">(0.93+0.95+1.2)/3</f>
        <v>1.02666666666667</v>
      </c>
      <c r="I47" s="55"/>
      <c r="J47" s="29"/>
      <c r="K47" s="30" t="n">
        <f aca="false">D47*H47</f>
        <v>0</v>
      </c>
      <c r="L47" s="31" t="n">
        <f aca="false">K47/K$59</f>
        <v>0</v>
      </c>
      <c r="M47" s="40"/>
    </row>
    <row r="48" customFormat="false" ht="14.25" hidden="false" customHeight="false" outlineLevel="0" collapsed="false">
      <c r="B48" s="61"/>
      <c r="C48" s="42"/>
      <c r="D48" s="45"/>
      <c r="E48" s="42"/>
      <c r="F48" s="42"/>
      <c r="G48" s="42"/>
      <c r="H48" s="42"/>
      <c r="I48" s="62"/>
      <c r="J48" s="42"/>
      <c r="K48" s="63"/>
      <c r="L48" s="64"/>
      <c r="M48" s="49"/>
    </row>
    <row r="49" customFormat="false" ht="18" hidden="false" customHeight="true" outlineLevel="0" collapsed="false">
      <c r="B49" s="21" t="s">
        <v>55</v>
      </c>
      <c r="C49" s="29"/>
      <c r="D49" s="23"/>
      <c r="E49" s="29"/>
      <c r="F49" s="29"/>
      <c r="G49" s="29"/>
      <c r="H49" s="59" t="n">
        <v>1.42</v>
      </c>
      <c r="I49" s="60"/>
      <c r="J49" s="29"/>
      <c r="K49" s="30" t="n">
        <f aca="false">D49*H49</f>
        <v>0</v>
      </c>
      <c r="L49" s="52"/>
      <c r="M49" s="40"/>
    </row>
    <row r="50" customFormat="false" ht="14.25" hidden="false" customHeight="false" outlineLevel="0" collapsed="false">
      <c r="B50" s="61"/>
      <c r="C50" s="42"/>
      <c r="D50" s="45"/>
      <c r="E50" s="42"/>
      <c r="F50" s="42"/>
      <c r="G50" s="42"/>
      <c r="H50" s="42"/>
      <c r="I50" s="62"/>
      <c r="J50" s="42"/>
      <c r="K50" s="63"/>
      <c r="L50" s="64"/>
      <c r="M50" s="49"/>
    </row>
    <row r="51" customFormat="false" ht="18.75" hidden="false" customHeight="true" outlineLevel="0" collapsed="false">
      <c r="B51" s="21" t="s">
        <v>56</v>
      </c>
      <c r="C51" s="29"/>
      <c r="D51" s="23" t="n">
        <v>50999.34</v>
      </c>
      <c r="E51" s="29"/>
      <c r="F51" s="29"/>
      <c r="G51" s="29"/>
      <c r="H51" s="59" t="n">
        <v>0.95</v>
      </c>
      <c r="I51" s="60"/>
      <c r="J51" s="29"/>
      <c r="K51" s="30" t="n">
        <f aca="false">D51*H51</f>
        <v>48449.373</v>
      </c>
      <c r="L51" s="52"/>
      <c r="M51" s="40"/>
    </row>
    <row r="52" customFormat="false" ht="14.25" hidden="false" customHeight="false" outlineLevel="0" collapsed="false">
      <c r="B52" s="61"/>
      <c r="C52" s="42"/>
      <c r="D52" s="45"/>
      <c r="E52" s="42"/>
      <c r="F52" s="42"/>
      <c r="G52" s="42"/>
      <c r="H52" s="42"/>
      <c r="I52" s="62"/>
      <c r="J52" s="42"/>
      <c r="K52" s="63"/>
      <c r="L52" s="64"/>
      <c r="M52" s="49"/>
    </row>
    <row r="53" customFormat="false" ht="19.5" hidden="false" customHeight="true" outlineLevel="0" collapsed="false">
      <c r="B53" s="21" t="s">
        <v>57</v>
      </c>
      <c r="C53" s="29"/>
      <c r="D53" s="83" t="n">
        <f aca="false">D45+D47+D49+D51</f>
        <v>1387222.68</v>
      </c>
      <c r="E53" s="29"/>
      <c r="F53" s="29"/>
      <c r="G53" s="29"/>
      <c r="H53" s="59"/>
      <c r="I53" s="60"/>
      <c r="J53" s="29" t="s">
        <v>58</v>
      </c>
      <c r="K53" s="30" t="n">
        <f aca="false">K45+K56+K49+K51</f>
        <v>974704.953</v>
      </c>
      <c r="L53" s="31" t="n">
        <f aca="false">K53/K$59</f>
        <v>0.969396582873822</v>
      </c>
      <c r="M53" s="40"/>
    </row>
    <row r="54" customFormat="false" ht="14.25" hidden="false" customHeight="false" outlineLevel="0" collapsed="false">
      <c r="B54" s="61"/>
      <c r="C54" s="42"/>
      <c r="D54" s="45"/>
      <c r="E54" s="42"/>
      <c r="F54" s="42"/>
      <c r="G54" s="42"/>
      <c r="H54" s="42"/>
      <c r="I54" s="62"/>
      <c r="J54" s="42"/>
      <c r="K54" s="63"/>
      <c r="L54" s="64"/>
      <c r="M54" s="49"/>
    </row>
    <row r="55" customFormat="false" ht="14.25" hidden="false" customHeight="false" outlineLevel="0" collapsed="false">
      <c r="B55" s="21" t="s">
        <v>59</v>
      </c>
      <c r="C55" s="22" t="s">
        <v>60</v>
      </c>
      <c r="D55" s="32"/>
      <c r="E55" s="67" t="s">
        <v>61</v>
      </c>
      <c r="F55" s="29"/>
      <c r="G55" s="29"/>
      <c r="H55" s="59"/>
      <c r="I55" s="60"/>
      <c r="J55" s="29"/>
      <c r="K55" s="30"/>
      <c r="L55" s="52"/>
      <c r="M55" s="40"/>
    </row>
    <row r="56" customFormat="false" ht="14.25" hidden="false" customHeight="false" outlineLevel="0" collapsed="false">
      <c r="B56" s="21"/>
      <c r="C56" s="22" t="s">
        <v>62</v>
      </c>
      <c r="D56" s="32"/>
      <c r="E56" s="67" t="s">
        <v>63</v>
      </c>
      <c r="F56" s="29"/>
      <c r="G56" s="29"/>
      <c r="H56" s="65" t="n">
        <v>0.39</v>
      </c>
      <c r="I56" s="55"/>
      <c r="J56" s="29"/>
      <c r="K56" s="30" t="n">
        <f aca="false">D56*H56</f>
        <v>0</v>
      </c>
      <c r="L56" s="31"/>
      <c r="M56" s="40"/>
    </row>
    <row r="57" customFormat="false" ht="14.25" hidden="false" customHeight="false" outlineLevel="0" collapsed="false">
      <c r="B57" s="21"/>
      <c r="C57" s="22" t="s">
        <v>64</v>
      </c>
      <c r="D57" s="68"/>
      <c r="E57" s="29"/>
      <c r="F57" s="29"/>
      <c r="G57" s="29"/>
      <c r="H57" s="65" t="n">
        <v>641.341546885695</v>
      </c>
      <c r="I57" s="55"/>
      <c r="J57" s="69" t="s">
        <v>65</v>
      </c>
      <c r="K57" s="30" t="n">
        <f aca="false">D57*H57/2</f>
        <v>0</v>
      </c>
      <c r="L57" s="31" t="n">
        <f aca="false">K57/K$59</f>
        <v>0</v>
      </c>
      <c r="M57" s="40"/>
    </row>
    <row r="58" customFormat="false" ht="14.25" hidden="false" customHeight="false" outlineLevel="0" collapsed="false">
      <c r="B58" s="61"/>
      <c r="C58" s="42"/>
      <c r="D58" s="45"/>
      <c r="E58" s="42"/>
      <c r="F58" s="42"/>
      <c r="G58" s="42"/>
      <c r="H58" s="42"/>
      <c r="I58" s="62"/>
      <c r="J58" s="42"/>
      <c r="K58" s="63"/>
      <c r="L58" s="64"/>
      <c r="M58" s="49"/>
    </row>
    <row r="59" customFormat="false" ht="19.5" hidden="false" customHeight="true" outlineLevel="0" collapsed="false">
      <c r="B59" s="21" t="s">
        <v>2</v>
      </c>
      <c r="C59" s="29"/>
      <c r="D59" s="84" t="n">
        <f aca="false">D7+D53+D55+D56</f>
        <v>1403467.699</v>
      </c>
      <c r="E59" s="29"/>
      <c r="F59" s="29"/>
      <c r="G59" s="29"/>
      <c r="H59" s="59"/>
      <c r="I59" s="60"/>
      <c r="J59" s="29"/>
      <c r="K59" s="39" t="n">
        <f aca="false">SUM(K7,K47,K53,K57)</f>
        <v>1005475.953</v>
      </c>
      <c r="L59" s="31" t="n">
        <f aca="false">K59/K$59</f>
        <v>1</v>
      </c>
      <c r="M59" s="40"/>
    </row>
    <row r="60" customFormat="false" ht="14.25" hidden="false" customHeight="false" outlineLevel="0" collapsed="false">
      <c r="B60" s="61"/>
      <c r="C60" s="42"/>
      <c r="D60" s="45"/>
      <c r="E60" s="42"/>
      <c r="F60" s="42"/>
      <c r="G60" s="42"/>
      <c r="H60" s="42"/>
      <c r="I60" s="62"/>
      <c r="J60" s="42"/>
      <c r="K60" s="42"/>
      <c r="L60" s="42"/>
      <c r="M60" s="49"/>
    </row>
    <row r="61" customFormat="false" ht="18" hidden="false" customHeight="true" outlineLevel="0" collapsed="false">
      <c r="B61" s="21" t="s">
        <v>66</v>
      </c>
      <c r="C61" s="29"/>
      <c r="D61" s="81" t="n">
        <f aca="false">D59-D55</f>
        <v>1403467.699</v>
      </c>
      <c r="E61" s="29"/>
      <c r="F61" s="29"/>
      <c r="G61" s="29"/>
      <c r="H61" s="59"/>
      <c r="I61" s="60"/>
      <c r="J61" s="69" t="s">
        <v>67</v>
      </c>
      <c r="K61" s="29" t="n">
        <f aca="false">K59/D61</f>
        <v>0.716422582234292</v>
      </c>
      <c r="L61" s="29"/>
      <c r="M61" s="40"/>
    </row>
    <row r="62" customFormat="false" ht="14.25" hidden="false" customHeight="false" outlineLevel="0" collapsed="false">
      <c r="B62" s="61"/>
      <c r="C62" s="42"/>
      <c r="D62" s="42"/>
      <c r="E62" s="42"/>
      <c r="F62" s="42"/>
      <c r="G62" s="42"/>
      <c r="H62" s="42"/>
      <c r="I62" s="62"/>
      <c r="J62" s="42"/>
      <c r="K62" s="42"/>
      <c r="L62" s="42"/>
      <c r="M62" s="49"/>
    </row>
    <row r="63" customFormat="false" ht="18" hidden="false" customHeight="true" outlineLevel="0" collapsed="false">
      <c r="B63" s="71" t="s">
        <v>68</v>
      </c>
      <c r="C63" s="72"/>
      <c r="D63" s="73" t="n">
        <f aca="false">D61*1.5</f>
        <v>2105201.5485</v>
      </c>
      <c r="E63" s="72"/>
      <c r="F63" s="72"/>
      <c r="G63" s="72"/>
      <c r="H63" s="74"/>
      <c r="I63" s="75"/>
      <c r="J63" s="76" t="s">
        <v>69</v>
      </c>
      <c r="K63" s="72" t="n">
        <f aca="false">K59/D63</f>
        <v>0.477615054822861</v>
      </c>
      <c r="L63" s="72"/>
      <c r="M63" s="77"/>
    </row>
    <row r="64" customFormat="false" ht="14.25" hidden="false" customHeight="false" outlineLevel="0" collapsed="false">
      <c r="I64" s="78"/>
    </row>
    <row r="65" customFormat="false" ht="14.25" hidden="false" customHeight="false" outlineLevel="0" collapsed="false">
      <c r="I65" s="78"/>
    </row>
    <row r="66" customFormat="false" ht="14.25" hidden="false" customHeight="false" outlineLevel="0" collapsed="false">
      <c r="B66" s="1" t="str">
        <f aca="false">CHAR(185)&amp;" Defra 2020 Gross Calorific value"</f>
        <v>� Defra 2020 Gross Calorific value</v>
      </c>
      <c r="I66" s="78"/>
    </row>
    <row r="67" customFormat="false" ht="14.25" hidden="false" customHeight="false" outlineLevel="0" collapsed="false">
      <c r="B67" s="1" t="str">
        <f aca="false">CHAR(178)&amp;" Defra 2020"</f>
        <v>� Defra 2020</v>
      </c>
      <c r="I67" s="78"/>
    </row>
    <row r="68" customFormat="false" ht="14.25" hidden="false" customHeight="false" outlineLevel="0" collapsed="false">
      <c r="B68" s="1" t="str">
        <f aca="false">CHAR(179)&amp;" Average of Petrol and Diesel value"</f>
        <v>� Average of Petrol and Diesel value</v>
      </c>
      <c r="I68" s="78"/>
    </row>
    <row r="69" customFormat="false" ht="14.25" hidden="false" customHeight="false" outlineLevel="0" collapsed="false">
      <c r="I69" s="78"/>
    </row>
    <row r="70" customFormat="false" ht="14.25" hidden="false" customHeight="false" outlineLevel="0" collapsed="false">
      <c r="I70" s="78"/>
    </row>
    <row r="71" customFormat="false" ht="14.25" hidden="false" customHeight="false" outlineLevel="0" collapsed="false">
      <c r="I71" s="78"/>
    </row>
    <row r="72" customFormat="false" ht="14.25" hidden="false" customHeight="false" outlineLevel="0" collapsed="false">
      <c r="I72" s="78"/>
    </row>
    <row r="73" customFormat="false" ht="14.25" hidden="false" customHeight="false" outlineLevel="0" collapsed="false">
      <c r="I73" s="78"/>
    </row>
  </sheetData>
  <mergeCells count="1">
    <mergeCell ref="H3:I3"/>
  </mergeCells>
  <printOptions headings="false" gridLines="false" gridLinesSet="true" horizontalCentered="false" verticalCentered="false"/>
  <pageMargins left="0" right="0" top="0.39375" bottom="0.39375" header="0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8576"/>
  <sheetViews>
    <sheetView showFormulas="false" showGridLines="false" showRowColHeaders="true" showZeros="true" rightToLeft="false" tabSelected="true" showOutlineSymbols="true" defaultGridColor="true" view="normal" topLeftCell="A1" colorId="64" zoomScale="70" zoomScaleNormal="70" zoomScalePageLayoutView="100" workbookViewId="0">
      <selection pane="topLeft" activeCell="H2" activeCellId="0" sqref="H2"/>
    </sheetView>
  </sheetViews>
  <sheetFormatPr defaultColWidth="10.50390625" defaultRowHeight="13.8" zeroHeight="false" outlineLevelRow="0" outlineLevelCol="0"/>
  <cols>
    <col collapsed="false" customWidth="true" hidden="false" outlineLevel="0" max="1" min="1" style="85" width="7.12"/>
    <col collapsed="false" customWidth="true" hidden="false" outlineLevel="0" max="2" min="2" style="85" width="25.38"/>
    <col collapsed="false" customWidth="true" hidden="false" outlineLevel="0" max="3" min="3" style="85" width="13.25"/>
    <col collapsed="false" customWidth="true" hidden="false" outlineLevel="0" max="4" min="4" style="85" width="12.37"/>
    <col collapsed="false" customWidth="true" hidden="false" outlineLevel="0" max="13" min="5" style="85" width="13"/>
  </cols>
  <sheetData>
    <row r="1" s="87" customFormat="true" ht="25.5" hidden="false" customHeight="true" outlineLevel="0" collapsed="false">
      <c r="A1" s="86" t="s">
        <v>70</v>
      </c>
    </row>
    <row r="2" customFormat="false" ht="25.5" hidden="false" customHeight="true" outlineLevel="0" collapsed="false">
      <c r="A2" s="88"/>
      <c r="B2" s="85" t="s">
        <v>71</v>
      </c>
      <c r="E2" s="89" t="n">
        <v>0.035</v>
      </c>
      <c r="F2" s="89" t="n">
        <v>0.035</v>
      </c>
      <c r="G2" s="89" t="n">
        <v>0.035</v>
      </c>
      <c r="H2" s="89" t="n">
        <v>0.035</v>
      </c>
      <c r="I2" s="89" t="n">
        <v>0.035</v>
      </c>
      <c r="J2" s="89" t="n">
        <v>0.035</v>
      </c>
      <c r="K2" s="89" t="n">
        <v>0.035</v>
      </c>
      <c r="L2" s="89" t="n">
        <v>0.035</v>
      </c>
      <c r="M2" s="89" t="n">
        <v>0.035</v>
      </c>
    </row>
    <row r="3" customFormat="false" ht="15" hidden="false" customHeight="false" outlineLevel="0" collapsed="false">
      <c r="B3" s="85" t="s">
        <v>72</v>
      </c>
      <c r="E3" s="90" t="n">
        <v>0.0973</v>
      </c>
      <c r="F3" s="90" t="n">
        <v>0.0382</v>
      </c>
      <c r="G3" s="90" t="n">
        <v>0.0522</v>
      </c>
      <c r="H3" s="90" t="n">
        <v>0.0722</v>
      </c>
      <c r="I3" s="90" t="n">
        <v>0.1355</v>
      </c>
      <c r="J3" s="90" t="n">
        <v>0.0056</v>
      </c>
      <c r="K3" s="90" t="n">
        <v>0.0989</v>
      </c>
      <c r="L3" s="90" t="n">
        <v>0.0835</v>
      </c>
      <c r="M3" s="90" t="n">
        <v>0.0107</v>
      </c>
    </row>
    <row r="4" customFormat="false" ht="15" hidden="false" customHeight="false" outlineLevel="0" collapsed="false">
      <c r="B4" s="91" t="s">
        <v>73</v>
      </c>
      <c r="C4" s="92" t="n">
        <v>2020</v>
      </c>
      <c r="D4" s="92" t="n">
        <v>2021</v>
      </c>
      <c r="E4" s="92" t="n">
        <v>2022</v>
      </c>
      <c r="F4" s="92" t="n">
        <v>2023</v>
      </c>
      <c r="G4" s="92" t="n">
        <v>2024</v>
      </c>
      <c r="H4" s="92" t="n">
        <v>2025</v>
      </c>
      <c r="I4" s="92" t="n">
        <v>2026</v>
      </c>
      <c r="J4" s="92" t="n">
        <v>2027</v>
      </c>
      <c r="K4" s="92" t="n">
        <v>2028</v>
      </c>
      <c r="L4" s="92" t="n">
        <v>2029</v>
      </c>
      <c r="M4" s="93" t="n">
        <v>2030</v>
      </c>
    </row>
    <row r="5" customFormat="false" ht="14.25" hidden="false" customHeight="false" outlineLevel="0" collapsed="false">
      <c r="B5" s="94" t="s">
        <v>11</v>
      </c>
      <c r="C5" s="95" t="n">
        <f aca="false">'SimpleCalculator 2020'!K4</f>
        <v>0</v>
      </c>
      <c r="D5" s="95" t="n">
        <f aca="false">'SimpleCalculator 2021'!K4</f>
        <v>0</v>
      </c>
      <c r="E5" s="95" t="n">
        <f aca="false">'SimpleCalculator 2022'!K4</f>
        <v>0</v>
      </c>
      <c r="F5" s="96"/>
      <c r="G5" s="96"/>
      <c r="H5" s="96"/>
      <c r="I5" s="96"/>
      <c r="J5" s="96"/>
      <c r="K5" s="96"/>
      <c r="L5" s="96"/>
      <c r="M5" s="97"/>
    </row>
    <row r="6" customFormat="false" ht="14.25" hidden="false" customHeight="false" outlineLevel="0" collapsed="false">
      <c r="B6" s="98" t="s">
        <v>12</v>
      </c>
      <c r="C6" s="99" t="n">
        <f aca="false">'SimpleCalculator 2020'!K5</f>
        <v>0</v>
      </c>
      <c r="D6" s="99" t="n">
        <f aca="false">'SimpleCalculator 2021'!K5</f>
        <v>0</v>
      </c>
      <c r="E6" s="99" t="n">
        <f aca="false">'SimpleCalculator 2022'!K5</f>
        <v>0</v>
      </c>
      <c r="F6" s="100" t="n">
        <f aca="false">E6-(E6*F3)</f>
        <v>0</v>
      </c>
      <c r="G6" s="100" t="n">
        <f aca="false">F6-(F6*G3)</f>
        <v>0</v>
      </c>
      <c r="H6" s="100" t="n">
        <f aca="false">G6-(G6*H3)</f>
        <v>0</v>
      </c>
      <c r="I6" s="100" t="n">
        <f aca="false">H6-(H6*I3)</f>
        <v>0</v>
      </c>
      <c r="J6" s="100" t="n">
        <f aca="false">I6-(I6*J3)</f>
        <v>0</v>
      </c>
      <c r="K6" s="100" t="n">
        <f aca="false">J6-(J6*K3)</f>
        <v>0</v>
      </c>
      <c r="L6" s="100" t="n">
        <f aca="false">K6-(K6*L3)</f>
        <v>0</v>
      </c>
      <c r="M6" s="101" t="n">
        <f aca="false">L6-(L6*M3)</f>
        <v>0</v>
      </c>
    </row>
    <row r="7" customFormat="false" ht="14.25" hidden="false" customHeight="false" outlineLevel="0" collapsed="false">
      <c r="B7" s="98" t="s">
        <v>13</v>
      </c>
      <c r="C7" s="99" t="n">
        <f aca="false">'SimpleCalculator 2020'!K6</f>
        <v>19103</v>
      </c>
      <c r="D7" s="99" t="n">
        <f aca="false">'SimpleCalculator 2021'!K6</f>
        <v>29617</v>
      </c>
      <c r="E7" s="99" t="n">
        <f aca="false">'SimpleCalculator 2022'!K6</f>
        <v>30771</v>
      </c>
      <c r="F7" s="100" t="n">
        <f aca="false">E7-(E7*F$2)</f>
        <v>29694.015</v>
      </c>
      <c r="G7" s="100" t="n">
        <f aca="false">F7-(F7*G$2)</f>
        <v>28654.724475</v>
      </c>
      <c r="H7" s="100" t="n">
        <f aca="false">G7-(G7*H$2)</f>
        <v>27651.809118375</v>
      </c>
      <c r="I7" s="100" t="n">
        <f aca="false">H7-(H7*I$2)</f>
        <v>26683.9957992319</v>
      </c>
      <c r="J7" s="100" t="n">
        <f aca="false">I7-(I7*J$2)</f>
        <v>25750.0559462588</v>
      </c>
      <c r="K7" s="100" t="n">
        <f aca="false">J7-(J7*K$2)</f>
        <v>24848.8039881397</v>
      </c>
      <c r="L7" s="100" t="n">
        <f aca="false">K7-(K7*L$2)</f>
        <v>23979.0958485548</v>
      </c>
      <c r="M7" s="100" t="n">
        <f aca="false">L7-(L7*M$2)</f>
        <v>23139.8274938554</v>
      </c>
    </row>
    <row r="8" customFormat="false" ht="14.25" hidden="false" customHeight="false" outlineLevel="0" collapsed="false">
      <c r="B8" s="98" t="s">
        <v>74</v>
      </c>
      <c r="C8" s="99" t="n">
        <f aca="false">'SimpleCalculator 2020'!K7</f>
        <v>19103</v>
      </c>
      <c r="D8" s="99" t="n">
        <f aca="false">'SimpleCalculator 2021'!K7</f>
        <v>29617</v>
      </c>
      <c r="E8" s="99" t="n">
        <f aca="false">'SimpleCalculator 2022'!K7</f>
        <v>30771</v>
      </c>
      <c r="F8" s="100" t="n">
        <f aca="false">SUM(F5:F7)</f>
        <v>29694.015</v>
      </c>
      <c r="G8" s="100" t="n">
        <f aca="false">SUM(G5:G7)</f>
        <v>28654.724475</v>
      </c>
      <c r="H8" s="100" t="n">
        <f aca="false">SUM(H5:H7)</f>
        <v>27651.809118375</v>
      </c>
      <c r="I8" s="100" t="n">
        <f aca="false">SUM(I5:I7)</f>
        <v>26683.9957992319</v>
      </c>
      <c r="J8" s="100" t="n">
        <f aca="false">SUM(J5:J7)</f>
        <v>25750.0559462588</v>
      </c>
      <c r="K8" s="100" t="n">
        <f aca="false">SUM(K5:K7)</f>
        <v>24848.8039881397</v>
      </c>
      <c r="L8" s="100" t="n">
        <f aca="false">SUM(L5:L7)</f>
        <v>23979.0958485548</v>
      </c>
      <c r="M8" s="101" t="n">
        <f aca="false">SUM(M5:M7)</f>
        <v>23139.8274938554</v>
      </c>
    </row>
    <row r="9" customFormat="false" ht="14.25" hidden="false" customHeight="false" outlineLevel="0" collapsed="false">
      <c r="B9" s="102" t="s">
        <v>75</v>
      </c>
      <c r="C9" s="103" t="n">
        <f aca="false">C8/C$20</f>
        <v>0.0312053189793723</v>
      </c>
      <c r="D9" s="103" t="n">
        <f aca="false">D8/D$20</f>
        <v>0.0307393858746474</v>
      </c>
      <c r="E9" s="103" t="n">
        <f aca="false">E8/E$20</f>
        <v>0.0306034171261777</v>
      </c>
      <c r="F9" s="104" t="n">
        <f aca="false">F8/F$20</f>
        <v>0.0306034171261777</v>
      </c>
      <c r="G9" s="104" t="n">
        <f aca="false">G8/G$20</f>
        <v>0.0306034171261777</v>
      </c>
      <c r="H9" s="104" t="n">
        <f aca="false">H8/H$20</f>
        <v>0.0306034171261777</v>
      </c>
      <c r="I9" s="104" t="n">
        <f aca="false">I8/I$20</f>
        <v>0.0306034171261777</v>
      </c>
      <c r="J9" s="104" t="n">
        <f aca="false">J8/J$20</f>
        <v>0.0306034171261777</v>
      </c>
      <c r="K9" s="104" t="n">
        <f aca="false">K8/K$20</f>
        <v>0.0306034171261777</v>
      </c>
      <c r="L9" s="104" t="n">
        <f aca="false">L8/L$20</f>
        <v>0.0306034171261777</v>
      </c>
      <c r="M9" s="105" t="n">
        <f aca="false">M8/M$20</f>
        <v>0.0306034171261777</v>
      </c>
    </row>
    <row r="10" customFormat="false" ht="14.25" hidden="false" customHeight="false" outlineLevel="0" collapsed="false">
      <c r="B10" s="106" t="s">
        <v>49</v>
      </c>
      <c r="C10" s="99" t="n">
        <f aca="false">'SimpleCalculator 2020'!K41</f>
        <v>78377.94</v>
      </c>
      <c r="D10" s="99" t="n">
        <f aca="false">'SimpleCalculator 2021'!K41</f>
        <v>108149.859</v>
      </c>
      <c r="E10" s="99" t="n">
        <f aca="false">'SimpleCalculator 2022'!K41</f>
        <v>114291.414</v>
      </c>
      <c r="F10" s="100" t="n">
        <f aca="false">E10-(E10*F$2)</f>
        <v>110291.21451</v>
      </c>
      <c r="G10" s="100" t="n">
        <f aca="false">F10-(F10*G$2)</f>
        <v>106431.02200215</v>
      </c>
      <c r="H10" s="100" t="n">
        <f aca="false">G10-(G10*H$2)</f>
        <v>102705.936232075</v>
      </c>
      <c r="I10" s="100" t="n">
        <f aca="false">H10-(H10*I$2)</f>
        <v>99111.2284639521</v>
      </c>
      <c r="J10" s="100" t="n">
        <f aca="false">I10-(I10*J$2)</f>
        <v>95642.3354677138</v>
      </c>
      <c r="K10" s="100" t="n">
        <f aca="false">J10-(J10*K$2)</f>
        <v>92294.8537263438</v>
      </c>
      <c r="L10" s="100" t="n">
        <f aca="false">K10-(K10*L$2)</f>
        <v>89064.5338459218</v>
      </c>
      <c r="M10" s="101" t="n">
        <f aca="false">L10-(L10*M$2)</f>
        <v>85947.2751613145</v>
      </c>
    </row>
    <row r="11" customFormat="false" ht="14.25" hidden="false" customHeight="false" outlineLevel="0" collapsed="false">
      <c r="B11" s="106" t="s">
        <v>52</v>
      </c>
      <c r="C11" s="99" t="n">
        <f aca="false">'SimpleCalculator 2020'!K44</f>
        <v>498323.244</v>
      </c>
      <c r="D11" s="99" t="n">
        <f aca="false">'SimpleCalculator 2021'!K44</f>
        <v>796740.054</v>
      </c>
      <c r="E11" s="99" t="n">
        <f aca="false">'SimpleCalculator 2022'!K44</f>
        <v>811964.166</v>
      </c>
      <c r="F11" s="100" t="n">
        <f aca="false">E11-(E11*F$2)</f>
        <v>783545.42019</v>
      </c>
      <c r="G11" s="100" t="n">
        <f aca="false">F11-(F11*G$2)</f>
        <v>756121.33048335</v>
      </c>
      <c r="H11" s="100" t="n">
        <f aca="false">G11-(G11*H$2)</f>
        <v>729657.083916433</v>
      </c>
      <c r="I11" s="100" t="n">
        <f aca="false">H11-(H11*I$2)</f>
        <v>704119.085979358</v>
      </c>
      <c r="J11" s="100" t="n">
        <f aca="false">I11-(I11*J$2)</f>
        <v>679474.91797008</v>
      </c>
      <c r="K11" s="100" t="n">
        <f aca="false">J11-(J11*K$2)</f>
        <v>655693.295841127</v>
      </c>
      <c r="L11" s="100" t="n">
        <f aca="false">K11-(K11*L$2)</f>
        <v>632744.030486688</v>
      </c>
      <c r="M11" s="101" t="n">
        <f aca="false">L11-(L11*M$2)</f>
        <v>610597.989419654</v>
      </c>
    </row>
    <row r="12" customFormat="false" ht="14.25" hidden="false" customHeight="false" outlineLevel="0" collapsed="false">
      <c r="B12" s="98" t="s">
        <v>76</v>
      </c>
      <c r="C12" s="99" t="n">
        <f aca="false">SUM(C10:C11)</f>
        <v>576701.184</v>
      </c>
      <c r="D12" s="99" t="n">
        <f aca="false">SUM(D10:D11)</f>
        <v>904889.913</v>
      </c>
      <c r="E12" s="99" t="n">
        <f aca="false">SUM(E10:E11)</f>
        <v>926255.58</v>
      </c>
      <c r="F12" s="100" t="n">
        <f aca="false">SUM(F10:F11)</f>
        <v>893836.6347</v>
      </c>
      <c r="G12" s="100" t="n">
        <f aca="false">SUM(G10:G11)</f>
        <v>862552.3524855</v>
      </c>
      <c r="H12" s="100" t="n">
        <f aca="false">SUM(H10:H11)</f>
        <v>832363.020148507</v>
      </c>
      <c r="I12" s="100" t="n">
        <f aca="false">SUM(I10:I11)</f>
        <v>803230.31444331</v>
      </c>
      <c r="J12" s="100" t="n">
        <f aca="false">SUM(J10:J11)</f>
        <v>775117.253437794</v>
      </c>
      <c r="K12" s="100" t="n">
        <f aca="false">SUM(K10:K11)</f>
        <v>747988.149567471</v>
      </c>
      <c r="L12" s="100" t="n">
        <f aca="false">SUM(L10:L11)</f>
        <v>721808.56433261</v>
      </c>
      <c r="M12" s="101" t="n">
        <f aca="false">SUM(M10:M11)</f>
        <v>696545.264580968</v>
      </c>
    </row>
    <row r="13" customFormat="false" ht="14.25" hidden="false" customHeight="false" outlineLevel="0" collapsed="false">
      <c r="B13" s="107" t="s">
        <v>77</v>
      </c>
      <c r="C13" s="103" t="n">
        <f aca="false">C12/C$20</f>
        <v>0.942058545909107</v>
      </c>
      <c r="D13" s="103" t="n">
        <f aca="false">D12/D$20</f>
        <v>0.939182233507213</v>
      </c>
      <c r="E13" s="103" t="n">
        <f aca="false">E12/E$20</f>
        <v>0.921211071469553</v>
      </c>
      <c r="F13" s="104" t="n">
        <f aca="false">F12/F$20</f>
        <v>0.921211071469553</v>
      </c>
      <c r="G13" s="104" t="n">
        <f aca="false">G12/G$20</f>
        <v>0.921211071469553</v>
      </c>
      <c r="H13" s="104" t="n">
        <f aca="false">H12/H$20</f>
        <v>0.921211071469553</v>
      </c>
      <c r="I13" s="104" t="n">
        <f aca="false">I12/I$20</f>
        <v>0.921211071469553</v>
      </c>
      <c r="J13" s="104" t="n">
        <f aca="false">J12/J$20</f>
        <v>0.921211071469553</v>
      </c>
      <c r="K13" s="104" t="n">
        <f aca="false">K12/K$20</f>
        <v>0.921211071469553</v>
      </c>
      <c r="L13" s="104" t="n">
        <f aca="false">L12/L$20</f>
        <v>0.921211071469553</v>
      </c>
      <c r="M13" s="105" t="n">
        <f aca="false">M12/M$20</f>
        <v>0.921211071469553</v>
      </c>
    </row>
    <row r="14" customFormat="false" ht="14.25" hidden="false" customHeight="false" outlineLevel="0" collapsed="false">
      <c r="B14" s="102"/>
      <c r="C14" s="99"/>
      <c r="D14" s="99"/>
      <c r="E14" s="99"/>
      <c r="F14" s="100"/>
      <c r="G14" s="100"/>
      <c r="H14" s="100"/>
      <c r="I14" s="100"/>
      <c r="J14" s="100"/>
      <c r="K14" s="100"/>
      <c r="L14" s="100"/>
      <c r="M14" s="101"/>
    </row>
    <row r="15" customFormat="false" ht="14.25" hidden="false" customHeight="false" outlineLevel="0" collapsed="false">
      <c r="B15" s="98" t="s">
        <v>53</v>
      </c>
      <c r="C15" s="99" t="n">
        <f aca="false">'SimpleCalculator 2020'!K47</f>
        <v>0</v>
      </c>
      <c r="D15" s="99" t="n">
        <f aca="false">'SimpleCalculator 2021'!K47</f>
        <v>0</v>
      </c>
      <c r="E15" s="99" t="n">
        <f aca="false">'SimpleCalculator 2022'!K47</f>
        <v>0</v>
      </c>
      <c r="F15" s="100" t="n">
        <f aca="false">E15-(E15*F$2)</f>
        <v>0</v>
      </c>
      <c r="G15" s="100" t="n">
        <f aca="false">F15-(F15*G$2)</f>
        <v>0</v>
      </c>
      <c r="H15" s="100" t="n">
        <f aca="false">G15-(G15*H$2)</f>
        <v>0</v>
      </c>
      <c r="I15" s="100" t="n">
        <f aca="false">H15-(H15*I$2)</f>
        <v>0</v>
      </c>
      <c r="J15" s="100" t="n">
        <f aca="false">I15-(I15*J$2)</f>
        <v>0</v>
      </c>
      <c r="K15" s="100" t="n">
        <f aca="false">J15-(J15*K$2)</f>
        <v>0</v>
      </c>
      <c r="L15" s="100" t="n">
        <f aca="false">K15-(K15*L$2)</f>
        <v>0</v>
      </c>
      <c r="M15" s="101" t="n">
        <f aca="false">L15-(L15*M$2)</f>
        <v>0</v>
      </c>
    </row>
    <row r="16" customFormat="false" ht="14.25" hidden="false" customHeight="false" outlineLevel="0" collapsed="false">
      <c r="B16" s="98" t="s">
        <v>55</v>
      </c>
      <c r="C16" s="99" t="n">
        <f aca="false">'SimpleCalculator 2020'!K49</f>
        <v>0</v>
      </c>
      <c r="D16" s="99" t="n">
        <f aca="false">'SimpleCalculator 2021'!K49</f>
        <v>0</v>
      </c>
      <c r="E16" s="99" t="n">
        <f aca="false">'SimpleCalculator 2022'!K49</f>
        <v>0</v>
      </c>
      <c r="F16" s="100" t="n">
        <f aca="false">E16-(E16*F$2)</f>
        <v>0</v>
      </c>
      <c r="G16" s="100" t="n">
        <f aca="false">F16-(F16*G$2)</f>
        <v>0</v>
      </c>
      <c r="H16" s="100" t="n">
        <f aca="false">G16-(G16*H$2)</f>
        <v>0</v>
      </c>
      <c r="I16" s="100" t="n">
        <f aca="false">H16-(H16*I$2)</f>
        <v>0</v>
      </c>
      <c r="J16" s="100" t="n">
        <f aca="false">I16-(I16*J$2)</f>
        <v>0</v>
      </c>
      <c r="K16" s="100" t="n">
        <f aca="false">J16-(J16*K$2)</f>
        <v>0</v>
      </c>
      <c r="L16" s="100" t="n">
        <f aca="false">K16-(K16*L$2)</f>
        <v>0</v>
      </c>
      <c r="M16" s="101" t="n">
        <f aca="false">L16-(L16*M$2)</f>
        <v>0</v>
      </c>
    </row>
    <row r="17" customFormat="false" ht="14.25" hidden="false" customHeight="false" outlineLevel="0" collapsed="false">
      <c r="B17" s="98" t="s">
        <v>56</v>
      </c>
      <c r="C17" s="99" t="n">
        <f aca="false">'SimpleCalculator 2020'!K51</f>
        <v>16367.094</v>
      </c>
      <c r="D17" s="99" t="n">
        <f aca="false">'SimpleCalculator 2021'!K51</f>
        <v>28980.13</v>
      </c>
      <c r="E17" s="99" t="n">
        <f aca="false">'SimpleCalculator 2022'!K51</f>
        <v>48449.373</v>
      </c>
      <c r="F17" s="100" t="n">
        <f aca="false">E17-(E17*F$2)</f>
        <v>46753.644945</v>
      </c>
      <c r="G17" s="100" t="n">
        <f aca="false">F17-(F17*G$2)</f>
        <v>45117.267371925</v>
      </c>
      <c r="H17" s="100" t="n">
        <f aca="false">G17-(G17*H$2)</f>
        <v>43538.1630139076</v>
      </c>
      <c r="I17" s="100" t="n">
        <f aca="false">H17-(H17*I$2)</f>
        <v>42014.3273084209</v>
      </c>
      <c r="J17" s="100" t="n">
        <f aca="false">I17-(I17*J$2)</f>
        <v>40543.8258526261</v>
      </c>
      <c r="K17" s="100" t="n">
        <f aca="false">J17-(J17*K$2)</f>
        <v>39124.7919477842</v>
      </c>
      <c r="L17" s="100" t="n">
        <f aca="false">K17-(K17*L$2)</f>
        <v>37755.4242296118</v>
      </c>
      <c r="M17" s="101" t="n">
        <f aca="false">L17-(L17*M$2)</f>
        <v>36433.9843815754</v>
      </c>
    </row>
    <row r="18" customFormat="false" ht="14.25" hidden="false" customHeight="false" outlineLevel="0" collapsed="false">
      <c r="B18" s="98" t="s">
        <v>78</v>
      </c>
      <c r="C18" s="99" t="n">
        <f aca="false">'SimpleCalculator 2020'!K57</f>
        <v>0</v>
      </c>
      <c r="D18" s="99" t="n">
        <f aca="false">'SimpleCalculator 2021'!K57</f>
        <v>0</v>
      </c>
      <c r="E18" s="99" t="n">
        <f aca="false">'SimpleCalculator 2022'!K57</f>
        <v>0</v>
      </c>
      <c r="F18" s="100" t="n">
        <f aca="false">E18-(E18*F$2)</f>
        <v>0</v>
      </c>
      <c r="G18" s="100" t="n">
        <f aca="false">F18-(F18*G$2)</f>
        <v>0</v>
      </c>
      <c r="H18" s="100" t="n">
        <f aca="false">G18-(G18*H$2)</f>
        <v>0</v>
      </c>
      <c r="I18" s="100" t="n">
        <f aca="false">H18-(H18*I$2)</f>
        <v>0</v>
      </c>
      <c r="J18" s="100" t="n">
        <f aca="false">I18-(I18*J$2)</f>
        <v>0</v>
      </c>
      <c r="K18" s="100" t="n">
        <f aca="false">J18-(J18*K$2)</f>
        <v>0</v>
      </c>
      <c r="L18" s="100" t="n">
        <f aca="false">K18-(K18*L$2)</f>
        <v>0</v>
      </c>
      <c r="M18" s="101" t="n">
        <f aca="false">L18-(L18*M$2)</f>
        <v>0</v>
      </c>
    </row>
    <row r="19" customFormat="false" ht="14.25" hidden="false" customHeight="false" outlineLevel="0" collapsed="false">
      <c r="B19" s="102"/>
      <c r="C19" s="99"/>
      <c r="D19" s="99"/>
      <c r="E19" s="99"/>
      <c r="F19" s="100"/>
      <c r="G19" s="100"/>
      <c r="H19" s="100"/>
      <c r="I19" s="100"/>
      <c r="J19" s="100"/>
      <c r="K19" s="100"/>
      <c r="L19" s="100"/>
      <c r="M19" s="101"/>
    </row>
    <row r="20" customFormat="false" ht="14.25" hidden="false" customHeight="false" outlineLevel="0" collapsed="false">
      <c r="B20" s="108" t="s">
        <v>14</v>
      </c>
      <c r="C20" s="109" t="n">
        <f aca="false">C8+C12+C15+C16+C17+C18</f>
        <v>612171.278</v>
      </c>
      <c r="D20" s="109" t="n">
        <f aca="false">D8+D12+D15+D16+D17+D18</f>
        <v>963487.043</v>
      </c>
      <c r="E20" s="109" t="n">
        <f aca="false">E8+E12+E15+E16+E17+E18</f>
        <v>1005475.953</v>
      </c>
      <c r="F20" s="110" t="n">
        <f aca="false">F8+F12+F15+F16+F17+F18</f>
        <v>970284.294645</v>
      </c>
      <c r="G20" s="110" t="n">
        <f aca="false">G8+G12+G15+G16+G17+G18</f>
        <v>936324.344332425</v>
      </c>
      <c r="H20" s="110" t="n">
        <f aca="false">H8+H12+H15+H16+H17+H18</f>
        <v>903552.99228079</v>
      </c>
      <c r="I20" s="110" t="n">
        <f aca="false">I8+I12+I15+I16+I17+I18</f>
        <v>871928.637550963</v>
      </c>
      <c r="J20" s="110" t="n">
        <f aca="false">J8+J12+J15+J16+J17+J18</f>
        <v>841411.135236679</v>
      </c>
      <c r="K20" s="110" t="n">
        <f aca="false">K8+K12+K15+K16+K17+K18</f>
        <v>811961.745503395</v>
      </c>
      <c r="L20" s="110" t="n">
        <f aca="false">L8+L12+L15+L16+L17+L18</f>
        <v>783543.084410776</v>
      </c>
      <c r="M20" s="111" t="n">
        <f aca="false">M8+M12+M15+M16+M17+M18</f>
        <v>756119.076456399</v>
      </c>
    </row>
    <row r="21" customFormat="false" ht="14.25" hidden="true" customHeight="false" outlineLevel="0" collapsed="false">
      <c r="B21" s="112" t="s">
        <v>79</v>
      </c>
      <c r="C21" s="113" t="n">
        <f aca="false">'SimpleCalculator 2020'!K59</f>
        <v>612171.278</v>
      </c>
      <c r="D21" s="113"/>
      <c r="E21" s="113"/>
      <c r="F21" s="113"/>
      <c r="G21" s="113"/>
      <c r="H21" s="113"/>
      <c r="I21" s="113"/>
      <c r="J21" s="113"/>
      <c r="K21" s="113"/>
      <c r="L21" s="113"/>
      <c r="M21" s="114"/>
    </row>
    <row r="22" customFormat="false" ht="14.25" hidden="false" customHeight="false" outlineLevel="0" collapsed="false">
      <c r="B22" s="115" t="s">
        <v>79</v>
      </c>
      <c r="C22" s="116" t="n">
        <f aca="false">'SimpleCalculator 2020'!K59</f>
        <v>612171.278</v>
      </c>
      <c r="D22" s="116" t="n">
        <f aca="false">'SimpleCalculator 2021'!K59</f>
        <v>963487.043</v>
      </c>
      <c r="E22" s="116" t="n">
        <f aca="false">'SimpleCalculator 2022'!K59</f>
        <v>1005475.953</v>
      </c>
      <c r="F22" s="115"/>
      <c r="G22" s="115"/>
      <c r="H22" s="115"/>
      <c r="I22" s="115"/>
      <c r="J22" s="115"/>
      <c r="K22" s="115"/>
      <c r="L22" s="115"/>
    </row>
    <row r="23" customFormat="false" ht="14.25" hidden="false" customHeight="false" outlineLevel="0" collapsed="false">
      <c r="C23" s="85" t="n">
        <f aca="false">C20-C22</f>
        <v>0</v>
      </c>
      <c r="D23" s="85" t="n">
        <f aca="false">D20-D22</f>
        <v>0</v>
      </c>
      <c r="E23" s="85" t="n">
        <f aca="false">E20-E22</f>
        <v>0</v>
      </c>
    </row>
    <row r="24" customFormat="false" ht="14.25" hidden="false" customHeight="false" outlineLevel="0" collapsed="false"/>
    <row r="25" customFormat="false" ht="37.5" hidden="false" customHeight="true" outlineLevel="0" collapsed="false"/>
    <row r="26" customFormat="false" ht="15" hidden="false" customHeight="false" outlineLevel="0" collapsed="false">
      <c r="B26" s="91" t="s">
        <v>80</v>
      </c>
      <c r="C26" s="92" t="n">
        <f aca="false">C4</f>
        <v>2020</v>
      </c>
      <c r="D26" s="92" t="n">
        <f aca="false">D4</f>
        <v>2021</v>
      </c>
      <c r="E26" s="92" t="n">
        <f aca="false">E4</f>
        <v>2022</v>
      </c>
      <c r="F26" s="92" t="n">
        <f aca="false">F4</f>
        <v>2023</v>
      </c>
      <c r="G26" s="92" t="n">
        <f aca="false">G4</f>
        <v>2024</v>
      </c>
      <c r="H26" s="92" t="n">
        <f aca="false">H4</f>
        <v>2025</v>
      </c>
      <c r="I26" s="92" t="n">
        <f aca="false">I4</f>
        <v>2026</v>
      </c>
      <c r="J26" s="92" t="n">
        <f aca="false">J4</f>
        <v>2027</v>
      </c>
      <c r="K26" s="92" t="n">
        <f aca="false">K4</f>
        <v>2028</v>
      </c>
      <c r="L26" s="92" t="n">
        <f aca="false">L4</f>
        <v>2029</v>
      </c>
      <c r="M26" s="93" t="n">
        <f aca="false">M4</f>
        <v>2030</v>
      </c>
      <c r="N26" s="117"/>
    </row>
    <row r="27" customFormat="false" ht="14.25" hidden="false" customHeight="false" outlineLevel="0" collapsed="false">
      <c r="B27" s="118" t="s">
        <v>74</v>
      </c>
      <c r="C27" s="95" t="n">
        <f aca="false">C8</f>
        <v>19103</v>
      </c>
      <c r="D27" s="95" t="n">
        <f aca="false">D8</f>
        <v>29617</v>
      </c>
      <c r="E27" s="95" t="n">
        <f aca="false">E8</f>
        <v>30771</v>
      </c>
      <c r="F27" s="95" t="n">
        <f aca="false">F8</f>
        <v>29694.015</v>
      </c>
      <c r="G27" s="95" t="n">
        <f aca="false">G8</f>
        <v>28654.724475</v>
      </c>
      <c r="H27" s="95" t="n">
        <f aca="false">H8</f>
        <v>27651.809118375</v>
      </c>
      <c r="I27" s="95" t="n">
        <f aca="false">I8</f>
        <v>26683.9957992319</v>
      </c>
      <c r="J27" s="95" t="n">
        <f aca="false">J8</f>
        <v>25750.0559462588</v>
      </c>
      <c r="K27" s="95" t="n">
        <f aca="false">K8</f>
        <v>24848.8039881397</v>
      </c>
      <c r="L27" s="95" t="n">
        <f aca="false">L8</f>
        <v>23979.0958485548</v>
      </c>
      <c r="M27" s="119" t="n">
        <f aca="false">M8</f>
        <v>23139.8274938554</v>
      </c>
      <c r="N27" s="120" t="n">
        <f aca="false">M27/M33</f>
        <v>0.0306034171261777</v>
      </c>
    </row>
    <row r="28" customFormat="false" ht="14.25" hidden="false" customHeight="false" outlineLevel="0" collapsed="false">
      <c r="B28" s="102" t="s">
        <v>81</v>
      </c>
      <c r="C28" s="99" t="n">
        <f aca="false">C12</f>
        <v>576701.184</v>
      </c>
      <c r="D28" s="99" t="n">
        <f aca="false">D12</f>
        <v>904889.913</v>
      </c>
      <c r="E28" s="99" t="n">
        <f aca="false">E12</f>
        <v>926255.58</v>
      </c>
      <c r="F28" s="99" t="n">
        <f aca="false">F12</f>
        <v>893836.6347</v>
      </c>
      <c r="G28" s="99" t="n">
        <f aca="false">G12</f>
        <v>862552.3524855</v>
      </c>
      <c r="H28" s="99" t="n">
        <f aca="false">H12</f>
        <v>832363.020148507</v>
      </c>
      <c r="I28" s="99" t="n">
        <f aca="false">I12</f>
        <v>803230.31444331</v>
      </c>
      <c r="J28" s="99" t="n">
        <f aca="false">J12</f>
        <v>775117.253437794</v>
      </c>
      <c r="K28" s="99" t="n">
        <f aca="false">K12</f>
        <v>747988.149567471</v>
      </c>
      <c r="L28" s="99" t="n">
        <f aca="false">L12</f>
        <v>721808.56433261</v>
      </c>
      <c r="M28" s="121" t="n">
        <f aca="false">M12</f>
        <v>696545.264580968</v>
      </c>
      <c r="N28" s="122" t="n">
        <f aca="false">1-N27</f>
        <v>0.969396582873822</v>
      </c>
    </row>
    <row r="29" customFormat="false" ht="14.25" hidden="false" customHeight="false" outlineLevel="0" collapsed="false">
      <c r="B29" s="102" t="s">
        <v>53</v>
      </c>
      <c r="C29" s="99" t="n">
        <f aca="false">C15</f>
        <v>0</v>
      </c>
      <c r="D29" s="99" t="n">
        <f aca="false">D15</f>
        <v>0</v>
      </c>
      <c r="E29" s="99" t="n">
        <f aca="false">E15</f>
        <v>0</v>
      </c>
      <c r="F29" s="99" t="n">
        <f aca="false">F15</f>
        <v>0</v>
      </c>
      <c r="G29" s="99" t="n">
        <f aca="false">G15</f>
        <v>0</v>
      </c>
      <c r="H29" s="99" t="n">
        <f aca="false">H15</f>
        <v>0</v>
      </c>
      <c r="I29" s="99" t="n">
        <f aca="false">I15</f>
        <v>0</v>
      </c>
      <c r="J29" s="99" t="n">
        <f aca="false">J15</f>
        <v>0</v>
      </c>
      <c r="K29" s="99" t="n">
        <f aca="false">K15</f>
        <v>0</v>
      </c>
      <c r="L29" s="99" t="n">
        <f aca="false">L15</f>
        <v>0</v>
      </c>
      <c r="M29" s="121" t="n">
        <f aca="false">M15</f>
        <v>0</v>
      </c>
      <c r="N29" s="117"/>
    </row>
    <row r="30" customFormat="false" ht="14.25" hidden="false" customHeight="false" outlineLevel="0" collapsed="false">
      <c r="B30" s="102" t="s">
        <v>55</v>
      </c>
      <c r="C30" s="99" t="n">
        <f aca="false">C16</f>
        <v>0</v>
      </c>
      <c r="D30" s="99" t="n">
        <f aca="false">D16</f>
        <v>0</v>
      </c>
      <c r="E30" s="99" t="n">
        <f aca="false">E16</f>
        <v>0</v>
      </c>
      <c r="F30" s="99" t="n">
        <f aca="false">F16</f>
        <v>0</v>
      </c>
      <c r="G30" s="99" t="n">
        <f aca="false">G16</f>
        <v>0</v>
      </c>
      <c r="H30" s="99" t="n">
        <f aca="false">H16</f>
        <v>0</v>
      </c>
      <c r="I30" s="99" t="n">
        <f aca="false">I16</f>
        <v>0</v>
      </c>
      <c r="J30" s="99" t="n">
        <f aca="false">J16</f>
        <v>0</v>
      </c>
      <c r="K30" s="99" t="n">
        <f aca="false">K16</f>
        <v>0</v>
      </c>
      <c r="L30" s="99" t="n">
        <f aca="false">L16</f>
        <v>0</v>
      </c>
      <c r="M30" s="121" t="n">
        <f aca="false">M16</f>
        <v>0</v>
      </c>
      <c r="N30" s="117"/>
    </row>
    <row r="31" customFormat="false" ht="14.25" hidden="false" customHeight="false" outlineLevel="0" collapsed="false">
      <c r="B31" s="102" t="s">
        <v>56</v>
      </c>
      <c r="C31" s="99" t="n">
        <f aca="false">C17</f>
        <v>16367.094</v>
      </c>
      <c r="D31" s="99" t="n">
        <f aca="false">D17</f>
        <v>28980.13</v>
      </c>
      <c r="E31" s="99" t="n">
        <f aca="false">E17</f>
        <v>48449.373</v>
      </c>
      <c r="F31" s="99" t="n">
        <f aca="false">F17</f>
        <v>46753.644945</v>
      </c>
      <c r="G31" s="99" t="n">
        <f aca="false">G17</f>
        <v>45117.267371925</v>
      </c>
      <c r="H31" s="99" t="n">
        <f aca="false">H17</f>
        <v>43538.1630139076</v>
      </c>
      <c r="I31" s="99" t="n">
        <f aca="false">I17</f>
        <v>42014.3273084209</v>
      </c>
      <c r="J31" s="99" t="n">
        <f aca="false">J17</f>
        <v>40543.8258526261</v>
      </c>
      <c r="K31" s="99" t="n">
        <f aca="false">K17</f>
        <v>39124.7919477842</v>
      </c>
      <c r="L31" s="99" t="n">
        <f aca="false">L17</f>
        <v>37755.4242296118</v>
      </c>
      <c r="M31" s="121" t="n">
        <f aca="false">M17</f>
        <v>36433.9843815754</v>
      </c>
      <c r="N31" s="117"/>
    </row>
    <row r="32" customFormat="false" ht="14.25" hidden="false" customHeight="false" outlineLevel="0" collapsed="false">
      <c r="B32" s="102" t="s">
        <v>78</v>
      </c>
      <c r="C32" s="99" t="n">
        <f aca="false">C18</f>
        <v>0</v>
      </c>
      <c r="D32" s="99" t="n">
        <f aca="false">D18</f>
        <v>0</v>
      </c>
      <c r="E32" s="99" t="n">
        <f aca="false">E18</f>
        <v>0</v>
      </c>
      <c r="F32" s="99" t="n">
        <f aca="false">F18</f>
        <v>0</v>
      </c>
      <c r="G32" s="99" t="n">
        <f aca="false">G18</f>
        <v>0</v>
      </c>
      <c r="H32" s="99" t="n">
        <f aca="false">H18</f>
        <v>0</v>
      </c>
      <c r="I32" s="99" t="n">
        <f aca="false">I18</f>
        <v>0</v>
      </c>
      <c r="J32" s="99" t="n">
        <f aca="false">J18</f>
        <v>0</v>
      </c>
      <c r="K32" s="99" t="n">
        <f aca="false">K18</f>
        <v>0</v>
      </c>
      <c r="L32" s="99" t="n">
        <f aca="false">L18</f>
        <v>0</v>
      </c>
      <c r="M32" s="121" t="n">
        <f aca="false">M18</f>
        <v>0</v>
      </c>
    </row>
    <row r="33" customFormat="false" ht="14.25" hidden="false" customHeight="false" outlineLevel="0" collapsed="false">
      <c r="B33" s="123" t="s">
        <v>14</v>
      </c>
      <c r="C33" s="109" t="n">
        <f aca="false">SUM(C27:C32)</f>
        <v>612171.278</v>
      </c>
      <c r="D33" s="109" t="n">
        <f aca="false">SUM(D27:D32)</f>
        <v>963487.043</v>
      </c>
      <c r="E33" s="109" t="n">
        <f aca="false">SUM(E27:E32)</f>
        <v>1005475.953</v>
      </c>
      <c r="F33" s="109" t="n">
        <f aca="false">SUM(F27:F32)</f>
        <v>970284.294645</v>
      </c>
      <c r="G33" s="109" t="n">
        <f aca="false">SUM(G27:G32)</f>
        <v>936324.344332425</v>
      </c>
      <c r="H33" s="109" t="n">
        <f aca="false">SUM(H27:H32)</f>
        <v>903552.99228079</v>
      </c>
      <c r="I33" s="109" t="n">
        <f aca="false">SUM(I27:I32)</f>
        <v>871928.637550963</v>
      </c>
      <c r="J33" s="109" t="n">
        <f aca="false">SUM(J27:J32)</f>
        <v>841411.135236679</v>
      </c>
      <c r="K33" s="109" t="n">
        <f aca="false">SUM(K27:K32)</f>
        <v>811961.745503395</v>
      </c>
      <c r="L33" s="109" t="n">
        <f aca="false">SUM(L27:L32)</f>
        <v>783543.084410776</v>
      </c>
      <c r="M33" s="124" t="n">
        <f aca="false">SUM(M27:M32)</f>
        <v>756119.076456399</v>
      </c>
    </row>
    <row r="34" customFormat="false" ht="14.25" hidden="false" customHeight="false" outlineLevel="0" collapsed="false">
      <c r="C34" s="90"/>
      <c r="D34" s="90"/>
      <c r="E34" s="90"/>
    </row>
    <row r="35" customFormat="false" ht="14.25" hidden="false" customHeight="false" outlineLevel="0" collapsed="false">
      <c r="C35" s="90"/>
      <c r="D35" s="90"/>
      <c r="E35" s="90"/>
    </row>
    <row r="36" customFormat="false" ht="14.25" hidden="false" customHeight="false" outlineLevel="0" collapsed="false">
      <c r="C36" s="90"/>
      <c r="D36" s="90"/>
      <c r="E36" s="90"/>
    </row>
    <row r="37" customFormat="false" ht="14.25" hidden="false" customHeight="false" outlineLevel="0" collapsed="false"/>
    <row r="38" customFormat="false" ht="14.25" hidden="false" customHeight="false" outlineLevel="0" collapsed="false">
      <c r="D38" s="90"/>
    </row>
    <row r="39" customFormat="false" ht="14.25" hidden="false" customHeight="false" outlineLevel="0" collapsed="false"/>
    <row r="40" customFormat="false" ht="14.25" hidden="false" customHeight="false" outlineLevel="0" collapsed="false">
      <c r="B40" s="85" t="s">
        <v>82</v>
      </c>
    </row>
    <row r="41" customFormat="false" ht="14.25" hidden="false" customHeight="false" outlineLevel="0" collapsed="false">
      <c r="B41" s="85" t="s">
        <v>83</v>
      </c>
      <c r="C41" s="20" t="n">
        <f aca="false">$F$48*C28</f>
        <v>165000.616533333</v>
      </c>
      <c r="D41" s="20" t="n">
        <f aca="false">$F$48*D28</f>
        <v>258899.058441667</v>
      </c>
      <c r="E41" s="20" t="n">
        <f aca="false">$F$48*E28</f>
        <v>265012.013166667</v>
      </c>
      <c r="F41" s="20" t="n">
        <f aca="false">$F$48*F28</f>
        <v>255736.592705833</v>
      </c>
      <c r="G41" s="20" t="n">
        <f aca="false">$F$48*G28</f>
        <v>246785.811961129</v>
      </c>
      <c r="H41" s="20" t="n">
        <f aca="false">$F$48*H28</f>
        <v>238148.30854249</v>
      </c>
      <c r="I41" s="20" t="n">
        <f aca="false">$F$48*I28</f>
        <v>229813.117743502</v>
      </c>
      <c r="J41" s="20" t="n">
        <f aca="false">$F$48*J28</f>
        <v>221769.65862248</v>
      </c>
      <c r="K41" s="20" t="n">
        <f aca="false">$F$48*K28</f>
        <v>214007.720570693</v>
      </c>
      <c r="L41" s="20" t="n">
        <f aca="false">$F$48*L28</f>
        <v>206517.450350719</v>
      </c>
      <c r="M41" s="20" t="n">
        <f aca="false">$F$48*M28</f>
        <v>199289.339588444</v>
      </c>
    </row>
    <row r="42" customFormat="false" ht="14.25" hidden="false" customHeight="false" outlineLevel="0" collapsed="false">
      <c r="B42" s="85" t="s">
        <v>84</v>
      </c>
      <c r="C42" s="20" t="n">
        <f aca="false">$E$48*C28</f>
        <v>410098.619733333</v>
      </c>
      <c r="D42" s="20" t="n">
        <f aca="false">$E$48*D28</f>
        <v>643477.271466667</v>
      </c>
      <c r="E42" s="20" t="n">
        <f aca="false">$E$48*E28</f>
        <v>658670.634666667</v>
      </c>
      <c r="F42" s="20" t="n">
        <f aca="false">$E$48*F28</f>
        <v>635617.162453333</v>
      </c>
      <c r="G42" s="20" t="n">
        <f aca="false">$E$48*G28</f>
        <v>613370.561767467</v>
      </c>
      <c r="H42" s="20" t="n">
        <f aca="false">$E$48*H28</f>
        <v>591902.592105605</v>
      </c>
      <c r="I42" s="20" t="n">
        <f aca="false">$E$48*I28</f>
        <v>571186.001381909</v>
      </c>
      <c r="J42" s="20" t="n">
        <f aca="false">$E$48*J28</f>
        <v>551194.491333542</v>
      </c>
      <c r="K42" s="20" t="n">
        <f aca="false">$E$48*K28</f>
        <v>531902.684136868</v>
      </c>
      <c r="L42" s="20" t="n">
        <f aca="false">$E$48*L28</f>
        <v>513286.090192078</v>
      </c>
      <c r="M42" s="20" t="n">
        <f aca="false">$E$48*M28</f>
        <v>495321.077035355</v>
      </c>
    </row>
    <row r="43" customFormat="false" ht="14.25" hidden="false" customHeight="false" outlineLevel="0" collapsed="false"/>
    <row r="44" customFormat="false" ht="14.25" hidden="false" customHeight="false" outlineLevel="0" collapsed="false">
      <c r="E44" s="85" t="s">
        <v>85</v>
      </c>
      <c r="F44" s="85" t="s">
        <v>86</v>
      </c>
      <c r="G44" s="85" t="s">
        <v>87</v>
      </c>
    </row>
    <row r="45" customFormat="false" ht="14.25" hidden="false" customHeight="false" outlineLevel="0" collapsed="false">
      <c r="A45" s="85" t="n">
        <v>339112</v>
      </c>
      <c r="B45" s="85" t="s">
        <v>88</v>
      </c>
      <c r="C45" s="85" t="s">
        <v>89</v>
      </c>
      <c r="D45" s="85" t="s">
        <v>90</v>
      </c>
      <c r="E45" s="85" t="n">
        <v>0.146</v>
      </c>
      <c r="F45" s="85" t="n">
        <v>0.044</v>
      </c>
      <c r="G45" s="85" t="n">
        <v>0.19</v>
      </c>
      <c r="H45" s="85" t="n">
        <v>339112</v>
      </c>
    </row>
    <row r="46" customFormat="false" ht="14.25" hidden="false" customHeight="false" outlineLevel="0" collapsed="false">
      <c r="A46" s="85" t="n">
        <v>339113</v>
      </c>
      <c r="B46" s="85" t="s">
        <v>91</v>
      </c>
      <c r="C46" s="85" t="s">
        <v>89</v>
      </c>
      <c r="D46" s="85" t="s">
        <v>90</v>
      </c>
      <c r="E46" s="85" t="n">
        <v>0.11</v>
      </c>
      <c r="F46" s="85" t="n">
        <v>0.059</v>
      </c>
      <c r="G46" s="85" t="n">
        <v>0.17</v>
      </c>
      <c r="H46" s="85" t="n">
        <v>33911</v>
      </c>
    </row>
    <row r="47" customFormat="false" ht="14.25" hidden="false" customHeight="false" outlineLevel="0" collapsed="false">
      <c r="B47" s="85" t="s">
        <v>92</v>
      </c>
      <c r="E47" s="85" t="n">
        <f aca="false">SUM(E45:E46)/2</f>
        <v>0.128</v>
      </c>
      <c r="F47" s="85" t="n">
        <f aca="false">SUM(F45:F46)/2</f>
        <v>0.0515</v>
      </c>
      <c r="G47" s="85" t="n">
        <f aca="false">SUM(G45:G46)/2</f>
        <v>0.18</v>
      </c>
    </row>
    <row r="48" customFormat="false" ht="14.25" hidden="false" customHeight="false" outlineLevel="0" collapsed="false">
      <c r="E48" s="90" t="n">
        <f aca="false">E47/G47</f>
        <v>0.711111111111111</v>
      </c>
      <c r="F48" s="90" t="n">
        <f aca="false">F47/G47</f>
        <v>0.286111111111111</v>
      </c>
    </row>
    <row r="49" customFormat="false" ht="14.25" hidden="false" customHeight="false" outlineLevel="0" collapsed="false"/>
    <row r="50" customFormat="false" ht="14.25" hidden="false" customHeight="false" outlineLevel="0" collapsed="false">
      <c r="B50" s="85" t="str">
        <f aca="false">B26</f>
        <v>Summary</v>
      </c>
      <c r="C50" s="85" t="n">
        <f aca="false">C26</f>
        <v>2020</v>
      </c>
      <c r="D50" s="85" t="n">
        <f aca="false">D26</f>
        <v>2021</v>
      </c>
      <c r="E50" s="85" t="n">
        <f aca="false">E26</f>
        <v>2022</v>
      </c>
      <c r="F50" s="85" t="n">
        <f aca="false">F26</f>
        <v>2023</v>
      </c>
      <c r="G50" s="85" t="n">
        <f aca="false">G26</f>
        <v>2024</v>
      </c>
      <c r="H50" s="85" t="n">
        <f aca="false">H26</f>
        <v>2025</v>
      </c>
      <c r="I50" s="85" t="n">
        <f aca="false">I26</f>
        <v>2026</v>
      </c>
      <c r="J50" s="85" t="n">
        <f aca="false">J26</f>
        <v>2027</v>
      </c>
      <c r="K50" s="85" t="n">
        <f aca="false">K26</f>
        <v>2028</v>
      </c>
      <c r="L50" s="85" t="n">
        <f aca="false">L26</f>
        <v>2029</v>
      </c>
      <c r="M50" s="85" t="n">
        <f aca="false">M26</f>
        <v>2030</v>
      </c>
    </row>
    <row r="51" customFormat="false" ht="14.25" hidden="false" customHeight="false" outlineLevel="0" collapsed="false">
      <c r="B51" s="85" t="str">
        <f aca="false">B27</f>
        <v>Scope 1 and 2</v>
      </c>
      <c r="C51" s="125" t="n">
        <f aca="false">C27</f>
        <v>19103</v>
      </c>
      <c r="D51" s="125" t="n">
        <f aca="false">D27</f>
        <v>29617</v>
      </c>
      <c r="E51" s="125" t="n">
        <f aca="false">E27</f>
        <v>30771</v>
      </c>
      <c r="F51" s="125" t="n">
        <f aca="false">F27</f>
        <v>29694.015</v>
      </c>
      <c r="G51" s="125" t="n">
        <f aca="false">G27</f>
        <v>28654.724475</v>
      </c>
      <c r="H51" s="125" t="n">
        <f aca="false">H27</f>
        <v>27651.809118375</v>
      </c>
      <c r="I51" s="125" t="n">
        <f aca="false">I27</f>
        <v>26683.9957992319</v>
      </c>
      <c r="J51" s="125" t="n">
        <f aca="false">J27</f>
        <v>25750.0559462588</v>
      </c>
      <c r="K51" s="125" t="n">
        <f aca="false">K27</f>
        <v>24848.8039881397</v>
      </c>
      <c r="L51" s="125" t="n">
        <f aca="false">L27</f>
        <v>23979.0958485548</v>
      </c>
      <c r="M51" s="125" t="n">
        <f aca="false">M27</f>
        <v>23139.8274938554</v>
      </c>
    </row>
    <row r="52" customFormat="false" ht="14.25" hidden="false" customHeight="false" outlineLevel="0" collapsed="false">
      <c r="B52" s="85" t="str">
        <f aca="false">B41</f>
        <v>Upsteam transport</v>
      </c>
      <c r="C52" s="125" t="n">
        <f aca="false">C41</f>
        <v>165000.616533333</v>
      </c>
      <c r="D52" s="125" t="n">
        <f aca="false">D41</f>
        <v>258899.058441667</v>
      </c>
      <c r="E52" s="125" t="n">
        <f aca="false">E41</f>
        <v>265012.013166667</v>
      </c>
      <c r="F52" s="125" t="n">
        <f aca="false">F41</f>
        <v>255736.592705833</v>
      </c>
      <c r="G52" s="125" t="n">
        <f aca="false">G41</f>
        <v>246785.811961129</v>
      </c>
      <c r="H52" s="125" t="n">
        <f aca="false">H41</f>
        <v>238148.30854249</v>
      </c>
      <c r="I52" s="125" t="n">
        <f aca="false">I41</f>
        <v>229813.117743502</v>
      </c>
      <c r="J52" s="125" t="n">
        <f aca="false">J41</f>
        <v>221769.65862248</v>
      </c>
      <c r="K52" s="125" t="n">
        <f aca="false">K41</f>
        <v>214007.720570693</v>
      </c>
      <c r="L52" s="125" t="n">
        <f aca="false">L41</f>
        <v>206517.450350719</v>
      </c>
      <c r="M52" s="125" t="n">
        <f aca="false">M41</f>
        <v>199289.339588444</v>
      </c>
    </row>
    <row r="53" customFormat="false" ht="14.25" hidden="false" customHeight="false" outlineLevel="0" collapsed="false">
      <c r="B53" s="85" t="str">
        <f aca="false">B42</f>
        <v>Factory gate carbon</v>
      </c>
      <c r="C53" s="125" t="n">
        <f aca="false">C42</f>
        <v>410098.619733333</v>
      </c>
      <c r="D53" s="125" t="n">
        <f aca="false">D42</f>
        <v>643477.271466667</v>
      </c>
      <c r="E53" s="125" t="n">
        <f aca="false">E42</f>
        <v>658670.634666667</v>
      </c>
      <c r="F53" s="125" t="n">
        <f aca="false">F42</f>
        <v>635617.162453333</v>
      </c>
      <c r="G53" s="125" t="n">
        <f aca="false">G42</f>
        <v>613370.561767467</v>
      </c>
      <c r="H53" s="125" t="n">
        <f aca="false">H42</f>
        <v>591902.592105605</v>
      </c>
      <c r="I53" s="125" t="n">
        <f aca="false">I42</f>
        <v>571186.001381909</v>
      </c>
      <c r="J53" s="125" t="n">
        <f aca="false">J42</f>
        <v>551194.491333542</v>
      </c>
      <c r="K53" s="125" t="n">
        <f aca="false">K42</f>
        <v>531902.684136868</v>
      </c>
      <c r="L53" s="125" t="n">
        <f aca="false">L42</f>
        <v>513286.090192078</v>
      </c>
      <c r="M53" s="125" t="n">
        <f aca="false">M42</f>
        <v>495321.077035355</v>
      </c>
    </row>
    <row r="54" customFormat="false" ht="14.25" hidden="false" customHeight="false" outlineLevel="0" collapsed="false">
      <c r="B54" s="85" t="str">
        <f aca="false">B29</f>
        <v>Business Travel</v>
      </c>
      <c r="C54" s="125" t="n">
        <f aca="false">C29</f>
        <v>0</v>
      </c>
      <c r="D54" s="125" t="n">
        <f aca="false">D29</f>
        <v>0</v>
      </c>
      <c r="E54" s="125" t="n">
        <f aca="false">E29</f>
        <v>0</v>
      </c>
      <c r="F54" s="125" t="n">
        <f aca="false">F29</f>
        <v>0</v>
      </c>
      <c r="G54" s="125" t="n">
        <f aca="false">G29</f>
        <v>0</v>
      </c>
      <c r="H54" s="125" t="n">
        <f aca="false">H29</f>
        <v>0</v>
      </c>
      <c r="I54" s="125" t="n">
        <f aca="false">I29</f>
        <v>0</v>
      </c>
      <c r="J54" s="125" t="n">
        <f aca="false">J29</f>
        <v>0</v>
      </c>
      <c r="K54" s="125" t="n">
        <f aca="false">K29</f>
        <v>0</v>
      </c>
      <c r="L54" s="125" t="n">
        <f aca="false">L29</f>
        <v>0</v>
      </c>
      <c r="M54" s="125" t="n">
        <f aca="false">M29</f>
        <v>0</v>
      </c>
    </row>
    <row r="55" customFormat="false" ht="14.25" hidden="false" customHeight="false" outlineLevel="0" collapsed="false">
      <c r="B55" s="85" t="str">
        <f aca="false">B30</f>
        <v>Waste</v>
      </c>
      <c r="C55" s="125" t="n">
        <f aca="false">C30</f>
        <v>0</v>
      </c>
      <c r="D55" s="125" t="n">
        <f aca="false">D30</f>
        <v>0</v>
      </c>
      <c r="E55" s="125" t="n">
        <f aca="false">E30</f>
        <v>0</v>
      </c>
      <c r="F55" s="125" t="n">
        <f aca="false">F30</f>
        <v>0</v>
      </c>
      <c r="G55" s="125" t="n">
        <f aca="false">G30</f>
        <v>0</v>
      </c>
      <c r="H55" s="125" t="n">
        <f aca="false">H30</f>
        <v>0</v>
      </c>
      <c r="I55" s="125" t="n">
        <f aca="false">I30</f>
        <v>0</v>
      </c>
      <c r="J55" s="125" t="n">
        <f aca="false">J30</f>
        <v>0</v>
      </c>
      <c r="K55" s="125" t="n">
        <f aca="false">K30</f>
        <v>0</v>
      </c>
      <c r="L55" s="125" t="n">
        <f aca="false">L30</f>
        <v>0</v>
      </c>
      <c r="M55" s="125" t="n">
        <f aca="false">M30</f>
        <v>0</v>
      </c>
    </row>
    <row r="56" customFormat="false" ht="14.25" hidden="false" customHeight="false" outlineLevel="0" collapsed="false">
      <c r="B56" s="85" t="str">
        <f aca="false">B31</f>
        <v>Transport of goods produced</v>
      </c>
      <c r="C56" s="125" t="n">
        <f aca="false">C31</f>
        <v>16367.094</v>
      </c>
      <c r="D56" s="125" t="n">
        <f aca="false">D31</f>
        <v>28980.13</v>
      </c>
      <c r="E56" s="125" t="n">
        <f aca="false">E31</f>
        <v>48449.373</v>
      </c>
      <c r="F56" s="125" t="n">
        <f aca="false">F31</f>
        <v>46753.644945</v>
      </c>
      <c r="G56" s="125" t="n">
        <f aca="false">G31</f>
        <v>45117.267371925</v>
      </c>
      <c r="H56" s="125" t="n">
        <f aca="false">H31</f>
        <v>43538.1630139076</v>
      </c>
      <c r="I56" s="125" t="n">
        <f aca="false">I31</f>
        <v>42014.3273084209</v>
      </c>
      <c r="J56" s="125" t="n">
        <f aca="false">J31</f>
        <v>40543.8258526261</v>
      </c>
      <c r="K56" s="125" t="n">
        <f aca="false">K31</f>
        <v>39124.7919477842</v>
      </c>
      <c r="L56" s="125" t="n">
        <f aca="false">L31</f>
        <v>37755.4242296118</v>
      </c>
      <c r="M56" s="125" t="n">
        <f aca="false">M31</f>
        <v>36433.9843815754</v>
      </c>
    </row>
    <row r="57" customFormat="false" ht="14.25" hidden="false" customHeight="false" outlineLevel="0" collapsed="false">
      <c r="B57" s="85" t="str">
        <f aca="false">B32</f>
        <v>Employee Commute</v>
      </c>
      <c r="C57" s="125" t="n">
        <f aca="false">C32</f>
        <v>0</v>
      </c>
      <c r="D57" s="125" t="n">
        <f aca="false">D32</f>
        <v>0</v>
      </c>
      <c r="E57" s="125" t="n">
        <f aca="false">E32</f>
        <v>0</v>
      </c>
      <c r="F57" s="125" t="n">
        <f aca="false">F32</f>
        <v>0</v>
      </c>
      <c r="G57" s="125" t="n">
        <f aca="false">G32</f>
        <v>0</v>
      </c>
      <c r="H57" s="125" t="n">
        <f aca="false">H32</f>
        <v>0</v>
      </c>
      <c r="I57" s="125" t="n">
        <f aca="false">I32</f>
        <v>0</v>
      </c>
      <c r="J57" s="125" t="n">
        <f aca="false">J32</f>
        <v>0</v>
      </c>
      <c r="K57" s="125" t="n">
        <f aca="false">K32</f>
        <v>0</v>
      </c>
      <c r="L57" s="125" t="n">
        <f aca="false">L32</f>
        <v>0</v>
      </c>
      <c r="M57" s="125" t="n">
        <f aca="false">M32</f>
        <v>0</v>
      </c>
    </row>
    <row r="58" customFormat="false" ht="14.25" hidden="false" customHeight="false" outlineLevel="0" collapsed="false">
      <c r="B58" s="85" t="s">
        <v>87</v>
      </c>
      <c r="C58" s="125" t="n">
        <f aca="false">C33</f>
        <v>612171.278</v>
      </c>
      <c r="D58" s="125" t="n">
        <f aca="false">D33</f>
        <v>963487.043</v>
      </c>
      <c r="E58" s="125" t="n">
        <f aca="false">E33</f>
        <v>1005475.953</v>
      </c>
      <c r="F58" s="125" t="n">
        <f aca="false">F33</f>
        <v>970284.294645</v>
      </c>
      <c r="G58" s="125" t="n">
        <f aca="false">G33</f>
        <v>936324.344332425</v>
      </c>
      <c r="H58" s="125" t="n">
        <f aca="false">H33</f>
        <v>903552.99228079</v>
      </c>
      <c r="I58" s="125" t="n">
        <f aca="false">I33</f>
        <v>871928.637550963</v>
      </c>
      <c r="J58" s="125" t="n">
        <f aca="false">J33</f>
        <v>841411.135236679</v>
      </c>
      <c r="K58" s="125" t="n">
        <f aca="false">K33</f>
        <v>811961.745503395</v>
      </c>
      <c r="L58" s="125" t="n">
        <f aca="false">L33</f>
        <v>783543.084410776</v>
      </c>
      <c r="M58" s="125" t="n">
        <f aca="false">M33</f>
        <v>756119.076456399</v>
      </c>
    </row>
    <row r="59" customFormat="false" ht="14.25" hidden="false" customHeight="false" outlineLevel="0" collapsed="false"/>
    <row r="60" customFormat="false" ht="14.25" hidden="false" customHeight="false" outlineLevel="0" collapsed="false"/>
    <row r="61" customFormat="false" ht="14.25" hidden="false" customHeight="false" outlineLevel="0" collapsed="false">
      <c r="B61" s="85" t="s">
        <v>80</v>
      </c>
      <c r="C61" s="85" t="n">
        <v>2022</v>
      </c>
      <c r="I61" s="90" t="n">
        <f aca="false">(D58-I58)/D58</f>
        <v>0.095028164742053</v>
      </c>
      <c r="K61" s="90" t="n">
        <f aca="false">(D58-K58)/D58</f>
        <v>0.157267602711918</v>
      </c>
      <c r="L61" s="90" t="n">
        <f aca="false">(E58-L58)/E58</f>
        <v>0.220724193280855</v>
      </c>
      <c r="M61" s="90" t="n">
        <f aca="false">(E58-M58)/E58</f>
        <v>0.247998846516025</v>
      </c>
    </row>
    <row r="62" customFormat="false" ht="14.25" hidden="false" customHeight="false" outlineLevel="0" collapsed="false">
      <c r="B62" s="85" t="s">
        <v>74</v>
      </c>
      <c r="C62" s="125" t="n">
        <v>30771</v>
      </c>
    </row>
    <row r="63" customFormat="false" ht="14.25" hidden="false" customHeight="false" outlineLevel="0" collapsed="false">
      <c r="B63" s="85" t="s">
        <v>83</v>
      </c>
      <c r="C63" s="125" t="n">
        <v>265012.013166667</v>
      </c>
    </row>
    <row r="64" customFormat="false" ht="14.25" hidden="false" customHeight="false" outlineLevel="0" collapsed="false">
      <c r="B64" s="85" t="s">
        <v>84</v>
      </c>
      <c r="C64" s="125" t="n">
        <v>658670.634666667</v>
      </c>
    </row>
    <row r="65" customFormat="false" ht="14.25" hidden="false" customHeight="false" outlineLevel="0" collapsed="false">
      <c r="B65" s="85" t="s">
        <v>53</v>
      </c>
      <c r="C65" s="125" t="n">
        <v>0</v>
      </c>
    </row>
    <row r="66" customFormat="false" ht="14.25" hidden="false" customHeight="false" outlineLevel="0" collapsed="false">
      <c r="B66" s="85" t="s">
        <v>55</v>
      </c>
      <c r="C66" s="125" t="n">
        <v>0</v>
      </c>
    </row>
    <row r="67" customFormat="false" ht="14.25" hidden="false" customHeight="false" outlineLevel="0" collapsed="false">
      <c r="B67" s="85" t="s">
        <v>56</v>
      </c>
      <c r="C67" s="125" t="n">
        <v>48449.373</v>
      </c>
    </row>
    <row r="68" customFormat="false" ht="14.25" hidden="false" customHeight="false" outlineLevel="0" collapsed="false">
      <c r="B68" s="85" t="s">
        <v>78</v>
      </c>
      <c r="C68" s="125" t="n">
        <v>0</v>
      </c>
    </row>
    <row r="69" customFormat="false" ht="13.8" hidden="false" customHeight="false" outlineLevel="0" collapsed="false">
      <c r="B69" s="85" t="s">
        <v>87</v>
      </c>
      <c r="C69" s="125" t="n">
        <v>1005475.953</v>
      </c>
    </row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1745</TotalTime>
  <Application>LibreOffice/24.2.0.3$Linux_X86_64 LibreOffice_project/420$Build-3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2021-07-22T17:25:09Z</dcterms:created>
  <dc:creator>Pippa Duncan</dc:creator>
  <dc:description/>
  <dc:language>en-GB</dc:language>
  <cp:lastModifiedBy/>
  <dcterms:modified xsi:type="dcterms:W3CDTF">2024-04-10T04:56:23Z</dcterms:modified>
  <cp:revision>26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