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  <c r="I45" i="1"/>
  <c r="I47" i="1" s="1"/>
  <c r="H45" i="1"/>
  <c r="I37" i="1"/>
  <c r="I44" i="1" s="1"/>
  <c r="I43" i="1"/>
  <c r="H48" i="1"/>
  <c r="F50" i="1"/>
  <c r="F49" i="1"/>
  <c r="F48" i="1"/>
  <c r="H40" i="1"/>
  <c r="I40" i="1" s="1"/>
  <c r="H31" i="1"/>
  <c r="H38" i="1" s="1"/>
  <c r="I38" i="1" s="1"/>
  <c r="I46" i="1" l="1"/>
  <c r="I31" i="1"/>
  <c r="I33" i="1" s="1"/>
  <c r="H33" i="1"/>
  <c r="F52" i="1" l="1"/>
  <c r="H12" i="1"/>
  <c r="G33" i="1"/>
  <c r="G38" i="1" s="1"/>
  <c r="N18" i="1"/>
  <c r="N7" i="1"/>
  <c r="N10" i="1"/>
  <c r="N14" i="1"/>
  <c r="N9" i="1"/>
  <c r="N3" i="1"/>
  <c r="N4" i="1" s="1"/>
  <c r="H6" i="1"/>
  <c r="H50" i="1" l="1"/>
  <c r="H41" i="1"/>
  <c r="I41" i="1" s="1"/>
  <c r="H30" i="1"/>
  <c r="I30" i="1" s="1"/>
  <c r="H35" i="1"/>
  <c r="I35" i="1" s="1"/>
  <c r="H36" i="1"/>
  <c r="I36" i="1" s="1"/>
  <c r="H39" i="1"/>
  <c r="I39" i="1" s="1"/>
  <c r="H34" i="1"/>
  <c r="I32" i="1"/>
  <c r="I42" i="1" s="1"/>
  <c r="H49" i="1"/>
  <c r="N11" i="1"/>
  <c r="N13" i="1"/>
  <c r="I34" i="1" l="1"/>
  <c r="H44" i="1"/>
  <c r="H43" i="1"/>
  <c r="H37" i="1"/>
  <c r="H32" i="1"/>
  <c r="N15" i="1"/>
  <c r="N20" i="1"/>
  <c r="N21" i="1" s="1"/>
  <c r="H42" i="1" l="1"/>
  <c r="N23" i="1"/>
  <c r="N8" i="1"/>
  <c r="H46" i="1" l="1"/>
  <c r="H47" i="1"/>
  <c r="N22" i="1"/>
</calcChain>
</file>

<file path=xl/sharedStrings.xml><?xml version="1.0" encoding="utf-8"?>
<sst xmlns="http://schemas.openxmlformats.org/spreadsheetml/2006/main" count="213" uniqueCount="149">
  <si>
    <t>Наименование</t>
  </si>
  <si>
    <t>Обоз.</t>
  </si>
  <si>
    <t>Ед. изм.</t>
  </si>
  <si>
    <t>Расчетные соотношения</t>
  </si>
  <si>
    <t>Значение</t>
  </si>
  <si>
    <t>-</t>
  </si>
  <si>
    <t>Крутизна ДП</t>
  </si>
  <si>
    <t>Перемещение якоря</t>
  </si>
  <si>
    <t>Индукция в зазоре</t>
  </si>
  <si>
    <t>Зазор</t>
  </si>
  <si>
    <t>Ширина и высота статора</t>
  </si>
  <si>
    <t>Ширина якоря</t>
  </si>
  <si>
    <t xml:space="preserve">Глубина статора </t>
  </si>
  <si>
    <t>Радиус якоря</t>
  </si>
  <si>
    <t>Кдп</t>
  </si>
  <si>
    <r>
      <rPr>
        <sz val="11"/>
        <color theme="1"/>
        <rFont val="Calibri"/>
        <family val="2"/>
        <charset val="204"/>
      </rPr>
      <t>ϕ</t>
    </r>
    <r>
      <rPr>
        <sz val="11"/>
        <color theme="1"/>
        <rFont val="Calibri"/>
        <family val="2"/>
      </rPr>
      <t>max</t>
    </r>
  </si>
  <si>
    <t>B</t>
  </si>
  <si>
    <t>δ</t>
  </si>
  <si>
    <t>L1</t>
  </si>
  <si>
    <t>L2</t>
  </si>
  <si>
    <t>L3</t>
  </si>
  <si>
    <t>L4</t>
  </si>
  <si>
    <t>r</t>
  </si>
  <si>
    <r>
      <t>В/</t>
    </r>
    <r>
      <rPr>
        <sz val="11"/>
        <color theme="1"/>
        <rFont val="Calibri"/>
        <family val="2"/>
        <charset val="204"/>
      </rPr>
      <t>°</t>
    </r>
  </si>
  <si>
    <t>°</t>
  </si>
  <si>
    <t>Тл</t>
  </si>
  <si>
    <t>м</t>
  </si>
  <si>
    <t xml:space="preserve">Схема замещения </t>
  </si>
  <si>
    <t>Расчет</t>
  </si>
  <si>
    <t>Ед.изм.</t>
  </si>
  <si>
    <t>Площадь сечения стержня ОВ</t>
  </si>
  <si>
    <t>Амплитудное значение потока в стержне ОВ</t>
  </si>
  <si>
    <t>Напряжение питания ОВ</t>
  </si>
  <si>
    <t>U0</t>
  </si>
  <si>
    <t>Частота питающего напряжения</t>
  </si>
  <si>
    <t>f</t>
  </si>
  <si>
    <t>ЭДС самоиндукции ОВ</t>
  </si>
  <si>
    <t>Требуемое число витков катушки ОВ</t>
  </si>
  <si>
    <t>Площадь сечения катушки ОВ</t>
  </si>
  <si>
    <t>[S ОВ ]</t>
  </si>
  <si>
    <t>Диаметр провода ОВ с изоляцией</t>
  </si>
  <si>
    <t>Удельное сопротивление провода ОВ</t>
  </si>
  <si>
    <t>Длина витка</t>
  </si>
  <si>
    <t>Диаметр провода ОВ без изоляции</t>
  </si>
  <si>
    <t>Активное сопротивление ОВ</t>
  </si>
  <si>
    <t>Объем магнитопровода</t>
  </si>
  <si>
    <t>V</t>
  </si>
  <si>
    <t>Плотность пакета</t>
  </si>
  <si>
    <t>Масса магнитопровода</t>
  </si>
  <si>
    <t>Удельные потери "в стали"</t>
  </si>
  <si>
    <t>р с</t>
  </si>
  <si>
    <t>Полные потери  "в стали"</t>
  </si>
  <si>
    <t>Р с</t>
  </si>
  <si>
    <t>Ток ОВ</t>
  </si>
  <si>
    <t>Полное напряжение на ОВ</t>
  </si>
  <si>
    <t>Плотность тока ОВ</t>
  </si>
  <si>
    <t>Допускаемая плотность тока</t>
  </si>
  <si>
    <t>Максимально-допустимое число витков ОВ</t>
  </si>
  <si>
    <t>Е ОВ</t>
  </si>
  <si>
    <t>W ОВ</t>
  </si>
  <si>
    <t>d ОВ,и</t>
  </si>
  <si>
    <t>W ОВ,max</t>
  </si>
  <si>
    <t>l cp</t>
  </si>
  <si>
    <t>d ОB</t>
  </si>
  <si>
    <t>R ОВ</t>
  </si>
  <si>
    <t>I ОВ</t>
  </si>
  <si>
    <t>U ОВ</t>
  </si>
  <si>
    <r>
      <t>S</t>
    </r>
    <r>
      <rPr>
        <sz val="8"/>
        <color indexed="8"/>
        <rFont val="Calibri"/>
        <family val="2"/>
        <charset val="204"/>
        <scheme val="minor"/>
      </rPr>
      <t>II</t>
    </r>
  </si>
  <si>
    <r>
      <rPr>
        <sz val="14"/>
        <color indexed="8"/>
        <rFont val="Calibri"/>
        <family val="2"/>
        <charset val="204"/>
        <scheme val="minor"/>
      </rPr>
      <t>Ф</t>
    </r>
    <r>
      <rPr>
        <sz val="11"/>
        <color indexed="8"/>
        <rFont val="Calibri"/>
        <family val="2"/>
        <charset val="204"/>
        <scheme val="minor"/>
      </rPr>
      <t xml:space="preserve"> OB</t>
    </r>
  </si>
  <si>
    <r>
      <rPr>
        <sz val="11"/>
        <color indexed="8"/>
        <rFont val="Calibri"/>
        <family val="2"/>
        <charset val="204"/>
      </rPr>
      <t>ρ</t>
    </r>
    <r>
      <rPr>
        <sz val="11"/>
        <color indexed="8"/>
        <rFont val="Calibri"/>
        <family val="2"/>
        <charset val="204"/>
        <scheme val="minor"/>
      </rPr>
      <t>R</t>
    </r>
  </si>
  <si>
    <t>∆</t>
  </si>
  <si>
    <r>
      <t>[</t>
    </r>
    <r>
      <rPr>
        <sz val="11"/>
        <color indexed="8"/>
        <rFont val="Calibri"/>
        <family val="2"/>
        <charset val="204"/>
      </rPr>
      <t>∆</t>
    </r>
    <r>
      <rPr>
        <sz val="11"/>
        <color indexed="8"/>
        <rFont val="Calibri"/>
        <family val="2"/>
        <charset val="204"/>
        <scheme val="minor"/>
      </rPr>
      <t>]</t>
    </r>
  </si>
  <si>
    <t>Гц</t>
  </si>
  <si>
    <t>В</t>
  </si>
  <si>
    <t>Схема распределения магнитных потоков</t>
  </si>
  <si>
    <t>Ширина стержня и высота основания статора</t>
  </si>
  <si>
    <t>кг</t>
  </si>
  <si>
    <t>ρ*V</t>
  </si>
  <si>
    <r>
      <rPr>
        <sz val="11"/>
        <color indexed="8"/>
        <rFont val="Calibri"/>
        <family val="2"/>
        <charset val="204"/>
      </rPr>
      <t>ρ</t>
    </r>
    <r>
      <rPr>
        <sz val="11"/>
        <color indexed="8"/>
        <rFont val="Calibri"/>
        <family val="2"/>
        <charset val="204"/>
        <scheme val="minor"/>
      </rPr>
      <t xml:space="preserve"> V</t>
    </r>
  </si>
  <si>
    <t>Вт/кг</t>
  </si>
  <si>
    <t>Вт</t>
  </si>
  <si>
    <t>Ом</t>
  </si>
  <si>
    <t>м^2</t>
  </si>
  <si>
    <t>кг/м^3</t>
  </si>
  <si>
    <t>НП</t>
  </si>
  <si>
    <t>СП</t>
  </si>
  <si>
    <t>Геометрические проводимости элементарных трубок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</si>
  <si>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</si>
  <si>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</si>
  <si>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</si>
  <si>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</si>
  <si>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</si>
  <si>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</si>
  <si>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</si>
  <si>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</si>
  <si>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</si>
  <si>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</si>
  <si>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</si>
  <si>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</si>
  <si>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Эквивалентная проводимость стержня I</t>
  </si>
  <si>
    <t>GI</t>
  </si>
  <si>
    <t>Эквивалентная проводимость стержня II</t>
  </si>
  <si>
    <t>GII</t>
  </si>
  <si>
    <t>Эквивалентная проводимость стержня III</t>
  </si>
  <si>
    <t>GIII</t>
  </si>
  <si>
    <t>Действующее значение потока стержня II</t>
  </si>
  <si>
    <t>ФII</t>
  </si>
  <si>
    <t>Действующее значение потока стержня I</t>
  </si>
  <si>
    <t>ФI</t>
  </si>
  <si>
    <t>Действующее значение потока стержня III</t>
  </si>
  <si>
    <t>ФIII</t>
  </si>
  <si>
    <t>м^3</t>
  </si>
  <si>
    <t>М</t>
  </si>
  <si>
    <t>А</t>
  </si>
  <si>
    <t>Приложение</t>
  </si>
  <si>
    <t>Вб</t>
  </si>
  <si>
    <t>мм</t>
  </si>
  <si>
    <t>А/мм^2</t>
  </si>
  <si>
    <t>Ом*мм^2/м</t>
  </si>
  <si>
    <t>(L2+L4)*2</t>
  </si>
  <si>
    <t xml:space="preserve">Приложение </t>
  </si>
  <si>
    <t>часть кольца</t>
  </si>
  <si>
    <t>четверть кругового цилиндра</t>
  </si>
  <si>
    <t>часть полого цилиндра</t>
  </si>
  <si>
    <t>половина кругового цилиндра</t>
  </si>
  <si>
    <t>половина цилиндрической трубы</t>
  </si>
  <si>
    <t>0,52h</t>
  </si>
  <si>
    <t>ψ</t>
  </si>
  <si>
    <t>ψ3</t>
  </si>
  <si>
    <t>ψ8</t>
  </si>
  <si>
    <r>
      <t>(L2/(r+</t>
    </r>
    <r>
      <rPr>
        <sz val="8"/>
        <color theme="1"/>
        <rFont val="Calibri"/>
        <family val="2"/>
        <charset val="204"/>
      </rPr>
      <t>δ)/2)-ϕ</t>
    </r>
  </si>
  <si>
    <t>(L2/(r+δ)/2)+ϕ</t>
  </si>
  <si>
    <t>(L2/(r+δ)/2)</t>
  </si>
  <si>
    <t>0,26h</t>
  </si>
  <si>
    <t>Гн/м</t>
  </si>
  <si>
    <t>Kдп</t>
  </si>
  <si>
    <t>Woc</t>
  </si>
  <si>
    <t>Максимальное число витков сигнальной катушки</t>
  </si>
  <si>
    <t>Крутизна датчика</t>
  </si>
  <si>
    <t>Требуемое число витков ОС</t>
  </si>
  <si>
    <r>
      <t>W</t>
    </r>
    <r>
      <rPr>
        <sz val="8"/>
        <color theme="1"/>
        <rFont val="Calibri"/>
        <family val="2"/>
        <charset val="204"/>
        <scheme val="minor"/>
      </rPr>
      <t>ocmax</t>
    </r>
  </si>
  <si>
    <r>
      <rPr>
        <sz val="14"/>
        <color theme="1"/>
        <rFont val="Calibri"/>
        <family val="2"/>
        <charset val="204"/>
      </rPr>
      <t>μ</t>
    </r>
    <r>
      <rPr>
        <sz val="8"/>
        <color theme="1"/>
        <rFont val="Calibri"/>
        <family val="2"/>
        <charset val="204"/>
      </rPr>
      <t>0</t>
    </r>
  </si>
  <si>
    <t>GI=G1+G2+G3+G4+G5+2(G11+G12)</t>
  </si>
  <si>
    <t>GII=2(G4+G5+G11+G12)+G7</t>
  </si>
  <si>
    <t>GIII=G4+G5+G8+G9+G10G2(G11+G12)</t>
  </si>
  <si>
    <t>Диаметр провода ОС с изоляцией</t>
  </si>
  <si>
    <r>
      <t>d</t>
    </r>
    <r>
      <rPr>
        <vertAlign val="subscript"/>
        <sz val="11"/>
        <color theme="1"/>
        <rFont val="Calibri"/>
        <family val="2"/>
        <charset val="204"/>
        <scheme val="minor"/>
      </rPr>
      <t>OC,u</t>
    </r>
  </si>
  <si>
    <t>Площадь сечения катушки ОС</t>
  </si>
  <si>
    <r>
      <t>S</t>
    </r>
    <r>
      <rPr>
        <vertAlign val="subscript"/>
        <sz val="11"/>
        <color theme="1"/>
        <rFont val="Calibri"/>
        <family val="2"/>
        <charset val="204"/>
        <scheme val="minor"/>
      </rPr>
      <t>OC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</si>
</sst>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</font>
    <font>
      <sz val="10"/>
      <name val="Times New Roman"/>
      <family val="1"/>
      <charset val="204"/>
    </font>
    <font>
      <i/>
      <sz val="8"/>
      <color indexed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i/>
      <sz val="9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i/>
      <sz val="9"/>
      <name val="Calibri"/>
      <family val="2"/>
      <charset val="204"/>
    </font>
    <font>
      <i/>
      <sz val="9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2" borderId="19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8" fillId="0" borderId="27" xfId="1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8" fillId="0" borderId="27" xfId="0" applyNumberFormat="1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11" fontId="7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emf"/><Relationship Id="rId21" Type="http://schemas.openxmlformats.org/officeDocument/2006/relationships/image" Target="../media/image21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png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6594</xdr:colOff>
      <xdr:row>15</xdr:row>
      <xdr:rowOff>54951</xdr:rowOff>
    </xdr:from>
    <xdr:to>
      <xdr:col>8</xdr:col>
      <xdr:colOff>260838</xdr:colOff>
      <xdr:row>19</xdr:row>
      <xdr:rowOff>369276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5402" y="5586778"/>
          <a:ext cx="1778244" cy="183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228600</xdr:colOff>
      <xdr:row>3</xdr:row>
      <xdr:rowOff>142876</xdr:rowOff>
    </xdr:from>
    <xdr:to>
      <xdr:col>12</xdr:col>
      <xdr:colOff>1028700</xdr:colOff>
      <xdr:row>3</xdr:row>
      <xdr:rowOff>284950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1104901"/>
          <a:ext cx="800100" cy="142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133351</xdr:colOff>
      <xdr:row>7</xdr:row>
      <xdr:rowOff>28576</xdr:rowOff>
    </xdr:from>
    <xdr:to>
      <xdr:col>12</xdr:col>
      <xdr:colOff>1133475</xdr:colOff>
      <xdr:row>7</xdr:row>
      <xdr:rowOff>368047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6" y="2514601"/>
          <a:ext cx="1000124" cy="339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91168</xdr:colOff>
      <xdr:row>6</xdr:row>
      <xdr:rowOff>123826</xdr:rowOff>
    </xdr:from>
    <xdr:to>
      <xdr:col>12</xdr:col>
      <xdr:colOff>1177018</xdr:colOff>
      <xdr:row>6</xdr:row>
      <xdr:rowOff>257176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4218" y="2228851"/>
          <a:ext cx="10858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</xdr:colOff>
      <xdr:row>10</xdr:row>
      <xdr:rowOff>57150</xdr:rowOff>
    </xdr:from>
    <xdr:to>
      <xdr:col>12</xdr:col>
      <xdr:colOff>1207510</xdr:colOff>
      <xdr:row>10</xdr:row>
      <xdr:rowOff>352425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3686175"/>
          <a:ext cx="114083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59716</xdr:colOff>
      <xdr:row>12</xdr:row>
      <xdr:rowOff>142900</xdr:rowOff>
    </xdr:from>
    <xdr:to>
      <xdr:col>5</xdr:col>
      <xdr:colOff>365932</xdr:colOff>
      <xdr:row>19</xdr:row>
      <xdr:rowOff>353394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16" y="4531727"/>
          <a:ext cx="2988301" cy="2877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409576</xdr:colOff>
      <xdr:row>2</xdr:row>
      <xdr:rowOff>114300</xdr:rowOff>
    </xdr:from>
    <xdr:to>
      <xdr:col>12</xdr:col>
      <xdr:colOff>851128</xdr:colOff>
      <xdr:row>2</xdr:row>
      <xdr:rowOff>323850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6" y="695325"/>
          <a:ext cx="441552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209550</xdr:colOff>
      <xdr:row>14</xdr:row>
      <xdr:rowOff>47625</xdr:rowOff>
    </xdr:from>
    <xdr:to>
      <xdr:col>12</xdr:col>
      <xdr:colOff>1076325</xdr:colOff>
      <xdr:row>14</xdr:row>
      <xdr:rowOff>367218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5200650"/>
          <a:ext cx="866775" cy="319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314325</xdr:colOff>
      <xdr:row>19</xdr:row>
      <xdr:rowOff>76200</xdr:rowOff>
    </xdr:from>
    <xdr:to>
      <xdr:col>12</xdr:col>
      <xdr:colOff>1009650</xdr:colOff>
      <xdr:row>19</xdr:row>
      <xdr:rowOff>307975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5" y="7134225"/>
          <a:ext cx="695325" cy="23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238125</xdr:colOff>
      <xdr:row>20</xdr:row>
      <xdr:rowOff>19051</xdr:rowOff>
    </xdr:from>
    <xdr:to>
      <xdr:col>12</xdr:col>
      <xdr:colOff>942975</xdr:colOff>
      <xdr:row>20</xdr:row>
      <xdr:rowOff>330719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7458076"/>
          <a:ext cx="704850" cy="31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35123</xdr:colOff>
      <xdr:row>21</xdr:row>
      <xdr:rowOff>95250</xdr:rowOff>
    </xdr:from>
    <xdr:to>
      <xdr:col>12</xdr:col>
      <xdr:colOff>1195983</xdr:colOff>
      <xdr:row>21</xdr:row>
      <xdr:rowOff>285750</xdr:rowOff>
    </xdr:to>
    <xdr:pic>
      <xdr:nvPicPr>
        <xdr:cNvPr id="14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8173" y="7915275"/>
          <a:ext cx="116086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266700</xdr:colOff>
      <xdr:row>22</xdr:row>
      <xdr:rowOff>28575</xdr:rowOff>
    </xdr:from>
    <xdr:to>
      <xdr:col>12</xdr:col>
      <xdr:colOff>952500</xdr:colOff>
      <xdr:row>22</xdr:row>
      <xdr:rowOff>340302</xdr:rowOff>
    </xdr:to>
    <xdr:pic>
      <xdr:nvPicPr>
        <xdr:cNvPr id="15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0" y="8229600"/>
          <a:ext cx="685800" cy="311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8283</xdr:colOff>
      <xdr:row>8</xdr:row>
      <xdr:rowOff>64603</xdr:rowOff>
    </xdr:from>
    <xdr:ext cx="1250674" cy="23942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9210261" y="2930386"/>
              <a:ext cx="1250674" cy="2394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/>
                <a:t>((</a:t>
              </a:r>
              <a14:m>
                <m:oMath xmlns:m="http://schemas.openxmlformats.org/officeDocument/2006/math">
                  <m:f>
                    <m:fPr>
                      <m:ctrlPr>
                        <a:rPr lang="ru-RU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𝐿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1−3∗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𝐿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</m:num>
                    <m:den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</m:den>
                  </m:f>
                </m:oMath>
              </a14:m>
              <a:r>
                <a:rPr lang="en-US" sz="1100"/>
                <a:t>)-0,2+L2)*L4</a:t>
              </a:r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9210261" y="2930386"/>
              <a:ext cx="1250674" cy="2394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/>
                <a:t>((</a:t>
              </a:r>
              <a:r>
                <a:rPr lang="ru-RU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𝐿1−3∗𝐿2</a:t>
              </a:r>
              <a:r>
                <a:rPr lang="ru-RU" sz="1100" b="0" i="0">
                  <a:latin typeface="Cambria Math" panose="02040503050406030204" pitchFamily="18" charset="0"/>
                </a:rPr>
                <a:t>)/</a:t>
              </a:r>
              <a:r>
                <a:rPr lang="en-US" sz="1100" b="0" i="0">
                  <a:latin typeface="Cambria Math" panose="02040503050406030204" pitchFamily="18" charset="0"/>
                </a:rPr>
                <a:t>2</a:t>
              </a:r>
              <a:r>
                <a:rPr lang="en-US" sz="1100"/>
                <a:t>)-0,2+L2)*L4</a:t>
              </a:r>
            </a:p>
          </xdr:txBody>
        </xdr:sp>
      </mc:Fallback>
    </mc:AlternateContent>
    <xdr:clientData/>
  </xdr:oneCellAnchor>
  <xdr:twoCellAnchor editAs="oneCell">
    <xdr:from>
      <xdr:col>14</xdr:col>
      <xdr:colOff>585040</xdr:colOff>
      <xdr:row>4</xdr:row>
      <xdr:rowOff>51287</xdr:rowOff>
    </xdr:from>
    <xdr:to>
      <xdr:col>22</xdr:col>
      <xdr:colOff>36635</xdr:colOff>
      <xdr:row>20</xdr:row>
      <xdr:rowOff>113898</xdr:rowOff>
    </xdr:to>
    <xdr:pic>
      <xdr:nvPicPr>
        <xdr:cNvPr id="29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808320" y="2313084"/>
          <a:ext cx="6158611" cy="4316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120252</xdr:colOff>
      <xdr:row>31</xdr:row>
      <xdr:rowOff>26103</xdr:rowOff>
    </xdr:from>
    <xdr:ext cx="537797" cy="45230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8"/>
            <xdr:cNvSpPr txBox="1"/>
          </xdr:nvSpPr>
          <xdr:spPr>
            <a:xfrm>
              <a:off x="3763565" y="10336916"/>
              <a:ext cx="537797" cy="4523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h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l-GR" sz="1100" b="0" i="1">
                            <a:latin typeface="Cambria Math" panose="02040503050406030204" pitchFamily="18" charset="0"/>
                          </a:rPr>
                          <m:t>ψ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𝑙𝑛</m:t>
                        </m:r>
                        <m:f>
                          <m:f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𝑅</m:t>
                            </m:r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den>
                        </m:f>
                      </m:den>
                    </m:f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9" name="TextBox 8"/>
            <xdr:cNvSpPr txBox="1"/>
          </xdr:nvSpPr>
          <xdr:spPr>
            <a:xfrm>
              <a:off x="3763565" y="10336916"/>
              <a:ext cx="537797" cy="4523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ℎ</a:t>
              </a:r>
              <a:r>
                <a:rPr lang="el-GR" sz="1100" b="0" i="0">
                  <a:latin typeface="Cambria Math" panose="02040503050406030204" pitchFamily="18" charset="0"/>
                </a:rPr>
                <a:t> ψ</a:t>
              </a:r>
              <a:r>
                <a:rPr lang="en-US" sz="1100" b="0" i="0">
                  <a:latin typeface="Cambria Math" panose="02040503050406030204" pitchFamily="18" charset="0"/>
                </a:rPr>
                <a:t>/(𝑙𝑛 𝑅/𝑟)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6</xdr:col>
      <xdr:colOff>107156</xdr:colOff>
      <xdr:row>35</xdr:row>
      <xdr:rowOff>0</xdr:rowOff>
    </xdr:from>
    <xdr:ext cx="537797" cy="45230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0" name="TextBox 29"/>
            <xdr:cNvSpPr txBox="1"/>
          </xdr:nvSpPr>
          <xdr:spPr>
            <a:xfrm>
              <a:off x="3750469" y="11388328"/>
              <a:ext cx="537797" cy="4523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h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l-GR" sz="1100" b="0" i="1">
                            <a:latin typeface="Cambria Math" panose="02040503050406030204" pitchFamily="18" charset="0"/>
                          </a:rPr>
                          <m:t>ψ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𝑙𝑛</m:t>
                        </m:r>
                        <m:f>
                          <m:f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𝑅</m:t>
                            </m:r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den>
                        </m:f>
                      </m:den>
                    </m:f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30" name="TextBox 29"/>
            <xdr:cNvSpPr txBox="1"/>
          </xdr:nvSpPr>
          <xdr:spPr>
            <a:xfrm>
              <a:off x="3750469" y="11388328"/>
              <a:ext cx="537797" cy="4523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ℎ</a:t>
              </a:r>
              <a:r>
                <a:rPr lang="el-GR" sz="1100" b="0" i="0">
                  <a:latin typeface="Cambria Math" panose="02040503050406030204" pitchFamily="18" charset="0"/>
                </a:rPr>
                <a:t> ψ</a:t>
              </a:r>
              <a:r>
                <a:rPr lang="en-US" sz="1100" b="0" i="0">
                  <a:latin typeface="Cambria Math" panose="02040503050406030204" pitchFamily="18" charset="0"/>
                </a:rPr>
                <a:t>/(𝑙𝑛 𝑅/𝑟)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6</xdr:col>
      <xdr:colOff>136922</xdr:colOff>
      <xdr:row>36</xdr:row>
      <xdr:rowOff>0</xdr:rowOff>
    </xdr:from>
    <xdr:ext cx="537797" cy="45230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1" name="TextBox 30"/>
            <xdr:cNvSpPr txBox="1"/>
          </xdr:nvSpPr>
          <xdr:spPr>
            <a:xfrm>
              <a:off x="3780235" y="11894344"/>
              <a:ext cx="537797" cy="4523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h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l-GR" sz="1100" b="0" i="1">
                            <a:latin typeface="Cambria Math" panose="02040503050406030204" pitchFamily="18" charset="0"/>
                          </a:rPr>
                          <m:t>ψ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𝑙𝑛</m:t>
                        </m:r>
                        <m:f>
                          <m:f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𝑅</m:t>
                            </m:r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den>
                        </m:f>
                      </m:den>
                    </m:f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31" name="TextBox 30"/>
            <xdr:cNvSpPr txBox="1"/>
          </xdr:nvSpPr>
          <xdr:spPr>
            <a:xfrm>
              <a:off x="3780235" y="11894344"/>
              <a:ext cx="537797" cy="4523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ℎ</a:t>
              </a:r>
              <a:r>
                <a:rPr lang="el-GR" sz="1100" b="0" i="0">
                  <a:latin typeface="Cambria Math" panose="02040503050406030204" pitchFamily="18" charset="0"/>
                </a:rPr>
                <a:t> ψ</a:t>
              </a:r>
              <a:r>
                <a:rPr lang="en-US" sz="1100" b="0" i="0">
                  <a:latin typeface="Cambria Math" panose="02040503050406030204" pitchFamily="18" charset="0"/>
                </a:rPr>
                <a:t>/(𝑙𝑛 𝑅/𝑟)</a:t>
              </a:r>
              <a:endParaRPr lang="ru-RU" sz="1100"/>
            </a:p>
          </xdr:txBody>
        </xdr:sp>
      </mc:Fallback>
    </mc:AlternateContent>
    <xdr:clientData/>
  </xdr:oneCellAnchor>
  <xdr:twoCellAnchor editAs="oneCell">
    <xdr:from>
      <xdr:col>6</xdr:col>
      <xdr:colOff>63915</xdr:colOff>
      <xdr:row>50</xdr:row>
      <xdr:rowOff>38518</xdr:rowOff>
    </xdr:from>
    <xdr:to>
      <xdr:col>6</xdr:col>
      <xdr:colOff>783599</xdr:colOff>
      <xdr:row>50</xdr:row>
      <xdr:rowOff>316941</xdr:rowOff>
    </xdr:to>
    <xdr:pic>
      <xdr:nvPicPr>
        <xdr:cNvPr id="32" name="Рисунок 3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1401" y="17069218"/>
          <a:ext cx="719684" cy="278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73269</xdr:colOff>
      <xdr:row>51</xdr:row>
      <xdr:rowOff>80596</xdr:rowOff>
    </xdr:from>
    <xdr:to>
      <xdr:col>6</xdr:col>
      <xdr:colOff>798634</xdr:colOff>
      <xdr:row>51</xdr:row>
      <xdr:rowOff>328689</xdr:rowOff>
    </xdr:to>
    <xdr:pic>
      <xdr:nvPicPr>
        <xdr:cNvPr id="33" name="Рисунок 32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2077" y="15723577"/>
          <a:ext cx="725365" cy="248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9471</xdr:colOff>
      <xdr:row>54</xdr:row>
      <xdr:rowOff>51289</xdr:rowOff>
    </xdr:from>
    <xdr:to>
      <xdr:col>6</xdr:col>
      <xdr:colOff>817756</xdr:colOff>
      <xdr:row>54</xdr:row>
      <xdr:rowOff>320839</xdr:rowOff>
    </xdr:to>
    <xdr:pic>
      <xdr:nvPicPr>
        <xdr:cNvPr id="36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495" y="16847813"/>
          <a:ext cx="808285" cy="26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80596</xdr:colOff>
      <xdr:row>40</xdr:row>
      <xdr:rowOff>29308</xdr:rowOff>
    </xdr:from>
    <xdr:to>
      <xdr:col>6</xdr:col>
      <xdr:colOff>785446</xdr:colOff>
      <xdr:row>40</xdr:row>
      <xdr:rowOff>360374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729404" y="13562135"/>
          <a:ext cx="704850" cy="331066"/>
        </a:xfrm>
        <a:prstGeom prst="rect">
          <a:avLst/>
        </a:prstGeom>
      </xdr:spPr>
    </xdr:pic>
    <xdr:clientData/>
  </xdr:twoCellAnchor>
  <xdr:twoCellAnchor editAs="oneCell">
    <xdr:from>
      <xdr:col>6</xdr:col>
      <xdr:colOff>124558</xdr:colOff>
      <xdr:row>34</xdr:row>
      <xdr:rowOff>36635</xdr:rowOff>
    </xdr:from>
    <xdr:to>
      <xdr:col>6</xdr:col>
      <xdr:colOff>715108</xdr:colOff>
      <xdr:row>34</xdr:row>
      <xdr:rowOff>353385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773366" y="11605847"/>
          <a:ext cx="590550" cy="316750"/>
        </a:xfrm>
        <a:prstGeom prst="rect">
          <a:avLst/>
        </a:prstGeom>
      </xdr:spPr>
    </xdr:pic>
    <xdr:clientData/>
  </xdr:twoCellAnchor>
  <xdr:twoCellAnchor editAs="oneCell">
    <xdr:from>
      <xdr:col>6</xdr:col>
      <xdr:colOff>131885</xdr:colOff>
      <xdr:row>33</xdr:row>
      <xdr:rowOff>51288</xdr:rowOff>
    </xdr:from>
    <xdr:to>
      <xdr:col>6</xdr:col>
      <xdr:colOff>722435</xdr:colOff>
      <xdr:row>33</xdr:row>
      <xdr:rowOff>368038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780693" y="11239500"/>
          <a:ext cx="590550" cy="316750"/>
        </a:xfrm>
        <a:prstGeom prst="rect">
          <a:avLst/>
        </a:prstGeom>
      </xdr:spPr>
    </xdr:pic>
    <xdr:clientData/>
  </xdr:twoCellAnchor>
  <xdr:twoCellAnchor editAs="oneCell">
    <xdr:from>
      <xdr:col>6</xdr:col>
      <xdr:colOff>117231</xdr:colOff>
      <xdr:row>29</xdr:row>
      <xdr:rowOff>21981</xdr:rowOff>
    </xdr:from>
    <xdr:to>
      <xdr:col>6</xdr:col>
      <xdr:colOff>707781</xdr:colOff>
      <xdr:row>29</xdr:row>
      <xdr:rowOff>338731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766039" y="9942635"/>
          <a:ext cx="590550" cy="316750"/>
        </a:xfrm>
        <a:prstGeom prst="rect">
          <a:avLst/>
        </a:prstGeom>
      </xdr:spPr>
    </xdr:pic>
    <xdr:clientData/>
  </xdr:twoCellAnchor>
  <xdr:twoCellAnchor editAs="oneCell">
    <xdr:from>
      <xdr:col>6</xdr:col>
      <xdr:colOff>146539</xdr:colOff>
      <xdr:row>38</xdr:row>
      <xdr:rowOff>36635</xdr:rowOff>
    </xdr:from>
    <xdr:to>
      <xdr:col>6</xdr:col>
      <xdr:colOff>737089</xdr:colOff>
      <xdr:row>38</xdr:row>
      <xdr:rowOff>353385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795347" y="13188462"/>
          <a:ext cx="590550" cy="316750"/>
        </a:xfrm>
        <a:prstGeom prst="rect">
          <a:avLst/>
        </a:prstGeom>
      </xdr:spPr>
    </xdr:pic>
    <xdr:clientData/>
  </xdr:twoCellAnchor>
  <xdr:twoCellAnchor editAs="oneCell">
    <xdr:from>
      <xdr:col>6</xdr:col>
      <xdr:colOff>43961</xdr:colOff>
      <xdr:row>44</xdr:row>
      <xdr:rowOff>21981</xdr:rowOff>
    </xdr:from>
    <xdr:to>
      <xdr:col>6</xdr:col>
      <xdr:colOff>788291</xdr:colOff>
      <xdr:row>45</xdr:row>
      <xdr:rowOff>1671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311769" y="15261981"/>
          <a:ext cx="744330" cy="294748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45</xdr:row>
      <xdr:rowOff>19050</xdr:rowOff>
    </xdr:from>
    <xdr:to>
      <xdr:col>6</xdr:col>
      <xdr:colOff>800099</xdr:colOff>
      <xdr:row>45</xdr:row>
      <xdr:rowOff>287791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24225" y="15573375"/>
          <a:ext cx="752474" cy="268741"/>
        </a:xfrm>
        <a:prstGeom prst="rect">
          <a:avLst/>
        </a:prstGeom>
      </xdr:spPr>
    </xdr:pic>
    <xdr:clientData/>
  </xdr:twoCellAnchor>
  <xdr:twoCellAnchor editAs="oneCell">
    <xdr:from>
      <xdr:col>6</xdr:col>
      <xdr:colOff>66676</xdr:colOff>
      <xdr:row>46</xdr:row>
      <xdr:rowOff>19050</xdr:rowOff>
    </xdr:from>
    <xdr:to>
      <xdr:col>6</xdr:col>
      <xdr:colOff>790576</xdr:colOff>
      <xdr:row>46</xdr:row>
      <xdr:rowOff>273831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343276" y="15887700"/>
          <a:ext cx="723900" cy="254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tabSelected="1" topLeftCell="A10" zoomScale="85" zoomScaleNormal="85" workbookViewId="0">
      <selection activeCell="H56" sqref="H56"/>
    </sheetView>
  </sheetViews>
  <sheetFormatPr defaultRowHeight="15" x14ac:dyDescent="0.25"/>
  <cols>
    <col min="1" max="4" width="7.7109375" style="1" customWidth="1"/>
    <col min="5" max="6" width="9.140625" style="1"/>
    <col min="7" max="7" width="12.5703125" style="1" customWidth="1"/>
    <col min="8" max="8" width="10.28515625" style="1" customWidth="1"/>
    <col min="9" max="9" width="10.5703125" style="1" bestFit="1" customWidth="1"/>
    <col min="10" max="10" width="36.85546875" style="1" customWidth="1"/>
    <col min="11" max="12" width="9.140625" style="1"/>
    <col min="13" max="13" width="18.42578125" style="1" customWidth="1"/>
    <col min="14" max="14" width="11.5703125" style="1" bestFit="1" customWidth="1"/>
    <col min="15" max="16384" width="9.140625" style="1"/>
  </cols>
  <sheetData>
    <row r="1" spans="1:23" ht="15.75" thickBot="1" x14ac:dyDescent="0.3"/>
    <row r="2" spans="1:23" ht="30" customHeight="1" x14ac:dyDescent="0.25">
      <c r="A2" s="46" t="s">
        <v>0</v>
      </c>
      <c r="B2" s="47"/>
      <c r="C2" s="47"/>
      <c r="D2" s="48"/>
      <c r="E2" s="4" t="s">
        <v>1</v>
      </c>
      <c r="F2" s="4" t="s">
        <v>2</v>
      </c>
      <c r="G2" s="7" t="s">
        <v>28</v>
      </c>
      <c r="H2" s="49" t="s">
        <v>4</v>
      </c>
      <c r="I2" s="47"/>
      <c r="J2" s="17" t="s">
        <v>0</v>
      </c>
      <c r="K2" s="18" t="s">
        <v>1</v>
      </c>
      <c r="L2" s="18" t="s">
        <v>29</v>
      </c>
      <c r="M2" s="18" t="s">
        <v>3</v>
      </c>
      <c r="N2" s="19" t="s">
        <v>4</v>
      </c>
      <c r="R2" s="52" t="s">
        <v>120</v>
      </c>
      <c r="S2" s="52"/>
      <c r="T2" s="52"/>
      <c r="U2" s="52"/>
      <c r="V2" s="52"/>
      <c r="W2" s="52"/>
    </row>
    <row r="3" spans="1:23" ht="30" customHeight="1" x14ac:dyDescent="0.25">
      <c r="A3" s="41" t="s">
        <v>6</v>
      </c>
      <c r="B3" s="33"/>
      <c r="C3" s="33"/>
      <c r="D3" s="42"/>
      <c r="E3" s="2" t="s">
        <v>14</v>
      </c>
      <c r="F3" s="2" t="s">
        <v>23</v>
      </c>
      <c r="G3" s="8" t="s">
        <v>5</v>
      </c>
      <c r="H3" s="32">
        <v>1.5E-3</v>
      </c>
      <c r="I3" s="33"/>
      <c r="J3" s="11" t="s">
        <v>30</v>
      </c>
      <c r="K3" s="9" t="s">
        <v>67</v>
      </c>
      <c r="L3" s="10" t="s">
        <v>82</v>
      </c>
      <c r="M3" s="10"/>
      <c r="N3" s="12">
        <f>H8*H10</f>
        <v>2.5000000000000001E-5</v>
      </c>
    </row>
    <row r="4" spans="1:23" ht="30" customHeight="1" x14ac:dyDescent="0.25">
      <c r="A4" s="41" t="s">
        <v>7</v>
      </c>
      <c r="B4" s="33"/>
      <c r="C4" s="33"/>
      <c r="D4" s="42"/>
      <c r="E4" s="5" t="s">
        <v>15</v>
      </c>
      <c r="F4" s="5" t="s">
        <v>24</v>
      </c>
      <c r="G4" s="8" t="s">
        <v>5</v>
      </c>
      <c r="H4" s="32">
        <v>1</v>
      </c>
      <c r="I4" s="33"/>
      <c r="J4" s="11" t="s">
        <v>31</v>
      </c>
      <c r="K4" s="9" t="s">
        <v>68</v>
      </c>
      <c r="L4" s="10" t="s">
        <v>115</v>
      </c>
      <c r="M4" s="10"/>
      <c r="N4" s="12">
        <f>0.3*N3</f>
        <v>7.5000000000000002E-6</v>
      </c>
    </row>
    <row r="5" spans="1:23" ht="30" customHeight="1" x14ac:dyDescent="0.25">
      <c r="A5" s="41" t="s">
        <v>8</v>
      </c>
      <c r="B5" s="33"/>
      <c r="C5" s="33"/>
      <c r="D5" s="42"/>
      <c r="E5" s="2" t="s">
        <v>16</v>
      </c>
      <c r="F5" s="2" t="s">
        <v>25</v>
      </c>
      <c r="G5" s="8" t="s">
        <v>5</v>
      </c>
      <c r="H5" s="32">
        <v>0.25</v>
      </c>
      <c r="I5" s="33"/>
      <c r="J5" s="11" t="s">
        <v>32</v>
      </c>
      <c r="K5" s="9" t="s">
        <v>33</v>
      </c>
      <c r="L5" s="10" t="s">
        <v>16</v>
      </c>
      <c r="M5" s="10" t="s">
        <v>5</v>
      </c>
      <c r="N5" s="27">
        <v>36</v>
      </c>
    </row>
    <row r="6" spans="1:23" ht="30" customHeight="1" x14ac:dyDescent="0.25">
      <c r="A6" s="41" t="s">
        <v>9</v>
      </c>
      <c r="B6" s="33"/>
      <c r="C6" s="33"/>
      <c r="D6" s="42"/>
      <c r="E6" s="5" t="s">
        <v>17</v>
      </c>
      <c r="F6" s="2" t="s">
        <v>26</v>
      </c>
      <c r="G6" s="8" t="s">
        <v>5</v>
      </c>
      <c r="H6" s="32">
        <f>0.3*10^-3</f>
        <v>2.9999999999999997E-4</v>
      </c>
      <c r="I6" s="33"/>
      <c r="J6" s="11" t="s">
        <v>34</v>
      </c>
      <c r="K6" s="9" t="s">
        <v>35</v>
      </c>
      <c r="L6" s="10" t="s">
        <v>72</v>
      </c>
      <c r="M6" s="10" t="s">
        <v>5</v>
      </c>
      <c r="N6" s="12">
        <v>1000</v>
      </c>
    </row>
    <row r="7" spans="1:23" ht="30" customHeight="1" x14ac:dyDescent="0.25">
      <c r="A7" s="41" t="s">
        <v>10</v>
      </c>
      <c r="B7" s="33"/>
      <c r="C7" s="33"/>
      <c r="D7" s="42"/>
      <c r="E7" s="2" t="s">
        <v>18</v>
      </c>
      <c r="F7" s="2" t="s">
        <v>26</v>
      </c>
      <c r="G7" s="8" t="s">
        <v>5</v>
      </c>
      <c r="H7" s="32">
        <v>0.03</v>
      </c>
      <c r="I7" s="33"/>
      <c r="J7" s="11" t="s">
        <v>36</v>
      </c>
      <c r="K7" s="9" t="s">
        <v>58</v>
      </c>
      <c r="L7" s="10" t="s">
        <v>73</v>
      </c>
      <c r="M7" s="10"/>
      <c r="N7" s="12">
        <f>0.85*N5</f>
        <v>30.599999999999998</v>
      </c>
    </row>
    <row r="8" spans="1:23" ht="30" customHeight="1" x14ac:dyDescent="0.25">
      <c r="A8" s="43" t="s">
        <v>75</v>
      </c>
      <c r="B8" s="44"/>
      <c r="C8" s="44"/>
      <c r="D8" s="45"/>
      <c r="E8" s="2" t="s">
        <v>19</v>
      </c>
      <c r="F8" s="2" t="s">
        <v>26</v>
      </c>
      <c r="G8" s="8" t="s">
        <v>5</v>
      </c>
      <c r="H8" s="32">
        <v>5.0000000000000001E-3</v>
      </c>
      <c r="I8" s="33"/>
      <c r="J8" s="11" t="s">
        <v>37</v>
      </c>
      <c r="K8" s="9" t="s">
        <v>59</v>
      </c>
      <c r="L8" s="10" t="s">
        <v>5</v>
      </c>
      <c r="M8" s="10"/>
      <c r="N8" s="21">
        <f>N7/(4.44*N4*N6)</f>
        <v>918.91891891891873</v>
      </c>
    </row>
    <row r="9" spans="1:23" ht="30" customHeight="1" x14ac:dyDescent="0.25">
      <c r="A9" s="41" t="s">
        <v>11</v>
      </c>
      <c r="B9" s="33"/>
      <c r="C9" s="33"/>
      <c r="D9" s="42"/>
      <c r="E9" s="2" t="s">
        <v>20</v>
      </c>
      <c r="F9" s="2" t="s">
        <v>26</v>
      </c>
      <c r="G9" s="8" t="s">
        <v>5</v>
      </c>
      <c r="H9" s="32">
        <v>5.0000000000000001E-3</v>
      </c>
      <c r="I9" s="33"/>
      <c r="J9" s="11" t="s">
        <v>38</v>
      </c>
      <c r="K9" s="9" t="s">
        <v>39</v>
      </c>
      <c r="L9" s="10" t="s">
        <v>82</v>
      </c>
      <c r="M9" s="10"/>
      <c r="N9" s="12">
        <f>(((H7-3*H8)/2)-0.0002+H8)*H10</f>
        <v>6.1500000000000004E-5</v>
      </c>
    </row>
    <row r="10" spans="1:23" ht="30" customHeight="1" x14ac:dyDescent="0.25">
      <c r="A10" s="41" t="s">
        <v>12</v>
      </c>
      <c r="B10" s="33"/>
      <c r="C10" s="33"/>
      <c r="D10" s="42"/>
      <c r="E10" s="2" t="s">
        <v>21</v>
      </c>
      <c r="F10" s="2" t="s">
        <v>26</v>
      </c>
      <c r="G10" s="8" t="s">
        <v>5</v>
      </c>
      <c r="H10" s="32">
        <v>5.0000000000000001E-3</v>
      </c>
      <c r="I10" s="33"/>
      <c r="J10" s="11" t="s">
        <v>40</v>
      </c>
      <c r="K10" s="9" t="s">
        <v>60</v>
      </c>
      <c r="L10" s="10" t="s">
        <v>26</v>
      </c>
      <c r="M10" s="10" t="s">
        <v>5</v>
      </c>
      <c r="N10" s="12">
        <f>0.17*10^-3</f>
        <v>1.7000000000000001E-4</v>
      </c>
    </row>
    <row r="11" spans="1:23" ht="30" customHeight="1" thickBot="1" x14ac:dyDescent="0.3">
      <c r="A11" s="36" t="s">
        <v>13</v>
      </c>
      <c r="B11" s="35"/>
      <c r="C11" s="35"/>
      <c r="D11" s="37"/>
      <c r="E11" s="69" t="s">
        <v>22</v>
      </c>
      <c r="F11" s="69" t="s">
        <v>26</v>
      </c>
      <c r="G11" s="76" t="s">
        <v>5</v>
      </c>
      <c r="H11" s="77">
        <v>0.02</v>
      </c>
      <c r="I11" s="35"/>
      <c r="J11" s="11" t="s">
        <v>57</v>
      </c>
      <c r="K11" s="9" t="s">
        <v>61</v>
      </c>
      <c r="L11" s="10" t="s">
        <v>5</v>
      </c>
      <c r="M11" s="10"/>
      <c r="N11" s="21">
        <f>(0.7*4*N9)/(PI()*N10^2)</f>
        <v>1896.6422976072233</v>
      </c>
    </row>
    <row r="12" spans="1:23" ht="30" customHeight="1" thickBot="1" x14ac:dyDescent="0.3">
      <c r="E12" s="62" t="s">
        <v>141</v>
      </c>
      <c r="F12" s="3" t="s">
        <v>134</v>
      </c>
      <c r="G12" s="3" t="s">
        <v>5</v>
      </c>
      <c r="H12" s="66">
        <f>4*PI()*10^-7</f>
        <v>1.2566370614359173E-6</v>
      </c>
      <c r="J12" s="11" t="s">
        <v>41</v>
      </c>
      <c r="K12" s="9" t="s">
        <v>69</v>
      </c>
      <c r="L12" s="51" t="s">
        <v>118</v>
      </c>
      <c r="M12" s="10" t="s">
        <v>5</v>
      </c>
      <c r="N12" s="12">
        <v>1.7999999999999999E-2</v>
      </c>
    </row>
    <row r="13" spans="1:23" ht="30" customHeight="1" x14ac:dyDescent="0.25">
      <c r="J13" s="11" t="s">
        <v>42</v>
      </c>
      <c r="K13" s="9" t="s">
        <v>62</v>
      </c>
      <c r="L13" s="10" t="s">
        <v>26</v>
      </c>
      <c r="M13" s="10" t="s">
        <v>119</v>
      </c>
      <c r="N13" s="12">
        <f>(H8+H10)*2</f>
        <v>0.02</v>
      </c>
    </row>
    <row r="14" spans="1:23" ht="30" customHeight="1" x14ac:dyDescent="0.25">
      <c r="J14" s="11" t="s">
        <v>43</v>
      </c>
      <c r="K14" s="9" t="s">
        <v>63</v>
      </c>
      <c r="L14" s="10" t="s">
        <v>116</v>
      </c>
      <c r="M14" s="10" t="s">
        <v>5</v>
      </c>
      <c r="N14" s="12">
        <f>0.14</f>
        <v>0.14000000000000001</v>
      </c>
      <c r="O14" s="6"/>
    </row>
    <row r="15" spans="1:23" ht="30" customHeight="1" x14ac:dyDescent="0.25">
      <c r="J15" s="11" t="s">
        <v>44</v>
      </c>
      <c r="K15" s="9" t="s">
        <v>64</v>
      </c>
      <c r="L15" s="10" t="s">
        <v>81</v>
      </c>
      <c r="M15" s="10"/>
      <c r="N15" s="12">
        <f>4*N11*0.018*N13/(PI()*N14^2)</f>
        <v>44.354938326077267</v>
      </c>
    </row>
    <row r="16" spans="1:23" ht="30" customHeight="1" x14ac:dyDescent="0.25">
      <c r="J16" s="11" t="s">
        <v>45</v>
      </c>
      <c r="K16" s="9" t="s">
        <v>46</v>
      </c>
      <c r="L16" s="10" t="s">
        <v>111</v>
      </c>
      <c r="M16" s="10" t="s">
        <v>114</v>
      </c>
      <c r="N16" s="50">
        <v>3.27E-6</v>
      </c>
    </row>
    <row r="17" spans="1:14" ht="30" customHeight="1" x14ac:dyDescent="0.25">
      <c r="J17" s="11" t="s">
        <v>47</v>
      </c>
      <c r="K17" s="9" t="s">
        <v>78</v>
      </c>
      <c r="L17" s="10" t="s">
        <v>83</v>
      </c>
      <c r="M17" s="10" t="s">
        <v>5</v>
      </c>
      <c r="N17" s="12">
        <v>5100</v>
      </c>
    </row>
    <row r="18" spans="1:14" ht="30" customHeight="1" x14ac:dyDescent="0.25">
      <c r="J18" s="11" t="s">
        <v>48</v>
      </c>
      <c r="K18" s="9" t="s">
        <v>112</v>
      </c>
      <c r="L18" s="10" t="s">
        <v>76</v>
      </c>
      <c r="M18" s="22" t="s">
        <v>77</v>
      </c>
      <c r="N18" s="12">
        <f>N16*N17</f>
        <v>1.6677000000000001E-2</v>
      </c>
    </row>
    <row r="19" spans="1:14" ht="30" customHeight="1" x14ac:dyDescent="0.25">
      <c r="J19" s="11" t="s">
        <v>49</v>
      </c>
      <c r="K19" s="9" t="s">
        <v>50</v>
      </c>
      <c r="L19" s="10" t="s">
        <v>79</v>
      </c>
      <c r="M19" s="10" t="s">
        <v>5</v>
      </c>
      <c r="N19" s="12">
        <v>5</v>
      </c>
    </row>
    <row r="20" spans="1:14" ht="30" customHeight="1" thickBot="1" x14ac:dyDescent="0.3">
      <c r="J20" s="11" t="s">
        <v>51</v>
      </c>
      <c r="K20" s="9" t="s">
        <v>52</v>
      </c>
      <c r="L20" s="10" t="s">
        <v>80</v>
      </c>
      <c r="M20" s="10"/>
      <c r="N20" s="12">
        <f>N19*N18</f>
        <v>8.3385000000000001E-2</v>
      </c>
    </row>
    <row r="21" spans="1:14" ht="30" customHeight="1" thickBot="1" x14ac:dyDescent="0.3">
      <c r="A21" s="78" t="s">
        <v>74</v>
      </c>
      <c r="B21" s="79"/>
      <c r="C21" s="79"/>
      <c r="D21" s="79"/>
      <c r="E21" s="80"/>
      <c r="G21" s="78" t="s">
        <v>27</v>
      </c>
      <c r="H21" s="79"/>
      <c r="I21" s="80"/>
      <c r="J21" s="11" t="s">
        <v>53</v>
      </c>
      <c r="K21" s="9" t="s">
        <v>65</v>
      </c>
      <c r="L21" s="10" t="s">
        <v>113</v>
      </c>
      <c r="M21" s="10"/>
      <c r="N21" s="12">
        <f>(2^(1/2))*N20/N7</f>
        <v>3.8537319574666845E-3</v>
      </c>
    </row>
    <row r="22" spans="1:14" ht="30" customHeight="1" x14ac:dyDescent="0.25">
      <c r="J22" s="11" t="s">
        <v>54</v>
      </c>
      <c r="K22" s="9" t="s">
        <v>66</v>
      </c>
      <c r="L22" s="10" t="s">
        <v>73</v>
      </c>
      <c r="M22" s="10"/>
      <c r="N22" s="12">
        <f>N7+N15*N21</f>
        <v>30.770932043298664</v>
      </c>
    </row>
    <row r="23" spans="1:14" ht="30" customHeight="1" x14ac:dyDescent="0.25">
      <c r="J23" s="11" t="s">
        <v>55</v>
      </c>
      <c r="K23" s="20" t="s">
        <v>70</v>
      </c>
      <c r="L23" s="10" t="s">
        <v>117</v>
      </c>
      <c r="M23" s="10"/>
      <c r="N23" s="12">
        <f>4*N21/(PI()*N14^2)</f>
        <v>0.25034305729878714</v>
      </c>
    </row>
    <row r="24" spans="1:14" ht="30" customHeight="1" thickBot="1" x14ac:dyDescent="0.3">
      <c r="J24" s="13" t="s">
        <v>56</v>
      </c>
      <c r="K24" s="14" t="s">
        <v>71</v>
      </c>
      <c r="L24" s="15" t="s">
        <v>117</v>
      </c>
      <c r="M24" s="15" t="s">
        <v>5</v>
      </c>
      <c r="N24" s="16">
        <v>5</v>
      </c>
    </row>
    <row r="27" spans="1:14" ht="15.75" thickBot="1" x14ac:dyDescent="0.3"/>
    <row r="28" spans="1:14" ht="15" customHeight="1" x14ac:dyDescent="0.25">
      <c r="A28" s="39" t="s">
        <v>0</v>
      </c>
      <c r="B28" s="30"/>
      <c r="C28" s="30"/>
      <c r="D28" s="30"/>
      <c r="E28" s="30" t="s">
        <v>1</v>
      </c>
      <c r="F28" s="30" t="s">
        <v>29</v>
      </c>
      <c r="G28" s="38" t="s">
        <v>3</v>
      </c>
      <c r="H28" s="30" t="s">
        <v>4</v>
      </c>
      <c r="I28" s="53"/>
    </row>
    <row r="29" spans="1:14" x14ac:dyDescent="0.25">
      <c r="A29" s="40"/>
      <c r="B29" s="31"/>
      <c r="C29" s="31"/>
      <c r="D29" s="31"/>
      <c r="E29" s="31"/>
      <c r="F29" s="31"/>
      <c r="G29" s="31"/>
      <c r="H29" s="26" t="s">
        <v>84</v>
      </c>
      <c r="I29" s="54" t="s">
        <v>85</v>
      </c>
    </row>
    <row r="30" spans="1:14" ht="30" customHeight="1" x14ac:dyDescent="0.25">
      <c r="A30" s="28" t="s">
        <v>86</v>
      </c>
      <c r="B30" s="55" t="s">
        <v>121</v>
      </c>
      <c r="C30" s="55"/>
      <c r="D30" s="55"/>
      <c r="E30" s="23" t="s">
        <v>87</v>
      </c>
      <c r="F30" s="24" t="s">
        <v>26</v>
      </c>
      <c r="G30" s="24"/>
      <c r="H30" s="81">
        <f>(H10/120)*LN(1+H8/H6)</f>
        <v>1.1965331770350051E-4</v>
      </c>
      <c r="I30" s="25">
        <f>H30</f>
        <v>1.1965331770350051E-4</v>
      </c>
    </row>
    <row r="31" spans="1:14" x14ac:dyDescent="0.25">
      <c r="A31" s="28"/>
      <c r="B31" s="55" t="s">
        <v>122</v>
      </c>
      <c r="C31" s="55"/>
      <c r="D31" s="55"/>
      <c r="E31" s="23" t="s">
        <v>88</v>
      </c>
      <c r="F31" s="24" t="s">
        <v>26</v>
      </c>
      <c r="G31" s="58" t="s">
        <v>126</v>
      </c>
      <c r="H31" s="24">
        <f>0.52*H10</f>
        <v>2.6000000000000003E-3</v>
      </c>
      <c r="I31" s="25">
        <f>H31</f>
        <v>2.6000000000000003E-3</v>
      </c>
    </row>
    <row r="32" spans="1:14" ht="39.950000000000003" customHeight="1" x14ac:dyDescent="0.25">
      <c r="A32" s="28"/>
      <c r="B32" s="55" t="s">
        <v>123</v>
      </c>
      <c r="C32" s="55"/>
      <c r="D32" s="55"/>
      <c r="E32" s="23" t="s">
        <v>89</v>
      </c>
      <c r="F32" s="24" t="s">
        <v>26</v>
      </c>
      <c r="G32" s="24"/>
      <c r="H32" s="24">
        <f>H10*(H49/(LN((H11+H6)/H11)))</f>
        <v>4.1358020907353528E-2</v>
      </c>
      <c r="I32" s="25">
        <f>H10*(H48/(LN((H11+H6)/H11)))</f>
        <v>0.29446910886035715</v>
      </c>
    </row>
    <row r="33" spans="1:12" x14ac:dyDescent="0.25">
      <c r="A33" s="28"/>
      <c r="B33" s="55" t="s">
        <v>122</v>
      </c>
      <c r="C33" s="55"/>
      <c r="D33" s="55"/>
      <c r="E33" s="23" t="s">
        <v>90</v>
      </c>
      <c r="F33" s="24" t="s">
        <v>26</v>
      </c>
      <c r="G33" s="59" t="str">
        <f>G31</f>
        <v>0,52h</v>
      </c>
      <c r="H33" s="24">
        <f>H31</f>
        <v>2.6000000000000003E-3</v>
      </c>
      <c r="I33" s="24">
        <f>I31</f>
        <v>2.6000000000000003E-3</v>
      </c>
    </row>
    <row r="34" spans="1:12" ht="30" customHeight="1" x14ac:dyDescent="0.25">
      <c r="A34" s="28"/>
      <c r="B34" s="55" t="s">
        <v>121</v>
      </c>
      <c r="C34" s="55"/>
      <c r="D34" s="55"/>
      <c r="E34" s="23" t="s">
        <v>91</v>
      </c>
      <c r="F34" s="24" t="s">
        <v>26</v>
      </c>
      <c r="G34" s="24"/>
      <c r="H34" s="24">
        <f>(H10/120)*LN(1+H8/H6)</f>
        <v>1.1965331770350051E-4</v>
      </c>
      <c r="I34" s="24">
        <f>H34</f>
        <v>1.1965331770350051E-4</v>
      </c>
    </row>
    <row r="35" spans="1:12" ht="30" customHeight="1" x14ac:dyDescent="0.25">
      <c r="A35" s="28"/>
      <c r="B35" s="55" t="s">
        <v>121</v>
      </c>
      <c r="C35" s="55"/>
      <c r="D35" s="55"/>
      <c r="E35" s="23" t="s">
        <v>92</v>
      </c>
      <c r="F35" s="24" t="s">
        <v>26</v>
      </c>
      <c r="G35" s="24"/>
      <c r="H35" s="24">
        <f>(H10/120)*LN(1+H8/H6)</f>
        <v>1.1965331770350051E-4</v>
      </c>
      <c r="I35" s="24">
        <f>H35</f>
        <v>1.1965331770350051E-4</v>
      </c>
    </row>
    <row r="36" spans="1:12" ht="39.950000000000003" customHeight="1" x14ac:dyDescent="0.25">
      <c r="A36" s="28"/>
      <c r="B36" s="55" t="s">
        <v>123</v>
      </c>
      <c r="C36" s="55"/>
      <c r="D36" s="55"/>
      <c r="E36" s="23" t="s">
        <v>93</v>
      </c>
      <c r="F36" s="24" t="s">
        <v>26</v>
      </c>
      <c r="G36" s="24"/>
      <c r="H36" s="24">
        <f>H10*((H8/(H11+H6))/(LN((H11+H6)/H11)))</f>
        <v>8.2716041814707056E-2</v>
      </c>
      <c r="I36" s="25">
        <f>H36</f>
        <v>8.2716041814707056E-2</v>
      </c>
    </row>
    <row r="37" spans="1:12" ht="39.950000000000003" customHeight="1" x14ac:dyDescent="0.25">
      <c r="A37" s="28"/>
      <c r="B37" s="55" t="s">
        <v>123</v>
      </c>
      <c r="C37" s="55"/>
      <c r="D37" s="55"/>
      <c r="E37" s="23" t="s">
        <v>94</v>
      </c>
      <c r="F37" s="24" t="s">
        <v>26</v>
      </c>
      <c r="G37" s="24"/>
      <c r="H37" s="24">
        <f>H10*(H49/(LN((H11+H6)/H11)))</f>
        <v>4.1358020907353528E-2</v>
      </c>
      <c r="I37" s="25">
        <f>H10*(H50/(LN((H11+H6)/H11)))</f>
        <v>0.3771851506750642</v>
      </c>
    </row>
    <row r="38" spans="1:12" x14ac:dyDescent="0.25">
      <c r="A38" s="28"/>
      <c r="B38" s="55" t="s">
        <v>122</v>
      </c>
      <c r="C38" s="55"/>
      <c r="D38" s="55"/>
      <c r="E38" s="23" t="s">
        <v>95</v>
      </c>
      <c r="F38" s="24" t="s">
        <v>26</v>
      </c>
      <c r="G38" s="59" t="str">
        <f>G33</f>
        <v>0,52h</v>
      </c>
      <c r="H38" s="24">
        <f>H31</f>
        <v>2.6000000000000003E-3</v>
      </c>
      <c r="I38" s="25">
        <f t="shared" ref="I38:I41" si="0">H38</f>
        <v>2.6000000000000003E-3</v>
      </c>
    </row>
    <row r="39" spans="1:12" ht="30" customHeight="1" x14ac:dyDescent="0.25">
      <c r="A39" s="28"/>
      <c r="B39" s="55" t="s">
        <v>121</v>
      </c>
      <c r="C39" s="55"/>
      <c r="D39" s="55"/>
      <c r="E39" s="23" t="s">
        <v>96</v>
      </c>
      <c r="F39" s="24" t="s">
        <v>26</v>
      </c>
      <c r="G39" s="24"/>
      <c r="H39" s="24">
        <f>(H10/120)*LN(1+H8/H6)</f>
        <v>1.1965331770350051E-4</v>
      </c>
      <c r="I39" s="25">
        <f t="shared" si="0"/>
        <v>1.1965331770350051E-4</v>
      </c>
    </row>
    <row r="40" spans="1:12" x14ac:dyDescent="0.25">
      <c r="A40" s="28"/>
      <c r="B40" s="55" t="s">
        <v>124</v>
      </c>
      <c r="C40" s="55"/>
      <c r="D40" s="55"/>
      <c r="E40" s="23" t="s">
        <v>97</v>
      </c>
      <c r="F40" s="24" t="s">
        <v>26</v>
      </c>
      <c r="G40" s="59" t="s">
        <v>133</v>
      </c>
      <c r="H40" s="24">
        <f>0.26*H10</f>
        <v>1.3000000000000002E-3</v>
      </c>
      <c r="I40" s="25">
        <f t="shared" si="0"/>
        <v>1.3000000000000002E-3</v>
      </c>
    </row>
    <row r="41" spans="1:12" ht="30" customHeight="1" x14ac:dyDescent="0.25">
      <c r="A41" s="28"/>
      <c r="B41" s="55" t="s">
        <v>125</v>
      </c>
      <c r="C41" s="55"/>
      <c r="D41" s="55"/>
      <c r="E41" s="23" t="s">
        <v>98</v>
      </c>
      <c r="F41" s="24" t="s">
        <v>26</v>
      </c>
      <c r="G41" s="24"/>
      <c r="H41" s="24">
        <f>(H10/PI())*LN(1+2*H8/H6)</f>
        <v>5.6279045208501551E-3</v>
      </c>
      <c r="I41" s="25">
        <f t="shared" si="0"/>
        <v>5.6279045208501551E-3</v>
      </c>
    </row>
    <row r="42" spans="1:12" ht="24.95" customHeight="1" x14ac:dyDescent="0.25">
      <c r="A42" s="56" t="s">
        <v>99</v>
      </c>
      <c r="B42" s="57"/>
      <c r="C42" s="57"/>
      <c r="D42" s="57"/>
      <c r="E42" s="23" t="s">
        <v>100</v>
      </c>
      <c r="F42" s="24" t="s">
        <v>26</v>
      </c>
      <c r="G42" s="83" t="s">
        <v>142</v>
      </c>
      <c r="H42" s="24">
        <f>H31+H32+H33+H34+H35+2*(H40+H41)</f>
        <v>6.0653136584460837E-2</v>
      </c>
      <c r="I42" s="24">
        <f>I31+I32+I33+I34+I35+2*(I40+I41)</f>
        <v>0.3137642245374645</v>
      </c>
    </row>
    <row r="43" spans="1:12" ht="24.95" customHeight="1" x14ac:dyDescent="0.25">
      <c r="A43" s="56" t="s">
        <v>101</v>
      </c>
      <c r="B43" s="57"/>
      <c r="C43" s="57"/>
      <c r="D43" s="57"/>
      <c r="E43" s="23" t="s">
        <v>102</v>
      </c>
      <c r="F43" s="24" t="s">
        <v>26</v>
      </c>
      <c r="G43" s="83" t="s">
        <v>143</v>
      </c>
      <c r="H43" s="24">
        <f>2*(H33+H34+H40+H41)+H36</f>
        <v>0.10201115749181437</v>
      </c>
      <c r="I43" s="24">
        <f>2*(I33+I34+I40+I41)+I36</f>
        <v>0.10201115749181437</v>
      </c>
    </row>
    <row r="44" spans="1:12" ht="39.950000000000003" customHeight="1" x14ac:dyDescent="0.25">
      <c r="A44" s="56" t="s">
        <v>103</v>
      </c>
      <c r="B44" s="57"/>
      <c r="C44" s="57"/>
      <c r="D44" s="57"/>
      <c r="E44" s="23" t="s">
        <v>104</v>
      </c>
      <c r="F44" s="24" t="s">
        <v>26</v>
      </c>
      <c r="G44" s="83" t="s">
        <v>144</v>
      </c>
      <c r="H44" s="24">
        <f>H33+H34+H37+H38+H39+2*(H40+H41)</f>
        <v>6.0653136584460837E-2</v>
      </c>
      <c r="I44" s="24">
        <f>I33+I34+I37+I38+I39+2*(I40+I41)</f>
        <v>0.39648026635217154</v>
      </c>
    </row>
    <row r="45" spans="1:12" ht="24.95" customHeight="1" x14ac:dyDescent="0.25">
      <c r="A45" s="56" t="s">
        <v>105</v>
      </c>
      <c r="B45" s="57"/>
      <c r="C45" s="57"/>
      <c r="D45" s="57"/>
      <c r="E45" s="23" t="s">
        <v>106</v>
      </c>
      <c r="F45" s="24"/>
      <c r="G45" s="24"/>
      <c r="H45" s="82">
        <f>($N$21*$N$8*2*H43*H42*$H$12)/(2*H42+H43)</f>
        <v>2.465908028955297E-7</v>
      </c>
      <c r="I45" s="82">
        <f>($N$21*$N$8*2*I43*I42*$H$12)/(2*I42+I43)</f>
        <v>3.904817865058276E-7</v>
      </c>
      <c r="J45" s="29"/>
      <c r="K45" s="29"/>
      <c r="L45" s="29"/>
    </row>
    <row r="46" spans="1:12" ht="24.95" customHeight="1" x14ac:dyDescent="0.25">
      <c r="A46" s="56" t="s">
        <v>107</v>
      </c>
      <c r="B46" s="57"/>
      <c r="C46" s="57"/>
      <c r="D46" s="57"/>
      <c r="E46" s="23" t="s">
        <v>108</v>
      </c>
      <c r="F46" s="24"/>
      <c r="G46" s="24"/>
      <c r="H46" s="24">
        <f>H45*(H42/(H42+H44))</f>
        <v>1.2329540144776485E-7</v>
      </c>
      <c r="I46" s="24">
        <f>I45*(I42/(I42+I44))</f>
        <v>1.7250287261720255E-7</v>
      </c>
      <c r="J46" s="29"/>
      <c r="K46" s="29"/>
      <c r="L46" s="29"/>
    </row>
    <row r="47" spans="1:12" ht="24.95" customHeight="1" x14ac:dyDescent="0.25">
      <c r="A47" s="56" t="s">
        <v>109</v>
      </c>
      <c r="B47" s="57"/>
      <c r="C47" s="57"/>
      <c r="D47" s="57"/>
      <c r="E47" s="23" t="s">
        <v>110</v>
      </c>
      <c r="F47" s="24"/>
      <c r="G47" s="24"/>
      <c r="H47" s="24">
        <f>H45*(H44/(H42+H44))</f>
        <v>1.2329540144776485E-7</v>
      </c>
      <c r="I47" s="24">
        <f>I45*(I44/(I42+I44))</f>
        <v>2.1797891388862504E-7</v>
      </c>
    </row>
    <row r="48" spans="1:12" ht="24.95" customHeight="1" x14ac:dyDescent="0.25">
      <c r="E48" s="63" t="s">
        <v>128</v>
      </c>
      <c r="F48" s="64" t="str">
        <f>F4</f>
        <v>°</v>
      </c>
      <c r="G48" s="67" t="s">
        <v>130</v>
      </c>
      <c r="H48" s="68">
        <f>((H8/(H11+H6)/2)-H4)*(-1)</f>
        <v>0.87684729064039413</v>
      </c>
    </row>
    <row r="49" spans="1:9" ht="24.95" customHeight="1" x14ac:dyDescent="0.25">
      <c r="E49" s="61" t="s">
        <v>127</v>
      </c>
      <c r="F49" s="2" t="str">
        <f>F48</f>
        <v>°</v>
      </c>
      <c r="G49" s="60" t="s">
        <v>132</v>
      </c>
      <c r="H49" s="68">
        <f>(H8/(H11+H6)/2)</f>
        <v>0.1231527093596059</v>
      </c>
    </row>
    <row r="50" spans="1:9" ht="15.75" thickBot="1" x14ac:dyDescent="0.3">
      <c r="E50" s="61" t="s">
        <v>129</v>
      </c>
      <c r="F50" s="2" t="str">
        <f>F49</f>
        <v>°</v>
      </c>
      <c r="G50" s="60" t="s">
        <v>131</v>
      </c>
      <c r="H50" s="65">
        <f>(H8/(H11+H6)/2)+H4</f>
        <v>1.1231527093596059</v>
      </c>
    </row>
    <row r="51" spans="1:9" ht="30" customHeight="1" x14ac:dyDescent="0.25">
      <c r="A51" s="71" t="s">
        <v>137</v>
      </c>
      <c r="B51" s="72"/>
      <c r="C51" s="72"/>
      <c r="D51" s="72"/>
      <c r="E51" s="64" t="s">
        <v>140</v>
      </c>
      <c r="F51" s="64" t="s">
        <v>5</v>
      </c>
      <c r="G51" s="64"/>
      <c r="H51" s="85"/>
      <c r="I51" s="86"/>
    </row>
    <row r="52" spans="1:9" ht="30" customHeight="1" x14ac:dyDescent="0.25">
      <c r="A52" s="73" t="s">
        <v>138</v>
      </c>
      <c r="B52" s="70"/>
      <c r="C52" s="70"/>
      <c r="D52" s="70"/>
      <c r="E52" s="2" t="s">
        <v>135</v>
      </c>
      <c r="F52" s="2" t="str">
        <f>F3</f>
        <v>В/°</v>
      </c>
      <c r="G52" s="2"/>
      <c r="H52" s="32"/>
      <c r="I52" s="87"/>
    </row>
    <row r="53" spans="1:9" ht="30" customHeight="1" x14ac:dyDescent="0.25">
      <c r="A53" s="41" t="s">
        <v>145</v>
      </c>
      <c r="B53" s="33"/>
      <c r="C53" s="33"/>
      <c r="D53" s="42"/>
      <c r="E53" s="2" t="s">
        <v>146</v>
      </c>
      <c r="F53" s="2" t="s">
        <v>26</v>
      </c>
      <c r="G53" s="2"/>
      <c r="H53" s="32"/>
      <c r="I53" s="87"/>
    </row>
    <row r="54" spans="1:9" ht="30" customHeight="1" x14ac:dyDescent="0.25">
      <c r="A54" s="73" t="s">
        <v>147</v>
      </c>
      <c r="B54" s="70"/>
      <c r="C54" s="70"/>
      <c r="D54" s="70"/>
      <c r="E54" s="64" t="s">
        <v>148</v>
      </c>
      <c r="F54" s="2" t="s">
        <v>82</v>
      </c>
      <c r="G54" s="84"/>
      <c r="H54" s="32"/>
      <c r="I54" s="87"/>
    </row>
    <row r="55" spans="1:9" ht="30" customHeight="1" thickBot="1" x14ac:dyDescent="0.3">
      <c r="A55" s="74" t="s">
        <v>139</v>
      </c>
      <c r="B55" s="75"/>
      <c r="C55" s="75"/>
      <c r="D55" s="75"/>
      <c r="E55" s="3" t="s">
        <v>136</v>
      </c>
      <c r="F55" s="3" t="s">
        <v>5</v>
      </c>
      <c r="G55" s="3"/>
      <c r="H55" s="34">
        <f>H3*H4/(4.44*N6*(I47-I46))</f>
        <v>7.4289192373070048</v>
      </c>
      <c r="I55" s="88"/>
    </row>
    <row r="56" spans="1:9" ht="30" customHeight="1" x14ac:dyDescent="0.25"/>
    <row r="57" spans="1:9" ht="30" customHeight="1" x14ac:dyDescent="0.25"/>
  </sheetData>
  <mergeCells count="57">
    <mergeCell ref="A55:D55"/>
    <mergeCell ref="H51:I51"/>
    <mergeCell ref="H52:I52"/>
    <mergeCell ref="H53:I53"/>
    <mergeCell ref="H54:I54"/>
    <mergeCell ref="H55:I55"/>
    <mergeCell ref="A51:D51"/>
    <mergeCell ref="A52:D52"/>
    <mergeCell ref="A53:D53"/>
    <mergeCell ref="A54:D54"/>
    <mergeCell ref="A2:D2"/>
    <mergeCell ref="A3:D3"/>
    <mergeCell ref="A4:D4"/>
    <mergeCell ref="H7:I7"/>
    <mergeCell ref="H8:I8"/>
    <mergeCell ref="H2:I2"/>
    <mergeCell ref="H3:I3"/>
    <mergeCell ref="H4:I4"/>
    <mergeCell ref="H5:I5"/>
    <mergeCell ref="H6:I6"/>
    <mergeCell ref="A9:D9"/>
    <mergeCell ref="A10:D10"/>
    <mergeCell ref="A5:D5"/>
    <mergeCell ref="A6:D6"/>
    <mergeCell ref="A7:D7"/>
    <mergeCell ref="A8:D8"/>
    <mergeCell ref="A21:E21"/>
    <mergeCell ref="E28:E29"/>
    <mergeCell ref="F28:F29"/>
    <mergeCell ref="J45:L46"/>
    <mergeCell ref="H9:I9"/>
    <mergeCell ref="H10:I10"/>
    <mergeCell ref="H11:I11"/>
    <mergeCell ref="A11:D11"/>
    <mergeCell ref="G21:I21"/>
    <mergeCell ref="A42:D42"/>
    <mergeCell ref="H28:I28"/>
    <mergeCell ref="G28:G29"/>
    <mergeCell ref="A28:D29"/>
    <mergeCell ref="B30:D30"/>
    <mergeCell ref="B31:D31"/>
    <mergeCell ref="B32:D32"/>
    <mergeCell ref="A30:A41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A43:D43"/>
    <mergeCell ref="A44:D44"/>
    <mergeCell ref="A45:D45"/>
    <mergeCell ref="A46:D46"/>
    <mergeCell ref="A47:D4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2018-12-07T20:14:06Z</dcterms:modified>
</cp:coreProperties>
</file>