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5.xml.rels" ContentType="application/vnd.openxmlformats-package.relationships+xml"/>
  <Override PartName="/xl/worksheets/_rels/sheet20.xml.rels" ContentType="application/vnd.openxmlformats-package.relationships+xml"/>
  <Override PartName="/xl/worksheets/_rels/sheet16.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5.xml.rels" ContentType="application/vnd.openxmlformats-package.relationships+xml"/>
  <Override PartName="/xl/worksheets/_rels/sheet26.xml.rels" ContentType="application/vnd.openxmlformats-package.relationships+xml"/>
  <Override PartName="/xl/worksheets/_rels/sheet27.xml.rels" ContentType="application/vnd.openxmlformats-package.relationships+xml"/>
  <Override PartName="/xl/worksheets/_rels/sheet28.xml.rels" ContentType="application/vnd.openxmlformats-package.relationships+xml"/>
  <Override PartName="/xl/worksheets/_rels/sheet30.xml.rels" ContentType="application/vnd.openxmlformats-package.relationships+xml"/>
  <Override PartName="/xl/worksheets/_rels/sheet31.xml.rels" ContentType="application/vnd.openxmlformats-package.relationships+xml"/>
  <Override PartName="/xl/worksheets/_rels/sheet3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book.xml" ContentType="application/vnd.openxmlformats-officedocument.spreadsheetml.sheet.main+xml"/>
  <Override PartName="/xl/comments15.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vmlDrawing1.vml" ContentType="application/vnd.openxmlformats-officedocument.vmlDrawing"/>
  <Override PartName="/xl/drawings/drawing1.xml" ContentType="application/vnd.openxmlformats-officedocument.drawing+xml"/>
  <Override PartName="/xl/drawings/drawing10.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10.xml.rels" ContentType="application/vnd.openxmlformats-package.relationships+xml"/>
  <Override PartName="/xl/drawings/_rels/drawing6.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comments16.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PR 24" sheetId="1" state="visible" r:id="rId3"/>
    <sheet name="MAR 24" sheetId="2" state="visible" r:id="rId4"/>
    <sheet name="FEB 24" sheetId="3" state="visible" r:id="rId5"/>
    <sheet name="JAN 24" sheetId="4" state="visible" r:id="rId6"/>
    <sheet name="DEC 23" sheetId="5" state="visible" r:id="rId7"/>
    <sheet name="NOV 23" sheetId="6" state="visible" r:id="rId8"/>
    <sheet name="OCT 23" sheetId="7" state="visible" r:id="rId9"/>
    <sheet name="SEP23" sheetId="8" state="visible" r:id="rId10"/>
    <sheet name="Sheet3" sheetId="9" state="visible" r:id="rId11"/>
    <sheet name="AUG23" sheetId="10" state="visible" r:id="rId12"/>
    <sheet name="JUL23" sheetId="11" state="visible" r:id="rId13"/>
    <sheet name="JUN 23" sheetId="12" state="visible" r:id="rId14"/>
    <sheet name="MAY 23" sheetId="13" state="visible" r:id="rId15"/>
    <sheet name="APR23" sheetId="14" state="visible" r:id="rId16"/>
    <sheet name="MAR 23" sheetId="15" state="visible" r:id="rId17"/>
    <sheet name="FEB 23" sheetId="16" state="visible" r:id="rId18"/>
    <sheet name="JAN 23" sheetId="17" state="visible" r:id="rId19"/>
    <sheet name="Sheet1" sheetId="18" state="hidden" r:id="rId20"/>
    <sheet name="DEC" sheetId="19" state="visible" r:id="rId21"/>
    <sheet name="NOV" sheetId="20" state="visible" r:id="rId22"/>
    <sheet name="OCT" sheetId="21" state="visible" r:id="rId23"/>
    <sheet name="SEP" sheetId="22" state="visible" r:id="rId24"/>
    <sheet name="AUG" sheetId="23" state="visible" r:id="rId25"/>
    <sheet name="JUL" sheetId="24" state="visible" r:id="rId26"/>
    <sheet name="JUN" sheetId="25" state="visible" r:id="rId27"/>
    <sheet name="MAY" sheetId="26" state="visible" r:id="rId28"/>
    <sheet name="APR" sheetId="27" state="visible" r:id="rId29"/>
    <sheet name="MAR" sheetId="28" state="visible" r:id="rId30"/>
    <sheet name="FEB" sheetId="29" state="visible" r:id="rId31"/>
    <sheet name="JAN" sheetId="30" state="visible" r:id="rId32"/>
    <sheet name="DEC 21" sheetId="31" state="visible" r:id="rId33"/>
    <sheet name="NOV 21" sheetId="32" state="visible" r:id="rId34"/>
    <sheet name="ANNUAL" sheetId="33" state="visible" r:id="rId35"/>
    <sheet name="TEMPLATE" sheetId="34" state="visible" r:id="rId36"/>
    <sheet name="Template2" sheetId="35" state="visible" r:id="rId37"/>
  </sheets>
  <definedNames>
    <definedName function="false" hidden="false" name="APR_KWH" vbProcedure="false">APR23!$H1</definedName>
    <definedName function="false" hidden="false" name="AVERAGE_KWH" vbProcedure="false">JUN!$J$1:$J$35</definedName>
    <definedName function="false" hidden="false" name="BREAK" vbProcedure="false">TEMPLATE!$S$10</definedName>
    <definedName function="false" hidden="false" name="CREDIT" vbProcedure="false">TEMPLATE!$Q$10</definedName>
    <definedName function="false" hidden="false" name="CYCLE_DAY" vbProcedure="false">'FEB 23'!$A$2:$A$32</definedName>
    <definedName function="false" hidden="false" name="DAYS" vbProcedure="false">AUG!$A$34</definedName>
    <definedName function="false" hidden="false" name="FEBKWH" vbProcedure="false">ANNUAL!$G$6:$G$37</definedName>
    <definedName function="false" hidden="false" name="KWH" vbProcedure="false">Template2!$H1</definedName>
    <definedName function="false" hidden="false" name="ONCOR" vbProcedure="false">TEMPLATE!$S$5</definedName>
    <definedName function="false" hidden="false" name="ONCOR_DAILY" vbProcedure="false">JUN!$S$6</definedName>
    <definedName function="false" hidden="false" name="PR_CUM_KWH" vbProcedure="false">APR23!$I1</definedName>
    <definedName function="false" hidden="false" name="RATES" vbProcedure="false">AUG!$S$8</definedName>
    <definedName function="false" hidden="false" name="TAX" vbProcedure="false">AUG!$R$9</definedName>
    <definedName function="false" hidden="false" name="TDU_DAILY" vbProcedure="false">AUG!$S$8</definedName>
    <definedName function="false" hidden="false" name="WHEN" vbProcedure="false">'FEB 23'!$O$2:$O$31</definedName>
    <definedName function="false" hidden="false" localSheetId="7" name="CUM_KWH" vbProcedure="false">SEP23!$I1</definedName>
    <definedName function="false" hidden="false" localSheetId="9" name="CUM_KWH" vbProcedure="false">AUG23!$I1</definedName>
    <definedName function="false" hidden="false" localSheetId="9" name="KWH" vbProcedure="false">AUG23!$O$2</definedName>
    <definedName function="false" hidden="false" localSheetId="10" name="CUM_KWH" vbProcedure="false">JUL23!$I1</definedName>
    <definedName function="false" hidden="false" localSheetId="10" name="KWH" vbProcedure="false">JUL23!$H1</definedName>
    <definedName function="false" hidden="false" localSheetId="10" name="PROJ_USAGE" vbProcedure="false">JUL23!$M1</definedName>
    <definedName function="false" hidden="false" localSheetId="10" name="TDU" vbProcedure="false">JUL23!$W$3</definedName>
    <definedName function="false" hidden="false" localSheetId="11" name="CUM_KWH" vbProcedure="false">'JUN 23'!$I1</definedName>
    <definedName function="false" hidden="false" localSheetId="11" name="KWH" vbProcedure="false">'JUN 23'!$H1</definedName>
    <definedName function="false" hidden="false" localSheetId="12" name="CUM_KWH" vbProcedure="false">'MAY 23'!$I1</definedName>
    <definedName function="false" hidden="false" localSheetId="12" name="KWH" vbProcedure="false">'MAY 23'!$H1</definedName>
    <definedName function="false" hidden="false" localSheetId="13" name="CUM_KWH" vbProcedure="false">APR23!$I1</definedName>
    <definedName function="false" hidden="false" localSheetId="13" name="KWH" vbProcedure="false">APR23!$H1</definedName>
    <definedName function="false" hidden="false" localSheetId="13" name="PROJ_USAGE" vbProcedure="false">APR23!$M1</definedName>
    <definedName function="false" hidden="false" localSheetId="13" name="TDU" vbProcedure="false">APR23!$W$3</definedName>
    <definedName function="false" hidden="false" localSheetId="14" name="CUM_KWH" vbProcedure="false">'MAR 23'!$I1</definedName>
    <definedName function="false" hidden="false" localSheetId="14" name="KWH" vbProcedure="false">'MAR 23'!$H1</definedName>
    <definedName function="false" hidden="false" localSheetId="15" name="CUM_KWH" vbProcedure="false">'FEB 23'!$I1</definedName>
    <definedName function="false" hidden="false" localSheetId="15" name="KWH" vbProcedure="false">'FEB 23'!$H1</definedName>
    <definedName function="false" hidden="false" localSheetId="15" name="PROJ_USAGE" vbProcedure="false">'FEB 23'!$M1</definedName>
    <definedName function="false" hidden="false" localSheetId="15" name="TDU" vbProcedure="false">'FEB 23'!$AC$2</definedName>
    <definedName function="false" hidden="false" localSheetId="16" name="CUM_KWH" vbProcedure="false">'JAN 23'!$I1</definedName>
    <definedName function="false" hidden="false" localSheetId="16" name="KWH" vbProcedure="false">'JAN 23'!$H1</definedName>
    <definedName function="false" hidden="false" localSheetId="16" name="PROJ_USAGE" vbProcedure="false">'JAN 23'!$M1</definedName>
    <definedName function="false" hidden="false" localSheetId="16" name="TDU" vbProcedure="false">'JAN 23'!$W$4</definedName>
    <definedName function="false" hidden="false" localSheetId="17" name="CUM_KWH" vbProcedure="false">Sheet1!$I1</definedName>
    <definedName function="false" hidden="false" localSheetId="17" name="KWH" vbProcedure="false">Sheet1!$H1</definedName>
    <definedName function="false" hidden="false" localSheetId="17" name="PROJ_USAGE" vbProcedure="false">Sheet1!$M1</definedName>
    <definedName function="false" hidden="false" localSheetId="17" name="TDU" vbProcedure="false">Sheet1!$W$3</definedName>
    <definedName function="false" hidden="false" localSheetId="18" name="AVERAGE_KWH" vbProcedure="false">DEC!$J1048564:$J22</definedName>
    <definedName function="false" hidden="false" localSheetId="18" name="CUM_KWH" vbProcedure="false">DEC!$I1</definedName>
    <definedName function="false" hidden="false" localSheetId="18" name="KWH" vbProcedure="false">DEC!$H1</definedName>
    <definedName function="false" hidden="false" localSheetId="18" name="PROJ_USAGE" vbProcedure="false">DEC!$M1</definedName>
    <definedName function="false" hidden="false" localSheetId="18" name="TDU" vbProcedure="false">DEC!$W$3</definedName>
    <definedName function="false" hidden="false" localSheetId="19" name="CREDIT" vbProcedure="false">NOV!$Z$3</definedName>
    <definedName function="false" hidden="false" localSheetId="19" name="CUM_KWH" vbProcedure="false">NOV!$I1</definedName>
    <definedName function="false" hidden="false" localSheetId="19" name="KWH" vbProcedure="false">NOV!$H1</definedName>
    <definedName function="false" hidden="false" localSheetId="19" name="MOVING_AVERAGE" vbProcedure="false">NOV!$J1</definedName>
    <definedName function="false" hidden="false" localSheetId="19" name="PROJ_USAGE" vbProcedure="false">NOV!$N1</definedName>
    <definedName function="false" hidden="false" localSheetId="20" name="CREDIT" vbProcedure="false">OCT!$Z$3</definedName>
    <definedName function="false" hidden="false" localSheetId="20" name="CUM_KWH" vbProcedure="false">OCT!$I1</definedName>
    <definedName function="false" hidden="false" localSheetId="20" name="KWH" vbProcedure="false">OCT!$H1</definedName>
    <definedName function="false" hidden="false" localSheetId="20" name="MOVING_AVERAGE" vbProcedure="false">OCT!$J1</definedName>
    <definedName function="false" hidden="false" localSheetId="20" name="PROJ_USAGE" vbProcedure="false">OCT!$N1</definedName>
    <definedName function="false" hidden="false" localSheetId="21" name="CREDIT" vbProcedure="false">SEP!$Y$3</definedName>
    <definedName function="false" hidden="false" localSheetId="21" name="CUM_KWH" vbProcedure="false">SEP!$I1</definedName>
    <definedName function="false" hidden="false" localSheetId="21" name="DAYS" vbProcedure="false">SEP!$A$31</definedName>
    <definedName function="false" hidden="false" localSheetId="21" name="KWH" vbProcedure="false">SEP!$H1</definedName>
    <definedName function="false" hidden="false" localSheetId="21" name="MOVING_AVERAGE" vbProcedure="false">SEP!$J1</definedName>
    <definedName function="false" hidden="false" localSheetId="21" name="ONCOR_DAILY" vbProcedure="false">SEP!$S$7</definedName>
    <definedName function="false" hidden="false" localSheetId="21" name="PROJ_USAGE" vbProcedure="false">SEP!$M1</definedName>
    <definedName function="false" hidden="false" localSheetId="21" name="RATES" vbProcedure="false">SEP!$S$7</definedName>
    <definedName function="false" hidden="false" localSheetId="21" name="TDU" vbProcedure="false">SEP!$V$3</definedName>
    <definedName function="false" hidden="false" localSheetId="22" name="AVERAGE_KWH" vbProcedure="false">AUG!$J$1:$J$37</definedName>
    <definedName function="false" hidden="false" localSheetId="22" name="CREDIT" vbProcedure="false">AUG!$R$10</definedName>
    <definedName function="false" hidden="false" localSheetId="22" name="CUM_KWH" vbProcedure="false">AUG!$I1</definedName>
    <definedName function="false" hidden="false" localSheetId="22" name="GEXA" vbProcedure="false">AUG!$X$3</definedName>
    <definedName function="false" hidden="false" localSheetId="22" name="KWH" vbProcedure="false">AUG!$H1</definedName>
    <definedName function="false" hidden="false" localSheetId="22" name="KWH_MTD" vbProcedure="false">aug!#ref!</definedName>
    <definedName function="false" hidden="false" localSheetId="22" name="MOVING_AVERAGE" vbProcedure="false">AUG!$J$2</definedName>
    <definedName function="false" hidden="false" localSheetId="22" name="PROJ_USAGE" vbProcedure="false">AUG!$M1</definedName>
    <definedName function="false" hidden="false" localSheetId="22" name="PUC" vbProcedure="false">aug!#ref!</definedName>
    <definedName function="false" hidden="false" localSheetId="22" name="TDU" vbProcedure="false">AUG!$W$3</definedName>
    <definedName function="false" hidden="false" localSheetId="22" name="USAGE" vbProcedure="false">AUG!$K6</definedName>
    <definedName function="false" hidden="false" localSheetId="22" name="USAGE_RATE" vbProcedure="false">AUG!$L$6</definedName>
    <definedName function="false" hidden="false" localSheetId="23" name="CREDIT" vbProcedure="false">jul!#ref!</definedName>
    <definedName function="false" hidden="false" localSheetId="23" name="CUM_KWH" vbProcedure="false">JUL!$I1</definedName>
    <definedName function="false" hidden="false" localSheetId="23" name="GEXA" vbProcedure="false">jul!#ref!</definedName>
    <definedName function="false" hidden="false" localSheetId="23" name="KWH_MTD" vbProcedure="false">jul!#ref!</definedName>
    <definedName function="false" hidden="false" localSheetId="23" name="MOVING_AVERAGE" vbProcedure="false">JUL!$K$4</definedName>
    <definedName function="false" hidden="false" localSheetId="23" name="PROJ_USAGE" vbProcedure="false">JUL!$O1</definedName>
    <definedName function="false" hidden="false" localSheetId="23" name="PUC" vbProcedure="false">jul!#ref!</definedName>
    <definedName function="false" hidden="false" localSheetId="23" name="TDU" vbProcedure="false">jul!#ref!</definedName>
    <definedName function="false" hidden="false" localSheetId="23" name="USAGE" vbProcedure="false">JUL!$M6</definedName>
    <definedName function="false" hidden="false" localSheetId="23" name="USAGE_RATE" vbProcedure="false">JUL!$M$6</definedName>
    <definedName function="false" hidden="false" localSheetId="24" name="CREDIT" vbProcedure="false">JUN!$R$10</definedName>
    <definedName function="false" hidden="false" localSheetId="24" name="CUM_KWH" vbProcedure="false">JUN!$I1</definedName>
    <definedName function="false" hidden="false" localSheetId="24" name="GEXA" vbProcedure="false">jun!#ref!</definedName>
    <definedName function="false" hidden="false" localSheetId="24" name="KWH" vbProcedure="false">JUN!$H1</definedName>
    <definedName function="false" hidden="false" localSheetId="24" name="KWH_MTD" vbProcedure="false">jun!#ref!</definedName>
    <definedName function="false" hidden="false" localSheetId="24" name="MOVING_AVERAGE" vbProcedure="false">jun!#ref!</definedName>
    <definedName function="false" hidden="false" localSheetId="24" name="PROJ_USAGE" vbProcedure="false">JUN!$M1</definedName>
    <definedName function="false" hidden="false" localSheetId="24" name="PUC" vbProcedure="false">jun!#ref!</definedName>
    <definedName function="false" hidden="false" localSheetId="24" name="USAGE" vbProcedure="false">JUN!$K6</definedName>
    <definedName function="false" hidden="false" localSheetId="24" name="USAGE_RATE" vbProcedure="false">JUN!$K$6</definedName>
    <definedName function="false" hidden="false" localSheetId="25" name="AVERAGE_KWH" vbProcedure="false">MAY!$J$1:$J$35</definedName>
    <definedName function="false" hidden="false" localSheetId="25" name="CREDIT" vbProcedure="false">MAY!$Y$3</definedName>
    <definedName function="false" hidden="false" localSheetId="25" name="CUM_KWH" vbProcedure="false">MAY!$I1</definedName>
    <definedName function="false" hidden="false" localSheetId="25" name="MOVING_AVERAGE" vbProcedure="false">MAY!$J1</definedName>
    <definedName function="false" hidden="false" localSheetId="25" name="PROJ_USAGE" vbProcedure="false">MAY!$M1</definedName>
    <definedName function="false" hidden="false" localSheetId="26" name="AVERAGE_KWH" vbProcedure="false">APR!$J$1:$J$35</definedName>
    <definedName function="false" hidden="false" localSheetId="26" name="CREDIT" vbProcedure="false">APR!$Y$3</definedName>
    <definedName function="false" hidden="false" localSheetId="26" name="CUM_KWH" vbProcedure="false">APR!$I1</definedName>
    <definedName function="false" hidden="false" localSheetId="26" name="MOVING_AVERAGE" vbProcedure="false">APR!$J1</definedName>
    <definedName function="false" hidden="false" localSheetId="26" name="PROJ_USAGE" vbProcedure="false">APR!$M1</definedName>
    <definedName function="false" hidden="false" localSheetId="27" name="AVERAGE_KWH" vbProcedure="false">MAR!$J$1:$J$37</definedName>
    <definedName function="false" hidden="false" localSheetId="27" name="CREDIT" vbProcedure="false">MAR!$Y$3</definedName>
    <definedName function="false" hidden="false" localSheetId="27" name="CUM_KWH" vbProcedure="false">MAR!$I1</definedName>
    <definedName function="false" hidden="false" localSheetId="27" name="DAYS" vbProcedure="false">MAR!$A$31</definedName>
    <definedName function="false" hidden="false" localSheetId="27" name="KWH" vbProcedure="false">MAR!$H$2:$H$31</definedName>
    <definedName function="false" hidden="false" localSheetId="27" name="MOVING_AVERAGE" vbProcedure="false">MAR!$J1</definedName>
    <definedName function="false" hidden="false" localSheetId="27" name="PROJ_USAGE" vbProcedure="false">MAR!$M1</definedName>
    <definedName function="false" hidden="false" localSheetId="27" name="TDU" vbProcedure="false">MAR!$V$3</definedName>
    <definedName function="false" hidden="false" localSheetId="28" name="CREDIT" vbProcedure="false">FEB!$Z$3</definedName>
    <definedName function="false" hidden="false" localSheetId="28" name="CUM_KWH" vbProcedure="false">FEB!$I1</definedName>
    <definedName function="false" hidden="false" localSheetId="28" name="MOVING_AVERAGE" vbProcedure="false">FEB!$J1</definedName>
    <definedName function="false" hidden="false" localSheetId="28" name="PROJ_USAGE" vbProcedure="false">FEB!$N1</definedName>
    <definedName function="false" hidden="false" localSheetId="29" name="CREDIT" vbProcedure="false">JAN!$Z$3</definedName>
    <definedName function="false" hidden="false" localSheetId="29" name="CUM_KWH" vbProcedure="false">JAN!$I1</definedName>
    <definedName function="false" hidden="false" localSheetId="29" name="MOVING_AVERAGE" vbProcedure="false">JAN!$J1</definedName>
    <definedName function="false" hidden="false" localSheetId="29" name="PROJ_USAGE" vbProcedure="false">JAN!$N1</definedName>
    <definedName function="false" hidden="false" localSheetId="30" name="CREDIT" vbProcedure="false">'DEC 21'!$Z$3</definedName>
    <definedName function="false" hidden="false" localSheetId="30" name="CUM_KWH" vbProcedure="false">'DEC 21'!$I1</definedName>
    <definedName function="false" hidden="false" localSheetId="30" name="MOVING_AVERAGE" vbProcedure="false">'DEC 21'!$J1</definedName>
    <definedName function="false" hidden="false" localSheetId="30" name="PROJ_USAGE" vbProcedure="false">'DEC 21'!$N1</definedName>
    <definedName function="false" hidden="false" localSheetId="33" name="AVERAGE_KWH" vbProcedure="false">TEMPLATE!$J$2</definedName>
    <definedName function="false" hidden="false" localSheetId="33" name="CUM_KWH" vbProcedure="false">TEMPLATE!$I1</definedName>
    <definedName function="false" hidden="false" localSheetId="33" name="KWH" vbProcedure="false">TEMPLATE!$H1</definedName>
    <definedName function="false" hidden="false" localSheetId="33" name="MOVING_AVERAGE" vbProcedure="false">template!#ref!</definedName>
    <definedName function="false" hidden="false" localSheetId="33" name="PROJ_USAGE" vbProcedure="false">TEMPLATE!$M1</definedName>
    <definedName function="false" hidden="false" localSheetId="33" name="TDU" vbProcedure="false">TEMPLATE!$W$3</definedName>
    <definedName function="false" hidden="false" localSheetId="34" name="CUM_KWH" vbProcedure="false">Template2!$I1</definedName>
    <definedName function="false" hidden="false" localSheetId="34" name="PROJ_USAGE" vbProcedure="false">Template2!$M1</definedName>
    <definedName function="false" hidden="false" localSheetId="34" name="TDU" vbProcedure="false">Template2!$W$3</definedName>
  </definedNames>
  <calcPr iterateCount="100" refMode="A1" iterate="false" iterateDelta="0.0001"/>
  <extLst>
    <ext xmlns:loext="http://schemas.libreoffice.org/" uri="{7626C862-2A13-11E5-B345-FEFF819CDC9F}">
      <loext:extCalcPr stringRefSyntax="ExcelA1"/>
    </ext>
  </extLst>
</workbook>
</file>

<file path=xl/comments15.xml><?xml version="1.0" encoding="utf-8"?>
<comments xmlns="http://schemas.openxmlformats.org/spreadsheetml/2006/main" xmlns:xdr="http://schemas.openxmlformats.org/drawingml/2006/spreadsheetDrawing">
  <authors>
    <author>Unknown Author</author>
  </authors>
  <commentList>
    <comment ref="Q20" authorId="0">
      <text>
        <r>
          <rPr>
            <sz val="10"/>
            <rFont val="Arial"/>
            <family val="2"/>
          </rPr>
          <t xml:space="preserve">GEXA Daily charges calculation:
If there is a value in the Cumulative KWH column (I), multiply the Cumulateve KWH by the combined rate charged by the PUC, ONCOR and GEXA (Column S, Row 7; $S$7), then add the prorated ONCOR monthly charge which is $3.40 ($0.113333 daily) by multiplying the number of days so far in the month ($A5) by the daily rate ($S$8), then sum those 2 products and add state sales tax my multiplying the sum by 1 plus the tax rate, $0.01997 ($R$9).
Calculation in Excel:
=IF($I5&lt;&gt;"",,(($M5*$S$7)+($A5*$S$8))*(1+$R$9)),"")
</t>
        </r>
      </text>
    </comment>
    <comment ref="Q22" authorId="0">
      <text>
        <r>
          <rPr>
            <sz val="10"/>
            <rFont val="Arial"/>
            <family val="2"/>
          </rPr>
          <t xml:space="preserve">GEXA charges calculation:
If there is a value in the Projected Usage column (M), and if that value is greater than 1,000 KWH, multiply the Projected Usage by the combined rate charged by the PUC, ONCOR, and GEXA (Column S, Row 7; $S$7), then add the prorated ONCOR monthly charge which is $3.40 ($0.113333 daily) by multiplying the number of days so far in the month ($A5) by the daily rate ($S$8), then sum those 2 products and add state sales tax my multiplying the sum by 1 plus the tax rate, $0.01997 ($R$9) then subtracting the credit for exceeding 1,000 KWH, $100 giving projected charges
Calculation in Excel:
=IF($M5&lt;&gt;"",IF($M5&gt;1000,(($M5*$S$7)+($A5*$S$8))*(1+$R$9)-100,(($M5*$S$7)+($A5*$S$8))*(1+$R$9)),"")
</t>
        </r>
      </text>
    </comment>
  </commentList>
</comments>
</file>

<file path=xl/comments16.xml><?xml version="1.0" encoding="utf-8"?>
<comments xmlns="http://schemas.openxmlformats.org/spreadsheetml/2006/main" xmlns:xdr="http://schemas.openxmlformats.org/drawingml/2006/spreadsheetDrawing">
  <authors>
    <author>Unknown Author</author>
  </authors>
  <commentList>
    <comment ref="Q20" authorId="0">
      <text>
        <r>
          <rPr>
            <sz val="10"/>
            <rFont val="Arial"/>
            <family val="2"/>
          </rPr>
          <t xml:space="preserve">GEXA Daily charges calculation:
If there is a value in the Cumulative KWH column (I), multiply the Cumulateve KWH by the combined rate charged by the PUC, ONCOR and GEXA (Column S, Row 7; $S$7), then add the prorated ONCOR monthly charge which is $3.40 ($0.113333 daily) by multiplying the number of days so far in the month ($A5) by the daily rate ($S$8), then sum those 2 products and add state sales tax my multiplying the sum by 1 plus the tax rate, $0.01997 ($R$9).
Calculation in Excel:
=IF($I5&lt;&gt;"",,(($M5*$S$7)+($A5*$S$8))*(1+$R$9)),"")
</t>
        </r>
      </text>
    </comment>
    <comment ref="Q22" authorId="0">
      <text>
        <r>
          <rPr>
            <sz val="10"/>
            <rFont val="Arial"/>
            <family val="2"/>
          </rPr>
          <t xml:space="preserve">GEXA charges calculation:
If there is a value in the Projected Usage column (M), and if that value is greater than 1,000 KWH, multiply the Projected Usage by the combined rate charged by the PUC, ONCOR, and GEXA (Column S, Row 7; $S$7), then add the prorated ONCOR monthly charge which is $3.40 ($0.113333 daily) by multiplying the number of days so far in the month ($A5) by the daily rate ($S$8), then sum those 2 products and add state sales tax my multiplying the sum by 1 plus the tax rate, $0.01997 ($R$9) then subtracting the credit for exceeding 1,000 KWH, $100 giving projected charges
Calculation in Excel:
=IF($M5&lt;&gt;"",IF($M5&gt;1000,(($M5*$S$7)+($A5*$S$8))*(1+$R$9)-100,(($M5*$S$7)+($A5*$S$8))*(1+$R$9)),"")
</t>
        </r>
      </text>
    </comment>
  </commentList>
</comments>
</file>

<file path=xl/sharedStrings.xml><?xml version="1.0" encoding="utf-8"?>
<sst xmlns="http://schemas.openxmlformats.org/spreadsheetml/2006/main" count="1379" uniqueCount="172">
  <si>
    <t xml:space="preserve">CYCLE DAY</t>
  </si>
  <si>
    <t xml:space="preserve">DAY OF WEEK</t>
  </si>
  <si>
    <t xml:space="preserve">DAYS LEFT</t>
  </si>
  <si>
    <t xml:space="preserve">FROM DATE</t>
  </si>
  <si>
    <t xml:space="preserve">TO DATE</t>
  </si>
  <si>
    <t xml:space="preserve">START</t>
  </si>
  <si>
    <t xml:space="preserve">END</t>
  </si>
  <si>
    <t xml:space="preserve">KWH</t>
  </si>
  <si>
    <t xml:space="preserve">CUM KWH</t>
  </si>
  <si>
    <t xml:space="preserve">AVERAGE KWH</t>
  </si>
  <si>
    <t xml:space="preserve">DAILY CHARGE</t>
  </si>
  <si>
    <t xml:space="preserve">CUM CHARGE</t>
  </si>
  <si>
    <t xml:space="preserve">PROJ USAGE</t>
  </si>
  <si>
    <t xml:space="preserve">PROJ CHARGE</t>
  </si>
  <si>
    <t xml:space="preserve">HRS TO BREAK</t>
  </si>
  <si>
    <t xml:space="preserve">RATES EFFECTIVE 26 NOVEMBER 2023</t>
  </si>
  <si>
    <t xml:space="preserve">03/18/2024</t>
  </si>
  <si>
    <t xml:space="preserve">03/19/2024 06:14:58</t>
  </si>
  <si>
    <t xml:space="preserve">METER NUMBER  </t>
  </si>
  <si>
    <t xml:space="preserve">10443720003420800</t>
  </si>
  <si>
    <t xml:space="preserve">03/19/2024</t>
  </si>
  <si>
    <t xml:space="preserve">03/20/2024 06:12:04</t>
  </si>
  <si>
    <t xml:space="preserve">TARGET METER READING</t>
  </si>
  <si>
    <t xml:space="preserve">03/20/2024</t>
  </si>
  <si>
    <t xml:space="preserve">03/21/2024 06:10:50</t>
  </si>
  <si>
    <t xml:space="preserve">PUC RATE / KWH</t>
  </si>
  <si>
    <t xml:space="preserve">03/21/2024</t>
  </si>
  <si>
    <t xml:space="preserve">03/22/2024 06:11:10</t>
  </si>
  <si>
    <t xml:space="preserve">ONCOR RATE / KWH</t>
  </si>
  <si>
    <t xml:space="preserve">03/22/2024</t>
  </si>
  <si>
    <t xml:space="preserve">03/23/2024 06:09:29</t>
  </si>
  <si>
    <t xml:space="preserve">GEXA RATE / KWH</t>
  </si>
  <si>
    <t xml:space="preserve">03/23/2024</t>
  </si>
  <si>
    <t xml:space="preserve">03/24/2024 06:39:09</t>
  </si>
  <si>
    <t xml:space="preserve">COMBINED RATE / KWH</t>
  </si>
  <si>
    <t xml:space="preserve">$S$7</t>
  </si>
  <si>
    <t xml:space="preserve">03/24/2024</t>
  </si>
  <si>
    <t xml:space="preserve">03/25/2024 07:28:25</t>
  </si>
  <si>
    <t xml:space="preserve">ONCOR DAILY CHARGE</t>
  </si>
  <si>
    <t xml:space="preserve">$S$8</t>
  </si>
  <si>
    <t xml:space="preserve">03/25/2024</t>
  </si>
  <si>
    <t xml:space="preserve">03/26/2024 06:10:31</t>
  </si>
  <si>
    <t xml:space="preserve">STATE TAX RATE</t>
  </si>
  <si>
    <t xml:space="preserve">$R$9</t>
  </si>
  <si>
    <t xml:space="preserve">03/26/2024</t>
  </si>
  <si>
    <t xml:space="preserve">03/27/2024 06:12:46</t>
  </si>
  <si>
    <t xml:space="preserve">GEXA CREDIT ABOVE 1000 KWH</t>
  </si>
  <si>
    <t xml:space="preserve">03/27/2024</t>
  </si>
  <si>
    <t xml:space="preserve">03/28/2024 06:12:52</t>
  </si>
  <si>
    <t xml:space="preserve">CANCELLATION CHARGE</t>
  </si>
  <si>
    <t xml:space="preserve">03/28/2024</t>
  </si>
  <si>
    <t xml:space="preserve">03/29/2024 06:15:14</t>
  </si>
  <si>
    <t xml:space="preserve">MTD CHARGES</t>
  </si>
  <si>
    <t xml:space="preserve">03/29/2024</t>
  </si>
  <si>
    <t xml:space="preserve">03/30/2024 06:13:29</t>
  </si>
  <si>
    <t xml:space="preserve">MTD KWH</t>
  </si>
  <si>
    <t xml:space="preserve">03/30/2024</t>
  </si>
  <si>
    <t xml:space="preserve">03/31/2024 06:42:56</t>
  </si>
  <si>
    <t xml:space="preserve">MTD AVG DAILY KWH</t>
  </si>
  <si>
    <t xml:space="preserve">Least Daily Usage this Cycle</t>
  </si>
  <si>
    <t xml:space="preserve">Most Daily Usage this Cycle</t>
  </si>
  <si>
    <t xml:space="preserve">DATE 1000 KWH EXCEEDED</t>
  </si>
  <si>
    <t xml:space="preserve">DoM</t>
  </si>
  <si>
    <t xml:space="preserve">CYC DAY</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</si>
  <si>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</si>
  <si>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</si>
  <si>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</si>
  <si>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</si>
  <si>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</si>
  <si>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</si>
  <si>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</si>
  <si>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</si>
  <si>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</si>
  <si>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</si>
  <si>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</si>
  <si>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</si>
  <si>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Hit 1000 KWH each month</t>
  </si>
  <si>
    <t xml:space="preserve">HOURS TO BREAK</t>
  </si>
  <si>
    <t xml:space="preserve">OLD CONTRACT RATES ENDED 25 NOVEMBER 2023</t>
  </si>
  <si>
    <t xml:space="preserve">$X$7</t>
  </si>
  <si>
    <t xml:space="preserve">$X$8</t>
  </si>
  <si>
    <t xml:space="preserve">$S$9</t>
  </si>
  <si>
    <t xml:space="preserve">$W$9</t>
  </si>
  <si>
    <t xml:space="preserve">$S$10</t>
  </si>
  <si>
    <t xml:space="preserve">‹- NEW RATES</t>
  </si>
  <si>
    <t xml:space="preserve">New Plan Takes Effect 26 November 2023 with a term of 2 years expiring on 25 November 2025</t>
  </si>
  <si>
    <t xml:space="preserve">((KWH * Combined_Rate) + Oncor_Daily_Charge) *  1+State_Tax_rate </t>
  </si>
  <si>
    <t xml:space="preserve">&lt;--$S$6</t>
  </si>
  <si>
    <t xml:space="preserve">&lt;--$S$7</t>
  </si>
  <si>
    <t xml:space="preserve">&lt;--$S$8</t>
  </si>
  <si>
    <t xml:space="preserve">   </t>
  </si>
  <si>
    <t xml:space="preserve">5.0339  /KWH</t>
  </si>
  <si>
    <t xml:space="preserve">GEXA Prime Supreme Plus 24 - 2 year term  $0.11.4 /KWH</t>
  </si>
  <si>
    <t xml:space="preserve">
=IF($J2&lt;&gt;"",$J2*(LOOKUP(1E+307,$A:$A)-$A$2),"")</t>
  </si>
  <si>
    <t xml:space="preserve">AVERAGE DAILY KWH</t>
  </si>
  <si>
    <t xml:space="preserve">EXTRA KWH</t>
  </si>
  <si>
    <t xml:space="preserve">TUE</t>
  </si>
  <si>
    <t xml:space="preserve">WED</t>
  </si>
  <si>
    <t xml:space="preserve">THU</t>
  </si>
  <si>
    <t xml:space="preserve">FRI</t>
  </si>
  <si>
    <t xml:space="preserve">SAT</t>
  </si>
  <si>
    <t xml:space="preserve">SUN</t>
  </si>
  <si>
    <t xml:space="preserve">MON</t>
  </si>
  <si>
    <t xml:space="preserve">DAY OF MONTH FOR 1000 KWH</t>
  </si>
  <si>
    <t xml:space="preserve">NOT YET!</t>
  </si>
  <si>
    <t xml:space="preserve">Projected day to hit 1000 KWH</t>
  </si>
  <si>
    <t xml:space="preserve">'=IF($M5&lt;&gt;"",IF($M5&gt;1000,(($M5*$S$7)+($A5*$S$8))*(1+$R$9)-100,(($M5*$S$7)+($A5*$S$8))*(1+$R$9)),"")</t>
  </si>
  <si>
    <t xml:space="preserve">Projected Usage:  cumulative KWH plus avg KWH times remaining days</t>
  </si>
  <si>
    <t xml:space="preserve">C2: =IF(B2="", "", SUM($B$2:B2)))</t>
  </si>
  <si>
    <t xml:space="preserve">D3: =IF(B3="", "", INT(FORECAST(1000, $A$2:A3, $C$2:C3)))</t>
  </si>
  <si>
    <t xml:space="preserve">Copy C2 and D3 down their columns</t>
  </si>
  <si>
    <t xml:space="preserve">Format D3:D8 etc as some form of Date; otherwise, you will see an integer</t>
  </si>
  <si>
    <t xml:space="preserve">=IF(O3&gt;0,"NOT NOW",IF(O2&gt;0,D3,""))</t>
  </si>
  <si>
    <t xml:space="preserve">=IF($H20&lt;&gt;"",(($H20*$S$7)+($A20*$S$8))*(1+$R$9),"")</t>
  </si>
  <si>
    <t xml:space="preserve">($M2*$S$7)</t>
  </si>
  <si>
    <t xml:space="preserve">Base Charge</t>
  </si>
  <si>
    <t xml:space="preserve">($A2*$S$8)</t>
  </si>
  <si>
    <t xml:space="preserve">ONCOR Daily Charge</t>
  </si>
  <si>
    <t xml:space="preserve">(subtotal*(1+$R$9))</t>
  </si>
  <si>
    <t xml:space="preserve">Plus State Tax</t>
  </si>
  <si>
    <t xml:space="preserve">Post a reply</t>
  </si>
  <si>
    <r>
      <rPr>
        <sz val="11"/>
        <color theme="1"/>
        <rFont val="Calibri"/>
        <family val="2"/>
        <charset val="1"/>
      </rPr>
      <t xml:space="preserve">(</t>
    </r>
    <r>
      <rPr>
        <i val="true"/>
        <sz val="11"/>
        <color theme="1"/>
        <rFont val="Calibri"/>
        <family val="2"/>
        <charset val="1"/>
      </rPr>
      <t xml:space="preserve">subtotal</t>
    </r>
    <r>
      <rPr>
        <sz val="11"/>
        <color theme="1"/>
        <rFont val="Calibri"/>
        <family val="2"/>
        <charset val="1"/>
      </rPr>
      <t xml:space="preserve">*(1+$R$9))</t>
    </r>
  </si>
  <si>
    <t xml:space="preserve">AVG DAILY CHARGE</t>
  </si>
  <si>
    <t xml:space="preserve">((Rates x KWH)+DayChg)+(TAX)</t>
  </si>
  <si>
    <t xml:space="preserve"> </t>
  </si>
  <si>
    <t xml:space="preserve">=INDEX(L2:L32,COUNT(L2:L32))</t>
  </si>
  <si>
    <t xml:space="preserve">=IF(AND($M3&gt;0,$M3&lt;1000),($M3*$S$8*(1+$R$9)),($M3*$S$8*(1+$R$9))-100)</t>
  </si>
  <si>
    <t xml:space="preserve">ONCOR MONTHLY/DAILY CHARGE</t>
  </si>
  <si>
    <r>
      <rPr>
        <b val="true"/>
        <sz val="11"/>
        <color theme="1"/>
        <rFont val="Calibri"/>
        <family val="2"/>
        <charset val="1"/>
      </rPr>
      <t xml:space="preserve">AND</t>
    </r>
    <r>
      <rPr>
        <sz val="11"/>
        <color theme="1"/>
        <rFont val="Calibri"/>
        <family val="2"/>
        <charset val="1"/>
      </rPr>
      <t xml:space="preserve"> – =IF(AND(Something is True, Something else is True), Value if True, Value if False)</t>
    </r>
  </si>
  <si>
    <t xml:space="preserve">(($H27*$S$7)+$R$8)*(1+$R$9) = charges calculation</t>
  </si>
  <si>
    <t xml:space="preserve">PROJECTED MONTHLY CHARGE</t>
  </si>
  <si>
    <t xml:space="preserve">MTD MAX KWH</t>
  </si>
  <si>
    <t xml:space="preserve">MTD MIN KWH</t>
  </si>
  <si>
    <t xml:space="preserve">AVG KWH</t>
  </si>
  <si>
    <t xml:space="preserve">=IF(AND($M24&gt;0,$M24&lt;1000),($M24*$S$8*(1+$R$9)),($M24*$S$8*(1+$R$9))-100)</t>
  </si>
  <si>
    <t xml:space="preserve">AND – =IF(AND(Something is True, Something else is True), Value if True, Value if False)</t>
  </si>
  <si>
    <t xml:space="preserve">)</t>
  </si>
  <si>
    <t xml:space="preserve">TO GO FOR CREDIT</t>
  </si>
  <si>
    <t xml:space="preserve">=@INDEX(J2:J32,COUNT(J2:J32))</t>
  </si>
  <si>
    <t xml:space="preserve">[gexa rate + ONCOR rate  + PUC rate ] x usage] + [ONCOR daily charge]  = CHARGES + [STATE TAX on CHARGES] = BILL AMOUNT</t>
  </si>
  <si>
    <t xml:space="preserve">"=IF($M2&lt;&gt;"",IF($I2&gt;1000,((RATES*$M2)+TDU)*1+TAX-(CREDIT),(RATES*$M3)+TDU)*1+TAX,"")</t>
  </si>
  <si>
    <t xml:space="preserve">ONCOR CHARGE: MO./DAILY</t>
  </si>
  <si>
    <t xml:space="preserve">STATE TAX RATE % ON CHARGES</t>
  </si>
  <si>
    <t xml:space="preserve">MTD MAX</t>
  </si>
  <si>
    <t xml:space="preserve">MTD MIN</t>
  </si>
  <si>
    <t xml:space="preserve">USAGE DATE</t>
  </si>
  <si>
    <t xml:space="preserve">REVISION DATE</t>
  </si>
  <si>
    <t xml:space="preserve">MTD AVG</t>
  </si>
  <si>
    <t xml:space="preserve">MOVING AVERAGE</t>
  </si>
  <si>
    <t xml:space="preserve">DAILY CHARGES</t>
  </si>
  <si>
    <t xml:space="preserve">CUM CHARGES</t>
  </si>
  <si>
    <t xml:space="preserve">PROJ CHARGES</t>
  </si>
  <si>
    <t xml:space="preserve">AVG DAILY KWH</t>
  </si>
  <si>
    <t xml:space="preserve">TOTAL KWH</t>
  </si>
  <si>
    <t xml:space="preserve">MIN KWH</t>
  </si>
  <si>
    <t xml:space="preserve">MAX KWH</t>
  </si>
  <si>
    <t xml:space="preserve">MONTHLY COST</t>
  </si>
  <si>
    <t xml:space="preserve">AVERAGE DAILY COST</t>
  </si>
  <si>
    <t xml:space="preserve">DAYS TO 1000</t>
  </si>
  <si>
    <t xml:space="preserve">JANUARY</t>
  </si>
  <si>
    <t xml:space="preserve">FEBRUARY</t>
  </si>
  <si>
    <t xml:space="preserve">MARCH</t>
  </si>
  <si>
    <t xml:space="preserve">APRIL</t>
  </si>
  <si>
    <t xml:space="preserve">JUNE</t>
  </si>
  <si>
    <t xml:space="preserve">JULY</t>
  </si>
  <si>
    <t xml:space="preserve">AUGUST</t>
  </si>
  <si>
    <t xml:space="preserve">SEPTEMBER</t>
  </si>
  <si>
    <t xml:space="preserve">OCTOBER</t>
  </si>
  <si>
    <t xml:space="preserve">NOVEMBER</t>
  </si>
  <si>
    <t xml:space="preserve">DECEMBER</t>
  </si>
  <si>
    <t xml:space="preserve">TOTALS</t>
  </si>
  <si>
    <t xml:space="preserve">Sat</t>
  </si>
</sst>
</file>

<file path=xl/styles.xml><?xml version="1.0" encoding="utf-8"?>
<styleSheet xmlns="http://schemas.openxmlformats.org/spreadsheetml/2006/main">
  <numFmts count="16">
    <numFmt numFmtId="164" formatCode="General"/>
    <numFmt numFmtId="165" formatCode="mm/dd/yy;@"/>
    <numFmt numFmtId="166" formatCode="0.00"/>
    <numFmt numFmtId="167" formatCode="0.000"/>
    <numFmt numFmtId="168" formatCode="0.0000000"/>
    <numFmt numFmtId="169" formatCode="_(* #,##0.00_);_(* \(#,##0.00\);_(* \-??_);_(@_)"/>
    <numFmt numFmtId="170" formatCode="@"/>
    <numFmt numFmtId="171" formatCode="\$#,##0.00"/>
    <numFmt numFmtId="172" formatCode="m/d/yyyy"/>
    <numFmt numFmtId="173" formatCode="m/d/yyyy\ h:mm"/>
    <numFmt numFmtId="174" formatCode="General"/>
    <numFmt numFmtId="175" formatCode="0.0"/>
    <numFmt numFmtId="176" formatCode="0.0000"/>
    <numFmt numFmtId="177" formatCode="\$#,##0"/>
    <numFmt numFmtId="178" formatCode="0"/>
    <numFmt numFmtId="179" formatCode="\$#,##0.0000000"/>
  </numFmts>
  <fonts count="37">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
      <b val="true"/>
      <sz val="11"/>
      <color theme="9" tint="-0.25"/>
      <name val="Calibri"/>
      <family val="2"/>
      <charset val="1"/>
    </font>
    <font>
      <i val="true"/>
      <sz val="11"/>
      <color theme="9" tint="-0.25"/>
      <name val="Calibri"/>
      <family val="2"/>
      <charset val="1"/>
    </font>
    <font>
      <sz val="11"/>
      <color rgb="FF9C0006"/>
      <name val="Calibri"/>
      <family val="2"/>
      <charset val="1"/>
    </font>
    <font>
      <b val="true"/>
      <sz val="11"/>
      <color rgb="FFFF0000"/>
      <name val="Calibri"/>
      <family val="2"/>
      <charset val="1"/>
    </font>
    <font>
      <sz val="11"/>
      <color theme="9"/>
      <name val="Calibri"/>
      <family val="2"/>
      <charset val="1"/>
    </font>
    <font>
      <sz val="11"/>
      <color theme="9" tint="-0.25"/>
      <name val="Calibri"/>
      <family val="2"/>
      <charset val="1"/>
    </font>
    <font>
      <b val="true"/>
      <sz val="20"/>
      <color theme="9" tint="-0.25"/>
      <name val="Calibri"/>
      <family val="2"/>
      <charset val="1"/>
    </font>
    <font>
      <b val="true"/>
      <sz val="20"/>
      <color rgb="FFFF0000"/>
      <name val="Calibri"/>
      <family val="2"/>
      <charset val="1"/>
    </font>
    <font>
      <b val="true"/>
      <sz val="11"/>
      <color rgb="FFC00000"/>
      <name val="Calibri"/>
      <family val="2"/>
      <charset val="1"/>
    </font>
    <font>
      <b val="true"/>
      <sz val="11"/>
      <color rgb="FF9C0006"/>
      <name val="Calibri"/>
      <family val="2"/>
      <charset val="1"/>
    </font>
    <font>
      <sz val="10"/>
      <color theme="1"/>
      <name val="Calibri"/>
      <family val="2"/>
      <charset val="1"/>
    </font>
    <font>
      <b val="true"/>
      <sz val="10"/>
      <color theme="1"/>
      <name val="Calibri"/>
      <family val="2"/>
      <charset val="1"/>
    </font>
    <font>
      <sz val="12.1"/>
      <color theme="1"/>
      <name val="Courier New"/>
      <family val="0"/>
      <charset val="1"/>
    </font>
    <font>
      <u val="single"/>
      <sz val="11"/>
      <color theme="10"/>
      <name val="Calibri"/>
      <family val="2"/>
      <charset val="1"/>
    </font>
    <font>
      <sz val="10"/>
      <name val="Arial"/>
      <family val="2"/>
    </font>
    <font>
      <sz val="9"/>
      <color rgb="FF000000"/>
      <name val="Tahoma"/>
      <family val="2"/>
      <charset val="1"/>
    </font>
    <font>
      <i val="true"/>
      <sz val="11"/>
      <color theme="1"/>
      <name val="Calibri"/>
      <family val="2"/>
      <charset val="1"/>
    </font>
    <font>
      <b val="true"/>
      <sz val="11"/>
      <color theme="0"/>
      <name val="Calibri"/>
      <family val="2"/>
      <charset val="1"/>
    </font>
    <font>
      <b val="true"/>
      <sz val="20"/>
      <color rgb="FF595959"/>
      <name val="Calibri Light"/>
      <family val="2"/>
    </font>
    <font>
      <b val="true"/>
      <i val="true"/>
      <u val="single"/>
      <sz val="20"/>
      <color rgb="FF595959"/>
      <name val="Calibri Light"/>
      <family val="2"/>
    </font>
    <font>
      <b val="true"/>
      <i val="true"/>
      <sz val="20"/>
      <color rgb="FF595959"/>
      <name val="Calibri Light"/>
      <family val="2"/>
    </font>
    <font>
      <sz val="10"/>
      <color rgb="FF000000"/>
      <name val="Calibri"/>
      <family val="2"/>
    </font>
    <font>
      <sz val="9"/>
      <color rgb="FF595959"/>
      <name val="Calibri"/>
      <family val="2"/>
    </font>
    <font>
      <sz val="11"/>
      <color theme="9" tint="-0.5"/>
      <name val="Calibri"/>
      <family val="2"/>
      <charset val="1"/>
    </font>
    <font>
      <b val="true"/>
      <i val="true"/>
      <sz val="11"/>
      <color theme="9" tint="-0.25"/>
      <name val="Calibri"/>
      <family val="2"/>
      <charset val="1"/>
    </font>
    <font>
      <b val="true"/>
      <sz val="12"/>
      <color rgb="FF595959"/>
      <name val="Calibri"/>
      <family val="2"/>
    </font>
    <font>
      <b val="true"/>
      <sz val="14"/>
      <color rgb="FF595959"/>
      <name val="Calibri"/>
      <family val="2"/>
    </font>
    <font>
      <b val="true"/>
      <i val="true"/>
      <sz val="11"/>
      <color theme="9" tint="-0.5"/>
      <name val="Calibri"/>
      <family val="2"/>
      <charset val="1"/>
    </font>
    <font>
      <b val="true"/>
      <sz val="14"/>
      <color rgb="FF548235"/>
      <name val="Calibri"/>
      <family val="2"/>
    </font>
    <font>
      <b val="true"/>
      <sz val="18"/>
      <color rgb="FF595959"/>
      <name val="Calibri"/>
      <family val="2"/>
    </font>
    <font>
      <b val="true"/>
      <sz val="12"/>
      <color rgb="FF0070C0"/>
      <name val="Calibri"/>
      <family val="2"/>
    </font>
    <font>
      <b val="true"/>
      <sz val="12"/>
      <color rgb="FF00B050"/>
      <name val="Calibri"/>
      <family val="2"/>
    </font>
  </fonts>
  <fills count="15">
    <fill>
      <patternFill patternType="none"/>
    </fill>
    <fill>
      <patternFill patternType="gray125"/>
    </fill>
    <fill>
      <patternFill patternType="solid">
        <fgColor rgb="FFFFC7CE"/>
        <bgColor rgb="FFFBE5D6"/>
      </patternFill>
    </fill>
    <fill>
      <patternFill patternType="solid">
        <fgColor theme="7" tint="0.7999"/>
        <bgColor rgb="FFFBE5D6"/>
      </patternFill>
    </fill>
    <fill>
      <patternFill patternType="solid">
        <fgColor theme="9" tint="0.5999"/>
        <bgColor rgb="FFD9D9D9"/>
      </patternFill>
    </fill>
    <fill>
      <patternFill patternType="solid">
        <fgColor theme="7" tint="0.3999"/>
        <bgColor rgb="FFFFC7CE"/>
      </patternFill>
    </fill>
    <fill>
      <patternFill patternType="solid">
        <fgColor theme="5" tint="0.7999"/>
        <bgColor rgb="FFFFF2CC"/>
      </patternFill>
    </fill>
    <fill>
      <patternFill patternType="solid">
        <fgColor theme="4" tint="0.7999"/>
        <bgColor rgb="FFD9D9D9"/>
      </patternFill>
    </fill>
    <fill>
      <patternFill patternType="solid">
        <fgColor theme="0" tint="-0.05"/>
        <bgColor rgb="FFFFFFFF"/>
      </patternFill>
    </fill>
    <fill>
      <patternFill patternType="solid">
        <fgColor theme="8" tint="0.5999"/>
        <bgColor rgb="FFD9D9D9"/>
      </patternFill>
    </fill>
    <fill>
      <patternFill patternType="solid">
        <fgColor rgb="FFFF0000"/>
        <bgColor rgb="FFC00000"/>
      </patternFill>
    </fill>
    <fill>
      <patternFill patternType="solid">
        <fgColor theme="6" tint="0.3999"/>
        <bgColor rgb="FFD9D9D9"/>
      </patternFill>
    </fill>
    <fill>
      <patternFill patternType="solid">
        <fgColor rgb="FFFF7C80"/>
        <bgColor rgb="FFED7D31"/>
      </patternFill>
    </fill>
    <fill>
      <patternFill patternType="solid">
        <fgColor theme="0"/>
        <bgColor rgb="FFF2F2F2"/>
      </patternFill>
    </fill>
    <fill>
      <patternFill patternType="solid">
        <fgColor theme="0" tint="-0.35"/>
        <bgColor rgb="FFA5A5A5"/>
      </patternFill>
    </fill>
  </fills>
  <borders count="31">
    <border diagonalUp="false" diagonalDown="false">
      <left/>
      <right/>
      <top/>
      <bottom/>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true" diagonalDown="true">
      <left/>
      <right/>
      <top/>
      <bottom/>
      <diagonal style="thin"/>
    </border>
    <border diagonalUp="false" diagonalDown="false">
      <left/>
      <right style="thick"/>
      <top style="mediumDashDot"/>
      <bottom style="mediumDashDot"/>
      <diagonal/>
    </border>
    <border diagonalUp="true" diagonalDown="true">
      <left/>
      <right style="thick"/>
      <top/>
      <bottom/>
      <diagonal style="thin"/>
    </border>
    <border diagonalUp="false" diagonalDown="false">
      <left style="thick">
        <color rgb="FFFF0000"/>
      </left>
      <right style="thick">
        <color rgb="FFFF0000"/>
      </right>
      <top style="thick">
        <color rgb="FFFF0000"/>
      </top>
      <bottom/>
      <diagonal/>
    </border>
    <border diagonalUp="false" diagonalDown="false">
      <left style="thick">
        <color rgb="FFFF0000"/>
      </left>
      <right style="thick">
        <color rgb="FFFF0000"/>
      </right>
      <top/>
      <bottom/>
      <diagonal/>
    </border>
    <border diagonalUp="false" diagonalDown="false">
      <left style="thick">
        <color rgb="FFFF0000"/>
      </left>
      <right style="thick">
        <color rgb="FFFF0000"/>
      </right>
      <top/>
      <bottom style="thick">
        <color rgb="FFFF0000"/>
      </bottom>
      <diagonal/>
    </border>
    <border diagonalUp="false" diagonalDown="false">
      <left style="thick"/>
      <right/>
      <top/>
      <bottom style="thick"/>
      <diagonal/>
    </border>
    <border diagonalUp="false" diagonalDown="false">
      <left/>
      <right/>
      <top/>
      <bottom style="thick"/>
      <diagonal/>
    </border>
    <border diagonalUp="false" diagonalDown="false">
      <left/>
      <right style="thick"/>
      <top/>
      <bottom style="thick"/>
      <diagonal/>
    </border>
    <border diagonalUp="false" diagonalDown="false">
      <left style="thick">
        <color rgb="FFFF0000"/>
      </left>
      <right/>
      <top style="thick">
        <color rgb="FFFF0000"/>
      </top>
      <bottom style="thick">
        <color rgb="FFFF0000"/>
      </bottom>
      <diagonal/>
    </border>
    <border diagonalUp="false" diagonalDown="false">
      <left/>
      <right/>
      <top style="thick">
        <color rgb="FFFF0000"/>
      </top>
      <bottom style="thick">
        <color rgb="FFFF0000"/>
      </bottom>
      <diagonal/>
    </border>
    <border diagonalUp="false" diagonalDown="false">
      <left/>
      <right style="thick">
        <color rgb="FFFF0000"/>
      </right>
      <top style="thick">
        <color rgb="FFFF0000"/>
      </top>
      <bottom style="thick">
        <color rgb="FFFF0000"/>
      </bottom>
      <diagonal/>
    </border>
    <border diagonalUp="false" diagonalDown="false">
      <left style="thick"/>
      <right style="thick"/>
      <top style="thick"/>
      <bottom style="thick"/>
      <diagonal/>
    </border>
    <border diagonalUp="false" diagonalDown="false">
      <left style="mediumDashDot"/>
      <right style="thick"/>
      <top style="mediumDashDot"/>
      <bottom style="mediumDashDot"/>
      <diagonal/>
    </border>
    <border diagonalUp="false" diagonalDown="false">
      <left style="thick">
        <color rgb="FF92D050"/>
      </left>
      <right style="thick">
        <color rgb="FF92D050"/>
      </right>
      <top style="thick">
        <color rgb="FF92D050"/>
      </top>
      <bottom style="thick">
        <color rgb="FF92D050"/>
      </bottom>
      <diagonal/>
    </border>
    <border diagonalUp="false" diagonalDown="false">
      <left style="medium"/>
      <right style="medium"/>
      <top style="medium"/>
      <bottom style="medium"/>
      <diagonal/>
    </border>
    <border diagonalUp="false" diagonalDown="false">
      <left/>
      <right/>
      <top style="medium"/>
      <bottom/>
      <diagonal/>
    </border>
    <border diagonalUp="false" diagonalDown="false">
      <left style="thick">
        <color rgb="FFFF0000"/>
      </left>
      <right style="thick">
        <color rgb="FFFF0000"/>
      </right>
      <top/>
      <bottom style="thick"/>
      <diagonal/>
    </border>
    <border diagonalUp="true" diagonalDown="true">
      <left/>
      <right style="thick"/>
      <top/>
      <bottom style="thick"/>
      <diagonal style="thin"/>
    </border>
    <border diagonalUp="false" diagonalDown="false">
      <left style="thick">
        <color rgb="FFFF0000"/>
      </left>
      <right style="thick"/>
      <top style="thick">
        <color rgb="FFFF0000"/>
      </top>
      <bottom style="thick">
        <color rgb="FFFF0000"/>
      </bottom>
      <diagonal/>
    </border>
    <border diagonalUp="false" diagonalDown="false">
      <left style="mediumDashDot"/>
      <right style="thick"/>
      <top/>
      <bottom style="mediumDashDot"/>
      <diagonal/>
    </border>
    <border diagonalUp="false" diagonalDown="false">
      <left style="double"/>
      <right style="double"/>
      <top style="double"/>
      <bottom style="double"/>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true" applyProtection="false">
      <alignment horizontal="general" vertical="bottom" textRotation="0" wrapText="false" indent="0" shrinkToFit="false"/>
    </xf>
    <xf numFmtId="164" fontId="7" fillId="2" borderId="0" applyFont="true" applyBorder="false" applyAlignment="true" applyProtection="false">
      <alignment horizontal="general" vertical="bottom" textRotation="0" wrapText="false" indent="0" shrinkToFit="false"/>
    </xf>
  </cellStyleXfs>
  <cellXfs count="22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7" fontId="4" fillId="0" borderId="1" xfId="0" applyFont="true" applyBorder="true" applyAlignment="true" applyProtection="false">
      <alignment horizontal="center" vertical="center" textRotation="0" wrapText="true" indent="0" shrinkToFit="false"/>
      <protection locked="true" hidden="false"/>
    </xf>
    <xf numFmtId="167" fontId="4" fillId="0" borderId="2" xfId="0" applyFont="true" applyBorder="true" applyAlignment="true" applyProtection="false">
      <alignment horizontal="center" vertical="center" textRotation="0" wrapText="true" indent="0" shrinkToFit="false"/>
      <protection locked="true" hidden="false"/>
    </xf>
    <xf numFmtId="165" fontId="4" fillId="0" borderId="2" xfId="0" applyFont="true" applyBorder="true" applyAlignment="true" applyProtection="false">
      <alignment horizontal="center" vertical="center" textRotation="0" wrapText="true" indent="0" shrinkToFit="false"/>
      <protection locked="true" hidden="false"/>
    </xf>
    <xf numFmtId="166" fontId="4" fillId="0" borderId="2" xfId="0" applyFont="true" applyBorder="true" applyAlignment="true" applyProtection="false">
      <alignment horizontal="center" vertical="center" textRotation="0" wrapText="true" indent="0" shrinkToFit="false"/>
      <protection locked="true" hidden="false"/>
    </xf>
    <xf numFmtId="166" fontId="4" fillId="0" borderId="3" xfId="0" applyFont="true" applyBorder="true" applyAlignment="true" applyProtection="false">
      <alignment horizontal="center" vertical="center"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0" fillId="3" borderId="0" xfId="0" applyFont="false" applyBorder="false" applyAlignment="false" applyProtection="false">
      <alignment horizontal="general" vertical="bottom" textRotation="0" wrapText="false" indent="0" shrinkToFit="false"/>
      <protection locked="true" hidden="false"/>
    </xf>
    <xf numFmtId="166" fontId="0" fillId="3" borderId="0" xfId="0" applyFont="false" applyBorder="false" applyAlignment="true" applyProtection="false">
      <alignment horizontal="center" vertical="bottom" textRotation="0" wrapText="false" indent="0" shrinkToFit="false"/>
      <protection locked="true" hidden="false"/>
    </xf>
    <xf numFmtId="166" fontId="0" fillId="4" borderId="0" xfId="15" applyFont="true" applyBorder="true" applyAlignment="true" applyProtection="true">
      <alignment horizontal="general" vertical="bottom" textRotation="0" wrapText="false" indent="0" shrinkToFit="false"/>
      <protection locked="true" hidden="false"/>
    </xf>
    <xf numFmtId="166" fontId="0" fillId="4" borderId="0" xfId="0" applyFont="false" applyBorder="false" applyAlignment="false" applyProtection="false">
      <alignment horizontal="general" vertical="bottom" textRotation="0" wrapText="false" indent="0" shrinkToFit="false"/>
      <protection locked="true" hidden="false"/>
    </xf>
    <xf numFmtId="166" fontId="0" fillId="5" borderId="0" xfId="0" applyFont="false" applyBorder="false" applyAlignment="false" applyProtection="false">
      <alignment horizontal="general" vertical="bottom" textRotation="0" wrapText="false" indent="0" shrinkToFit="false"/>
      <protection locked="true" hidden="false"/>
    </xf>
    <xf numFmtId="166" fontId="0" fillId="6" borderId="0" xfId="0" applyFont="false" applyBorder="false" applyAlignment="false" applyProtection="false">
      <alignment horizontal="general" vertical="bottom" textRotation="0" wrapText="false" indent="0" shrinkToFit="false"/>
      <protection locked="true" hidden="false"/>
    </xf>
    <xf numFmtId="164" fontId="4" fillId="7" borderId="4" xfId="0" applyFont="true" applyBorder="true" applyAlignment="false" applyProtection="false">
      <alignment horizontal="general" vertical="bottom" textRotation="0" wrapText="false" indent="0" shrinkToFit="false"/>
      <protection locked="true" hidden="false"/>
    </xf>
    <xf numFmtId="170" fontId="6" fillId="8" borderId="5" xfId="0" applyFont="true" applyBorder="true" applyAlignment="false" applyProtection="false">
      <alignment horizontal="general" vertical="bottom" textRotation="0" wrapText="false" indent="0" shrinkToFit="false"/>
      <protection locked="true" hidden="false"/>
    </xf>
    <xf numFmtId="164" fontId="0" fillId="8" borderId="6" xfId="0" applyFont="false" applyBorder="true" applyAlignment="false" applyProtection="false">
      <alignment horizontal="general" vertical="bottom" textRotation="0" wrapText="false" indent="0" shrinkToFit="false"/>
      <protection locked="true" hidden="false"/>
    </xf>
    <xf numFmtId="164" fontId="4" fillId="7" borderId="7" xfId="0" applyFont="true" applyBorder="true" applyAlignment="false" applyProtection="false">
      <alignment horizontal="general" vertical="bottom" textRotation="0" wrapText="false" indent="0" shrinkToFit="false"/>
      <protection locked="true" hidden="false"/>
    </xf>
    <xf numFmtId="166" fontId="0" fillId="8" borderId="0" xfId="0" applyFont="false" applyBorder="false" applyAlignment="false" applyProtection="false">
      <alignment horizontal="general" vertical="bottom" textRotation="0" wrapText="false" indent="0" shrinkToFit="false"/>
      <protection locked="true" hidden="false"/>
    </xf>
    <xf numFmtId="164" fontId="0" fillId="8" borderId="8" xfId="0" applyFont="false" applyBorder="true" applyAlignment="false" applyProtection="false">
      <alignment horizontal="general" vertical="bottom" textRotation="0" wrapText="false" indent="0" shrinkToFit="false"/>
      <protection locked="true" hidden="false"/>
    </xf>
    <xf numFmtId="164" fontId="0" fillId="8" borderId="9" xfId="0" applyFont="false" applyBorder="true" applyAlignment="false" applyProtection="false">
      <alignment horizontal="general" vertical="bottom" textRotation="0" wrapText="false" indent="0" shrinkToFit="false"/>
      <protection locked="true" hidden="false"/>
    </xf>
    <xf numFmtId="168" fontId="0" fillId="8" borderId="8" xfId="0" applyFont="fals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8" fontId="7" fillId="8" borderId="8" xfId="21"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8" fontId="7" fillId="8" borderId="10" xfId="21" applyFont="true" applyBorder="true" applyAlignment="true" applyProtection="true">
      <alignment horizontal="general" vertical="bottom" textRotation="0" wrapText="false" indent="0" shrinkToFit="false"/>
      <protection locked="true" hidden="false"/>
    </xf>
    <xf numFmtId="164" fontId="0" fillId="8" borderId="11" xfId="0" applyFont="false" applyBorder="true" applyAlignment="false" applyProtection="false">
      <alignment horizontal="general" vertical="bottom" textRotation="0" wrapText="false" indent="0" shrinkToFit="false"/>
      <protection locked="true" hidden="false"/>
    </xf>
    <xf numFmtId="171" fontId="0" fillId="8"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6" fontId="7" fillId="8" borderId="12" xfId="21"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7" fillId="8" borderId="13" xfId="21" applyFont="true" applyBorder="true" applyAlignment="true" applyProtection="true">
      <alignment horizontal="general" vertical="bottom" textRotation="0" wrapText="false" indent="0" shrinkToFit="false"/>
      <protection locked="true" hidden="false"/>
    </xf>
    <xf numFmtId="164" fontId="0" fillId="8" borderId="13" xfId="0" applyFont="false" applyBorder="true" applyAlignment="false" applyProtection="false">
      <alignment horizontal="general" vertical="bottom" textRotation="0" wrapText="false" indent="0" shrinkToFit="false"/>
      <protection locked="true" hidden="false"/>
    </xf>
    <xf numFmtId="165" fontId="7" fillId="8" borderId="14" xfId="21" applyFont="true" applyBorder="true" applyAlignment="true" applyProtection="true">
      <alignment horizontal="general" vertical="bottom" textRotation="0" wrapText="false" indent="0" shrinkToFit="false"/>
      <protection locked="true" hidden="false"/>
    </xf>
    <xf numFmtId="164" fontId="4" fillId="7" borderId="15" xfId="0" applyFont="true" applyBorder="true" applyAlignment="false" applyProtection="false">
      <alignment horizontal="general" vertical="bottom" textRotation="0" wrapText="false" indent="0" shrinkToFit="false"/>
      <protection locked="true" hidden="false"/>
    </xf>
    <xf numFmtId="164" fontId="0" fillId="8" borderId="16" xfId="0" applyFont="false" applyBorder="true" applyAlignment="false" applyProtection="false">
      <alignment horizontal="general" vertical="bottom" textRotation="0" wrapText="false" indent="0" shrinkToFit="false"/>
      <protection locked="true" hidden="false"/>
    </xf>
    <xf numFmtId="164" fontId="0" fillId="8" borderId="17"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72" fontId="10" fillId="0" borderId="0" xfId="0" applyFont="true" applyBorder="false" applyAlignment="false" applyProtection="false">
      <alignment horizontal="general" vertical="bottom" textRotation="0" wrapText="false" indent="0" shrinkToFit="false"/>
      <protection locked="true" hidden="false"/>
    </xf>
    <xf numFmtId="164" fontId="0" fillId="3" borderId="18" xfId="0" applyFont="false" applyBorder="true" applyAlignment="true" applyProtection="false">
      <alignment horizontal="center" vertical="bottom" textRotation="0" wrapText="false" indent="0" shrinkToFit="false"/>
      <protection locked="true" hidden="false"/>
    </xf>
    <xf numFmtId="174" fontId="0" fillId="3" borderId="19" xfId="0" applyFont="false" applyBorder="true" applyAlignment="true" applyProtection="false">
      <alignment horizontal="center" vertical="bottom" textRotation="0" wrapText="false" indent="0" shrinkToFit="false"/>
      <protection locked="true" hidden="false"/>
    </xf>
    <xf numFmtId="172" fontId="0" fillId="0" borderId="19" xfId="0" applyFont="false" applyBorder="true" applyAlignment="false" applyProtection="false">
      <alignment horizontal="general" vertical="bottom" textRotation="0" wrapText="false" indent="0" shrinkToFit="false"/>
      <protection locked="true" hidden="false"/>
    </xf>
    <xf numFmtId="166" fontId="0" fillId="0" borderId="19" xfId="0" applyFont="false" applyBorder="true" applyAlignment="false" applyProtection="false">
      <alignment horizontal="general" vertical="bottom" textRotation="0" wrapText="false" indent="0" shrinkToFit="false"/>
      <protection locked="true" hidden="false"/>
    </xf>
    <xf numFmtId="166" fontId="0" fillId="0" borderId="19" xfId="0" applyFont="false" applyBorder="true" applyAlignment="true" applyProtection="false">
      <alignment horizontal="center" vertical="bottom" textRotation="0" wrapText="false" indent="0" shrinkToFit="false"/>
      <protection locked="true" hidden="false"/>
    </xf>
    <xf numFmtId="166" fontId="0" fillId="3" borderId="19" xfId="0" applyFont="false" applyBorder="true" applyAlignment="false" applyProtection="false">
      <alignment horizontal="general" vertical="bottom" textRotation="0" wrapText="false" indent="0" shrinkToFit="false"/>
      <protection locked="true" hidden="false"/>
    </xf>
    <xf numFmtId="166" fontId="0" fillId="3" borderId="19" xfId="0" applyFont="false" applyBorder="true" applyAlignment="true" applyProtection="false">
      <alignment horizontal="center" vertical="bottom" textRotation="0" wrapText="false" indent="0" shrinkToFit="false"/>
      <protection locked="true" hidden="false"/>
    </xf>
    <xf numFmtId="166" fontId="0" fillId="4" borderId="19" xfId="15" applyFont="true" applyBorder="true" applyAlignment="true" applyProtection="true">
      <alignment horizontal="general" vertical="bottom" textRotation="0" wrapText="false" indent="0" shrinkToFit="false"/>
      <protection locked="true" hidden="false"/>
    </xf>
    <xf numFmtId="166" fontId="0" fillId="4" borderId="19" xfId="0" applyFont="false" applyBorder="true" applyAlignment="false" applyProtection="false">
      <alignment horizontal="general" vertical="bottom" textRotation="0" wrapText="false" indent="0" shrinkToFit="false"/>
      <protection locked="true" hidden="false"/>
    </xf>
    <xf numFmtId="166" fontId="0" fillId="5" borderId="19" xfId="0" applyFont="false" applyBorder="true" applyAlignment="false" applyProtection="false">
      <alignment horizontal="general" vertical="bottom" textRotation="0" wrapText="false" indent="0" shrinkToFit="false"/>
      <protection locked="true" hidden="false"/>
    </xf>
    <xf numFmtId="166" fontId="0" fillId="6" borderId="20" xfId="0" applyFont="false" applyBorder="true" applyAlignment="false" applyProtection="false">
      <alignment horizontal="general" vertical="bottom" textRotation="0" wrapText="false" indent="0" shrinkToFit="false"/>
      <protection locked="true" hidden="false"/>
    </xf>
    <xf numFmtId="164" fontId="0" fillId="8" borderId="14" xfId="0" applyFont="false" applyBorder="true" applyAlignment="false" applyProtection="false">
      <alignment horizontal="general" vertical="bottom" textRotation="0" wrapText="false" indent="0" shrinkToFit="false"/>
      <protection locked="true" hidden="false"/>
    </xf>
    <xf numFmtId="166" fontId="0" fillId="3" borderId="2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8" fontId="7" fillId="8" borderId="22" xfId="21" applyFont="true" applyBorder="true" applyAlignment="true" applyProtection="true">
      <alignment horizontal="general" vertical="bottom" textRotation="0" wrapText="false" indent="0" shrinkToFit="false"/>
      <protection locked="true" hidden="false"/>
    </xf>
    <xf numFmtId="166" fontId="0" fillId="3" borderId="23" xfId="0" applyFont="false" applyBorder="true" applyAlignment="false" applyProtection="false">
      <alignment horizontal="general" vertical="bottom" textRotation="0" wrapText="false" indent="0" shrinkToFit="false"/>
      <protection locked="true" hidden="false"/>
    </xf>
    <xf numFmtId="166" fontId="0" fillId="3" borderId="24" xfId="0" applyFont="false" applyBorder="true" applyAlignment="false" applyProtection="false">
      <alignment horizontal="general" vertical="bottom" textRotation="0" wrapText="false" indent="0" shrinkToFit="false"/>
      <protection locked="true" hidden="false"/>
    </xf>
    <xf numFmtId="166" fontId="0" fillId="3" borderId="25" xfId="0" applyFont="fals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75" fontId="4" fillId="0" borderId="0" xfId="0" applyFont="true" applyBorder="false" applyAlignment="true" applyProtection="false">
      <alignment horizontal="center" vertical="center" textRotation="0" wrapText="false" indent="0" shrinkToFit="false"/>
      <protection locked="true" hidden="false"/>
    </xf>
    <xf numFmtId="176" fontId="4" fillId="0" borderId="0" xfId="0" applyFont="true" applyBorder="false" applyAlignment="true" applyProtection="false">
      <alignment horizontal="center" vertical="center"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7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77" fontId="4" fillId="0" borderId="0" xfId="0" applyFont="true" applyBorder="false" applyAlignment="true" applyProtection="false">
      <alignment horizontal="center" vertical="bottom" textRotation="0" wrapText="false" indent="0" shrinkToFit="false"/>
      <protection locked="true" hidden="false"/>
    </xf>
    <xf numFmtId="178" fontId="11" fillId="0" borderId="0" xfId="0" applyFont="true" applyBorder="false" applyAlignment="false" applyProtection="false">
      <alignment horizontal="general" vertical="bottom" textRotation="0" wrapText="false" indent="0" shrinkToFit="false"/>
      <protection locked="true" hidden="false"/>
    </xf>
    <xf numFmtId="175" fontId="12" fillId="0" borderId="0" xfId="0" applyFont="true" applyBorder="false" applyAlignment="false" applyProtection="false">
      <alignment horizontal="general" vertical="bottom" textRotation="0" wrapText="false" indent="0" shrinkToFit="false"/>
      <protection locked="true" hidden="false"/>
    </xf>
    <xf numFmtId="175"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76" fontId="8" fillId="0" borderId="0" xfId="0" applyFont="true" applyBorder="fals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6" fontId="4" fillId="0" borderId="2" xfId="0" applyFont="true" applyBorder="true" applyAlignment="true" applyProtection="false">
      <alignment horizontal="center" vertical="bottom" textRotation="0" wrapText="true" indent="0" shrinkToFit="false"/>
      <protection locked="true" hidden="false"/>
    </xf>
    <xf numFmtId="164" fontId="0" fillId="3" borderId="0" xfId="0" applyFont="false" applyBorder="false" applyAlignment="true" applyProtection="false">
      <alignment horizontal="center" vertical="center" textRotation="0" wrapText="false" indent="0" shrinkToFit="false"/>
      <protection locked="true" hidden="false"/>
    </xf>
    <xf numFmtId="166" fontId="0" fillId="3" borderId="0" xfId="0" applyFont="false" applyBorder="false" applyAlignment="true" applyProtection="false">
      <alignment horizontal="general" vertical="center" textRotation="0" wrapText="false" indent="0" shrinkToFit="false"/>
      <protection locked="true" hidden="false"/>
    </xf>
    <xf numFmtId="166" fontId="0" fillId="4" borderId="0" xfId="15" applyFont="true" applyBorder="true" applyAlignment="true" applyProtection="true">
      <alignment horizontal="general" vertical="center" textRotation="0" wrapText="false" indent="0" shrinkToFit="false"/>
      <protection locked="true" hidden="false"/>
    </xf>
    <xf numFmtId="166" fontId="0" fillId="4" borderId="0" xfId="0" applyFont="false" applyBorder="false" applyAlignment="true" applyProtection="false">
      <alignment horizontal="general" vertical="center" textRotation="0" wrapText="false" indent="0" shrinkToFit="false"/>
      <protection locked="true" hidden="false"/>
    </xf>
    <xf numFmtId="166" fontId="0" fillId="5" borderId="0" xfId="0" applyFont="false" applyBorder="false" applyAlignment="true" applyProtection="false">
      <alignment horizontal="general" vertical="center" textRotation="0" wrapText="false" indent="0" shrinkToFit="false"/>
      <protection locked="true" hidden="false"/>
    </xf>
    <xf numFmtId="166" fontId="0" fillId="6" borderId="0" xfId="0" applyFont="false" applyBorder="false" applyAlignment="true" applyProtection="false">
      <alignment horizontal="general" vertical="center" textRotation="0" wrapText="fals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9" fontId="7" fillId="8" borderId="10" xfId="21" applyFont="true" applyBorder="true" applyAlignment="true" applyProtection="true">
      <alignment horizontal="general" vertical="bottom" textRotation="0" wrapText="false" indent="0" shrinkToFit="false"/>
      <protection locked="true" hidden="false"/>
    </xf>
    <xf numFmtId="171" fontId="0" fillId="8" borderId="8" xfId="0" applyFont="false" applyBorder="true" applyAlignment="false" applyProtection="false">
      <alignment horizontal="general" vertical="bottom" textRotation="0" wrapText="false" indent="0" shrinkToFit="false"/>
      <protection locked="true" hidden="false"/>
    </xf>
    <xf numFmtId="167" fontId="13" fillId="8" borderId="0" xfId="0" applyFont="true" applyBorder="false" applyAlignment="false" applyProtection="false">
      <alignment horizontal="general" vertical="bottom" textRotation="0" wrapText="false" indent="0" shrinkToFit="false"/>
      <protection locked="true" hidden="false"/>
    </xf>
    <xf numFmtId="166" fontId="14" fillId="8" borderId="12" xfId="21" applyFont="true" applyBorder="true" applyAlignment="true" applyProtection="true">
      <alignment horizontal="general" vertical="bottom" textRotation="0" wrapText="false" indent="0" shrinkToFit="false"/>
      <protection locked="true" hidden="false"/>
    </xf>
    <xf numFmtId="164" fontId="0" fillId="0" borderId="7" xfId="0" applyFont="false" applyBorder="true" applyAlignment="true" applyProtection="false">
      <alignment horizontal="left" vertical="bottom" textRotation="0" wrapText="false" indent="0" shrinkToFit="false"/>
      <protection locked="true" hidden="false"/>
    </xf>
    <xf numFmtId="166" fontId="14" fillId="8" borderId="13" xfId="21" applyFont="true" applyBorder="true" applyAlignment="true" applyProtection="true">
      <alignment horizontal="general" vertical="bottom" textRotation="0" wrapText="false" indent="0" shrinkToFit="false"/>
      <protection locked="true" hidden="false"/>
    </xf>
    <xf numFmtId="166" fontId="14" fillId="8" borderId="26" xfId="21" applyFont="true" applyBorder="true" applyAlignment="true" applyProtection="true">
      <alignment horizontal="general" vertical="bottom" textRotation="0" wrapText="false" indent="0" shrinkToFit="false"/>
      <protection locked="true" hidden="false"/>
    </xf>
    <xf numFmtId="164" fontId="0" fillId="8"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78" fontId="8" fillId="0" borderId="0" xfId="0" applyFont="true" applyBorder="false" applyAlignment="true" applyProtection="false">
      <alignment horizontal="general" vertical="center" textRotation="0" wrapText="false" indent="0" shrinkToFit="false"/>
      <protection locked="true" hidden="false"/>
    </xf>
    <xf numFmtId="166" fontId="8" fillId="0" borderId="0" xfId="0" applyFont="true" applyBorder="false" applyAlignment="true" applyProtection="false">
      <alignment horizontal="general" vertical="center" textRotation="0" wrapText="false" indent="0" shrinkToFit="false"/>
      <protection locked="true" hidden="false"/>
    </xf>
    <xf numFmtId="173" fontId="0" fillId="0" borderId="0" xfId="0" applyFont="false" applyBorder="false" applyAlignment="true" applyProtection="false">
      <alignment horizontal="general" vertical="center" textRotation="0" wrapText="false" indent="0" shrinkToFit="false"/>
      <protection locked="true" hidden="false"/>
    </xf>
    <xf numFmtId="172" fontId="0" fillId="0" borderId="0" xfId="0" applyFont="false" applyBorder="false" applyAlignment="true" applyProtection="false">
      <alignment horizontal="general" vertical="center" textRotation="0" wrapText="false" indent="0" shrinkToFit="false"/>
      <protection locked="true" hidden="false"/>
    </xf>
    <xf numFmtId="166" fontId="0" fillId="0" borderId="21" xfId="0" applyFont="false" applyBorder="true" applyAlignment="true" applyProtection="false">
      <alignment horizontal="center" vertical="bottom" textRotation="0" wrapText="false" indent="0" shrinkToFit="false"/>
      <protection locked="true" hidden="false"/>
    </xf>
    <xf numFmtId="166" fontId="0" fillId="0" borderId="0" xfId="0" applyFont="false" applyBorder="false" applyAlignment="true" applyProtection="false">
      <alignment horizontal="center" vertical="top" textRotation="0" wrapText="false" indent="0" shrinkToFit="false"/>
      <protection locked="true" hidden="false"/>
    </xf>
    <xf numFmtId="166" fontId="0" fillId="0" borderId="21" xfId="0" applyFont="false" applyBorder="true" applyAlignment="true" applyProtection="false">
      <alignment horizontal="center" vertical="top" textRotation="0" wrapText="false" indent="0" shrinkToFit="false"/>
      <protection locked="true" hidden="false"/>
    </xf>
    <xf numFmtId="176" fontId="4" fillId="0" borderId="0" xfId="0" applyFont="true" applyBorder="false" applyAlignment="true" applyProtection="false">
      <alignment horizontal="center" vertical="bottom" textRotation="0" wrapText="false" indent="0" shrinkToFit="false"/>
      <protection locked="true" hidden="false"/>
    </xf>
    <xf numFmtId="166" fontId="0" fillId="0" borderId="21" xfId="0" applyFont="false" applyBorder="true" applyAlignment="true" applyProtection="false">
      <alignment horizontal="center" vertical="center" textRotation="0" wrapText="false" indent="0" shrinkToFit="false"/>
      <protection locked="true" hidden="false"/>
    </xf>
    <xf numFmtId="166" fontId="15" fillId="0" borderId="0" xfId="0" applyFont="true" applyBorder="false" applyAlignment="true" applyProtection="false">
      <alignment horizontal="general" vertical="center" textRotation="0" wrapText="false" indent="0" shrinkToFit="false"/>
      <protection locked="true" hidden="false"/>
    </xf>
    <xf numFmtId="166" fontId="16" fillId="0" borderId="0" xfId="0" applyFont="true" applyBorder="false" applyAlignment="true" applyProtection="false">
      <alignment horizontal="general" vertical="center" textRotation="0" wrapText="false" indent="0" shrinkToFit="false"/>
      <protection locked="true" hidden="false"/>
    </xf>
    <xf numFmtId="172" fontId="4" fillId="0" borderId="2" xfId="0" applyFont="true" applyBorder="true" applyAlignment="true" applyProtection="false">
      <alignment horizontal="center" vertical="center" textRotation="0" wrapText="tru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20" applyFont="true" applyBorder="true" applyAlignment="true" applyProtection="true">
      <alignment horizontal="general" vertical="center" textRotation="0" wrapText="true" indent="0" shrinkToFit="false"/>
      <protection locked="true" hidden="false"/>
    </xf>
    <xf numFmtId="166" fontId="4" fillId="0" borderId="21"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7" fontId="4" fillId="0" borderId="5" xfId="0" applyFont="true" applyBorder="true" applyAlignment="true" applyProtection="false">
      <alignment horizontal="center" vertical="center" textRotation="0" wrapText="false" indent="0" shrinkToFit="false"/>
      <protection locked="true" hidden="false"/>
    </xf>
    <xf numFmtId="166" fontId="0" fillId="9" borderId="0" xfId="0" applyFont="false" applyBorder="false" applyAlignment="true" applyProtection="false">
      <alignment horizontal="general" vertical="center" textRotation="0" wrapText="false" indent="0" shrinkToFit="false"/>
      <protection locked="true" hidden="false"/>
    </xf>
    <xf numFmtId="164" fontId="4" fillId="7" borderId="4" xfId="0" applyFont="true" applyBorder="true" applyAlignment="true" applyProtection="false">
      <alignment horizontal="general" vertical="center" textRotation="0" wrapText="false" indent="0" shrinkToFit="false"/>
      <protection locked="true" hidden="false"/>
    </xf>
    <xf numFmtId="170" fontId="6" fillId="8" borderId="5" xfId="0" applyFont="true" applyBorder="true" applyAlignment="true" applyProtection="false">
      <alignment horizontal="general" vertical="center" textRotation="0" wrapText="false" indent="0" shrinkToFit="false"/>
      <protection locked="true" hidden="false"/>
    </xf>
    <xf numFmtId="164" fontId="0" fillId="8" borderId="6"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75" fontId="0" fillId="0" borderId="0" xfId="0" applyFont="false" applyBorder="false" applyAlignment="true" applyProtection="false">
      <alignment horizontal="general" vertical="center" textRotation="0" wrapText="false" indent="0" shrinkToFit="false"/>
      <protection locked="true" hidden="false"/>
    </xf>
    <xf numFmtId="164" fontId="4" fillId="7" borderId="7" xfId="0" applyFont="true" applyBorder="true" applyAlignment="true" applyProtection="false">
      <alignment horizontal="general" vertical="center" textRotation="0" wrapText="false" indent="0" shrinkToFit="false"/>
      <protection locked="true" hidden="false"/>
    </xf>
    <xf numFmtId="166" fontId="0" fillId="8" borderId="0" xfId="0" applyFont="false" applyBorder="false" applyAlignment="true" applyProtection="false">
      <alignment horizontal="general" vertical="center" textRotation="0" wrapText="false" indent="0" shrinkToFit="false"/>
      <protection locked="true" hidden="false"/>
    </xf>
    <xf numFmtId="164" fontId="0" fillId="8" borderId="8" xfId="0" applyFont="false" applyBorder="true" applyAlignment="true" applyProtection="false">
      <alignment horizontal="general" vertical="center" textRotation="0" wrapText="false" indent="0" shrinkToFit="false"/>
      <protection locked="true" hidden="false"/>
    </xf>
    <xf numFmtId="177" fontId="4" fillId="0" borderId="0" xfId="0" applyFont="true" applyBorder="false" applyAlignment="true" applyProtection="false">
      <alignment horizontal="center" vertical="center" textRotation="0" wrapText="false" indent="0" shrinkToFit="false"/>
      <protection locked="true" hidden="false"/>
    </xf>
    <xf numFmtId="178" fontId="11" fillId="0" borderId="0" xfId="0" applyFont="true" applyBorder="false" applyAlignment="true" applyProtection="false">
      <alignment horizontal="general" vertical="center" textRotation="0" wrapText="false" indent="0" shrinkToFit="false"/>
      <protection locked="true" hidden="false"/>
    </xf>
    <xf numFmtId="164" fontId="0" fillId="8" borderId="9" xfId="0" applyFont="false" applyBorder="true" applyAlignment="true" applyProtection="false">
      <alignment horizontal="general" vertical="center" textRotation="0" wrapText="false" indent="0" shrinkToFit="false"/>
      <protection locked="true" hidden="false"/>
    </xf>
    <xf numFmtId="168" fontId="0" fillId="8" borderId="8" xfId="0" applyFont="false" applyBorder="true" applyAlignment="true" applyProtection="false">
      <alignment horizontal="general" vertical="center" textRotation="0" wrapText="false" indent="0" shrinkToFit="false"/>
      <protection locked="true" hidden="false"/>
    </xf>
    <xf numFmtId="175" fontId="12" fillId="0" borderId="0" xfId="0" applyFont="true" applyBorder="false" applyAlignment="true" applyProtection="false">
      <alignment horizontal="general" vertical="center" textRotation="0" wrapText="false" indent="0" shrinkToFit="false"/>
      <protection locked="true" hidden="false"/>
    </xf>
    <xf numFmtId="167" fontId="4" fillId="0" borderId="0" xfId="0" applyFont="true" applyBorder="false" applyAlignment="true" applyProtection="false">
      <alignment horizontal="general" vertical="center" textRotation="0" wrapText="false" indent="0" shrinkToFit="false"/>
      <protection locked="true" hidden="false"/>
    </xf>
    <xf numFmtId="176" fontId="8" fillId="0" borderId="0" xfId="0" applyFont="true" applyBorder="false" applyAlignment="true" applyProtection="false">
      <alignment horizontal="general" vertical="center" textRotation="0" wrapText="false" indent="0" shrinkToFit="false"/>
      <protection locked="true" hidden="false"/>
    </xf>
    <xf numFmtId="164" fontId="0" fillId="0" borderId="9" xfId="0" applyFont="false" applyBorder="true" applyAlignment="true" applyProtection="false">
      <alignment horizontal="general" vertical="center" textRotation="0" wrapText="false" indent="0" shrinkToFit="false"/>
      <protection locked="true" hidden="false"/>
    </xf>
    <xf numFmtId="166" fontId="0" fillId="9" borderId="0" xfId="0" applyFont="false" applyBorder="false" applyAlignment="false" applyProtection="false">
      <alignment horizontal="general" vertical="bottom" textRotation="0" wrapText="false" indent="0" shrinkToFit="false"/>
      <protection locked="true" hidden="false"/>
    </xf>
    <xf numFmtId="168" fontId="7" fillId="8" borderId="28" xfId="21" applyFont="true" applyBorder="true" applyAlignment="true" applyProtection="true">
      <alignment horizontal="general" vertical="bottom" textRotation="0" wrapText="false" indent="0" shrinkToFit="false"/>
      <protection locked="true" hidden="false"/>
    </xf>
    <xf numFmtId="168" fontId="7" fillId="8" borderId="29" xfId="21" applyFont="true" applyBorder="true" applyAlignment="true" applyProtection="true">
      <alignment horizontal="general" vertical="bottom" textRotation="0" wrapText="false" indent="0" shrinkToFit="false"/>
      <protection locked="true" hidden="false"/>
    </xf>
    <xf numFmtId="166" fontId="22" fillId="10" borderId="12" xfId="21" applyFont="true" applyBorder="true" applyAlignment="true" applyProtection="true">
      <alignment horizontal="general" vertical="bottom" textRotation="0" wrapText="false" indent="0" shrinkToFit="false"/>
      <protection locked="true" hidden="false"/>
    </xf>
    <xf numFmtId="166" fontId="0" fillId="0" borderId="23" xfId="0" applyFont="false" applyBorder="true" applyAlignment="false" applyProtection="false">
      <alignment horizontal="general" vertical="bottom" textRotation="0" wrapText="false" indent="0" shrinkToFit="false"/>
      <protection locked="true" hidden="false"/>
    </xf>
    <xf numFmtId="166" fontId="0" fillId="11" borderId="30" xfId="0" applyFont="false" applyBorder="true" applyAlignment="false" applyProtection="false">
      <alignment horizontal="general" vertical="bottom" textRotation="0" wrapText="false" indent="0" shrinkToFit="false"/>
      <protection locked="true" hidden="false"/>
    </xf>
    <xf numFmtId="166" fontId="7" fillId="8" borderId="26" xfId="21"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7" fontId="0" fillId="0" borderId="0" xfId="0" applyFont="false" applyBorder="false" applyAlignment="true" applyProtection="false">
      <alignment horizontal="general" vertical="center" textRotation="0" wrapText="false" indent="0" shrinkToFit="false"/>
      <protection locked="true" hidden="false"/>
    </xf>
    <xf numFmtId="175" fontId="4" fillId="0" borderId="0" xfId="0" applyFont="true" applyBorder="false" applyAlignment="tru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7" fontId="4" fillId="0" borderId="7"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general" vertical="bottom" textRotation="0" wrapText="true" indent="0" shrinkToFit="false"/>
      <protection locked="true" hidden="false"/>
    </xf>
    <xf numFmtId="166" fontId="0" fillId="12" borderId="0" xfId="0" applyFont="false" applyBorder="false" applyAlignment="true" applyProtection="false">
      <alignment horizontal="general" vertical="center"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6" fontId="7" fillId="8" borderId="22" xfId="21" applyFont="true" applyBorder="true" applyAlignment="true" applyProtection="true">
      <alignment horizontal="general" vertical="bottom" textRotation="0" wrapText="false" indent="0" shrinkToFit="false"/>
      <protection locked="true" hidden="false"/>
    </xf>
    <xf numFmtId="166" fontId="0" fillId="0" borderId="21" xfId="0" applyFont="false" applyBorder="true" applyAlignment="true" applyProtection="false">
      <alignment horizontal="general" vertical="center" textRotation="0" wrapText="false" indent="0" shrinkToFit="false"/>
      <protection locked="true" hidden="false"/>
    </xf>
    <xf numFmtId="170" fontId="29" fillId="8" borderId="5" xfId="0" applyFont="true" applyBorder="true" applyAlignment="true" applyProtection="false">
      <alignment horizontal="general" vertical="center" textRotation="0" wrapText="false" indent="0" shrinkToFit="false"/>
      <protection locked="true" hidden="false"/>
    </xf>
    <xf numFmtId="166" fontId="4" fillId="8" borderId="0" xfId="0" applyFont="true" applyBorder="false" applyAlignment="true" applyProtection="false">
      <alignment horizontal="general" vertical="center" textRotation="0" wrapText="false" indent="0" shrinkToFit="false"/>
      <protection locked="true" hidden="false"/>
    </xf>
    <xf numFmtId="178" fontId="0" fillId="3" borderId="0" xfId="0" applyFont="false" applyBorder="false" applyAlignment="true" applyProtection="false">
      <alignment horizontal="center" vertical="center" textRotation="0" wrapText="false" indent="0" shrinkToFit="false"/>
      <protection locked="true" hidden="false"/>
    </xf>
    <xf numFmtId="166" fontId="0" fillId="3" borderId="0" xfId="0" applyFont="false" applyBorder="false" applyAlignment="true" applyProtection="false">
      <alignment horizontal="center" vertical="center" textRotation="0" wrapText="false" indent="0" shrinkToFit="false"/>
      <protection locked="true" hidden="false"/>
    </xf>
    <xf numFmtId="170" fontId="32" fillId="7" borderId="5" xfId="0" applyFont="true" applyBorder="true" applyAlignment="true" applyProtection="false">
      <alignment horizontal="general" vertical="center" textRotation="0" wrapText="false" indent="0" shrinkToFit="false"/>
      <protection locked="true" hidden="false"/>
    </xf>
    <xf numFmtId="164" fontId="0" fillId="7" borderId="5" xfId="0" applyFont="fals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13" borderId="0" xfId="0" applyFont="false" applyBorder="false" applyAlignment="true" applyProtection="false">
      <alignment horizontal="general" vertical="center" textRotation="0" wrapText="false" indent="0" shrinkToFit="false"/>
      <protection locked="true" hidden="false"/>
    </xf>
    <xf numFmtId="166" fontId="0" fillId="7" borderId="0" xfId="0" applyFont="false" applyBorder="false" applyAlignment="true" applyProtection="false">
      <alignment horizontal="general" vertical="center" textRotation="0" wrapText="false" indent="0" shrinkToFit="false"/>
      <protection locked="true" hidden="false"/>
    </xf>
    <xf numFmtId="164" fontId="0" fillId="7" borderId="9" xfId="0" applyFont="false" applyBorder="true" applyAlignment="true" applyProtection="false">
      <alignment horizontal="general" vertical="center" textRotation="0" wrapText="false" indent="0" shrinkToFit="false"/>
      <protection locked="true" hidden="false"/>
    </xf>
    <xf numFmtId="168" fontId="0" fillId="0" borderId="0" xfId="0" applyFont="false" applyBorder="false" applyAlignment="true" applyProtection="false">
      <alignment horizontal="general" vertical="center" textRotation="0" wrapText="false" indent="0" shrinkToFit="false"/>
      <protection locked="true" hidden="false"/>
    </xf>
    <xf numFmtId="168" fontId="0" fillId="7" borderId="8" xfId="0" applyFont="false" applyBorder="true" applyAlignment="true" applyProtection="false">
      <alignment horizontal="general" vertical="center" textRotation="0" wrapText="false" indent="0" shrinkToFit="false"/>
      <protection locked="true" hidden="false"/>
    </xf>
    <xf numFmtId="168" fontId="0" fillId="7" borderId="0" xfId="0" applyFont="false" applyBorder="false" applyAlignment="true" applyProtection="false">
      <alignment horizontal="general" vertical="center" textRotation="0" wrapText="false" indent="0" shrinkToFit="false"/>
      <protection locked="true" hidden="false"/>
    </xf>
    <xf numFmtId="168" fontId="7" fillId="7" borderId="0" xfId="21" applyFont="true" applyBorder="true" applyAlignment="true" applyProtection="true">
      <alignment horizontal="general" vertical="center" textRotation="0" wrapText="false" indent="0" shrinkToFit="false"/>
      <protection locked="true" hidden="false"/>
    </xf>
    <xf numFmtId="178" fontId="0" fillId="3" borderId="0" xfId="0" applyFont="false" applyBorder="false" applyAlignment="true" applyProtection="false">
      <alignment horizontal="center" vertical="bottom" textRotation="0" wrapText="false" indent="0" shrinkToFit="false"/>
      <protection locked="true" hidden="false"/>
    </xf>
    <xf numFmtId="166" fontId="0" fillId="7" borderId="0" xfId="0" applyFont="false" applyBorder="false" applyAlignment="false" applyProtection="false">
      <alignment horizontal="general" vertical="bottom" textRotation="0" wrapText="false" indent="0" shrinkToFit="false"/>
      <protection locked="true" hidden="false"/>
    </xf>
    <xf numFmtId="168" fontId="0" fillId="7" borderId="8" xfId="0" applyFont="false" applyBorder="true" applyAlignment="false" applyProtection="false">
      <alignment horizontal="general" vertical="bottom" textRotation="0" wrapText="false" indent="0" shrinkToFit="false"/>
      <protection locked="true" hidden="false"/>
    </xf>
    <xf numFmtId="164" fontId="0" fillId="7" borderId="9" xfId="0" applyFont="false" applyBorder="true" applyAlignment="false" applyProtection="false">
      <alignment horizontal="general" vertical="bottom"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71" fontId="0" fillId="7" borderId="0" xfId="0" applyFont="false" applyBorder="false" applyAlignment="false" applyProtection="false">
      <alignment horizontal="general" vertical="bottom" textRotation="0" wrapText="false" indent="0" shrinkToFit="false"/>
      <protection locked="true" hidden="false"/>
    </xf>
    <xf numFmtId="164" fontId="0" fillId="7" borderId="11" xfId="0" applyFont="false" applyBorder="true" applyAlignment="false" applyProtection="false">
      <alignment horizontal="general" vertical="bottom" textRotation="0" wrapText="false" indent="0" shrinkToFit="false"/>
      <protection locked="true" hidden="false"/>
    </xf>
    <xf numFmtId="166" fontId="7" fillId="6" borderId="12" xfId="21" applyFont="true" applyBorder="true" applyAlignment="true" applyProtection="true">
      <alignment horizontal="general" vertical="bottom" textRotation="0" wrapText="false" indent="0" shrinkToFit="false"/>
      <protection locked="true" hidden="false"/>
    </xf>
    <xf numFmtId="166" fontId="7" fillId="6" borderId="13" xfId="21" applyFont="true" applyBorder="true" applyAlignment="true" applyProtection="true">
      <alignment horizontal="general" vertical="bottom" textRotation="0" wrapText="false" indent="0" shrinkToFit="false"/>
      <protection locked="true" hidden="false"/>
    </xf>
    <xf numFmtId="166" fontId="7" fillId="6" borderId="26" xfId="21" applyFont="true" applyBorder="true" applyAlignment="true" applyProtection="true">
      <alignment horizontal="general" vertical="bottom" textRotation="0" wrapText="false" indent="0" shrinkToFit="false"/>
      <protection locked="true" hidden="false"/>
    </xf>
    <xf numFmtId="164" fontId="0" fillId="7" borderId="27" xfId="0" applyFont="false" applyBorder="true" applyAlignment="false" applyProtection="false">
      <alignment horizontal="general" vertical="bottom" textRotation="0" wrapText="false" indent="0" shrinkToFit="false"/>
      <protection locked="true" hidden="false"/>
    </xf>
    <xf numFmtId="166" fontId="4" fillId="3" borderId="21" xfId="0" applyFont="true" applyBorder="true" applyAlignment="true" applyProtection="false">
      <alignment horizontal="center" vertical="bottom" textRotation="0" wrapText="false" indent="0" shrinkToFit="false"/>
      <protection locked="true" hidden="false"/>
    </xf>
    <xf numFmtId="164" fontId="0" fillId="14" borderId="9" xfId="0" applyFont="false" applyBorder="true" applyAlignment="false" applyProtection="false">
      <alignment horizontal="general" vertical="bottom" textRotation="0" wrapText="false" indent="0" shrinkToFit="false"/>
      <protection locked="true" hidden="false"/>
    </xf>
    <xf numFmtId="166" fontId="0" fillId="14" borderId="9" xfId="0" applyFont="true" applyBorder="true" applyAlignment="false" applyProtection="false">
      <alignment horizontal="general" vertical="bottom" textRotation="0" wrapText="false" indent="0" shrinkToFit="false"/>
      <protection locked="true" hidden="false"/>
    </xf>
    <xf numFmtId="170" fontId="32" fillId="7" borderId="5" xfId="0" applyFont="true" applyBorder="true" applyAlignment="false" applyProtection="false">
      <alignment horizontal="general" vertical="bottom" textRotation="0" wrapText="false" indent="0" shrinkToFit="false"/>
      <protection locked="true" hidden="false"/>
    </xf>
    <xf numFmtId="164" fontId="0" fillId="7" borderId="5" xfId="0" applyFont="false" applyBorder="tru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68" fontId="7" fillId="7" borderId="0" xfId="21" applyFont="true" applyBorder="true" applyAlignment="true" applyProtection="true">
      <alignment horizontal="general" vertical="bottom" textRotation="0" wrapText="false" indent="0" shrinkToFit="false"/>
      <protection locked="true" hidden="false"/>
    </xf>
    <xf numFmtId="166" fontId="4" fillId="3" borderId="21"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true">
      <alignment horizontal="center" vertical="center" textRotation="0" wrapText="false" indent="0" shrinkToFit="false"/>
      <protection locked="false" hidden="false"/>
    </xf>
    <xf numFmtId="166" fontId="0" fillId="0" borderId="0" xfId="0" applyFont="false" applyBorder="false" applyAlignment="true" applyProtection="true">
      <alignment horizontal="center" vertical="center" textRotation="0" wrapText="false" indent="0" shrinkToFit="false"/>
      <protection locked="false" hidden="false"/>
    </xf>
    <xf numFmtId="166" fontId="0" fillId="0" borderId="0" xfId="0" applyFont="false" applyBorder="false" applyAlignment="true" applyProtection="true">
      <alignment horizontal="general" vertical="center" textRotation="0" wrapText="false" indent="0" shrinkToFit="false"/>
      <protection locked="false" hidden="false"/>
    </xf>
    <xf numFmtId="166" fontId="0" fillId="5" borderId="5" xfId="0" applyFont="false" applyBorder="tru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false" hidden="false"/>
    </xf>
    <xf numFmtId="166" fontId="0" fillId="0" borderId="0" xfId="0" applyFont="false" applyBorder="false" applyAlignment="true" applyProtection="true">
      <alignment horizontal="center"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7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6" fontId="0" fillId="14" borderId="9" xfId="0" applyFont="true" applyBorder="true" applyAlignment="true" applyProtection="false">
      <alignment horizontal="general" vertical="center" textRotation="0" wrapText="false" indent="0" shrinkToFit="false"/>
      <protection locked="true" hidden="false"/>
    </xf>
    <xf numFmtId="164" fontId="0" fillId="7" borderId="6" xfId="0" applyFont="false" applyBorder="true" applyAlignment="true" applyProtection="false">
      <alignment horizontal="general" vertical="center" textRotation="0" wrapText="false" indent="0" shrinkToFit="false"/>
      <protection locked="true" hidden="false"/>
    </xf>
    <xf numFmtId="164" fontId="0" fillId="7" borderId="11" xfId="0" applyFont="false" applyBorder="true" applyAlignment="true" applyProtection="false">
      <alignment horizontal="general" vertical="center" textRotation="0" wrapText="false" indent="0" shrinkToFit="false"/>
      <protection locked="true" hidden="false"/>
    </xf>
    <xf numFmtId="168" fontId="7" fillId="7" borderId="8" xfId="21" applyFont="true" applyBorder="true" applyAlignment="true" applyProtection="true">
      <alignment horizontal="general" vertical="center" textRotation="0" wrapText="false" indent="0" shrinkToFit="false"/>
      <protection locked="true" hidden="false"/>
    </xf>
    <xf numFmtId="164" fontId="0" fillId="7" borderId="8" xfId="0" applyFont="false" applyBorder="true" applyAlignment="true" applyProtection="false">
      <alignment horizontal="general" vertical="center" textRotation="0" wrapText="false" indent="0" shrinkToFit="false"/>
      <protection locked="true" hidden="false"/>
    </xf>
    <xf numFmtId="171" fontId="0" fillId="7" borderId="0" xfId="0" applyFont="false" applyBorder="false" applyAlignment="true" applyProtection="false">
      <alignment horizontal="general" vertical="center" textRotation="0" wrapText="false" indent="0" shrinkToFit="false"/>
      <protection locked="true" hidden="false"/>
    </xf>
    <xf numFmtId="166" fontId="7" fillId="6" borderId="12" xfId="21" applyFont="true" applyBorder="true" applyAlignment="true" applyProtection="true">
      <alignment horizontal="general" vertical="center" textRotation="0" wrapText="false" indent="0" shrinkToFit="false"/>
      <protection locked="true" hidden="false"/>
    </xf>
    <xf numFmtId="166" fontId="7" fillId="6" borderId="13" xfId="21" applyFont="true" applyBorder="true" applyAlignment="true" applyProtection="true">
      <alignment horizontal="general" vertical="center" textRotation="0" wrapText="false" indent="0" shrinkToFit="false"/>
      <protection locked="true" hidden="false"/>
    </xf>
    <xf numFmtId="164" fontId="4" fillId="7" borderId="15" xfId="0" applyFont="true" applyBorder="true" applyAlignment="true" applyProtection="false">
      <alignment horizontal="general" vertical="center" textRotation="0" wrapText="false" indent="0" shrinkToFit="false"/>
      <protection locked="true" hidden="false"/>
    </xf>
    <xf numFmtId="166" fontId="7" fillId="6" borderId="26" xfId="21" applyFont="true" applyBorder="true" applyAlignment="true" applyProtection="true">
      <alignment horizontal="general" vertical="center" textRotation="0" wrapText="false" indent="0" shrinkToFit="false"/>
      <protection locked="true" hidden="false"/>
    </xf>
    <xf numFmtId="164" fontId="0" fillId="7" borderId="27" xfId="0" applyFont="false" applyBorder="true" applyAlignment="true" applyProtection="false">
      <alignment horizontal="general" vertical="center" textRotation="0" wrapText="false" indent="0" shrinkToFit="false"/>
      <protection locked="true" hidden="false"/>
    </xf>
    <xf numFmtId="164" fontId="0" fillId="7" borderId="0" xfId="0" applyFont="false" applyBorder="false" applyAlignment="true" applyProtection="false">
      <alignment horizontal="general" vertical="center" textRotation="0" wrapText="false" indent="0" shrinkToFit="false"/>
      <protection locked="true" hidden="false"/>
    </xf>
    <xf numFmtId="164" fontId="0" fillId="7" borderId="6" xfId="0" applyFont="false" applyBorder="true" applyAlignment="false" applyProtection="false">
      <alignment horizontal="general" vertical="bottom" textRotation="0" wrapText="false" indent="0" shrinkToFit="false"/>
      <protection locked="true" hidden="false"/>
    </xf>
    <xf numFmtId="168" fontId="7" fillId="7" borderId="8" xfId="21" applyFont="true" applyBorder="true" applyAlignment="true" applyProtection="true">
      <alignment horizontal="general" vertical="bottom" textRotation="0" wrapText="false" indent="0" shrinkToFit="false"/>
      <protection locked="true" hidden="false"/>
    </xf>
    <xf numFmtId="164" fontId="0" fillId="7" borderId="8" xfId="0" applyFont="fals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14" borderId="0" xfId="0" applyFont="false" applyBorder="fals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6" fontId="7" fillId="8" borderId="14" xfId="21" applyFont="tru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xcel Built-in Bad" xfId="21"/>
    <cellStyle name="*unknown*" xfId="20" builtinId="8"/>
  </cellStyles>
  <dxfs count="61">
    <dxf>
      <fill>
        <patternFill>
          <bgColor rgb="FFFFFF00"/>
        </patternFill>
      </fill>
    </dxf>
    <dxf>
      <font>
        <name val="Calibri"/>
        <charset val="1"/>
        <family val="2"/>
        <color rgb="FF000000"/>
        <sz val="11"/>
      </font>
      <alignment horizontal="general" vertical="bottom" textRotation="0" wrapText="false" indent="0" shrinkToFit="false"/>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548235"/>
      <rgbColor rgb="FF800080"/>
      <rgbColor rgb="FF0070C0"/>
      <rgbColor rgb="FFC9C9C9"/>
      <rgbColor rgb="FF8B8B8B"/>
      <rgbColor rgb="FFA6A6A6"/>
      <rgbColor rgb="FF993366"/>
      <rgbColor rgb="FFFFF2CC"/>
      <rgbColor rgb="FFDAE3F3"/>
      <rgbColor rgb="FF660066"/>
      <rgbColor rgb="FFFF7C80"/>
      <rgbColor rgb="FF0563C1"/>
      <rgbColor rgb="FFBDD7EE"/>
      <rgbColor rgb="FF000080"/>
      <rgbColor rgb="FFFF00FF"/>
      <rgbColor rgb="FFFFD966"/>
      <rgbColor rgb="FF00FFFF"/>
      <rgbColor rgb="FF800080"/>
      <rgbColor rgb="FFC00000"/>
      <rgbColor rgb="FF3864B3"/>
      <rgbColor rgb="FF0000FF"/>
      <rgbColor rgb="FF00CCFF"/>
      <rgbColor rgb="FFF2F2F2"/>
      <rgbColor rgb="FFC5E0B4"/>
      <rgbColor rgb="FFFBE5D6"/>
      <rgbColor rgb="FF9DC3E6"/>
      <rgbColor rgb="FFD9D9D9"/>
      <rgbColor rgb="FFABC0E4"/>
      <rgbColor rgb="FFFFC7CE"/>
      <rgbColor rgb="FF4472C4"/>
      <rgbColor rgb="FF70AD47"/>
      <rgbColor rgb="FF92D050"/>
      <rgbColor rgb="FFFFC000"/>
      <rgbColor rgb="FFFF9900"/>
      <rgbColor rgb="FFED7D31"/>
      <rgbColor rgb="FF595959"/>
      <rgbColor rgb="FFA5A5A5"/>
      <rgbColor rgb="FF003366"/>
      <rgbColor rgb="FF00B050"/>
      <rgbColor rgb="FF003300"/>
      <rgbColor rgb="FF333300"/>
      <rgbColor rgb="FF993300"/>
      <rgbColor rgb="FF993366"/>
      <rgbColor rgb="FF2F5597"/>
      <rgbColor rgb="FF38572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NOVEMBER 2022</a:t>
            </a:r>
          </a:p>
        </c:rich>
      </c:tx>
      <c:layout>
        <c:manualLayout>
          <c:xMode val="edge"/>
          <c:yMode val="edge"/>
          <c:x val="0.38119847422173"/>
          <c:y val="0.0270341207349081"/>
        </c:manualLayout>
      </c:layout>
      <c:overlay val="0"/>
      <c:spPr>
        <a:noFill/>
        <a:ln w="0">
          <a:noFill/>
        </a:ln>
      </c:spPr>
    </c:title>
    <c:autoTitleDeleted val="0"/>
    <c:plotArea>
      <c:layout>
        <c:manualLayout>
          <c:layoutTarget val="inner"/>
          <c:xMode val="edge"/>
          <c:yMode val="edge"/>
          <c:x val="0.180140273163529"/>
          <c:y val="0.140857392825897"/>
          <c:w val="0.669004552725483"/>
          <c:h val="0.700262467191601"/>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AUG!$H$2:$H$34</c:f>
              <c:numCache>
                <c:formatCode>0.00</c:formatCode>
                <c:ptCount val="33"/>
                <c:pt idx="0">
                  <c:v>66.554</c:v>
                </c:pt>
                <c:pt idx="1">
                  <c:v>66.471</c:v>
                </c:pt>
                <c:pt idx="2">
                  <c:v>66.694</c:v>
                </c:pt>
                <c:pt idx="3">
                  <c:v>67.5</c:v>
                </c:pt>
                <c:pt idx="4">
                  <c:v>65.384</c:v>
                </c:pt>
                <c:pt idx="5">
                  <c:v>59.412</c:v>
                </c:pt>
                <c:pt idx="6">
                  <c:v>62.047</c:v>
                </c:pt>
                <c:pt idx="7">
                  <c:v>59.253</c:v>
                </c:pt>
                <c:pt idx="8">
                  <c:v>57.604</c:v>
                </c:pt>
                <c:pt idx="9">
                  <c:v>60.162</c:v>
                </c:pt>
                <c:pt idx="10">
                  <c:v>65.744</c:v>
                </c:pt>
                <c:pt idx="11">
                  <c:v>58.051</c:v>
                </c:pt>
                <c:pt idx="12">
                  <c:v>57.797</c:v>
                </c:pt>
                <c:pt idx="13">
                  <c:v>58.809</c:v>
                </c:pt>
                <c:pt idx="14">
                  <c:v>57.886</c:v>
                </c:pt>
                <c:pt idx="15">
                  <c:v>59.665</c:v>
                </c:pt>
                <c:pt idx="16">
                  <c:v>60.546</c:v>
                </c:pt>
                <c:pt idx="17">
                  <c:v>56.252</c:v>
                </c:pt>
                <c:pt idx="18">
                  <c:v>66.029</c:v>
                </c:pt>
                <c:pt idx="19">
                  <c:v>55.665</c:v>
                </c:pt>
                <c:pt idx="20">
                  <c:v>54.204</c:v>
                </c:pt>
                <c:pt idx="21">
                  <c:v>63.079</c:v>
                </c:pt>
                <c:pt idx="22">
                  <c:v>58.253</c:v>
                </c:pt>
                <c:pt idx="23">
                  <c:v>55.274</c:v>
                </c:pt>
                <c:pt idx="24">
                  <c:v>55.822</c:v>
                </c:pt>
                <c:pt idx="25">
                  <c:v>55.846</c:v>
                </c:pt>
                <c:pt idx="26">
                  <c:v>60.265</c:v>
                </c:pt>
                <c:pt idx="27">
                  <c:v>46.296</c:v>
                </c:pt>
                <c:pt idx="28">
                  <c:v>53.597</c:v>
                </c:pt>
                <c:pt idx="29">
                  <c:v>56.659</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AUG!$K$2:$K$34</c:f>
              <c:numCache>
                <c:formatCode>0.00</c:formatCode>
                <c:ptCount val="33"/>
                <c:pt idx="0">
                  <c:v>7.40914838709677</c:v>
                </c:pt>
                <c:pt idx="1">
                  <c:v>7.40004516129032</c:v>
                </c:pt>
                <c:pt idx="2">
                  <c:v>7.42450322580645</c:v>
                </c:pt>
                <c:pt idx="3">
                  <c:v>7.51290322580645</c:v>
                </c:pt>
                <c:pt idx="4">
                  <c:v>7.28082580645161</c:v>
                </c:pt>
                <c:pt idx="5">
                  <c:v>6.62583225806452</c:v>
                </c:pt>
                <c:pt idx="6">
                  <c:v>6.91483225806452</c:v>
                </c:pt>
                <c:pt idx="7">
                  <c:v>6.6083935483871</c:v>
                </c:pt>
                <c:pt idx="8">
                  <c:v>6.42753548387097</c:v>
                </c:pt>
                <c:pt idx="9">
                  <c:v>6.70809032258065</c:v>
                </c:pt>
                <c:pt idx="10">
                  <c:v>7.32030967741935</c:v>
                </c:pt>
                <c:pt idx="11">
                  <c:v>6.47656129032258</c:v>
                </c:pt>
                <c:pt idx="12">
                  <c:v>6.44870322580645</c:v>
                </c:pt>
                <c:pt idx="13">
                  <c:v>6.55969677419355</c:v>
                </c:pt>
                <c:pt idx="14">
                  <c:v>6.45846451612903</c:v>
                </c:pt>
                <c:pt idx="15">
                  <c:v>6.65358064516129</c:v>
                </c:pt>
                <c:pt idx="16">
                  <c:v>6.7502064516129</c:v>
                </c:pt>
                <c:pt idx="17">
                  <c:v>6.27925161290323</c:v>
                </c:pt>
                <c:pt idx="18">
                  <c:v>7.35156774193548</c:v>
                </c:pt>
                <c:pt idx="19">
                  <c:v>6.21487096774194</c:v>
                </c:pt>
                <c:pt idx="20">
                  <c:v>6.05463225806452</c:v>
                </c:pt>
                <c:pt idx="21">
                  <c:v>7.02801935483871</c:v>
                </c:pt>
                <c:pt idx="22">
                  <c:v>6.49871612903226</c:v>
                </c:pt>
                <c:pt idx="23">
                  <c:v>6.17198709677419</c:v>
                </c:pt>
                <c:pt idx="24">
                  <c:v>6.23209032258065</c:v>
                </c:pt>
                <c:pt idx="25">
                  <c:v>6.23472258064516</c:v>
                </c:pt>
                <c:pt idx="26">
                  <c:v>6.71938709677419</c:v>
                </c:pt>
                <c:pt idx="27">
                  <c:v>5.18730322580645</c:v>
                </c:pt>
                <c:pt idx="28">
                  <c:v>5.98805806451613</c:v>
                </c:pt>
                <c:pt idx="29">
                  <c:v>6.32389032258065</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AUG!$J$4:$J$34</c:f>
              <c:numCache>
                <c:formatCode>0.00</c:formatCode>
                <c:ptCount val="31"/>
                <c:pt idx="0">
                  <c:v>66.573</c:v>
                </c:pt>
                <c:pt idx="1">
                  <c:v>66.80475</c:v>
                </c:pt>
                <c:pt idx="2">
                  <c:v>66.5206</c:v>
                </c:pt>
                <c:pt idx="3">
                  <c:v>65.3358333333333</c:v>
                </c:pt>
                <c:pt idx="4">
                  <c:v>64.866</c:v>
                </c:pt>
                <c:pt idx="5">
                  <c:v>64.164375</c:v>
                </c:pt>
                <c:pt idx="6">
                  <c:v>63.4354444444445</c:v>
                </c:pt>
                <c:pt idx="7">
                  <c:v>63.1081</c:v>
                </c:pt>
                <c:pt idx="8">
                  <c:v>63.3477272727273</c:v>
                </c:pt>
                <c:pt idx="9">
                  <c:v>62.9063333333334</c:v>
                </c:pt>
                <c:pt idx="10">
                  <c:v>62.5133076923077</c:v>
                </c:pt>
                <c:pt idx="11">
                  <c:v>62.2487142857143</c:v>
                </c:pt>
                <c:pt idx="12">
                  <c:v>61.9578666666667</c:v>
                </c:pt>
                <c:pt idx="13">
                  <c:v>61.8145625</c:v>
                </c:pt>
                <c:pt idx="14">
                  <c:v>61.7399411764706</c:v>
                </c:pt>
                <c:pt idx="15">
                  <c:v>61.4350555555556</c:v>
                </c:pt>
                <c:pt idx="16">
                  <c:v>61.6768421052632</c:v>
                </c:pt>
                <c:pt idx="17">
                  <c:v>61.37625</c:v>
                </c:pt>
                <c:pt idx="18">
                  <c:v>61.0347142857143</c:v>
                </c:pt>
                <c:pt idx="19">
                  <c:v>61.1276363636364</c:v>
                </c:pt>
                <c:pt idx="20">
                  <c:v>61.002652173913</c:v>
                </c:pt>
                <c:pt idx="21">
                  <c:v>60.7639583333333</c:v>
                </c:pt>
                <c:pt idx="22">
                  <c:v>60.56628</c:v>
                </c:pt>
                <c:pt idx="23">
                  <c:v>60.3847307692308</c:v>
                </c:pt>
                <c:pt idx="24">
                  <c:v>60.3802962962963</c:v>
                </c:pt>
                <c:pt idx="25">
                  <c:v>59.8772857142857</c:v>
                </c:pt>
                <c:pt idx="26">
                  <c:v>59.660724137931</c:v>
                </c:pt>
                <c:pt idx="27">
                  <c:v>59.5606666666667</c:v>
                </c:pt>
              </c:numCache>
            </c:numRef>
          </c:val>
          <c:smooth val="0"/>
        </c:ser>
        <c:hiLowLines>
          <c:spPr>
            <a:ln w="0">
              <a:noFill/>
            </a:ln>
          </c:spPr>
        </c:hiLowLines>
        <c:marker val="0"/>
        <c:axId val="54968591"/>
        <c:axId val="37385833"/>
      </c:lineChart>
      <c:catAx>
        <c:axId val="54968591"/>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37385833"/>
        <c:auto val="1"/>
        <c:lblAlgn val="ctr"/>
        <c:lblOffset val="100"/>
        <c:noMultiLvlLbl val="0"/>
      </c:catAx>
      <c:valAx>
        <c:axId val="37385833"/>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54968591"/>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March 2022</a:t>
            </a:r>
          </a:p>
        </c:rich>
      </c:tx>
      <c:layout>
        <c:manualLayout>
          <c:xMode val="edge"/>
          <c:yMode val="edge"/>
          <c:x val="0.381207787048073"/>
          <c:y val="0.0270981320705078"/>
        </c:manualLayout>
      </c:layout>
      <c:overlay val="0"/>
      <c:spPr>
        <a:noFill/>
        <a:ln w="0">
          <a:noFill/>
        </a:ln>
      </c:spPr>
    </c:title>
    <c:autoTitleDeleted val="0"/>
    <c:plotArea>
      <c:layout>
        <c:manualLayout>
          <c:layoutTarget val="inner"/>
          <c:xMode val="edge"/>
          <c:yMode val="edge"/>
          <c:x val="0.180108594888094"/>
          <c:y val="0.140840129790406"/>
          <c:w val="0.669050456893127"/>
          <c:h val="0.700254319038849"/>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MAR!$H$2:$H$31</c:f>
              <c:numCache>
                <c:formatCode>0.000</c:formatCode>
                <c:ptCount val="30"/>
                <c:pt idx="0">
                  <c:v>22.914</c:v>
                </c:pt>
                <c:pt idx="1">
                  <c:v>29.988</c:v>
                </c:pt>
                <c:pt idx="2">
                  <c:v>36.561</c:v>
                </c:pt>
                <c:pt idx="3">
                  <c:v>52.125</c:v>
                </c:pt>
                <c:pt idx="4">
                  <c:v>42.73</c:v>
                </c:pt>
                <c:pt idx="5">
                  <c:v>42.849</c:v>
                </c:pt>
                <c:pt idx="6">
                  <c:v>20.893</c:v>
                </c:pt>
                <c:pt idx="7">
                  <c:v>28.194</c:v>
                </c:pt>
                <c:pt idx="8">
                  <c:v>48.926</c:v>
                </c:pt>
                <c:pt idx="9">
                  <c:v>65.926</c:v>
                </c:pt>
                <c:pt idx="10">
                  <c:v>62.566</c:v>
                </c:pt>
                <c:pt idx="11">
                  <c:v>55.007</c:v>
                </c:pt>
                <c:pt idx="12">
                  <c:v>49.355</c:v>
                </c:pt>
                <c:pt idx="13">
                  <c:v>42.596</c:v>
                </c:pt>
                <c:pt idx="14">
                  <c:v>31.825</c:v>
                </c:pt>
                <c:pt idx="15">
                  <c:v>25.803</c:v>
                </c:pt>
                <c:pt idx="16">
                  <c:v>24.844</c:v>
                </c:pt>
                <c:pt idx="17">
                  <c:v>24.757</c:v>
                </c:pt>
                <c:pt idx="18">
                  <c:v>35.161</c:v>
                </c:pt>
                <c:pt idx="19">
                  <c:v>30.689</c:v>
                </c:pt>
                <c:pt idx="20">
                  <c:v>24.023</c:v>
                </c:pt>
                <c:pt idx="21">
                  <c:v>36.309</c:v>
                </c:pt>
                <c:pt idx="22">
                  <c:v>47.757</c:v>
                </c:pt>
                <c:pt idx="23">
                  <c:v>31.347</c:v>
                </c:pt>
                <c:pt idx="24">
                  <c:v>41.969</c:v>
                </c:pt>
                <c:pt idx="25">
                  <c:v>54.976</c:v>
                </c:pt>
                <c:pt idx="26">
                  <c:v>34.931</c:v>
                </c:pt>
                <c:pt idx="27">
                  <c:v>22.206</c:v>
                </c:pt>
                <c:pt idx="28">
                  <c:v>24.594</c:v>
                </c:pt>
                <c:pt idx="29">
                  <c:v>31.517</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MAR!$K$2:$K$31</c:f>
              <c:numCache>
                <c:formatCode>0.00</c:formatCode>
                <c:ptCount val="30"/>
                <c:pt idx="0">
                  <c:v>2.66714838709677</c:v>
                </c:pt>
                <c:pt idx="1">
                  <c:v>3.4430064516129</c:v>
                </c:pt>
                <c:pt idx="2">
                  <c:v>4.16391612903226</c:v>
                </c:pt>
                <c:pt idx="3">
                  <c:v>5.87093548387097</c:v>
                </c:pt>
                <c:pt idx="4">
                  <c:v>4.84051612903226</c:v>
                </c:pt>
                <c:pt idx="5">
                  <c:v>4.85356774193548</c:v>
                </c:pt>
                <c:pt idx="6">
                  <c:v>2.44549032258065</c:v>
                </c:pt>
                <c:pt idx="7">
                  <c:v>3.24624516129032</c:v>
                </c:pt>
                <c:pt idx="8">
                  <c:v>5.52007741935484</c:v>
                </c:pt>
                <c:pt idx="9">
                  <c:v>7.3845935483871</c:v>
                </c:pt>
                <c:pt idx="10">
                  <c:v>7.01607741935484</c:v>
                </c:pt>
                <c:pt idx="11">
                  <c:v>6.18702580645161</c:v>
                </c:pt>
                <c:pt idx="12">
                  <c:v>5.56712903225806</c:v>
                </c:pt>
                <c:pt idx="13">
                  <c:v>4.82581935483871</c:v>
                </c:pt>
                <c:pt idx="14">
                  <c:v>3.64448387096774</c:v>
                </c:pt>
                <c:pt idx="15">
                  <c:v>2.9840064516129</c:v>
                </c:pt>
                <c:pt idx="16">
                  <c:v>2.87882580645161</c:v>
                </c:pt>
                <c:pt idx="17">
                  <c:v>2.86928387096774</c:v>
                </c:pt>
                <c:pt idx="18">
                  <c:v>4.01036774193548</c:v>
                </c:pt>
                <c:pt idx="19">
                  <c:v>3.51989032258065</c:v>
                </c:pt>
                <c:pt idx="20">
                  <c:v>2.78878064516129</c:v>
                </c:pt>
                <c:pt idx="21">
                  <c:v>4.13627741935484</c:v>
                </c:pt>
                <c:pt idx="22">
                  <c:v>5.39186451612903</c:v>
                </c:pt>
                <c:pt idx="23">
                  <c:v>3.59205806451613</c:v>
                </c:pt>
                <c:pt idx="24">
                  <c:v>4.75705161290323</c:v>
                </c:pt>
                <c:pt idx="25">
                  <c:v>6.18362580645161</c:v>
                </c:pt>
                <c:pt idx="26">
                  <c:v>3.98514193548387</c:v>
                </c:pt>
                <c:pt idx="27">
                  <c:v>2.58949677419355</c:v>
                </c:pt>
                <c:pt idx="28">
                  <c:v>2.8514064516129</c:v>
                </c:pt>
                <c:pt idx="29">
                  <c:v>3.61070322580645</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AUG!$J$4:$J$34</c:f>
              <c:numCache>
                <c:formatCode>0.00</c:formatCode>
                <c:ptCount val="31"/>
                <c:pt idx="0">
                  <c:v>66.573</c:v>
                </c:pt>
                <c:pt idx="1">
                  <c:v>66.80475</c:v>
                </c:pt>
                <c:pt idx="2">
                  <c:v>66.5206</c:v>
                </c:pt>
                <c:pt idx="3">
                  <c:v>65.3358333333333</c:v>
                </c:pt>
                <c:pt idx="4">
                  <c:v>64.866</c:v>
                </c:pt>
                <c:pt idx="5">
                  <c:v>64.164375</c:v>
                </c:pt>
                <c:pt idx="6">
                  <c:v>63.4354444444445</c:v>
                </c:pt>
                <c:pt idx="7">
                  <c:v>63.1081</c:v>
                </c:pt>
                <c:pt idx="8">
                  <c:v>63.3477272727273</c:v>
                </c:pt>
                <c:pt idx="9">
                  <c:v>62.9063333333334</c:v>
                </c:pt>
                <c:pt idx="10">
                  <c:v>62.5133076923077</c:v>
                </c:pt>
                <c:pt idx="11">
                  <c:v>62.2487142857143</c:v>
                </c:pt>
                <c:pt idx="12">
                  <c:v>61.9578666666667</c:v>
                </c:pt>
                <c:pt idx="13">
                  <c:v>61.8145625</c:v>
                </c:pt>
                <c:pt idx="14">
                  <c:v>61.7399411764706</c:v>
                </c:pt>
                <c:pt idx="15">
                  <c:v>61.4350555555556</c:v>
                </c:pt>
                <c:pt idx="16">
                  <c:v>61.6768421052632</c:v>
                </c:pt>
                <c:pt idx="17">
                  <c:v>61.37625</c:v>
                </c:pt>
                <c:pt idx="18">
                  <c:v>61.0347142857143</c:v>
                </c:pt>
                <c:pt idx="19">
                  <c:v>61.1276363636364</c:v>
                </c:pt>
                <c:pt idx="20">
                  <c:v>61.002652173913</c:v>
                </c:pt>
                <c:pt idx="21">
                  <c:v>60.7639583333333</c:v>
                </c:pt>
                <c:pt idx="22">
                  <c:v>60.56628</c:v>
                </c:pt>
                <c:pt idx="23">
                  <c:v>60.3847307692308</c:v>
                </c:pt>
                <c:pt idx="24">
                  <c:v>60.3802962962963</c:v>
                </c:pt>
                <c:pt idx="25">
                  <c:v>59.8772857142857</c:v>
                </c:pt>
                <c:pt idx="26">
                  <c:v>59.660724137931</c:v>
                </c:pt>
                <c:pt idx="27">
                  <c:v>59.5606666666667</c:v>
                </c:pt>
              </c:numCache>
            </c:numRef>
          </c:val>
          <c:smooth val="0"/>
        </c:ser>
        <c:hiLowLines>
          <c:spPr>
            <a:ln w="0">
              <a:noFill/>
            </a:ln>
          </c:spPr>
        </c:hiLowLines>
        <c:marker val="0"/>
        <c:axId val="90452405"/>
        <c:axId val="4483141"/>
      </c:lineChart>
      <c:catAx>
        <c:axId val="90452405"/>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4483141"/>
        <c:auto val="1"/>
        <c:lblAlgn val="ctr"/>
        <c:lblOffset val="100"/>
        <c:noMultiLvlLbl val="0"/>
      </c:catAx>
      <c:valAx>
        <c:axId val="4483141"/>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90452405"/>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month 2022</a:t>
            </a:r>
          </a:p>
        </c:rich>
      </c:tx>
      <c:layout>
        <c:manualLayout>
          <c:xMode val="edge"/>
          <c:yMode val="edge"/>
          <c:x val="0.381260096930533"/>
          <c:y val="0.0270981320705078"/>
        </c:manualLayout>
      </c:layout>
      <c:overlay val="0"/>
      <c:spPr>
        <a:noFill/>
        <a:ln w="0">
          <a:noFill/>
        </a:ln>
      </c:spPr>
    </c:title>
    <c:autoTitleDeleted val="0"/>
    <c:plotArea>
      <c:layout>
        <c:manualLayout>
          <c:layoutTarget val="inner"/>
          <c:xMode val="edge"/>
          <c:yMode val="edge"/>
          <c:x val="0.180090776213555"/>
          <c:y val="0.140840129790406"/>
          <c:w val="0.668974536502808"/>
          <c:h val="0.700254319038849"/>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AUG!$H$2:$H$34</c:f>
              <c:numCache>
                <c:formatCode>0.00</c:formatCode>
                <c:ptCount val="33"/>
                <c:pt idx="0">
                  <c:v>66.554</c:v>
                </c:pt>
                <c:pt idx="1">
                  <c:v>66.471</c:v>
                </c:pt>
                <c:pt idx="2">
                  <c:v>66.694</c:v>
                </c:pt>
                <c:pt idx="3">
                  <c:v>67.5</c:v>
                </c:pt>
                <c:pt idx="4">
                  <c:v>65.384</c:v>
                </c:pt>
                <c:pt idx="5">
                  <c:v>59.412</c:v>
                </c:pt>
                <c:pt idx="6">
                  <c:v>62.047</c:v>
                </c:pt>
                <c:pt idx="7">
                  <c:v>59.253</c:v>
                </c:pt>
                <c:pt idx="8">
                  <c:v>57.604</c:v>
                </c:pt>
                <c:pt idx="9">
                  <c:v>60.162</c:v>
                </c:pt>
                <c:pt idx="10">
                  <c:v>65.744</c:v>
                </c:pt>
                <c:pt idx="11">
                  <c:v>58.051</c:v>
                </c:pt>
                <c:pt idx="12">
                  <c:v>57.797</c:v>
                </c:pt>
                <c:pt idx="13">
                  <c:v>58.809</c:v>
                </c:pt>
                <c:pt idx="14">
                  <c:v>57.886</c:v>
                </c:pt>
                <c:pt idx="15">
                  <c:v>59.665</c:v>
                </c:pt>
                <c:pt idx="16">
                  <c:v>60.546</c:v>
                </c:pt>
                <c:pt idx="17">
                  <c:v>56.252</c:v>
                </c:pt>
                <c:pt idx="18">
                  <c:v>66.029</c:v>
                </c:pt>
                <c:pt idx="19">
                  <c:v>55.665</c:v>
                </c:pt>
                <c:pt idx="20">
                  <c:v>54.204</c:v>
                </c:pt>
                <c:pt idx="21">
                  <c:v>63.079</c:v>
                </c:pt>
                <c:pt idx="22">
                  <c:v>58.253</c:v>
                </c:pt>
                <c:pt idx="23">
                  <c:v>55.274</c:v>
                </c:pt>
                <c:pt idx="24">
                  <c:v>55.822</c:v>
                </c:pt>
                <c:pt idx="25">
                  <c:v>55.846</c:v>
                </c:pt>
                <c:pt idx="26">
                  <c:v>60.265</c:v>
                </c:pt>
                <c:pt idx="27">
                  <c:v>46.296</c:v>
                </c:pt>
                <c:pt idx="28">
                  <c:v>53.597</c:v>
                </c:pt>
                <c:pt idx="29">
                  <c:v>56.659</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AUG!$K$2:$K$34</c:f>
              <c:numCache>
                <c:formatCode>0.00</c:formatCode>
                <c:ptCount val="33"/>
                <c:pt idx="0">
                  <c:v>7.40914838709677</c:v>
                </c:pt>
                <c:pt idx="1">
                  <c:v>7.40004516129032</c:v>
                </c:pt>
                <c:pt idx="2">
                  <c:v>7.42450322580645</c:v>
                </c:pt>
                <c:pt idx="3">
                  <c:v>7.51290322580645</c:v>
                </c:pt>
                <c:pt idx="4">
                  <c:v>7.28082580645161</c:v>
                </c:pt>
                <c:pt idx="5">
                  <c:v>6.62583225806452</c:v>
                </c:pt>
                <c:pt idx="6">
                  <c:v>6.91483225806452</c:v>
                </c:pt>
                <c:pt idx="7">
                  <c:v>6.6083935483871</c:v>
                </c:pt>
                <c:pt idx="8">
                  <c:v>6.42753548387097</c:v>
                </c:pt>
                <c:pt idx="9">
                  <c:v>6.70809032258065</c:v>
                </c:pt>
                <c:pt idx="10">
                  <c:v>7.32030967741935</c:v>
                </c:pt>
                <c:pt idx="11">
                  <c:v>6.47656129032258</c:v>
                </c:pt>
                <c:pt idx="12">
                  <c:v>6.44870322580645</c:v>
                </c:pt>
                <c:pt idx="13">
                  <c:v>6.55969677419355</c:v>
                </c:pt>
                <c:pt idx="14">
                  <c:v>6.45846451612903</c:v>
                </c:pt>
                <c:pt idx="15">
                  <c:v>6.65358064516129</c:v>
                </c:pt>
                <c:pt idx="16">
                  <c:v>6.7502064516129</c:v>
                </c:pt>
                <c:pt idx="17">
                  <c:v>6.27925161290323</c:v>
                </c:pt>
                <c:pt idx="18">
                  <c:v>7.35156774193548</c:v>
                </c:pt>
                <c:pt idx="19">
                  <c:v>6.21487096774194</c:v>
                </c:pt>
                <c:pt idx="20">
                  <c:v>6.05463225806452</c:v>
                </c:pt>
                <c:pt idx="21">
                  <c:v>7.02801935483871</c:v>
                </c:pt>
                <c:pt idx="22">
                  <c:v>6.49871612903226</c:v>
                </c:pt>
                <c:pt idx="23">
                  <c:v>6.17198709677419</c:v>
                </c:pt>
                <c:pt idx="24">
                  <c:v>6.23209032258065</c:v>
                </c:pt>
                <c:pt idx="25">
                  <c:v>6.23472258064516</c:v>
                </c:pt>
                <c:pt idx="26">
                  <c:v>6.71938709677419</c:v>
                </c:pt>
                <c:pt idx="27">
                  <c:v>5.18730322580645</c:v>
                </c:pt>
                <c:pt idx="28">
                  <c:v>5.98805806451613</c:v>
                </c:pt>
                <c:pt idx="29">
                  <c:v>6.32389032258065</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AUG!$J$4:$J$34</c:f>
              <c:numCache>
                <c:formatCode>0.00</c:formatCode>
                <c:ptCount val="31"/>
                <c:pt idx="0">
                  <c:v>66.573</c:v>
                </c:pt>
                <c:pt idx="1">
                  <c:v>66.80475</c:v>
                </c:pt>
                <c:pt idx="2">
                  <c:v>66.5206</c:v>
                </c:pt>
                <c:pt idx="3">
                  <c:v>65.3358333333333</c:v>
                </c:pt>
                <c:pt idx="4">
                  <c:v>64.866</c:v>
                </c:pt>
                <c:pt idx="5">
                  <c:v>64.164375</c:v>
                </c:pt>
                <c:pt idx="6">
                  <c:v>63.4354444444445</c:v>
                </c:pt>
                <c:pt idx="7">
                  <c:v>63.1081</c:v>
                </c:pt>
                <c:pt idx="8">
                  <c:v>63.3477272727273</c:v>
                </c:pt>
                <c:pt idx="9">
                  <c:v>62.9063333333334</c:v>
                </c:pt>
                <c:pt idx="10">
                  <c:v>62.5133076923077</c:v>
                </c:pt>
                <c:pt idx="11">
                  <c:v>62.2487142857143</c:v>
                </c:pt>
                <c:pt idx="12">
                  <c:v>61.9578666666667</c:v>
                </c:pt>
                <c:pt idx="13">
                  <c:v>61.8145625</c:v>
                </c:pt>
                <c:pt idx="14">
                  <c:v>61.7399411764706</c:v>
                </c:pt>
                <c:pt idx="15">
                  <c:v>61.4350555555556</c:v>
                </c:pt>
                <c:pt idx="16">
                  <c:v>61.6768421052632</c:v>
                </c:pt>
                <c:pt idx="17">
                  <c:v>61.37625</c:v>
                </c:pt>
                <c:pt idx="18">
                  <c:v>61.0347142857143</c:v>
                </c:pt>
                <c:pt idx="19">
                  <c:v>61.1276363636364</c:v>
                </c:pt>
                <c:pt idx="20">
                  <c:v>61.002652173913</c:v>
                </c:pt>
                <c:pt idx="21">
                  <c:v>60.7639583333333</c:v>
                </c:pt>
                <c:pt idx="22">
                  <c:v>60.56628</c:v>
                </c:pt>
                <c:pt idx="23">
                  <c:v>60.3847307692308</c:v>
                </c:pt>
                <c:pt idx="24">
                  <c:v>60.3802962962963</c:v>
                </c:pt>
                <c:pt idx="25">
                  <c:v>59.8772857142857</c:v>
                </c:pt>
                <c:pt idx="26">
                  <c:v>59.660724137931</c:v>
                </c:pt>
                <c:pt idx="27">
                  <c:v>59.5606666666667</c:v>
                </c:pt>
              </c:numCache>
            </c:numRef>
          </c:val>
          <c:smooth val="0"/>
        </c:ser>
        <c:hiLowLines>
          <c:spPr>
            <a:ln w="0">
              <a:noFill/>
            </a:ln>
          </c:spPr>
        </c:hiLowLines>
        <c:marker val="0"/>
        <c:axId val="57384560"/>
        <c:axId val="14072968"/>
      </c:lineChart>
      <c:catAx>
        <c:axId val="57384560"/>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14072968"/>
        <c:auto val="1"/>
        <c:lblAlgn val="ctr"/>
        <c:lblOffset val="100"/>
        <c:noMultiLvlLbl val="0"/>
      </c:catAx>
      <c:valAx>
        <c:axId val="14072968"/>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57384560"/>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month 2022</a:t>
            </a:r>
          </a:p>
        </c:rich>
      </c:tx>
      <c:layout>
        <c:manualLayout>
          <c:xMode val="edge"/>
          <c:yMode val="edge"/>
          <c:x val="0.381260096930533"/>
          <c:y val="0.0270981320705078"/>
        </c:manualLayout>
      </c:layout>
      <c:overlay val="0"/>
      <c:spPr>
        <a:noFill/>
        <a:ln w="0">
          <a:noFill/>
        </a:ln>
      </c:spPr>
    </c:title>
    <c:autoTitleDeleted val="0"/>
    <c:plotArea>
      <c:layout>
        <c:manualLayout>
          <c:layoutTarget val="inner"/>
          <c:xMode val="edge"/>
          <c:yMode val="edge"/>
          <c:x val="0.180090776213555"/>
          <c:y val="0.140840129790406"/>
          <c:w val="0.668974536502808"/>
          <c:h val="0.700254319038849"/>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AUG!$H$2:$H$34</c:f>
              <c:numCache>
                <c:formatCode>0.00</c:formatCode>
                <c:ptCount val="33"/>
                <c:pt idx="0">
                  <c:v>66.554</c:v>
                </c:pt>
                <c:pt idx="1">
                  <c:v>66.471</c:v>
                </c:pt>
                <c:pt idx="2">
                  <c:v>66.694</c:v>
                </c:pt>
                <c:pt idx="3">
                  <c:v>67.5</c:v>
                </c:pt>
                <c:pt idx="4">
                  <c:v>65.384</c:v>
                </c:pt>
                <c:pt idx="5">
                  <c:v>59.412</c:v>
                </c:pt>
                <c:pt idx="6">
                  <c:v>62.047</c:v>
                </c:pt>
                <c:pt idx="7">
                  <c:v>59.253</c:v>
                </c:pt>
                <c:pt idx="8">
                  <c:v>57.604</c:v>
                </c:pt>
                <c:pt idx="9">
                  <c:v>60.162</c:v>
                </c:pt>
                <c:pt idx="10">
                  <c:v>65.744</c:v>
                </c:pt>
                <c:pt idx="11">
                  <c:v>58.051</c:v>
                </c:pt>
                <c:pt idx="12">
                  <c:v>57.797</c:v>
                </c:pt>
                <c:pt idx="13">
                  <c:v>58.809</c:v>
                </c:pt>
                <c:pt idx="14">
                  <c:v>57.886</c:v>
                </c:pt>
                <c:pt idx="15">
                  <c:v>59.665</c:v>
                </c:pt>
                <c:pt idx="16">
                  <c:v>60.546</c:v>
                </c:pt>
                <c:pt idx="17">
                  <c:v>56.252</c:v>
                </c:pt>
                <c:pt idx="18">
                  <c:v>66.029</c:v>
                </c:pt>
                <c:pt idx="19">
                  <c:v>55.665</c:v>
                </c:pt>
                <c:pt idx="20">
                  <c:v>54.204</c:v>
                </c:pt>
                <c:pt idx="21">
                  <c:v>63.079</c:v>
                </c:pt>
                <c:pt idx="22">
                  <c:v>58.253</c:v>
                </c:pt>
                <c:pt idx="23">
                  <c:v>55.274</c:v>
                </c:pt>
                <c:pt idx="24">
                  <c:v>55.822</c:v>
                </c:pt>
                <c:pt idx="25">
                  <c:v>55.846</c:v>
                </c:pt>
                <c:pt idx="26">
                  <c:v>60.265</c:v>
                </c:pt>
                <c:pt idx="27">
                  <c:v>46.296</c:v>
                </c:pt>
                <c:pt idx="28">
                  <c:v>53.597</c:v>
                </c:pt>
                <c:pt idx="29">
                  <c:v>56.659</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AUG!$K$2:$K$34</c:f>
              <c:numCache>
                <c:formatCode>0.00</c:formatCode>
                <c:ptCount val="33"/>
                <c:pt idx="0">
                  <c:v>7.40914838709677</c:v>
                </c:pt>
                <c:pt idx="1">
                  <c:v>7.40004516129032</c:v>
                </c:pt>
                <c:pt idx="2">
                  <c:v>7.42450322580645</c:v>
                </c:pt>
                <c:pt idx="3">
                  <c:v>7.51290322580645</c:v>
                </c:pt>
                <c:pt idx="4">
                  <c:v>7.28082580645161</c:v>
                </c:pt>
                <c:pt idx="5">
                  <c:v>6.62583225806452</c:v>
                </c:pt>
                <c:pt idx="6">
                  <c:v>6.91483225806452</c:v>
                </c:pt>
                <c:pt idx="7">
                  <c:v>6.6083935483871</c:v>
                </c:pt>
                <c:pt idx="8">
                  <c:v>6.42753548387097</c:v>
                </c:pt>
                <c:pt idx="9">
                  <c:v>6.70809032258065</c:v>
                </c:pt>
                <c:pt idx="10">
                  <c:v>7.32030967741935</c:v>
                </c:pt>
                <c:pt idx="11">
                  <c:v>6.47656129032258</c:v>
                </c:pt>
                <c:pt idx="12">
                  <c:v>6.44870322580645</c:v>
                </c:pt>
                <c:pt idx="13">
                  <c:v>6.55969677419355</c:v>
                </c:pt>
                <c:pt idx="14">
                  <c:v>6.45846451612903</c:v>
                </c:pt>
                <c:pt idx="15">
                  <c:v>6.65358064516129</c:v>
                </c:pt>
                <c:pt idx="16">
                  <c:v>6.7502064516129</c:v>
                </c:pt>
                <c:pt idx="17">
                  <c:v>6.27925161290323</c:v>
                </c:pt>
                <c:pt idx="18">
                  <c:v>7.35156774193548</c:v>
                </c:pt>
                <c:pt idx="19">
                  <c:v>6.21487096774194</c:v>
                </c:pt>
                <c:pt idx="20">
                  <c:v>6.05463225806452</c:v>
                </c:pt>
                <c:pt idx="21">
                  <c:v>7.02801935483871</c:v>
                </c:pt>
                <c:pt idx="22">
                  <c:v>6.49871612903226</c:v>
                </c:pt>
                <c:pt idx="23">
                  <c:v>6.17198709677419</c:v>
                </c:pt>
                <c:pt idx="24">
                  <c:v>6.23209032258065</c:v>
                </c:pt>
                <c:pt idx="25">
                  <c:v>6.23472258064516</c:v>
                </c:pt>
                <c:pt idx="26">
                  <c:v>6.71938709677419</c:v>
                </c:pt>
                <c:pt idx="27">
                  <c:v>5.18730322580645</c:v>
                </c:pt>
                <c:pt idx="28">
                  <c:v>5.98805806451613</c:v>
                </c:pt>
                <c:pt idx="29">
                  <c:v>6.32389032258065</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AUG!$J$4:$J$34</c:f>
              <c:numCache>
                <c:formatCode>0.00</c:formatCode>
                <c:ptCount val="31"/>
                <c:pt idx="0">
                  <c:v>66.573</c:v>
                </c:pt>
                <c:pt idx="1">
                  <c:v>66.80475</c:v>
                </c:pt>
                <c:pt idx="2">
                  <c:v>66.5206</c:v>
                </c:pt>
                <c:pt idx="3">
                  <c:v>65.3358333333333</c:v>
                </c:pt>
                <c:pt idx="4">
                  <c:v>64.866</c:v>
                </c:pt>
                <c:pt idx="5">
                  <c:v>64.164375</c:v>
                </c:pt>
                <c:pt idx="6">
                  <c:v>63.4354444444445</c:v>
                </c:pt>
                <c:pt idx="7">
                  <c:v>63.1081</c:v>
                </c:pt>
                <c:pt idx="8">
                  <c:v>63.3477272727273</c:v>
                </c:pt>
                <c:pt idx="9">
                  <c:v>62.9063333333334</c:v>
                </c:pt>
                <c:pt idx="10">
                  <c:v>62.5133076923077</c:v>
                </c:pt>
                <c:pt idx="11">
                  <c:v>62.2487142857143</c:v>
                </c:pt>
                <c:pt idx="12">
                  <c:v>61.9578666666667</c:v>
                </c:pt>
                <c:pt idx="13">
                  <c:v>61.8145625</c:v>
                </c:pt>
                <c:pt idx="14">
                  <c:v>61.7399411764706</c:v>
                </c:pt>
                <c:pt idx="15">
                  <c:v>61.4350555555556</c:v>
                </c:pt>
                <c:pt idx="16">
                  <c:v>61.6768421052632</c:v>
                </c:pt>
                <c:pt idx="17">
                  <c:v>61.37625</c:v>
                </c:pt>
                <c:pt idx="18">
                  <c:v>61.0347142857143</c:v>
                </c:pt>
                <c:pt idx="19">
                  <c:v>61.1276363636364</c:v>
                </c:pt>
                <c:pt idx="20">
                  <c:v>61.002652173913</c:v>
                </c:pt>
                <c:pt idx="21">
                  <c:v>60.7639583333333</c:v>
                </c:pt>
                <c:pt idx="22">
                  <c:v>60.56628</c:v>
                </c:pt>
                <c:pt idx="23">
                  <c:v>60.3847307692308</c:v>
                </c:pt>
                <c:pt idx="24">
                  <c:v>60.3802962962963</c:v>
                </c:pt>
                <c:pt idx="25">
                  <c:v>59.8772857142857</c:v>
                </c:pt>
                <c:pt idx="26">
                  <c:v>59.660724137931</c:v>
                </c:pt>
                <c:pt idx="27">
                  <c:v>59.5606666666667</c:v>
                </c:pt>
              </c:numCache>
            </c:numRef>
          </c:val>
          <c:smooth val="0"/>
        </c:ser>
        <c:hiLowLines>
          <c:spPr>
            <a:ln w="0">
              <a:noFill/>
            </a:ln>
          </c:spPr>
        </c:hiLowLines>
        <c:marker val="0"/>
        <c:axId val="77447505"/>
        <c:axId val="35648901"/>
      </c:lineChart>
      <c:catAx>
        <c:axId val="77447505"/>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35648901"/>
        <c:auto val="1"/>
        <c:lblAlgn val="ctr"/>
        <c:lblOffset val="100"/>
        <c:noMultiLvlLbl val="0"/>
      </c:catAx>
      <c:valAx>
        <c:axId val="35648901"/>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77447505"/>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month 2022</a:t>
            </a:r>
          </a:p>
        </c:rich>
      </c:tx>
      <c:layout>
        <c:manualLayout>
          <c:xMode val="edge"/>
          <c:yMode val="edge"/>
          <c:x val="0.381304381304381"/>
          <c:y val="0.0270242708545788"/>
        </c:manualLayout>
      </c:layout>
      <c:overlay val="0"/>
      <c:spPr>
        <a:noFill/>
        <a:ln w="0">
          <a:noFill/>
        </a:ln>
      </c:spPr>
    </c:title>
    <c:autoTitleDeleted val="0"/>
    <c:plotArea>
      <c:layout>
        <c:manualLayout>
          <c:layoutTarget val="inner"/>
          <c:xMode val="edge"/>
          <c:yMode val="edge"/>
          <c:x val="0.18010318010318"/>
          <c:y val="0.14083214358556"/>
          <c:w val="0.668976668976669"/>
          <c:h val="0.70018356108505"/>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AUG!$H$2:$H$34</c:f>
              <c:numCache>
                <c:formatCode>0.00</c:formatCode>
                <c:ptCount val="33"/>
                <c:pt idx="0">
                  <c:v>66.554</c:v>
                </c:pt>
                <c:pt idx="1">
                  <c:v>66.471</c:v>
                </c:pt>
                <c:pt idx="2">
                  <c:v>66.694</c:v>
                </c:pt>
                <c:pt idx="3">
                  <c:v>67.5</c:v>
                </c:pt>
                <c:pt idx="4">
                  <c:v>65.384</c:v>
                </c:pt>
                <c:pt idx="5">
                  <c:v>59.412</c:v>
                </c:pt>
                <c:pt idx="6">
                  <c:v>62.047</c:v>
                </c:pt>
                <c:pt idx="7">
                  <c:v>59.253</c:v>
                </c:pt>
                <c:pt idx="8">
                  <c:v>57.604</c:v>
                </c:pt>
                <c:pt idx="9">
                  <c:v>60.162</c:v>
                </c:pt>
                <c:pt idx="10">
                  <c:v>65.744</c:v>
                </c:pt>
                <c:pt idx="11">
                  <c:v>58.051</c:v>
                </c:pt>
                <c:pt idx="12">
                  <c:v>57.797</c:v>
                </c:pt>
                <c:pt idx="13">
                  <c:v>58.809</c:v>
                </c:pt>
                <c:pt idx="14">
                  <c:v>57.886</c:v>
                </c:pt>
                <c:pt idx="15">
                  <c:v>59.665</c:v>
                </c:pt>
                <c:pt idx="16">
                  <c:v>60.546</c:v>
                </c:pt>
                <c:pt idx="17">
                  <c:v>56.252</c:v>
                </c:pt>
                <c:pt idx="18">
                  <c:v>66.029</c:v>
                </c:pt>
                <c:pt idx="19">
                  <c:v>55.665</c:v>
                </c:pt>
                <c:pt idx="20">
                  <c:v>54.204</c:v>
                </c:pt>
                <c:pt idx="21">
                  <c:v>63.079</c:v>
                </c:pt>
                <c:pt idx="22">
                  <c:v>58.253</c:v>
                </c:pt>
                <c:pt idx="23">
                  <c:v>55.274</c:v>
                </c:pt>
                <c:pt idx="24">
                  <c:v>55.822</c:v>
                </c:pt>
                <c:pt idx="25">
                  <c:v>55.846</c:v>
                </c:pt>
                <c:pt idx="26">
                  <c:v>60.265</c:v>
                </c:pt>
                <c:pt idx="27">
                  <c:v>46.296</c:v>
                </c:pt>
                <c:pt idx="28">
                  <c:v>53.597</c:v>
                </c:pt>
                <c:pt idx="29">
                  <c:v>56.659</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AUG!$K$2:$K$34</c:f>
              <c:numCache>
                <c:formatCode>0.00</c:formatCode>
                <c:ptCount val="33"/>
                <c:pt idx="0">
                  <c:v>7.40914838709677</c:v>
                </c:pt>
                <c:pt idx="1">
                  <c:v>7.40004516129032</c:v>
                </c:pt>
                <c:pt idx="2">
                  <c:v>7.42450322580645</c:v>
                </c:pt>
                <c:pt idx="3">
                  <c:v>7.51290322580645</c:v>
                </c:pt>
                <c:pt idx="4">
                  <c:v>7.28082580645161</c:v>
                </c:pt>
                <c:pt idx="5">
                  <c:v>6.62583225806452</c:v>
                </c:pt>
                <c:pt idx="6">
                  <c:v>6.91483225806452</c:v>
                </c:pt>
                <c:pt idx="7">
                  <c:v>6.6083935483871</c:v>
                </c:pt>
                <c:pt idx="8">
                  <c:v>6.42753548387097</c:v>
                </c:pt>
                <c:pt idx="9">
                  <c:v>6.70809032258065</c:v>
                </c:pt>
                <c:pt idx="10">
                  <c:v>7.32030967741935</c:v>
                </c:pt>
                <c:pt idx="11">
                  <c:v>6.47656129032258</c:v>
                </c:pt>
                <c:pt idx="12">
                  <c:v>6.44870322580645</c:v>
                </c:pt>
                <c:pt idx="13">
                  <c:v>6.55969677419355</c:v>
                </c:pt>
                <c:pt idx="14">
                  <c:v>6.45846451612903</c:v>
                </c:pt>
                <c:pt idx="15">
                  <c:v>6.65358064516129</c:v>
                </c:pt>
                <c:pt idx="16">
                  <c:v>6.7502064516129</c:v>
                </c:pt>
                <c:pt idx="17">
                  <c:v>6.27925161290323</c:v>
                </c:pt>
                <c:pt idx="18">
                  <c:v>7.35156774193548</c:v>
                </c:pt>
                <c:pt idx="19">
                  <c:v>6.21487096774194</c:v>
                </c:pt>
                <c:pt idx="20">
                  <c:v>6.05463225806452</c:v>
                </c:pt>
                <c:pt idx="21">
                  <c:v>7.02801935483871</c:v>
                </c:pt>
                <c:pt idx="22">
                  <c:v>6.49871612903226</c:v>
                </c:pt>
                <c:pt idx="23">
                  <c:v>6.17198709677419</c:v>
                </c:pt>
                <c:pt idx="24">
                  <c:v>6.23209032258065</c:v>
                </c:pt>
                <c:pt idx="25">
                  <c:v>6.23472258064516</c:v>
                </c:pt>
                <c:pt idx="26">
                  <c:v>6.71938709677419</c:v>
                </c:pt>
                <c:pt idx="27">
                  <c:v>5.18730322580645</c:v>
                </c:pt>
                <c:pt idx="28">
                  <c:v>5.98805806451613</c:v>
                </c:pt>
                <c:pt idx="29">
                  <c:v>6.32389032258065</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AUG!$J$4:$J$34</c:f>
              <c:numCache>
                <c:formatCode>0.00</c:formatCode>
                <c:ptCount val="31"/>
                <c:pt idx="0">
                  <c:v>66.573</c:v>
                </c:pt>
                <c:pt idx="1">
                  <c:v>66.80475</c:v>
                </c:pt>
                <c:pt idx="2">
                  <c:v>66.5206</c:v>
                </c:pt>
                <c:pt idx="3">
                  <c:v>65.3358333333333</c:v>
                </c:pt>
                <c:pt idx="4">
                  <c:v>64.866</c:v>
                </c:pt>
                <c:pt idx="5">
                  <c:v>64.164375</c:v>
                </c:pt>
                <c:pt idx="6">
                  <c:v>63.4354444444445</c:v>
                </c:pt>
                <c:pt idx="7">
                  <c:v>63.1081</c:v>
                </c:pt>
                <c:pt idx="8">
                  <c:v>63.3477272727273</c:v>
                </c:pt>
                <c:pt idx="9">
                  <c:v>62.9063333333334</c:v>
                </c:pt>
                <c:pt idx="10">
                  <c:v>62.5133076923077</c:v>
                </c:pt>
                <c:pt idx="11">
                  <c:v>62.2487142857143</c:v>
                </c:pt>
                <c:pt idx="12">
                  <c:v>61.9578666666667</c:v>
                </c:pt>
                <c:pt idx="13">
                  <c:v>61.8145625</c:v>
                </c:pt>
                <c:pt idx="14">
                  <c:v>61.7399411764706</c:v>
                </c:pt>
                <c:pt idx="15">
                  <c:v>61.4350555555556</c:v>
                </c:pt>
                <c:pt idx="16">
                  <c:v>61.6768421052632</c:v>
                </c:pt>
                <c:pt idx="17">
                  <c:v>61.37625</c:v>
                </c:pt>
                <c:pt idx="18">
                  <c:v>61.0347142857143</c:v>
                </c:pt>
                <c:pt idx="19">
                  <c:v>61.1276363636364</c:v>
                </c:pt>
                <c:pt idx="20">
                  <c:v>61.002652173913</c:v>
                </c:pt>
                <c:pt idx="21">
                  <c:v>60.7639583333333</c:v>
                </c:pt>
                <c:pt idx="22">
                  <c:v>60.56628</c:v>
                </c:pt>
                <c:pt idx="23">
                  <c:v>60.3847307692308</c:v>
                </c:pt>
                <c:pt idx="24">
                  <c:v>60.3802962962963</c:v>
                </c:pt>
                <c:pt idx="25">
                  <c:v>59.8772857142857</c:v>
                </c:pt>
                <c:pt idx="26">
                  <c:v>59.660724137931</c:v>
                </c:pt>
                <c:pt idx="27">
                  <c:v>59.5606666666667</c:v>
                </c:pt>
              </c:numCache>
            </c:numRef>
          </c:val>
          <c:smooth val="0"/>
        </c:ser>
        <c:hiLowLines>
          <c:spPr>
            <a:ln w="0">
              <a:noFill/>
            </a:ln>
          </c:spPr>
        </c:hiLowLines>
        <c:marker val="0"/>
        <c:axId val="74117743"/>
        <c:axId val="38287157"/>
      </c:lineChart>
      <c:catAx>
        <c:axId val="74117743"/>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38287157"/>
        <c:auto val="1"/>
        <c:lblAlgn val="ctr"/>
        <c:lblOffset val="100"/>
        <c:noMultiLvlLbl val="0"/>
      </c:catAx>
      <c:valAx>
        <c:axId val="38287157"/>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74117743"/>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OCTOBER 2022</a:t>
            </a:r>
          </a:p>
        </c:rich>
      </c:tx>
      <c:layout>
        <c:manualLayout>
          <c:xMode val="edge"/>
          <c:yMode val="edge"/>
          <c:x val="0.381254667662435"/>
          <c:y val="0.00225381414701803"/>
        </c:manualLayout>
      </c:layout>
      <c:overlay val="0"/>
      <c:spPr>
        <a:noFill/>
        <a:ln w="0">
          <a:noFill/>
        </a:ln>
      </c:spPr>
    </c:title>
    <c:autoTitleDeleted val="0"/>
    <c:plotArea>
      <c:layout>
        <c:manualLayout>
          <c:layoutTarget val="inner"/>
          <c:xMode val="edge"/>
          <c:yMode val="edge"/>
          <c:x val="0.180134428678118"/>
          <c:y val="0.140863384188627"/>
          <c:w val="0.669006721433906"/>
          <c:h val="0.700242718446602"/>
        </c:manualLayout>
      </c:layout>
      <c:lineChart>
        <c:grouping val="standard"/>
        <c:varyColors val="0"/>
        <c:ser>
          <c:idx val="0"/>
          <c:order val="0"/>
          <c:tx>
            <c:strRef>
              <c:f>"KWH"</c:f>
              <c:strCache>
                <c:ptCount val="1"/>
                <c:pt idx="0">
                  <c:v>KWH</c:v>
                </c:pt>
              </c:strCache>
            </c:strRef>
          </c:tx>
          <c:spPr>
            <a:solidFill>
              <a:srgbClr val="abc0e4"/>
            </a:solidFill>
            <a:ln cap="rnd" w="6660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OCT!$H$2:$H$32</c:f>
              <c:numCache>
                <c:formatCode>0.00</c:formatCode>
                <c:ptCount val="31"/>
                <c:pt idx="0">
                  <c:v>43.951</c:v>
                </c:pt>
                <c:pt idx="1">
                  <c:v>47.724</c:v>
                </c:pt>
                <c:pt idx="2">
                  <c:v>53.896</c:v>
                </c:pt>
                <c:pt idx="3">
                  <c:v>43.372</c:v>
                </c:pt>
                <c:pt idx="4">
                  <c:v>49.632</c:v>
                </c:pt>
                <c:pt idx="5">
                  <c:v>50.785</c:v>
                </c:pt>
                <c:pt idx="6">
                  <c:v>52.979</c:v>
                </c:pt>
                <c:pt idx="7">
                  <c:v>47.815</c:v>
                </c:pt>
                <c:pt idx="8">
                  <c:v>46.24</c:v>
                </c:pt>
                <c:pt idx="9">
                  <c:v>51.191</c:v>
                </c:pt>
                <c:pt idx="10">
                  <c:v>39.005</c:v>
                </c:pt>
                <c:pt idx="11">
                  <c:v>33.988</c:v>
                </c:pt>
                <c:pt idx="12">
                  <c:v>38.472</c:v>
                </c:pt>
                <c:pt idx="13">
                  <c:v>34.644</c:v>
                </c:pt>
                <c:pt idx="14">
                  <c:v>39.88</c:v>
                </c:pt>
                <c:pt idx="15">
                  <c:v>30.164</c:v>
                </c:pt>
                <c:pt idx="16">
                  <c:v>30.134</c:v>
                </c:pt>
                <c:pt idx="17">
                  <c:v>38.385</c:v>
                </c:pt>
                <c:pt idx="18">
                  <c:v>40.021</c:v>
                </c:pt>
                <c:pt idx="19">
                  <c:v>36.743</c:v>
                </c:pt>
                <c:pt idx="20">
                  <c:v>43.131</c:v>
                </c:pt>
                <c:pt idx="21">
                  <c:v>34.622</c:v>
                </c:pt>
                <c:pt idx="22">
                  <c:v>34.058</c:v>
                </c:pt>
                <c:pt idx="23">
                  <c:v>36.516</c:v>
                </c:pt>
                <c:pt idx="24">
                  <c:v>39.341</c:v>
                </c:pt>
                <c:pt idx="25">
                  <c:v>39.897</c:v>
                </c:pt>
                <c:pt idx="26">
                  <c:v>42.066</c:v>
                </c:pt>
                <c:pt idx="27">
                  <c:v>32.383</c:v>
                </c:pt>
                <c:pt idx="28">
                  <c:v>42.413</c:v>
                </c:pt>
                <c:pt idx="29">
                  <c:v>46.002</c:v>
                </c:pt>
                <c:pt idx="30">
                  <c:v>38.029</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OCT!$K$2:$K$32</c:f>
              <c:numCache>
                <c:formatCode>0.00</c:formatCode>
                <c:ptCount val="31"/>
                <c:pt idx="0">
                  <c:v>6.98609887476791</c:v>
                </c:pt>
                <c:pt idx="1">
                  <c:v>7.57622138182341</c:v>
                </c:pt>
                <c:pt idx="2">
                  <c:v>8.54156357995394</c:v>
                </c:pt>
                <c:pt idx="3">
                  <c:v>6.89553939117789</c:v>
                </c:pt>
                <c:pt idx="4">
                  <c:v>7.87464537956046</c:v>
                </c:pt>
                <c:pt idx="5">
                  <c:v>8.05498231320344</c:v>
                </c:pt>
                <c:pt idx="6">
                  <c:v>8.39813862925957</c:v>
                </c:pt>
                <c:pt idx="7">
                  <c:v>7.59045439219766</c:v>
                </c:pt>
                <c:pt idx="8">
                  <c:v>7.34411382802792</c:v>
                </c:pt>
                <c:pt idx="9">
                  <c:v>8.11848343641164</c:v>
                </c:pt>
                <c:pt idx="10">
                  <c:v>6.21251129992124</c:v>
                </c:pt>
                <c:pt idx="11">
                  <c:v>5.42781884884851</c:v>
                </c:pt>
                <c:pt idx="12">
                  <c:v>6.12914652487206</c:v>
                </c:pt>
                <c:pt idx="13">
                  <c:v>5.53042164890904</c:v>
                </c:pt>
                <c:pt idx="14">
                  <c:v>6.34936716890443</c:v>
                </c:pt>
                <c:pt idx="15">
                  <c:v>4.82971959971514</c:v>
                </c:pt>
                <c:pt idx="16">
                  <c:v>4.82502739849285</c:v>
                </c:pt>
                <c:pt idx="17">
                  <c:v>6.11553914132744</c:v>
                </c:pt>
                <c:pt idx="18">
                  <c:v>6.37142051464915</c:v>
                </c:pt>
                <c:pt idx="19">
                  <c:v>5.85871932776128</c:v>
                </c:pt>
                <c:pt idx="20">
                  <c:v>6.85784537469224</c:v>
                </c:pt>
                <c:pt idx="21">
                  <c:v>5.52698070134604</c:v>
                </c:pt>
                <c:pt idx="22">
                  <c:v>5.43876731836716</c:v>
                </c:pt>
                <c:pt idx="23">
                  <c:v>5.82321500517936</c:v>
                </c:pt>
                <c:pt idx="24">
                  <c:v>6.26506395361079</c:v>
                </c:pt>
                <c:pt idx="25">
                  <c:v>6.35202608293039</c:v>
                </c:pt>
                <c:pt idx="26">
                  <c:v>6.69127223130128</c:v>
                </c:pt>
                <c:pt idx="27">
                  <c:v>5.17678608345649</c:v>
                </c:pt>
                <c:pt idx="28">
                  <c:v>6.74554535877232</c:v>
                </c:pt>
                <c:pt idx="29">
                  <c:v>7.3068890316645</c:v>
                </c:pt>
                <c:pt idx="30">
                  <c:v>6.05985835348971</c:v>
                </c:pt>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OCT!$J$2:$J$32</c:f>
              <c:numCache>
                <c:formatCode>0.00</c:formatCode>
                <c:ptCount val="31"/>
                <c:pt idx="0">
                  <c:v>43.951</c:v>
                </c:pt>
                <c:pt idx="1">
                  <c:v>45.8375</c:v>
                </c:pt>
                <c:pt idx="2">
                  <c:v>45.8375</c:v>
                </c:pt>
                <c:pt idx="3">
                  <c:v>36.39275</c:v>
                </c:pt>
                <c:pt idx="4">
                  <c:v>37.7886</c:v>
                </c:pt>
                <c:pt idx="5">
                  <c:v>39.7625</c:v>
                </c:pt>
                <c:pt idx="6">
                  <c:v>41.3371428571429</c:v>
                </c:pt>
                <c:pt idx="7">
                  <c:v>42.792375</c:v>
                </c:pt>
                <c:pt idx="8">
                  <c:v>43.3504444444444</c:v>
                </c:pt>
                <c:pt idx="9">
                  <c:v>43.6394</c:v>
                </c:pt>
                <c:pt idx="10">
                  <c:v>44.3259090909091</c:v>
                </c:pt>
                <c:pt idx="11">
                  <c:v>43.8825</c:v>
                </c:pt>
                <c:pt idx="12">
                  <c:v>43.1213846153846</c:v>
                </c:pt>
                <c:pt idx="13">
                  <c:v>42.7892857142857</c:v>
                </c:pt>
                <c:pt idx="14">
                  <c:v>42.2462666666667</c:v>
                </c:pt>
                <c:pt idx="15">
                  <c:v>42.098375</c:v>
                </c:pt>
                <c:pt idx="16">
                  <c:v>41.3963529411765</c:v>
                </c:pt>
                <c:pt idx="17">
                  <c:v>40.7706666666667</c:v>
                </c:pt>
                <c:pt idx="18">
                  <c:v>40.6451052631579</c:v>
                </c:pt>
                <c:pt idx="19">
                  <c:v>40.6139</c:v>
                </c:pt>
                <c:pt idx="20">
                  <c:v>40.4295714285714</c:v>
                </c:pt>
                <c:pt idx="21">
                  <c:v>40.5523636363636</c:v>
                </c:pt>
                <c:pt idx="22">
                  <c:v>40.2945217391304</c:v>
                </c:pt>
                <c:pt idx="23">
                  <c:v>40.0346666666667</c:v>
                </c:pt>
                <c:pt idx="24">
                  <c:v>39.89392</c:v>
                </c:pt>
                <c:pt idx="25">
                  <c:v>39.8726538461538</c:v>
                </c:pt>
                <c:pt idx="26">
                  <c:v>39.8735555555556</c:v>
                </c:pt>
                <c:pt idx="27">
                  <c:v>39.9518571428571</c:v>
                </c:pt>
                <c:pt idx="28">
                  <c:v>39.6908620689655</c:v>
                </c:pt>
                <c:pt idx="29">
                  <c:v>39.7816</c:v>
                </c:pt>
                <c:pt idx="30">
                  <c:v>39.9822580645161</c:v>
                </c:pt>
              </c:numCache>
            </c:numRef>
          </c:val>
          <c:smooth val="0"/>
        </c:ser>
        <c:hiLowLines>
          <c:spPr>
            <a:ln w="0">
              <a:noFill/>
            </a:ln>
          </c:spPr>
        </c:hiLowLines>
        <c:marker val="0"/>
        <c:axId val="73825846"/>
        <c:axId val="15221399"/>
      </c:lineChart>
      <c:catAx>
        <c:axId val="73825846"/>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15221399"/>
        <c:auto val="1"/>
        <c:lblAlgn val="ctr"/>
        <c:lblOffset val="100"/>
        <c:noMultiLvlLbl val="0"/>
      </c:catAx>
      <c:valAx>
        <c:axId val="15221399"/>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73825846"/>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SEPTEMBER 2022</a:t>
            </a:r>
          </a:p>
        </c:rich>
      </c:tx>
      <c:layout>
        <c:manualLayout>
          <c:xMode val="edge"/>
          <c:yMode val="edge"/>
          <c:x val="0.381229355163004"/>
          <c:y val="0.0270417705735661"/>
        </c:manualLayout>
      </c:layout>
      <c:overlay val="0"/>
      <c:spPr>
        <a:noFill/>
        <a:ln w="0">
          <a:noFill/>
        </a:ln>
      </c:spPr>
    </c:title>
    <c:autoTitleDeleted val="0"/>
    <c:plotArea>
      <c:layout>
        <c:manualLayout>
          <c:layoutTarget val="inner"/>
          <c:xMode val="edge"/>
          <c:yMode val="edge"/>
          <c:x val="0.180130690794198"/>
          <c:y val="0.140897755610973"/>
          <c:w val="0.669036334913112"/>
          <c:h val="0.637001246882793"/>
        </c:manualLayout>
      </c:layout>
      <c:lineChart>
        <c:grouping val="standard"/>
        <c:varyColors val="0"/>
        <c:ser>
          <c:idx val="0"/>
          <c:order val="0"/>
          <c:tx>
            <c:strRef>
              <c:f>"KWH"</c:f>
              <c:strCache>
                <c:ptCount val="1"/>
                <c:pt idx="0">
                  <c:v>KWH</c:v>
                </c:pt>
              </c:strCache>
            </c:strRef>
          </c:tx>
          <c:spPr>
            <a:solidFill>
              <a:srgbClr val="abc0e4"/>
            </a:solidFill>
            <a:ln cap="rnd" w="38160">
              <a:solidFill>
                <a:srgbClr val="abc0e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0070c0"/>
                </a:solidFill>
                <a:prstDash val="dashDot"/>
                <a:round/>
              </a:ln>
            </c:spPr>
            <c:trendlineType val="log"/>
            <c:forward val="0"/>
            <c:backward val="0"/>
            <c:dispRSqr val="0"/>
            <c:dispEq val="0"/>
          </c:trendline>
          <c:val>
            <c:numRef>
              <c:f>SEP!$H$2:$H$32</c:f>
              <c:numCache>
                <c:formatCode>0.00</c:formatCode>
                <c:ptCount val="31"/>
                <c:pt idx="0">
                  <c:v>60.927</c:v>
                </c:pt>
                <c:pt idx="1">
                  <c:v>39.593</c:v>
                </c:pt>
                <c:pt idx="2">
                  <c:v>40.221</c:v>
                </c:pt>
                <c:pt idx="3">
                  <c:v>46.565</c:v>
                </c:pt>
                <c:pt idx="4">
                  <c:v>53.168</c:v>
                </c:pt>
                <c:pt idx="5">
                  <c:v>37.891</c:v>
                </c:pt>
                <c:pt idx="6">
                  <c:v>40.356</c:v>
                </c:pt>
                <c:pt idx="7">
                  <c:v>44.988</c:v>
                </c:pt>
                <c:pt idx="8">
                  <c:v>48.37</c:v>
                </c:pt>
                <c:pt idx="9">
                  <c:v>48.285</c:v>
                </c:pt>
                <c:pt idx="10">
                  <c:v>48.977</c:v>
                </c:pt>
                <c:pt idx="11">
                  <c:v>52.523</c:v>
                </c:pt>
                <c:pt idx="12">
                  <c:v>50.145</c:v>
                </c:pt>
                <c:pt idx="13">
                  <c:v>35.967</c:v>
                </c:pt>
                <c:pt idx="14">
                  <c:v>40.631</c:v>
                </c:pt>
                <c:pt idx="15">
                  <c:v>45.357</c:v>
                </c:pt>
                <c:pt idx="16">
                  <c:v>44.787</c:v>
                </c:pt>
                <c:pt idx="17">
                  <c:v>43.338</c:v>
                </c:pt>
                <c:pt idx="18">
                  <c:v>40.935</c:v>
                </c:pt>
                <c:pt idx="19">
                  <c:v>53.913</c:v>
                </c:pt>
                <c:pt idx="20">
                  <c:v>49.009</c:v>
                </c:pt>
                <c:pt idx="21">
                  <c:v>43.027</c:v>
                </c:pt>
                <c:pt idx="22">
                  <c:v>42.674</c:v>
                </c:pt>
                <c:pt idx="23">
                  <c:v>46.531</c:v>
                </c:pt>
                <c:pt idx="24">
                  <c:v>42.707</c:v>
                </c:pt>
                <c:pt idx="25">
                  <c:v>44.26</c:v>
                </c:pt>
                <c:pt idx="26">
                  <c:v>42.529</c:v>
                </c:pt>
                <c:pt idx="27">
                  <c:v>41.741</c:v>
                </c:pt>
                <c:pt idx="28">
                  <c:v>42.224</c:v>
                </c:pt>
                <c:pt idx="29">
                  <c:v>44.813</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00b050"/>
                </a:solidFill>
                <a:prstDash val="dashDot"/>
                <a:round/>
              </a:ln>
            </c:spPr>
            <c:trendlineType val="poly"/>
            <c:order val="2"/>
            <c:forward val="0"/>
            <c:backward val="0"/>
            <c:dispRSqr val="0"/>
            <c:dispEq val="0"/>
          </c:trendline>
          <c:val>
            <c:numRef>
              <c:f>SEP!$K$2:$K$32</c:f>
              <c:numCache>
                <c:formatCode>0.00</c:formatCode>
                <c:ptCount val="31"/>
                <c:pt idx="0">
                  <c:v>9.72255964233333</c:v>
                </c:pt>
                <c:pt idx="1">
                  <c:v>6.373114531</c:v>
                </c:pt>
                <c:pt idx="2">
                  <c:v>6.47171074033333</c:v>
                </c:pt>
                <c:pt idx="3">
                  <c:v>7.467720855</c:v>
                </c:pt>
                <c:pt idx="4">
                  <c:v>8.504394056</c:v>
                </c:pt>
                <c:pt idx="5">
                  <c:v>6.10589996366667</c:v>
                </c:pt>
                <c:pt idx="6">
                  <c:v>6.49290578533333</c:v>
                </c:pt>
                <c:pt idx="7">
                  <c:v>7.22013132933333</c:v>
                </c:pt>
                <c:pt idx="8">
                  <c:v>7.75110645666667</c:v>
                </c:pt>
                <c:pt idx="9">
                  <c:v>7.73776142833333</c:v>
                </c:pt>
                <c:pt idx="10">
                  <c:v>7.846405659</c:v>
                </c:pt>
                <c:pt idx="11">
                  <c:v>8.403128841</c:v>
                </c:pt>
                <c:pt idx="12">
                  <c:v>8.02978204833333</c:v>
                </c:pt>
                <c:pt idx="13">
                  <c:v>5.80383132233333</c:v>
                </c:pt>
                <c:pt idx="14">
                  <c:v>6.536080877</c:v>
                </c:pt>
                <c:pt idx="15">
                  <c:v>7.27806445233333</c:v>
                </c:pt>
                <c:pt idx="16">
                  <c:v>7.18857426233333</c:v>
                </c:pt>
                <c:pt idx="17">
                  <c:v>6.96108077933333</c:v>
                </c:pt>
                <c:pt idx="18">
                  <c:v>6.58380897833333</c:v>
                </c:pt>
                <c:pt idx="19">
                  <c:v>8.62135930433333</c:v>
                </c:pt>
                <c:pt idx="20">
                  <c:v>7.85142966966667</c:v>
                </c:pt>
                <c:pt idx="21">
                  <c:v>6.91225367566667</c:v>
                </c:pt>
                <c:pt idx="22">
                  <c:v>6.856832558</c:v>
                </c:pt>
                <c:pt idx="23">
                  <c:v>7.46238284366667</c:v>
                </c:pt>
                <c:pt idx="24">
                  <c:v>6.862013569</c:v>
                </c:pt>
                <c:pt idx="25">
                  <c:v>7.10583508666667</c:v>
                </c:pt>
                <c:pt idx="26">
                  <c:v>6.83406750966667</c:v>
                </c:pt>
                <c:pt idx="27">
                  <c:v>6.710351247</c:v>
                </c:pt>
                <c:pt idx="28">
                  <c:v>6.786182408</c:v>
                </c:pt>
                <c:pt idx="29">
                  <c:v>7.192656271</c:v>
                </c:pt>
              </c:numCache>
            </c:numRef>
          </c:val>
          <c:smooth val="0"/>
        </c:ser>
        <c:hiLowLines>
          <c:spPr>
            <a:ln w="0">
              <a:noFill/>
            </a:ln>
          </c:spPr>
        </c:hiLowLines>
        <c:marker val="0"/>
        <c:axId val="67168321"/>
        <c:axId val="88326540"/>
      </c:lineChart>
      <c:catAx>
        <c:axId val="67168321"/>
        <c:scaling>
          <c:orientation val="minMax"/>
        </c:scaling>
        <c:delete val="1"/>
        <c:axPos val="b"/>
        <c:title>
          <c:tx>
            <c:rich>
              <a:bodyPr rot="0"/>
              <a:lstStyle/>
              <a:p>
                <a:pPr>
                  <a:defRPr b="1" lang="en-US" sz="1200" spc="-1" strike="noStrike">
                    <a:solidFill>
                      <a:srgbClr val="595959"/>
                    </a:solidFill>
                    <a:latin typeface="Calibri"/>
                  </a:defRPr>
                </a:pPr>
                <a:r>
                  <a:rPr b="1" lang="en-US" sz="1200" spc="-1" strike="noStrike">
                    <a:solidFill>
                      <a:srgbClr val="595959"/>
                    </a:solidFill>
                    <a:latin typeface="Calibri"/>
                  </a:rPr>
                  <a:t>Cycle day and day of week</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88326540"/>
        <c:auto val="1"/>
        <c:lblAlgn val="ctr"/>
        <c:lblOffset val="100"/>
        <c:noMultiLvlLbl val="0"/>
      </c:catAx>
      <c:valAx>
        <c:axId val="88326540"/>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1" lang="en-US" sz="1400" spc="-1" strike="noStrike">
                    <a:solidFill>
                      <a:srgbClr val="595959"/>
                    </a:solidFill>
                    <a:latin typeface="Calibri"/>
                  </a:defRPr>
                </a:pPr>
                <a:r>
                  <a:rPr b="1" lang="en-US" sz="1400" spc="-1" strike="noStrike">
                    <a:solidFill>
                      <a:srgbClr val="595959"/>
                    </a:solidFill>
                    <a:latin typeface="Calibri"/>
                  </a:rPr>
                  <a:t>KWH</a:t>
                </a:r>
              </a:p>
            </c:rich>
          </c:tx>
          <c:layout>
            <c:manualLayout>
              <c:xMode val="edge"/>
              <c:yMode val="edge"/>
              <c:x val="0.0679663937957777"/>
              <c:y val="0.446461970074813"/>
            </c:manualLayout>
          </c:layout>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67168321"/>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prstDash val="dash"/>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AUGUST 2022</a:t>
            </a:r>
          </a:p>
        </c:rich>
      </c:tx>
      <c:layout>
        <c:manualLayout>
          <c:xMode val="edge"/>
          <c:yMode val="edge"/>
          <c:x val="0.381305637982196"/>
          <c:y val="0.0270671728007922"/>
        </c:manualLayout>
      </c:layout>
      <c:overlay val="0"/>
      <c:spPr>
        <a:noFill/>
        <a:ln w="0">
          <a:noFill/>
        </a:ln>
      </c:spPr>
    </c:title>
    <c:autoTitleDeleted val="0"/>
    <c:plotArea>
      <c:layout>
        <c:manualLayout>
          <c:layoutTarget val="inner"/>
          <c:xMode val="edge"/>
          <c:yMode val="edge"/>
          <c:x val="0.151397131552918"/>
          <c:y val="0.140864829179733"/>
          <c:w val="0.67563056379822"/>
          <c:h val="0.594322495461297"/>
        </c:manualLayout>
      </c:layout>
      <c:lineChart>
        <c:grouping val="standard"/>
        <c:varyColors val="0"/>
        <c:ser>
          <c:idx val="0"/>
          <c:order val="0"/>
          <c:spPr>
            <a:solidFill>
              <a:srgbClr val="3864b3"/>
            </a:solidFill>
            <a:ln cap="rnd" w="66600">
              <a:solidFill>
                <a:srgbClr val="3864b3"/>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name>KWH TREND</c:name>
            <c:spPr>
              <a:ln cap="rnd" w="19080">
                <a:solidFill>
                  <a:srgbClr val="4472c4"/>
                </a:solidFill>
                <a:round/>
              </a:ln>
            </c:spPr>
            <c:trendlineType val="poly"/>
            <c:order val="2"/>
            <c:forward val="0"/>
            <c:backward val="0"/>
            <c:dispRSqr val="0"/>
            <c:dispEq val="0"/>
          </c:trendline>
          <c:trendline>
            <c:spPr>
              <a:ln cap="rnd" w="19080">
                <a:solidFill>
                  <a:srgbClr val="4472c4"/>
                </a:solidFill>
                <a:round/>
              </a:ln>
            </c:spPr>
            <c:trendlineType val="log"/>
            <c:forward val="0"/>
            <c:backward val="0"/>
            <c:dispRSqr val="0"/>
            <c:dispEq val="0"/>
          </c:trendline>
          <c:cat>
            <c:multiLvlStrRef>
              <c:f>AUG!$A$2:$B$34</c:f>
              <c:multiLvlStrCache>
                <c:ptCount val="33"/>
                <c:lvl>
                  <c:pt idx="0">
                    <c:v>Mon</c:v>
                  </c:pt>
                  <c:pt idx="1">
                    <c:v>Tue</c:v>
                  </c:pt>
                  <c:pt idx="2">
                    <c:v>Wed</c:v>
                  </c:pt>
                  <c:pt idx="3">
                    <c:v>Thu</c:v>
                  </c:pt>
                  <c:pt idx="4">
                    <c:v>Fri</c:v>
                  </c:pt>
                  <c:pt idx="5">
                    <c:v>Sat</c:v>
                  </c:pt>
                  <c:pt idx="6">
                    <c:v>Sun</c:v>
                  </c:pt>
                  <c:pt idx="7">
                    <c:v>Mon</c:v>
                  </c:pt>
                  <c:pt idx="8">
                    <c:v>Tue</c:v>
                  </c:pt>
                  <c:pt idx="9">
                    <c:v>Wed</c:v>
                  </c:pt>
                  <c:pt idx="10">
                    <c:v>Thu</c:v>
                  </c:pt>
                  <c:pt idx="11">
                    <c:v>Fri</c:v>
                  </c:pt>
                  <c:pt idx="12">
                    <c:v>Sat</c:v>
                  </c:pt>
                  <c:pt idx="13">
                    <c:v>Sun</c:v>
                  </c:pt>
                  <c:pt idx="14">
                    <c:v>Mon</c:v>
                  </c:pt>
                  <c:pt idx="15">
                    <c:v>Tue</c:v>
                  </c:pt>
                  <c:pt idx="16">
                    <c:v>Wed</c:v>
                  </c:pt>
                  <c:pt idx="17">
                    <c:v>Thu</c:v>
                  </c:pt>
                  <c:pt idx="18">
                    <c:v>Fri</c:v>
                  </c:pt>
                  <c:pt idx="19">
                    <c:v>Sat</c:v>
                  </c:pt>
                  <c:pt idx="20">
                    <c:v>Sun</c:v>
                  </c:pt>
                  <c:pt idx="21">
                    <c:v>Mon</c:v>
                  </c:pt>
                  <c:pt idx="22">
                    <c:v>Tue</c:v>
                  </c:pt>
                  <c:pt idx="23">
                    <c:v>Wed</c:v>
                  </c:pt>
                  <c:pt idx="24">
                    <c:v>Thu</c:v>
                  </c:pt>
                  <c:pt idx="25">
                    <c:v>Fri</c:v>
                  </c:pt>
                  <c:pt idx="26">
                    <c:v>Sat</c:v>
                  </c:pt>
                  <c:pt idx="27">
                    <c:v>Sun</c:v>
                  </c:pt>
                  <c:pt idx="28">
                    <c:v>Mon</c:v>
                  </c:pt>
                  <c:pt idx="29">
                    <c:v>Tue</c:v>
                  </c:pt>
                  <c:pt idx="32">
                    <c:v>Wed</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2">
                    <c:v>31</c:v>
                  </c:pt>
                </c:lvl>
              </c:multiLvlStrCache>
            </c:multiLvlStrRef>
          </c:cat>
          <c:val>
            <c:numRef>
              <c:f>AUG!$H$2:$H$34</c:f>
              <c:numCache>
                <c:formatCode>0.00</c:formatCode>
                <c:ptCount val="33"/>
                <c:pt idx="0">
                  <c:v>66.554</c:v>
                </c:pt>
                <c:pt idx="1">
                  <c:v>66.471</c:v>
                </c:pt>
                <c:pt idx="2">
                  <c:v>66.694</c:v>
                </c:pt>
                <c:pt idx="3">
                  <c:v>67.5</c:v>
                </c:pt>
                <c:pt idx="4">
                  <c:v>65.384</c:v>
                </c:pt>
                <c:pt idx="5">
                  <c:v>59.412</c:v>
                </c:pt>
                <c:pt idx="6">
                  <c:v>62.047</c:v>
                </c:pt>
                <c:pt idx="7">
                  <c:v>59.253</c:v>
                </c:pt>
                <c:pt idx="8">
                  <c:v>57.604</c:v>
                </c:pt>
                <c:pt idx="9">
                  <c:v>60.162</c:v>
                </c:pt>
                <c:pt idx="10">
                  <c:v>65.744</c:v>
                </c:pt>
                <c:pt idx="11">
                  <c:v>58.051</c:v>
                </c:pt>
                <c:pt idx="12">
                  <c:v>57.797</c:v>
                </c:pt>
                <c:pt idx="13">
                  <c:v>58.809</c:v>
                </c:pt>
                <c:pt idx="14">
                  <c:v>57.886</c:v>
                </c:pt>
                <c:pt idx="15">
                  <c:v>59.665</c:v>
                </c:pt>
                <c:pt idx="16">
                  <c:v>60.546</c:v>
                </c:pt>
                <c:pt idx="17">
                  <c:v>56.252</c:v>
                </c:pt>
                <c:pt idx="18">
                  <c:v>66.029</c:v>
                </c:pt>
                <c:pt idx="19">
                  <c:v>55.665</c:v>
                </c:pt>
                <c:pt idx="20">
                  <c:v>54.204</c:v>
                </c:pt>
                <c:pt idx="21">
                  <c:v>63.079</c:v>
                </c:pt>
                <c:pt idx="22">
                  <c:v>58.253</c:v>
                </c:pt>
                <c:pt idx="23">
                  <c:v>55.274</c:v>
                </c:pt>
                <c:pt idx="24">
                  <c:v>55.822</c:v>
                </c:pt>
                <c:pt idx="25">
                  <c:v>55.846</c:v>
                </c:pt>
                <c:pt idx="26">
                  <c:v>60.265</c:v>
                </c:pt>
                <c:pt idx="27">
                  <c:v>46.296</c:v>
                </c:pt>
                <c:pt idx="28">
                  <c:v>53.597</c:v>
                </c:pt>
                <c:pt idx="29">
                  <c:v>56.659</c:v>
                </c:pt>
              </c:numCache>
            </c:numRef>
          </c:val>
          <c:smooth val="0"/>
        </c:ser>
        <c:hiLowLines>
          <c:spPr>
            <a:ln w="0">
              <a:noFill/>
            </a:ln>
          </c:spPr>
        </c:hiLowLines>
        <c:marker val="0"/>
        <c:axId val="74098910"/>
        <c:axId val="41038673"/>
      </c:lineChart>
      <c:lineChart>
        <c:grouping val="standard"/>
        <c:varyColors val="0"/>
        <c:ser>
          <c:idx val="1"/>
          <c:order val="1"/>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name>COST TREND</c:name>
            <c:spPr>
              <a:ln cap="rnd" w="19080">
                <a:solidFill>
                  <a:srgbClr val="ed7d31"/>
                </a:solidFill>
                <a:round/>
              </a:ln>
            </c:spPr>
            <c:trendlineType val="poly"/>
            <c:order val="2"/>
            <c:forward val="0"/>
            <c:backward val="0"/>
            <c:dispRSqr val="0"/>
            <c:dispEq val="0"/>
          </c:trendline>
          <c:cat>
            <c:multiLvlStrRef>
              <c:f>AUG!$A$2:$B$34</c:f>
              <c:multiLvlStrCache>
                <c:ptCount val="33"/>
                <c:lvl>
                  <c:pt idx="0">
                    <c:v>Mon</c:v>
                  </c:pt>
                  <c:pt idx="1">
                    <c:v>Tue</c:v>
                  </c:pt>
                  <c:pt idx="2">
                    <c:v>Wed</c:v>
                  </c:pt>
                  <c:pt idx="3">
                    <c:v>Thu</c:v>
                  </c:pt>
                  <c:pt idx="4">
                    <c:v>Fri</c:v>
                  </c:pt>
                  <c:pt idx="5">
                    <c:v>Sat</c:v>
                  </c:pt>
                  <c:pt idx="6">
                    <c:v>Sun</c:v>
                  </c:pt>
                  <c:pt idx="7">
                    <c:v>Mon</c:v>
                  </c:pt>
                  <c:pt idx="8">
                    <c:v>Tue</c:v>
                  </c:pt>
                  <c:pt idx="9">
                    <c:v>Wed</c:v>
                  </c:pt>
                  <c:pt idx="10">
                    <c:v>Thu</c:v>
                  </c:pt>
                  <c:pt idx="11">
                    <c:v>Fri</c:v>
                  </c:pt>
                  <c:pt idx="12">
                    <c:v>Sat</c:v>
                  </c:pt>
                  <c:pt idx="13">
                    <c:v>Sun</c:v>
                  </c:pt>
                  <c:pt idx="14">
                    <c:v>Mon</c:v>
                  </c:pt>
                  <c:pt idx="15">
                    <c:v>Tue</c:v>
                  </c:pt>
                  <c:pt idx="16">
                    <c:v>Wed</c:v>
                  </c:pt>
                  <c:pt idx="17">
                    <c:v>Thu</c:v>
                  </c:pt>
                  <c:pt idx="18">
                    <c:v>Fri</c:v>
                  </c:pt>
                  <c:pt idx="19">
                    <c:v>Sat</c:v>
                  </c:pt>
                  <c:pt idx="20">
                    <c:v>Sun</c:v>
                  </c:pt>
                  <c:pt idx="21">
                    <c:v>Mon</c:v>
                  </c:pt>
                  <c:pt idx="22">
                    <c:v>Tue</c:v>
                  </c:pt>
                  <c:pt idx="23">
                    <c:v>Wed</c:v>
                  </c:pt>
                  <c:pt idx="24">
                    <c:v>Thu</c:v>
                  </c:pt>
                  <c:pt idx="25">
                    <c:v>Fri</c:v>
                  </c:pt>
                  <c:pt idx="26">
                    <c:v>Sat</c:v>
                  </c:pt>
                  <c:pt idx="27">
                    <c:v>Sun</c:v>
                  </c:pt>
                  <c:pt idx="28">
                    <c:v>Mon</c:v>
                  </c:pt>
                  <c:pt idx="29">
                    <c:v>Tue</c:v>
                  </c:pt>
                  <c:pt idx="32">
                    <c:v>Wed</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2">
                    <c:v>31</c:v>
                  </c:pt>
                </c:lvl>
              </c:multiLvlStrCache>
            </c:multiLvlStrRef>
          </c:cat>
          <c:val>
            <c:numRef>
              <c:f>AUG!$K$2:$K$34</c:f>
              <c:numCache>
                <c:formatCode>0.00</c:formatCode>
                <c:ptCount val="33"/>
                <c:pt idx="0">
                  <c:v>7.40914838709677</c:v>
                </c:pt>
                <c:pt idx="1">
                  <c:v>7.40004516129032</c:v>
                </c:pt>
                <c:pt idx="2">
                  <c:v>7.42450322580645</c:v>
                </c:pt>
                <c:pt idx="3">
                  <c:v>7.51290322580645</c:v>
                </c:pt>
                <c:pt idx="4">
                  <c:v>7.28082580645161</c:v>
                </c:pt>
                <c:pt idx="5">
                  <c:v>6.62583225806452</c:v>
                </c:pt>
                <c:pt idx="6">
                  <c:v>6.91483225806452</c:v>
                </c:pt>
                <c:pt idx="7">
                  <c:v>6.6083935483871</c:v>
                </c:pt>
                <c:pt idx="8">
                  <c:v>6.42753548387097</c:v>
                </c:pt>
                <c:pt idx="9">
                  <c:v>6.70809032258065</c:v>
                </c:pt>
                <c:pt idx="10">
                  <c:v>7.32030967741935</c:v>
                </c:pt>
                <c:pt idx="11">
                  <c:v>6.47656129032258</c:v>
                </c:pt>
                <c:pt idx="12">
                  <c:v>6.44870322580645</c:v>
                </c:pt>
                <c:pt idx="13">
                  <c:v>6.55969677419355</c:v>
                </c:pt>
                <c:pt idx="14">
                  <c:v>6.45846451612903</c:v>
                </c:pt>
                <c:pt idx="15">
                  <c:v>6.65358064516129</c:v>
                </c:pt>
                <c:pt idx="16">
                  <c:v>6.7502064516129</c:v>
                </c:pt>
                <c:pt idx="17">
                  <c:v>6.27925161290323</c:v>
                </c:pt>
                <c:pt idx="18">
                  <c:v>7.35156774193548</c:v>
                </c:pt>
                <c:pt idx="19">
                  <c:v>6.21487096774194</c:v>
                </c:pt>
                <c:pt idx="20">
                  <c:v>6.05463225806452</c:v>
                </c:pt>
                <c:pt idx="21">
                  <c:v>7.02801935483871</c:v>
                </c:pt>
                <c:pt idx="22">
                  <c:v>6.49871612903226</c:v>
                </c:pt>
                <c:pt idx="23">
                  <c:v>6.17198709677419</c:v>
                </c:pt>
                <c:pt idx="24">
                  <c:v>6.23209032258065</c:v>
                </c:pt>
                <c:pt idx="25">
                  <c:v>6.23472258064516</c:v>
                </c:pt>
                <c:pt idx="26">
                  <c:v>6.71938709677419</c:v>
                </c:pt>
                <c:pt idx="27">
                  <c:v>5.18730322580645</c:v>
                </c:pt>
                <c:pt idx="28">
                  <c:v>5.98805806451613</c:v>
                </c:pt>
                <c:pt idx="29">
                  <c:v>6.32389032258065</c:v>
                </c:pt>
              </c:numCache>
            </c:numRef>
          </c:val>
          <c:smooth val="0"/>
        </c:ser>
        <c:hiLowLines>
          <c:spPr>
            <a:ln w="0">
              <a:noFill/>
            </a:ln>
          </c:spPr>
        </c:hiLowLines>
        <c:marker val="0"/>
        <c:axId val="94493639"/>
        <c:axId val="11448120"/>
      </c:lineChart>
      <c:catAx>
        <c:axId val="74098910"/>
        <c:scaling>
          <c:orientation val="minMax"/>
        </c:scaling>
        <c:delete val="0"/>
        <c:axPos val="b"/>
        <c:title>
          <c:tx>
            <c:rich>
              <a:bodyPr rot="0"/>
              <a:lstStyle/>
              <a:p>
                <a:pPr>
                  <a:defRPr b="1" lang="en-US" sz="1400" spc="-1" strike="noStrike">
                    <a:solidFill>
                      <a:srgbClr val="595959"/>
                    </a:solidFill>
                    <a:latin typeface="Calibri"/>
                  </a:defRPr>
                </a:pPr>
                <a:r>
                  <a:rPr b="1" lang="en-US" sz="1400" spc="-1" strike="noStrike">
                    <a:solidFill>
                      <a:srgbClr val="595959"/>
                    </a:solidFill>
                    <a:latin typeface="Calibri"/>
                  </a:rPr>
                  <a:t>CYCLE DAY &amp; DAY OF WEEK</a:t>
                </a:r>
              </a:p>
            </c:rich>
          </c:tx>
          <c:layout>
            <c:manualLayout>
              <c:xMode val="edge"/>
              <c:yMode val="edge"/>
              <c:x val="0.345759149357072"/>
              <c:y val="0.854844033668922"/>
            </c:manualLayout>
          </c:layout>
          <c:overlay val="0"/>
          <c:spPr>
            <a:noFill/>
            <a:ln w="0">
              <a:noFill/>
            </a:ln>
          </c:spPr>
        </c:title>
        <c:numFmt formatCode="General" sourceLinked="0"/>
        <c:majorTickMark val="out"/>
        <c:minorTickMark val="none"/>
        <c:tickLblPos val="low"/>
        <c:spPr>
          <a:ln w="9360">
            <a:solidFill>
              <a:srgbClr val="d9d9d9"/>
            </a:solidFill>
            <a:round/>
          </a:ln>
        </c:spPr>
        <c:txPr>
          <a:bodyPr rot="-5400000"/>
          <a:lstStyle/>
          <a:p>
            <a:pPr>
              <a:defRPr b="0" sz="900" spc="-1" strike="noStrike">
                <a:solidFill>
                  <a:srgbClr val="595959"/>
                </a:solidFill>
                <a:latin typeface="Calibri"/>
              </a:defRPr>
            </a:pPr>
          </a:p>
        </c:txPr>
        <c:crossAx val="41038673"/>
        <c:crosses val="autoZero"/>
        <c:auto val="1"/>
        <c:lblAlgn val="ctr"/>
        <c:lblOffset val="100"/>
        <c:noMultiLvlLbl val="0"/>
      </c:catAx>
      <c:valAx>
        <c:axId val="41038673"/>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1" lang="en-US" sz="1400" spc="-1" strike="noStrike">
                    <a:solidFill>
                      <a:srgbClr val="595959"/>
                    </a:solidFill>
                    <a:latin typeface="Calibri"/>
                  </a:defRPr>
                </a:pPr>
                <a:r>
                  <a:rPr b="1" lang="en-US" sz="1400" spc="-1" strike="noStrike">
                    <a:solidFill>
                      <a:srgbClr val="595959"/>
                    </a:solidFill>
                    <a:latin typeface="Calibri"/>
                  </a:rPr>
                  <a:t>kwh</a:t>
                </a:r>
              </a:p>
            </c:rich>
          </c:tx>
          <c:layout>
            <c:manualLayout>
              <c:xMode val="edge"/>
              <c:yMode val="edge"/>
              <c:x val="0.0343100890207715"/>
              <c:y val="0.392721571216372"/>
            </c:manualLayout>
          </c:layout>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74098910"/>
        <c:crosses val="autoZero"/>
        <c:crossBetween val="midCat"/>
      </c:valAx>
      <c:catAx>
        <c:axId val="94493639"/>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11448120"/>
        <c:auto val="1"/>
        <c:lblAlgn val="ctr"/>
        <c:lblOffset val="100"/>
        <c:noMultiLvlLbl val="0"/>
      </c:catAx>
      <c:valAx>
        <c:axId val="11448120"/>
        <c:scaling>
          <c:orientation val="minMax"/>
          <c:max val="60"/>
          <c:min val="0"/>
        </c:scaling>
        <c:delete val="0"/>
        <c:axPos val="r"/>
        <c:title>
          <c:tx>
            <c:rich>
              <a:bodyPr rot="-5400000"/>
              <a:lstStyle/>
              <a:p>
                <a:pPr>
                  <a:defRPr b="1" lang="en-US" sz="1400" spc="-1" strike="noStrike">
                    <a:solidFill>
                      <a:srgbClr val="548235"/>
                    </a:solidFill>
                    <a:latin typeface="Calibri"/>
                  </a:defRPr>
                </a:pPr>
                <a:r>
                  <a:rPr b="1" lang="en-US" sz="1400" spc="-1" strike="noStrike">
                    <a:solidFill>
                      <a:srgbClr val="548235"/>
                    </a:solidFill>
                    <a:latin typeface="Calibri"/>
                  </a:rPr>
                  <a:t>DAILY  $</a:t>
                </a:r>
              </a:p>
            </c:rich>
          </c:tx>
          <c:layout>
            <c:manualLayout>
              <c:xMode val="edge"/>
              <c:yMode val="edge"/>
              <c:x val="0.937809099901088"/>
              <c:y val="0.352615943224955"/>
            </c:manualLayout>
          </c:layout>
          <c:overlay val="0"/>
          <c:spPr>
            <a:noFill/>
            <a:ln w="0">
              <a:noFill/>
            </a:ln>
          </c:spPr>
        </c:title>
        <c:numFmt formatCode="0.0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94493639"/>
        <c:crosses val="max"/>
        <c:crossBetween val="midCat"/>
      </c:valAx>
      <c:spPr>
        <a:noFill/>
        <a:ln w="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595959"/>
                </a:solidFill>
                <a:latin typeface="Calibri"/>
              </a:defRPr>
            </a:pPr>
            <a:r>
              <a:rPr b="1" lang="en-US" sz="1800" spc="-1" strike="noStrike">
                <a:solidFill>
                  <a:srgbClr val="595959"/>
                </a:solidFill>
                <a:latin typeface="Calibri"/>
              </a:rPr>
              <a:t>GEXA - July 2022 </a:t>
            </a:r>
          </a:p>
        </c:rich>
      </c:tx>
      <c:layout>
        <c:manualLayout>
          <c:xMode val="edge"/>
          <c:yMode val="edge"/>
          <c:x val="0.397276053665808"/>
          <c:y val="0.0293267244940107"/>
        </c:manualLayout>
      </c:layout>
      <c:overlay val="0"/>
      <c:spPr>
        <a:noFill/>
        <a:ln w="0">
          <a:noFill/>
        </a:ln>
      </c:spPr>
    </c:title>
    <c:autoTitleDeleted val="0"/>
    <c:plotArea>
      <c:layout>
        <c:manualLayout>
          <c:layoutTarget val="inner"/>
          <c:xMode val="edge"/>
          <c:yMode val="edge"/>
          <c:x val="0.112074806884402"/>
          <c:y val="0.0965510119785213"/>
          <c:w val="0.752134435560374"/>
          <c:h val="0.342523750516316"/>
        </c:manualLayout>
      </c:layout>
      <c:lineChart>
        <c:grouping val="standard"/>
        <c:varyColors val="0"/>
        <c:ser>
          <c:idx val="0"/>
          <c:order val="0"/>
          <c:tx>
            <c:strRef>
              <c:f>"KWH"</c:f>
              <c:strCache>
                <c:ptCount val="1"/>
                <c:pt idx="0">
                  <c:v>KWH</c:v>
                </c:pt>
              </c:strCache>
            </c:strRef>
          </c:tx>
          <c:spPr>
            <a:solidFill>
              <a:srgbClr val="4472c4"/>
            </a:solidFill>
            <a:ln cap="rnd" w="28440">
              <a:solidFill>
                <a:srgbClr val="4472c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prstDash val="sysDot"/>
                <a:round/>
              </a:ln>
            </c:spPr>
            <c:trendlineType val="linear"/>
            <c:forward val="0"/>
            <c:backward val="0"/>
            <c:dispRSqr val="0"/>
            <c:dispEq val="0"/>
          </c:trendline>
          <c:cat>
            <c:multiLvlStrRef>
              <c:f>JUL!$A$2:$C$31</c:f>
              <c:multiLvlStrCache>
                <c:ptCount val="30"/>
                <c:lvl>
                  <c:pt idx="0">
                    <c:v>Thu</c:v>
                  </c:pt>
                  <c:pt idx="1">
                    <c:v>Fri</c:v>
                  </c:pt>
                  <c:pt idx="2">
                    <c:v>Sat</c:v>
                  </c:pt>
                  <c:pt idx="3">
                    <c:v>Sun</c:v>
                  </c:pt>
                  <c:pt idx="4">
                    <c:v>Mon</c:v>
                  </c:pt>
                  <c:pt idx="5">
                    <c:v>Tue</c:v>
                  </c:pt>
                  <c:pt idx="6">
                    <c:v>Wed</c:v>
                  </c:pt>
                  <c:pt idx="7">
                    <c:v>Thu</c:v>
                  </c:pt>
                  <c:pt idx="8">
                    <c:v>Fri</c:v>
                  </c:pt>
                  <c:pt idx="9">
                    <c:v>Sat</c:v>
                  </c:pt>
                  <c:pt idx="10">
                    <c:v>Sun</c:v>
                  </c:pt>
                  <c:pt idx="11">
                    <c:v>Mon</c:v>
                  </c:pt>
                  <c:pt idx="12">
                    <c:v>Tue</c:v>
                  </c:pt>
                  <c:pt idx="13">
                    <c:v>Wed</c:v>
                  </c:pt>
                  <c:pt idx="14">
                    <c:v>Thu</c:v>
                  </c:pt>
                  <c:pt idx="15">
                    <c:v>Fri</c:v>
                  </c:pt>
                  <c:pt idx="16">
                    <c:v>Sat</c:v>
                  </c:pt>
                  <c:pt idx="17">
                    <c:v>Sun</c:v>
                  </c:pt>
                  <c:pt idx="18">
                    <c:v>Mon</c:v>
                  </c:pt>
                  <c:pt idx="19">
                    <c:v>Tue</c:v>
                  </c:pt>
                  <c:pt idx="20">
                    <c:v>Wed</c:v>
                  </c:pt>
                  <c:pt idx="21">
                    <c:v>Thu</c:v>
                  </c:pt>
                  <c:pt idx="22">
                    <c:v>Fri</c:v>
                  </c:pt>
                  <c:pt idx="23">
                    <c:v>Sat</c:v>
                  </c:pt>
                  <c:pt idx="24">
                    <c:v>Sun</c:v>
                  </c:pt>
                  <c:pt idx="25">
                    <c:v>Mon</c:v>
                  </c:pt>
                  <c:pt idx="26">
                    <c:v>Tue</c:v>
                  </c:pt>
                  <c:pt idx="27">
                    <c:v>Wed</c:v>
                  </c:pt>
                  <c:pt idx="28">
                    <c:v>Thu</c:v>
                  </c:pt>
                  <c:pt idx="29">
                    <c:v>Fri</c:v>
                  </c:pt>
                </c:lvl>
                <c:lvl>
                  <c:pt idx="0">
                    <c:v>31</c:v>
                  </c:pt>
                  <c:pt idx="1">
                    <c:v>30</c:v>
                  </c:pt>
                  <c:pt idx="2">
                    <c:v>29</c:v>
                  </c:pt>
                  <c:pt idx="3">
                    <c:v>28</c:v>
                  </c:pt>
                  <c:pt idx="4">
                    <c:v>27</c:v>
                  </c:pt>
                  <c:pt idx="5">
                    <c:v>26</c:v>
                  </c:pt>
                  <c:pt idx="6">
                    <c:v>25</c:v>
                  </c:pt>
                  <c:pt idx="7">
                    <c:v>24</c:v>
                  </c:pt>
                  <c:pt idx="8">
                    <c:v>23</c:v>
                  </c:pt>
                  <c:pt idx="9">
                    <c:v>22</c:v>
                  </c:pt>
                  <c:pt idx="10">
                    <c:v>21</c:v>
                  </c:pt>
                  <c:pt idx="11">
                    <c:v>20</c:v>
                  </c:pt>
                  <c:pt idx="12">
                    <c:v>19</c:v>
                  </c:pt>
                  <c:pt idx="13">
                    <c:v>18</c:v>
                  </c:pt>
                  <c:pt idx="14">
                    <c:v>17</c:v>
                  </c:pt>
                  <c:pt idx="15">
                    <c:v>16</c:v>
                  </c:pt>
                  <c:pt idx="16">
                    <c:v>15</c:v>
                  </c:pt>
                  <c:pt idx="17">
                    <c:v>14</c:v>
                  </c:pt>
                  <c:pt idx="18">
                    <c:v>13</c:v>
                  </c:pt>
                  <c:pt idx="19">
                    <c:v>12</c:v>
                  </c:pt>
                  <c:pt idx="20">
                    <c:v>11</c:v>
                  </c:pt>
                  <c:pt idx="21">
                    <c:v>10</c:v>
                  </c:pt>
                  <c:pt idx="22">
                    <c:v>9</c:v>
                  </c:pt>
                  <c:pt idx="23">
                    <c:v>8</c:v>
                  </c:pt>
                  <c:pt idx="24">
                    <c:v>7</c:v>
                  </c:pt>
                  <c:pt idx="25">
                    <c:v>6</c:v>
                  </c:pt>
                  <c:pt idx="26">
                    <c:v>5</c:v>
                  </c:pt>
                  <c:pt idx="27">
                    <c:v>4</c:v>
                  </c:pt>
                  <c:pt idx="28">
                    <c:v>3</c:v>
                  </c:pt>
                  <c:pt idx="29">
                    <c:v>2</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lvl>
              </c:multiLvlStrCache>
            </c:multiLvlStrRef>
          </c:cat>
          <c:val>
            <c:numRef>
              <c:f>JUL!$H$2:$H$33</c:f>
              <c:numCache>
                <c:formatCode>0.00</c:formatCode>
                <c:ptCount val="32"/>
                <c:pt idx="0">
                  <c:v>56.28</c:v>
                </c:pt>
                <c:pt idx="1">
                  <c:v>54.017</c:v>
                </c:pt>
                <c:pt idx="2">
                  <c:v>55.181</c:v>
                </c:pt>
                <c:pt idx="3">
                  <c:v>53.862</c:v>
                </c:pt>
                <c:pt idx="4">
                  <c:v>59.175</c:v>
                </c:pt>
                <c:pt idx="5">
                  <c:v>54.861</c:v>
                </c:pt>
                <c:pt idx="6">
                  <c:v>60.458</c:v>
                </c:pt>
                <c:pt idx="7">
                  <c:v>56.483</c:v>
                </c:pt>
                <c:pt idx="8">
                  <c:v>58.886</c:v>
                </c:pt>
                <c:pt idx="9">
                  <c:v>56.999</c:v>
                </c:pt>
                <c:pt idx="10">
                  <c:v>54.062</c:v>
                </c:pt>
                <c:pt idx="11">
                  <c:v>52.167</c:v>
                </c:pt>
                <c:pt idx="12">
                  <c:v>40.112</c:v>
                </c:pt>
                <c:pt idx="13">
                  <c:v>48.003</c:v>
                </c:pt>
                <c:pt idx="14">
                  <c:v>54.231</c:v>
                </c:pt>
                <c:pt idx="15">
                  <c:v>51.802</c:v>
                </c:pt>
                <c:pt idx="16">
                  <c:v>52.311</c:v>
                </c:pt>
                <c:pt idx="17">
                  <c:v>57.615</c:v>
                </c:pt>
                <c:pt idx="18">
                  <c:v>50.521</c:v>
                </c:pt>
                <c:pt idx="19">
                  <c:v>56.524</c:v>
                </c:pt>
                <c:pt idx="20">
                  <c:v>61.542</c:v>
                </c:pt>
                <c:pt idx="21">
                  <c:v>58.726</c:v>
                </c:pt>
                <c:pt idx="22">
                  <c:v>61.784</c:v>
                </c:pt>
                <c:pt idx="23">
                  <c:v>65.358</c:v>
                </c:pt>
                <c:pt idx="24">
                  <c:v>68.472</c:v>
                </c:pt>
                <c:pt idx="25">
                  <c:v>66.774</c:v>
                </c:pt>
                <c:pt idx="26">
                  <c:v>67.816</c:v>
                </c:pt>
                <c:pt idx="27">
                  <c:v>71.426</c:v>
                </c:pt>
                <c:pt idx="28">
                  <c:v>52.991</c:v>
                </c:pt>
                <c:pt idx="29">
                  <c:v>53.177</c:v>
                </c:pt>
                <c:pt idx="30">
                  <c:v>57.906</c:v>
                </c:pt>
                <c:pt idx="31">
                  <c:v>64.421</c:v>
                </c:pt>
              </c:numCache>
            </c:numRef>
          </c:val>
          <c:smooth val="0"/>
        </c:ser>
        <c:ser>
          <c:idx val="1"/>
          <c:order val="1"/>
          <c:tx>
            <c:strRef>
              <c:f>"MTD AVG"</c:f>
              <c:strCache>
                <c:ptCount val="1"/>
                <c:pt idx="0">
                  <c:v>MTD AVG</c:v>
                </c:pt>
              </c:strCache>
            </c:strRef>
          </c:tx>
          <c:spPr>
            <a:solidFill>
              <a:srgbClr val="ed7d31"/>
            </a:solidFill>
            <a:ln cap="rnd" w="28440">
              <a:solidFill>
                <a:srgbClr val="ed7d31"/>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JUL!$A$2:$C$31</c:f>
              <c:multiLvlStrCache>
                <c:ptCount val="30"/>
                <c:lvl>
                  <c:pt idx="0">
                    <c:v>Thu</c:v>
                  </c:pt>
                  <c:pt idx="1">
                    <c:v>Fri</c:v>
                  </c:pt>
                  <c:pt idx="2">
                    <c:v>Sat</c:v>
                  </c:pt>
                  <c:pt idx="3">
                    <c:v>Sun</c:v>
                  </c:pt>
                  <c:pt idx="4">
                    <c:v>Mon</c:v>
                  </c:pt>
                  <c:pt idx="5">
                    <c:v>Tue</c:v>
                  </c:pt>
                  <c:pt idx="6">
                    <c:v>Wed</c:v>
                  </c:pt>
                  <c:pt idx="7">
                    <c:v>Thu</c:v>
                  </c:pt>
                  <c:pt idx="8">
                    <c:v>Fri</c:v>
                  </c:pt>
                  <c:pt idx="9">
                    <c:v>Sat</c:v>
                  </c:pt>
                  <c:pt idx="10">
                    <c:v>Sun</c:v>
                  </c:pt>
                  <c:pt idx="11">
                    <c:v>Mon</c:v>
                  </c:pt>
                  <c:pt idx="12">
                    <c:v>Tue</c:v>
                  </c:pt>
                  <c:pt idx="13">
                    <c:v>Wed</c:v>
                  </c:pt>
                  <c:pt idx="14">
                    <c:v>Thu</c:v>
                  </c:pt>
                  <c:pt idx="15">
                    <c:v>Fri</c:v>
                  </c:pt>
                  <c:pt idx="16">
                    <c:v>Sat</c:v>
                  </c:pt>
                  <c:pt idx="17">
                    <c:v>Sun</c:v>
                  </c:pt>
                  <c:pt idx="18">
                    <c:v>Mon</c:v>
                  </c:pt>
                  <c:pt idx="19">
                    <c:v>Tue</c:v>
                  </c:pt>
                  <c:pt idx="20">
                    <c:v>Wed</c:v>
                  </c:pt>
                  <c:pt idx="21">
                    <c:v>Thu</c:v>
                  </c:pt>
                  <c:pt idx="22">
                    <c:v>Fri</c:v>
                  </c:pt>
                  <c:pt idx="23">
                    <c:v>Sat</c:v>
                  </c:pt>
                  <c:pt idx="24">
                    <c:v>Sun</c:v>
                  </c:pt>
                  <c:pt idx="25">
                    <c:v>Mon</c:v>
                  </c:pt>
                  <c:pt idx="26">
                    <c:v>Tue</c:v>
                  </c:pt>
                  <c:pt idx="27">
                    <c:v>Wed</c:v>
                  </c:pt>
                  <c:pt idx="28">
                    <c:v>Thu</c:v>
                  </c:pt>
                  <c:pt idx="29">
                    <c:v>Fri</c:v>
                  </c:pt>
                </c:lvl>
                <c:lvl>
                  <c:pt idx="0">
                    <c:v>31</c:v>
                  </c:pt>
                  <c:pt idx="1">
                    <c:v>30</c:v>
                  </c:pt>
                  <c:pt idx="2">
                    <c:v>29</c:v>
                  </c:pt>
                  <c:pt idx="3">
                    <c:v>28</c:v>
                  </c:pt>
                  <c:pt idx="4">
                    <c:v>27</c:v>
                  </c:pt>
                  <c:pt idx="5">
                    <c:v>26</c:v>
                  </c:pt>
                  <c:pt idx="6">
                    <c:v>25</c:v>
                  </c:pt>
                  <c:pt idx="7">
                    <c:v>24</c:v>
                  </c:pt>
                  <c:pt idx="8">
                    <c:v>23</c:v>
                  </c:pt>
                  <c:pt idx="9">
                    <c:v>22</c:v>
                  </c:pt>
                  <c:pt idx="10">
                    <c:v>21</c:v>
                  </c:pt>
                  <c:pt idx="11">
                    <c:v>20</c:v>
                  </c:pt>
                  <c:pt idx="12">
                    <c:v>19</c:v>
                  </c:pt>
                  <c:pt idx="13">
                    <c:v>18</c:v>
                  </c:pt>
                  <c:pt idx="14">
                    <c:v>17</c:v>
                  </c:pt>
                  <c:pt idx="15">
                    <c:v>16</c:v>
                  </c:pt>
                  <c:pt idx="16">
                    <c:v>15</c:v>
                  </c:pt>
                  <c:pt idx="17">
                    <c:v>14</c:v>
                  </c:pt>
                  <c:pt idx="18">
                    <c:v>13</c:v>
                  </c:pt>
                  <c:pt idx="19">
                    <c:v>12</c:v>
                  </c:pt>
                  <c:pt idx="20">
                    <c:v>11</c:v>
                  </c:pt>
                  <c:pt idx="21">
                    <c:v>10</c:v>
                  </c:pt>
                  <c:pt idx="22">
                    <c:v>9</c:v>
                  </c:pt>
                  <c:pt idx="23">
                    <c:v>8</c:v>
                  </c:pt>
                  <c:pt idx="24">
                    <c:v>7</c:v>
                  </c:pt>
                  <c:pt idx="25">
                    <c:v>6</c:v>
                  </c:pt>
                  <c:pt idx="26">
                    <c:v>5</c:v>
                  </c:pt>
                  <c:pt idx="27">
                    <c:v>4</c:v>
                  </c:pt>
                  <c:pt idx="28">
                    <c:v>3</c:v>
                  </c:pt>
                  <c:pt idx="29">
                    <c:v>2</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lvl>
              </c:multiLvlStrCache>
            </c:multiLvlStrRef>
          </c:cat>
          <c:val>
            <c:numRef>
              <c:f>JUL!$J$2:$J$33</c:f>
              <c:numCache>
                <c:formatCode>0.00</c:formatCode>
                <c:ptCount val="32"/>
                <c:pt idx="0">
                  <c:v>56.28</c:v>
                </c:pt>
                <c:pt idx="1">
                  <c:v>55.1485</c:v>
                </c:pt>
                <c:pt idx="2">
                  <c:v>55.1593333333333</c:v>
                </c:pt>
                <c:pt idx="3">
                  <c:v>54.835</c:v>
                </c:pt>
                <c:pt idx="4">
                  <c:v>55.703</c:v>
                </c:pt>
                <c:pt idx="5">
                  <c:v>55.5626666666667</c:v>
                </c:pt>
                <c:pt idx="6">
                  <c:v>56.262</c:v>
                </c:pt>
                <c:pt idx="7">
                  <c:v>56.289625</c:v>
                </c:pt>
                <c:pt idx="8">
                  <c:v>56.5781111111111</c:v>
                </c:pt>
                <c:pt idx="9">
                  <c:v>56.6202</c:v>
                </c:pt>
                <c:pt idx="10">
                  <c:v>56.3876363636364</c:v>
                </c:pt>
                <c:pt idx="11">
                  <c:v>56.0359166666667</c:v>
                </c:pt>
                <c:pt idx="12">
                  <c:v>54.811</c:v>
                </c:pt>
                <c:pt idx="13">
                  <c:v>54.3247142857143</c:v>
                </c:pt>
                <c:pt idx="14">
                  <c:v>54.3184666666667</c:v>
                </c:pt>
                <c:pt idx="15">
                  <c:v>54.1611875</c:v>
                </c:pt>
                <c:pt idx="16">
                  <c:v>54.0523529411765</c:v>
                </c:pt>
                <c:pt idx="17">
                  <c:v>54.2502777777778</c:v>
                </c:pt>
                <c:pt idx="18">
                  <c:v>54.054</c:v>
                </c:pt>
                <c:pt idx="19">
                  <c:v>54.1775</c:v>
                </c:pt>
                <c:pt idx="20">
                  <c:v>54.5281904761905</c:v>
                </c:pt>
                <c:pt idx="21">
                  <c:v>54.719</c:v>
                </c:pt>
                <c:pt idx="22">
                  <c:v>55.0261739130435</c:v>
                </c:pt>
                <c:pt idx="23">
                  <c:v>55.4566666666667</c:v>
                </c:pt>
                <c:pt idx="24">
                  <c:v>55.97728</c:v>
                </c:pt>
                <c:pt idx="25">
                  <c:v>56.3925384615385</c:v>
                </c:pt>
                <c:pt idx="26">
                  <c:v>56.8156296296296</c:v>
                </c:pt>
                <c:pt idx="27">
                  <c:v>57.3374285714286</c:v>
                </c:pt>
                <c:pt idx="28">
                  <c:v>57.1875517241379</c:v>
                </c:pt>
                <c:pt idx="29">
                  <c:v>57.0538666666667</c:v>
                </c:pt>
                <c:pt idx="30">
                  <c:v>57.0813548387097</c:v>
                </c:pt>
                <c:pt idx="31">
                  <c:v>57.31071875</c:v>
                </c:pt>
              </c:numCache>
            </c:numRef>
          </c:val>
          <c:smooth val="0"/>
        </c:ser>
        <c:ser>
          <c:idx val="2"/>
          <c:order val="2"/>
          <c:tx>
            <c:strRef>
              <c:f>"TREND"</c:f>
              <c:strCache>
                <c:ptCount val="1"/>
                <c:pt idx="0">
                  <c:v>TREND</c:v>
                </c:pt>
              </c:strCache>
            </c:strRef>
          </c:tx>
          <c:spPr>
            <a:solidFill>
              <a:srgbClr val="a5a5a5"/>
            </a:solidFill>
            <a:ln cap="rnd" w="28440">
              <a:solidFill>
                <a:srgbClr val="a5a5a5"/>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JUL!$A$2:$C$31</c:f>
              <c:multiLvlStrCache>
                <c:ptCount val="30"/>
                <c:lvl>
                  <c:pt idx="0">
                    <c:v>Thu</c:v>
                  </c:pt>
                  <c:pt idx="1">
                    <c:v>Fri</c:v>
                  </c:pt>
                  <c:pt idx="2">
                    <c:v>Sat</c:v>
                  </c:pt>
                  <c:pt idx="3">
                    <c:v>Sun</c:v>
                  </c:pt>
                  <c:pt idx="4">
                    <c:v>Mon</c:v>
                  </c:pt>
                  <c:pt idx="5">
                    <c:v>Tue</c:v>
                  </c:pt>
                  <c:pt idx="6">
                    <c:v>Wed</c:v>
                  </c:pt>
                  <c:pt idx="7">
                    <c:v>Thu</c:v>
                  </c:pt>
                  <c:pt idx="8">
                    <c:v>Fri</c:v>
                  </c:pt>
                  <c:pt idx="9">
                    <c:v>Sat</c:v>
                  </c:pt>
                  <c:pt idx="10">
                    <c:v>Sun</c:v>
                  </c:pt>
                  <c:pt idx="11">
                    <c:v>Mon</c:v>
                  </c:pt>
                  <c:pt idx="12">
                    <c:v>Tue</c:v>
                  </c:pt>
                  <c:pt idx="13">
                    <c:v>Wed</c:v>
                  </c:pt>
                  <c:pt idx="14">
                    <c:v>Thu</c:v>
                  </c:pt>
                  <c:pt idx="15">
                    <c:v>Fri</c:v>
                  </c:pt>
                  <c:pt idx="16">
                    <c:v>Sat</c:v>
                  </c:pt>
                  <c:pt idx="17">
                    <c:v>Sun</c:v>
                  </c:pt>
                  <c:pt idx="18">
                    <c:v>Mon</c:v>
                  </c:pt>
                  <c:pt idx="19">
                    <c:v>Tue</c:v>
                  </c:pt>
                  <c:pt idx="20">
                    <c:v>Wed</c:v>
                  </c:pt>
                  <c:pt idx="21">
                    <c:v>Thu</c:v>
                  </c:pt>
                  <c:pt idx="22">
                    <c:v>Fri</c:v>
                  </c:pt>
                  <c:pt idx="23">
                    <c:v>Sat</c:v>
                  </c:pt>
                  <c:pt idx="24">
                    <c:v>Sun</c:v>
                  </c:pt>
                  <c:pt idx="25">
                    <c:v>Mon</c:v>
                  </c:pt>
                  <c:pt idx="26">
                    <c:v>Tue</c:v>
                  </c:pt>
                  <c:pt idx="27">
                    <c:v>Wed</c:v>
                  </c:pt>
                  <c:pt idx="28">
                    <c:v>Thu</c:v>
                  </c:pt>
                  <c:pt idx="29">
                    <c:v>Fri</c:v>
                  </c:pt>
                </c:lvl>
                <c:lvl>
                  <c:pt idx="0">
                    <c:v>31</c:v>
                  </c:pt>
                  <c:pt idx="1">
                    <c:v>30</c:v>
                  </c:pt>
                  <c:pt idx="2">
                    <c:v>29</c:v>
                  </c:pt>
                  <c:pt idx="3">
                    <c:v>28</c:v>
                  </c:pt>
                  <c:pt idx="4">
                    <c:v>27</c:v>
                  </c:pt>
                  <c:pt idx="5">
                    <c:v>26</c:v>
                  </c:pt>
                  <c:pt idx="6">
                    <c:v>25</c:v>
                  </c:pt>
                  <c:pt idx="7">
                    <c:v>24</c:v>
                  </c:pt>
                  <c:pt idx="8">
                    <c:v>23</c:v>
                  </c:pt>
                  <c:pt idx="9">
                    <c:v>22</c:v>
                  </c:pt>
                  <c:pt idx="10">
                    <c:v>21</c:v>
                  </c:pt>
                  <c:pt idx="11">
                    <c:v>20</c:v>
                  </c:pt>
                  <c:pt idx="12">
                    <c:v>19</c:v>
                  </c:pt>
                  <c:pt idx="13">
                    <c:v>18</c:v>
                  </c:pt>
                  <c:pt idx="14">
                    <c:v>17</c:v>
                  </c:pt>
                  <c:pt idx="15">
                    <c:v>16</c:v>
                  </c:pt>
                  <c:pt idx="16">
                    <c:v>15</c:v>
                  </c:pt>
                  <c:pt idx="17">
                    <c:v>14</c:v>
                  </c:pt>
                  <c:pt idx="18">
                    <c:v>13</c:v>
                  </c:pt>
                  <c:pt idx="19">
                    <c:v>12</c:v>
                  </c:pt>
                  <c:pt idx="20">
                    <c:v>11</c:v>
                  </c:pt>
                  <c:pt idx="21">
                    <c:v>10</c:v>
                  </c:pt>
                  <c:pt idx="22">
                    <c:v>9</c:v>
                  </c:pt>
                  <c:pt idx="23">
                    <c:v>8</c:v>
                  </c:pt>
                  <c:pt idx="24">
                    <c:v>7</c:v>
                  </c:pt>
                  <c:pt idx="25">
                    <c:v>6</c:v>
                  </c:pt>
                  <c:pt idx="26">
                    <c:v>5</c:v>
                  </c:pt>
                  <c:pt idx="27">
                    <c:v>4</c:v>
                  </c:pt>
                  <c:pt idx="28">
                    <c:v>3</c:v>
                  </c:pt>
                  <c:pt idx="29">
                    <c:v>2</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lvl>
              </c:multiLvlStrCache>
            </c:multiLvlStrRef>
          </c:cat>
          <c:val>
            <c:numRef>
              <c:f>JUL!$K$2:$K$33</c:f>
              <c:numCache>
                <c:formatCode>0.00</c:formatCode>
                <c:ptCount val="32"/>
                <c:pt idx="2">
                  <c:v>55.1593333333333</c:v>
                </c:pt>
                <c:pt idx="3">
                  <c:v>54.835</c:v>
                </c:pt>
                <c:pt idx="4">
                  <c:v>55.703</c:v>
                </c:pt>
                <c:pt idx="5">
                  <c:v>55.5626666666667</c:v>
                </c:pt>
                <c:pt idx="6">
                  <c:v>56.262</c:v>
                </c:pt>
                <c:pt idx="7">
                  <c:v>56.289625</c:v>
                </c:pt>
                <c:pt idx="8">
                  <c:v>56.5781111111111</c:v>
                </c:pt>
                <c:pt idx="9">
                  <c:v>56.6202</c:v>
                </c:pt>
                <c:pt idx="10">
                  <c:v>56.3876363636364</c:v>
                </c:pt>
                <c:pt idx="11">
                  <c:v>56.0359166666667</c:v>
                </c:pt>
                <c:pt idx="12">
                  <c:v>54.811</c:v>
                </c:pt>
                <c:pt idx="13">
                  <c:v>54.3247142857143</c:v>
                </c:pt>
                <c:pt idx="14">
                  <c:v>54.3184666666667</c:v>
                </c:pt>
                <c:pt idx="15">
                  <c:v>54.1611875</c:v>
                </c:pt>
                <c:pt idx="16">
                  <c:v>54.0523529411765</c:v>
                </c:pt>
                <c:pt idx="17">
                  <c:v>54.2502777777778</c:v>
                </c:pt>
                <c:pt idx="18">
                  <c:v>54.054</c:v>
                </c:pt>
                <c:pt idx="19">
                  <c:v>54.1775</c:v>
                </c:pt>
                <c:pt idx="20">
                  <c:v>54.5281904761905</c:v>
                </c:pt>
                <c:pt idx="21">
                  <c:v>54.719</c:v>
                </c:pt>
                <c:pt idx="22">
                  <c:v>55.0261739130435</c:v>
                </c:pt>
                <c:pt idx="23">
                  <c:v>55.4566666666667</c:v>
                </c:pt>
                <c:pt idx="24">
                  <c:v>55.97728</c:v>
                </c:pt>
                <c:pt idx="25">
                  <c:v>56.3925384615385</c:v>
                </c:pt>
                <c:pt idx="26">
                  <c:v>56.8156296296296</c:v>
                </c:pt>
                <c:pt idx="27">
                  <c:v>57.3374285714286</c:v>
                </c:pt>
                <c:pt idx="28">
                  <c:v>57.1875517241379</c:v>
                </c:pt>
                <c:pt idx="29">
                  <c:v>57.0538666666667</c:v>
                </c:pt>
                <c:pt idx="30">
                  <c:v>57.0813548387097</c:v>
                </c:pt>
                <c:pt idx="31">
                  <c:v>57.31071875</c:v>
                </c:pt>
              </c:numCache>
            </c:numRef>
          </c:val>
          <c:smooth val="0"/>
        </c:ser>
        <c:hiLowLines>
          <c:spPr>
            <a:ln w="0">
              <a:noFill/>
            </a:ln>
          </c:spPr>
        </c:hiLowLines>
        <c:marker val="0"/>
        <c:axId val="3797877"/>
        <c:axId val="4474841"/>
      </c:lineChart>
      <c:lineChart>
        <c:grouping val="standard"/>
        <c:varyColors val="0"/>
        <c:ser>
          <c:idx val="3"/>
          <c:order val="3"/>
          <c:tx>
            <c:strRef>
              <c:f>"DAILY COST"</c:f>
              <c:strCache>
                <c:ptCount val="1"/>
                <c:pt idx="0">
                  <c:v>DAILY COST</c:v>
                </c:pt>
              </c:strCache>
            </c:strRef>
          </c:tx>
          <c:spPr>
            <a:solidFill>
              <a:srgbClr val="00b050"/>
            </a:solidFill>
            <a:ln cap="rnd" w="2844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ffc000"/>
                </a:solidFill>
                <a:prstDash val="sysDot"/>
                <a:round/>
              </a:ln>
            </c:spPr>
            <c:trendlineType val="linear"/>
            <c:forward val="0"/>
            <c:backward val="0"/>
            <c:dispRSqr val="0"/>
            <c:dispEq val="0"/>
          </c:trendline>
          <c:cat>
            <c:multiLvlStrRef>
              <c:f>JUL!$A$2:$C$31</c:f>
              <c:multiLvlStrCache>
                <c:ptCount val="30"/>
                <c:lvl>
                  <c:pt idx="0">
                    <c:v>Thu</c:v>
                  </c:pt>
                  <c:pt idx="1">
                    <c:v>Fri</c:v>
                  </c:pt>
                  <c:pt idx="2">
                    <c:v>Sat</c:v>
                  </c:pt>
                  <c:pt idx="3">
                    <c:v>Sun</c:v>
                  </c:pt>
                  <c:pt idx="4">
                    <c:v>Mon</c:v>
                  </c:pt>
                  <c:pt idx="5">
                    <c:v>Tue</c:v>
                  </c:pt>
                  <c:pt idx="6">
                    <c:v>Wed</c:v>
                  </c:pt>
                  <c:pt idx="7">
                    <c:v>Thu</c:v>
                  </c:pt>
                  <c:pt idx="8">
                    <c:v>Fri</c:v>
                  </c:pt>
                  <c:pt idx="9">
                    <c:v>Sat</c:v>
                  </c:pt>
                  <c:pt idx="10">
                    <c:v>Sun</c:v>
                  </c:pt>
                  <c:pt idx="11">
                    <c:v>Mon</c:v>
                  </c:pt>
                  <c:pt idx="12">
                    <c:v>Tue</c:v>
                  </c:pt>
                  <c:pt idx="13">
                    <c:v>Wed</c:v>
                  </c:pt>
                  <c:pt idx="14">
                    <c:v>Thu</c:v>
                  </c:pt>
                  <c:pt idx="15">
                    <c:v>Fri</c:v>
                  </c:pt>
                  <c:pt idx="16">
                    <c:v>Sat</c:v>
                  </c:pt>
                  <c:pt idx="17">
                    <c:v>Sun</c:v>
                  </c:pt>
                  <c:pt idx="18">
                    <c:v>Mon</c:v>
                  </c:pt>
                  <c:pt idx="19">
                    <c:v>Tue</c:v>
                  </c:pt>
                  <c:pt idx="20">
                    <c:v>Wed</c:v>
                  </c:pt>
                  <c:pt idx="21">
                    <c:v>Thu</c:v>
                  </c:pt>
                  <c:pt idx="22">
                    <c:v>Fri</c:v>
                  </c:pt>
                  <c:pt idx="23">
                    <c:v>Sat</c:v>
                  </c:pt>
                  <c:pt idx="24">
                    <c:v>Sun</c:v>
                  </c:pt>
                  <c:pt idx="25">
                    <c:v>Mon</c:v>
                  </c:pt>
                  <c:pt idx="26">
                    <c:v>Tue</c:v>
                  </c:pt>
                  <c:pt idx="27">
                    <c:v>Wed</c:v>
                  </c:pt>
                  <c:pt idx="28">
                    <c:v>Thu</c:v>
                  </c:pt>
                  <c:pt idx="29">
                    <c:v>Fri</c:v>
                  </c:pt>
                </c:lvl>
                <c:lvl>
                  <c:pt idx="0">
                    <c:v>31</c:v>
                  </c:pt>
                  <c:pt idx="1">
                    <c:v>30</c:v>
                  </c:pt>
                  <c:pt idx="2">
                    <c:v>29</c:v>
                  </c:pt>
                  <c:pt idx="3">
                    <c:v>28</c:v>
                  </c:pt>
                  <c:pt idx="4">
                    <c:v>27</c:v>
                  </c:pt>
                  <c:pt idx="5">
                    <c:v>26</c:v>
                  </c:pt>
                  <c:pt idx="6">
                    <c:v>25</c:v>
                  </c:pt>
                  <c:pt idx="7">
                    <c:v>24</c:v>
                  </c:pt>
                  <c:pt idx="8">
                    <c:v>23</c:v>
                  </c:pt>
                  <c:pt idx="9">
                    <c:v>22</c:v>
                  </c:pt>
                  <c:pt idx="10">
                    <c:v>21</c:v>
                  </c:pt>
                  <c:pt idx="11">
                    <c:v>20</c:v>
                  </c:pt>
                  <c:pt idx="12">
                    <c:v>19</c:v>
                  </c:pt>
                  <c:pt idx="13">
                    <c:v>18</c:v>
                  </c:pt>
                  <c:pt idx="14">
                    <c:v>17</c:v>
                  </c:pt>
                  <c:pt idx="15">
                    <c:v>16</c:v>
                  </c:pt>
                  <c:pt idx="16">
                    <c:v>15</c:v>
                  </c:pt>
                  <c:pt idx="17">
                    <c:v>14</c:v>
                  </c:pt>
                  <c:pt idx="18">
                    <c:v>13</c:v>
                  </c:pt>
                  <c:pt idx="19">
                    <c:v>12</c:v>
                  </c:pt>
                  <c:pt idx="20">
                    <c:v>11</c:v>
                  </c:pt>
                  <c:pt idx="21">
                    <c:v>10</c:v>
                  </c:pt>
                  <c:pt idx="22">
                    <c:v>9</c:v>
                  </c:pt>
                  <c:pt idx="23">
                    <c:v>8</c:v>
                  </c:pt>
                  <c:pt idx="24">
                    <c:v>7</c:v>
                  </c:pt>
                  <c:pt idx="25">
                    <c:v>6</c:v>
                  </c:pt>
                  <c:pt idx="26">
                    <c:v>5</c:v>
                  </c:pt>
                  <c:pt idx="27">
                    <c:v>4</c:v>
                  </c:pt>
                  <c:pt idx="28">
                    <c:v>3</c:v>
                  </c:pt>
                  <c:pt idx="29">
                    <c:v>2</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lvl>
              </c:multiLvlStrCache>
            </c:multiLvlStrRef>
          </c:cat>
          <c:val>
            <c:numRef>
              <c:f>JUL!$M$2:$M$33</c:f>
              <c:numCache>
                <c:formatCode>0.00</c:formatCode>
                <c:ptCount val="32"/>
              </c:numCache>
            </c:numRef>
          </c:val>
          <c:smooth val="0"/>
        </c:ser>
        <c:hiLowLines>
          <c:spPr>
            <a:ln w="0">
              <a:noFill/>
            </a:ln>
          </c:spPr>
        </c:hiLowLines>
        <c:marker val="0"/>
        <c:axId val="35430990"/>
        <c:axId val="98898153"/>
      </c:lineChart>
      <c:catAx>
        <c:axId val="3797877"/>
        <c:scaling>
          <c:orientation val="minMax"/>
        </c:scaling>
        <c:delete val="0"/>
        <c:axPos val="b"/>
        <c:title>
          <c:tx>
            <c:rich>
              <a:bodyPr rot="0"/>
              <a:lstStyle/>
              <a:p>
                <a:pPr>
                  <a:defRPr b="1" lang="en-US" sz="1200" spc="-1" strike="noStrike">
                    <a:solidFill>
                      <a:srgbClr val="595959"/>
                    </a:solidFill>
                    <a:latin typeface="Calibri"/>
                  </a:defRPr>
                </a:pPr>
                <a:r>
                  <a:rPr b="1" lang="en-US" sz="1200" spc="-1" strike="noStrike">
                    <a:solidFill>
                      <a:srgbClr val="595959"/>
                    </a:solidFill>
                    <a:latin typeface="Calibri"/>
                  </a:rPr>
                  <a:t>Billing Cycle Day and Day of Week</a:t>
                </a:r>
              </a:p>
            </c:rich>
          </c:tx>
          <c:layout>
            <c:manualLayout>
              <c:xMode val="edge"/>
              <c:yMode val="edge"/>
              <c:x val="0.362786285404526"/>
              <c:y val="0.855638166047088"/>
            </c:manualLayout>
          </c:layout>
          <c:overlay val="0"/>
          <c:spPr>
            <a:noFill/>
            <a:ln w="0">
              <a:noFill/>
            </a:ln>
          </c:spPr>
        </c:title>
        <c:numFmt formatCode="General" sourceLinked="0"/>
        <c:majorTickMark val="out"/>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4474841"/>
        <c:crosses val="autoZero"/>
        <c:auto val="1"/>
        <c:lblAlgn val="ctr"/>
        <c:lblOffset val="100"/>
        <c:noMultiLvlLbl val="0"/>
      </c:catAx>
      <c:valAx>
        <c:axId val="4474841"/>
        <c:scaling>
          <c:orientation val="minMax"/>
          <c:max val="7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1" lang="en-US" sz="1200" spc="-1" strike="noStrike">
                    <a:solidFill>
                      <a:srgbClr val="595959"/>
                    </a:solidFill>
                    <a:latin typeface="Calibri"/>
                  </a:defRPr>
                </a:pPr>
                <a:r>
                  <a:rPr b="1" lang="en-US" sz="1200" spc="-1" strike="noStrike">
                    <a:solidFill>
                      <a:srgbClr val="595959"/>
                    </a:solidFill>
                    <a:latin typeface="Calibri"/>
                  </a:rPr>
                  <a:t>KWH Used</a:t>
                </a:r>
              </a:p>
            </c:rich>
          </c:tx>
          <c:layout>
            <c:manualLayout>
              <c:xMode val="edge"/>
              <c:yMode val="edge"/>
              <c:x val="0.0375389619189592"/>
              <c:y val="0.313610078479967"/>
            </c:manualLayout>
          </c:layout>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3797877"/>
        <c:crosses val="autoZero"/>
        <c:crossBetween val="between"/>
      </c:valAx>
      <c:catAx>
        <c:axId val="35430990"/>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98898153"/>
        <c:auto val="1"/>
        <c:lblAlgn val="ctr"/>
        <c:lblOffset val="100"/>
        <c:noMultiLvlLbl val="0"/>
      </c:catAx>
      <c:valAx>
        <c:axId val="98898153"/>
        <c:scaling>
          <c:orientation val="minMax"/>
          <c:max val="60"/>
          <c:min val="0"/>
        </c:scaling>
        <c:delete val="0"/>
        <c:axPos val="r"/>
        <c:title>
          <c:tx>
            <c:rich>
              <a:bodyPr rot="-5400000"/>
              <a:lstStyle/>
              <a:p>
                <a:pPr>
                  <a:defRPr b="1" lang="en-US" sz="1200" spc="-1" strike="noStrike">
                    <a:solidFill>
                      <a:srgbClr val="595959"/>
                    </a:solidFill>
                    <a:latin typeface="Calibri"/>
                  </a:defRPr>
                </a:pPr>
                <a:r>
                  <a:rPr b="1" lang="en-US" sz="1200" spc="-1" strike="noStrike">
                    <a:solidFill>
                      <a:srgbClr val="595959"/>
                    </a:solidFill>
                    <a:latin typeface="Calibri"/>
                  </a:rPr>
                  <a:t>Cost per Day</a:t>
                </a:r>
              </a:p>
            </c:rich>
          </c:tx>
          <c:layout>
            <c:manualLayout>
              <c:xMode val="edge"/>
              <c:yMode val="edge"/>
              <c:x val="0.938745087410218"/>
              <c:y val="0.298327137546468"/>
            </c:manualLayout>
          </c:layout>
          <c:overlay val="0"/>
          <c:spPr>
            <a:noFill/>
            <a:ln w="0">
              <a:noFill/>
            </a:ln>
          </c:spPr>
        </c:title>
        <c:numFmt formatCode="\$#,##0.0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35430990"/>
        <c:crosses val="max"/>
        <c:crossBetween val="between"/>
      </c:valAx>
      <c:spPr>
        <a:noFill/>
        <a:ln w="0">
          <a:noFill/>
        </a:ln>
      </c:spPr>
    </c:plotArea>
    <c:legend>
      <c:legendPos val="b"/>
      <c:layout>
        <c:manualLayout>
          <c:xMode val="edge"/>
          <c:yMode val="edge"/>
          <c:x val="0.143348783697267"/>
          <c:y val="0.929228435747233"/>
          <c:w val="0.714116411641164"/>
          <c:h val="0.0438405975886855"/>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JULY 2022</a:t>
            </a:r>
          </a:p>
        </c:rich>
      </c:tx>
      <c:layout>
        <c:manualLayout>
          <c:xMode val="edge"/>
          <c:yMode val="edge"/>
          <c:x val="0.381317929619214"/>
          <c:y val="0.027083514760951"/>
        </c:manualLayout>
      </c:layout>
      <c:overlay val="0"/>
      <c:spPr>
        <a:noFill/>
        <a:ln w="0">
          <a:noFill/>
        </a:ln>
      </c:spPr>
    </c:title>
    <c:autoTitleDeleted val="0"/>
    <c:plotArea>
      <c:layout>
        <c:manualLayout>
          <c:layoutTarget val="inner"/>
          <c:xMode val="edge"/>
          <c:yMode val="edge"/>
          <c:x val="0.180132248992932"/>
          <c:y val="0.140903944962118"/>
          <c:w val="0.668997491829445"/>
          <c:h val="0.700252547243752"/>
        </c:manualLayout>
      </c:layout>
      <c:lineChart>
        <c:grouping val="standard"/>
        <c:varyColors val="0"/>
        <c:ser>
          <c:idx val="0"/>
          <c:order val="0"/>
          <c:tx>
            <c:strRef>
              <c:f>"KWH"</c:f>
              <c:strCache>
                <c:ptCount val="1"/>
                <c:pt idx="0">
                  <c:v>KWH</c:v>
                </c:pt>
              </c:strCache>
            </c:strRef>
          </c:tx>
          <c:spPr>
            <a:solidFill>
              <a:srgbClr val="3864b3"/>
            </a:solidFill>
            <a:ln cap="rnd" w="66600">
              <a:solidFill>
                <a:srgbClr val="3864b3"/>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JUL!$H$2:$H$33</c:f>
              <c:numCache>
                <c:formatCode>0.00</c:formatCode>
                <c:ptCount val="32"/>
                <c:pt idx="0">
                  <c:v>56.28</c:v>
                </c:pt>
                <c:pt idx="1">
                  <c:v>54.017</c:v>
                </c:pt>
                <c:pt idx="2">
                  <c:v>55.181</c:v>
                </c:pt>
                <c:pt idx="3">
                  <c:v>53.862</c:v>
                </c:pt>
                <c:pt idx="4">
                  <c:v>59.175</c:v>
                </c:pt>
                <c:pt idx="5">
                  <c:v>54.861</c:v>
                </c:pt>
                <c:pt idx="6">
                  <c:v>60.458</c:v>
                </c:pt>
                <c:pt idx="7">
                  <c:v>56.483</c:v>
                </c:pt>
                <c:pt idx="8">
                  <c:v>58.886</c:v>
                </c:pt>
                <c:pt idx="9">
                  <c:v>56.999</c:v>
                </c:pt>
                <c:pt idx="10">
                  <c:v>54.062</c:v>
                </c:pt>
                <c:pt idx="11">
                  <c:v>52.167</c:v>
                </c:pt>
                <c:pt idx="12">
                  <c:v>40.112</c:v>
                </c:pt>
                <c:pt idx="13">
                  <c:v>48.003</c:v>
                </c:pt>
                <c:pt idx="14">
                  <c:v>54.231</c:v>
                </c:pt>
                <c:pt idx="15">
                  <c:v>51.802</c:v>
                </c:pt>
                <c:pt idx="16">
                  <c:v>52.311</c:v>
                </c:pt>
                <c:pt idx="17">
                  <c:v>57.615</c:v>
                </c:pt>
                <c:pt idx="18">
                  <c:v>50.521</c:v>
                </c:pt>
                <c:pt idx="19">
                  <c:v>56.524</c:v>
                </c:pt>
                <c:pt idx="20">
                  <c:v>61.542</c:v>
                </c:pt>
                <c:pt idx="21">
                  <c:v>58.726</c:v>
                </c:pt>
                <c:pt idx="22">
                  <c:v>61.784</c:v>
                </c:pt>
                <c:pt idx="23">
                  <c:v>65.358</c:v>
                </c:pt>
                <c:pt idx="24">
                  <c:v>68.472</c:v>
                </c:pt>
                <c:pt idx="25">
                  <c:v>66.774</c:v>
                </c:pt>
                <c:pt idx="26">
                  <c:v>67.816</c:v>
                </c:pt>
                <c:pt idx="27">
                  <c:v>71.426</c:v>
                </c:pt>
                <c:pt idx="28">
                  <c:v>52.991</c:v>
                </c:pt>
                <c:pt idx="29">
                  <c:v>53.177</c:v>
                </c:pt>
                <c:pt idx="30">
                  <c:v>57.906</c:v>
                </c:pt>
                <c:pt idx="31">
                  <c:v>64.421</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JUL!$L$2:$L$33</c:f>
              <c:numCache>
                <c:formatCode>General</c:formatCode>
                <c:ptCount val="32"/>
              </c:numCache>
            </c:numRef>
          </c:val>
          <c:smooth val="0"/>
        </c:ser>
        <c:ser>
          <c:idx val="2"/>
          <c:order val="2"/>
          <c:tx>
            <c:strRef>
              <c:f>"MOVING_AVERAGE"</c:f>
              <c:strCache>
                <c:ptCount val="1"/>
                <c:pt idx="0">
                  <c:v>MOVING_AVERAGE</c:v>
                </c:pt>
              </c:strCache>
            </c:strRef>
          </c:tx>
          <c:spPr>
            <a:solidFill>
              <a:srgbClr val="2f5597"/>
            </a:solidFill>
            <a:ln cap="rnd" w="38160">
              <a:solidFill>
                <a:srgbClr val="2f5597"/>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JUL!$K$4:$K$33</c:f>
              <c:numCache>
                <c:formatCode>0.00</c:formatCode>
                <c:ptCount val="30"/>
                <c:pt idx="0">
                  <c:v>55.1593333333333</c:v>
                </c:pt>
                <c:pt idx="1">
                  <c:v>54.835</c:v>
                </c:pt>
                <c:pt idx="2">
                  <c:v>55.703</c:v>
                </c:pt>
                <c:pt idx="3">
                  <c:v>55.5626666666667</c:v>
                </c:pt>
                <c:pt idx="4">
                  <c:v>56.262</c:v>
                </c:pt>
                <c:pt idx="5">
                  <c:v>56.289625</c:v>
                </c:pt>
                <c:pt idx="6">
                  <c:v>56.5781111111111</c:v>
                </c:pt>
                <c:pt idx="7">
                  <c:v>56.6202</c:v>
                </c:pt>
                <c:pt idx="8">
                  <c:v>56.3876363636364</c:v>
                </c:pt>
                <c:pt idx="9">
                  <c:v>56.0359166666667</c:v>
                </c:pt>
                <c:pt idx="10">
                  <c:v>54.811</c:v>
                </c:pt>
                <c:pt idx="11">
                  <c:v>54.3247142857143</c:v>
                </c:pt>
                <c:pt idx="12">
                  <c:v>54.3184666666667</c:v>
                </c:pt>
                <c:pt idx="13">
                  <c:v>54.1611875</c:v>
                </c:pt>
                <c:pt idx="14">
                  <c:v>54.0523529411765</c:v>
                </c:pt>
                <c:pt idx="15">
                  <c:v>54.2502777777778</c:v>
                </c:pt>
                <c:pt idx="16">
                  <c:v>54.054</c:v>
                </c:pt>
                <c:pt idx="17">
                  <c:v>54.1775</c:v>
                </c:pt>
                <c:pt idx="18">
                  <c:v>54.5281904761905</c:v>
                </c:pt>
                <c:pt idx="19">
                  <c:v>54.719</c:v>
                </c:pt>
                <c:pt idx="20">
                  <c:v>55.0261739130435</c:v>
                </c:pt>
                <c:pt idx="21">
                  <c:v>55.4566666666667</c:v>
                </c:pt>
                <c:pt idx="22">
                  <c:v>55.97728</c:v>
                </c:pt>
                <c:pt idx="23">
                  <c:v>56.3925384615385</c:v>
                </c:pt>
                <c:pt idx="24">
                  <c:v>56.8156296296296</c:v>
                </c:pt>
                <c:pt idx="25">
                  <c:v>57.3374285714286</c:v>
                </c:pt>
                <c:pt idx="26">
                  <c:v>57.1875517241379</c:v>
                </c:pt>
                <c:pt idx="27">
                  <c:v>57.0538666666667</c:v>
                </c:pt>
                <c:pt idx="28">
                  <c:v>57.0813548387097</c:v>
                </c:pt>
                <c:pt idx="29">
                  <c:v>57.31071875</c:v>
                </c:pt>
              </c:numCache>
            </c:numRef>
          </c:val>
          <c:smooth val="0"/>
        </c:ser>
        <c:hiLowLines>
          <c:spPr>
            <a:ln w="0">
              <a:noFill/>
            </a:ln>
          </c:spPr>
        </c:hiLowLines>
        <c:marker val="0"/>
        <c:axId val="23135546"/>
        <c:axId val="87219347"/>
      </c:lineChart>
      <c:catAx>
        <c:axId val="23135546"/>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87219347"/>
        <c:auto val="1"/>
        <c:lblAlgn val="ctr"/>
        <c:lblOffset val="100"/>
        <c:noMultiLvlLbl val="0"/>
      </c:catAx>
      <c:valAx>
        <c:axId val="87219347"/>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23135546"/>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zero"/>
  </c:chart>
  <c:spPr>
    <a:solidFill>
      <a:srgbClr val="ffffff"/>
    </a:solidFill>
    <a:ln w="9360">
      <a:solidFill>
        <a:srgbClr val="d9d9d9"/>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595959"/>
                </a:solidFill>
                <a:latin typeface="Calibri"/>
              </a:defRPr>
            </a:pPr>
            <a:r>
              <a:rPr b="1" lang="en-US" sz="1800" spc="-1" strike="noStrike">
                <a:solidFill>
                  <a:srgbClr val="595959"/>
                </a:solidFill>
                <a:latin typeface="Calibri"/>
              </a:rPr>
              <a:t>GEXA - June 2022 </a:t>
            </a:r>
          </a:p>
        </c:rich>
      </c:tx>
      <c:layout>
        <c:manualLayout>
          <c:xMode val="edge"/>
          <c:yMode val="edge"/>
          <c:x val="0.397224199288256"/>
          <c:y val="0.0293224421405383"/>
        </c:manualLayout>
      </c:layout>
      <c:overlay val="0"/>
      <c:spPr>
        <a:noFill/>
        <a:ln w="0">
          <a:noFill/>
        </a:ln>
      </c:spPr>
    </c:title>
    <c:autoTitleDeleted val="0"/>
    <c:plotArea>
      <c:layout>
        <c:manualLayout>
          <c:layoutTarget val="inner"/>
          <c:xMode val="edge"/>
          <c:yMode val="edge"/>
          <c:x val="0.163629893238434"/>
          <c:y val="0.11153000314169"/>
          <c:w val="0.664839857651246"/>
          <c:h val="0.700282752120641"/>
        </c:manualLayout>
      </c:layout>
      <c:lineChart>
        <c:grouping val="standard"/>
        <c:varyColors val="0"/>
        <c:ser>
          <c:idx val="0"/>
          <c:order val="0"/>
          <c:tx>
            <c:strRef>
              <c:f>"KWH"</c:f>
              <c:strCache>
                <c:ptCount val="1"/>
                <c:pt idx="0">
                  <c:v>KWH</c:v>
                </c:pt>
              </c:strCache>
            </c:strRef>
          </c:tx>
          <c:spPr>
            <a:solidFill>
              <a:srgbClr val="4472c4"/>
            </a:solidFill>
            <a:ln cap="rnd" w="28440">
              <a:solidFill>
                <a:srgbClr val="4472c4"/>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prstDash val="sysDot"/>
                <a:round/>
              </a:ln>
            </c:spPr>
            <c:trendlineType val="linear"/>
            <c:forward val="0"/>
            <c:backward val="0"/>
            <c:dispRSqr val="0"/>
            <c:dispEq val="0"/>
          </c:trendline>
          <c:cat>
            <c:multiLvlStrRef>
              <c:f>JUN!$A$2:$B$32</c:f>
              <c:multiLvlStrCache>
                <c:ptCount val="31"/>
                <c:lvl>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JUN!$H$2:$H$33</c:f>
              <c:numCache>
                <c:formatCode>0.00</c:formatCode>
                <c:ptCount val="32"/>
                <c:pt idx="0">
                  <c:v>56.28</c:v>
                </c:pt>
                <c:pt idx="1">
                  <c:v>54.017</c:v>
                </c:pt>
                <c:pt idx="2">
                  <c:v>55.181</c:v>
                </c:pt>
                <c:pt idx="3">
                  <c:v>53.862</c:v>
                </c:pt>
                <c:pt idx="4">
                  <c:v>59.175</c:v>
                </c:pt>
                <c:pt idx="5">
                  <c:v>54.861</c:v>
                </c:pt>
                <c:pt idx="6">
                  <c:v>60.458</c:v>
                </c:pt>
                <c:pt idx="7">
                  <c:v>56.483</c:v>
                </c:pt>
                <c:pt idx="8">
                  <c:v>58.886</c:v>
                </c:pt>
                <c:pt idx="9">
                  <c:v>56.999</c:v>
                </c:pt>
                <c:pt idx="10">
                  <c:v>54.062</c:v>
                </c:pt>
                <c:pt idx="11">
                  <c:v>52.167</c:v>
                </c:pt>
                <c:pt idx="12">
                  <c:v>40.112</c:v>
                </c:pt>
                <c:pt idx="13">
                  <c:v>48.003</c:v>
                </c:pt>
                <c:pt idx="14">
                  <c:v>54.231</c:v>
                </c:pt>
                <c:pt idx="15">
                  <c:v>51.802</c:v>
                </c:pt>
                <c:pt idx="16">
                  <c:v>52.311</c:v>
                </c:pt>
                <c:pt idx="17">
                  <c:v>57.615</c:v>
                </c:pt>
                <c:pt idx="18">
                  <c:v>50.521</c:v>
                </c:pt>
                <c:pt idx="19">
                  <c:v>56.524</c:v>
                </c:pt>
                <c:pt idx="20">
                  <c:v>61.542</c:v>
                </c:pt>
                <c:pt idx="21">
                  <c:v>58.726</c:v>
                </c:pt>
                <c:pt idx="22">
                  <c:v>61.784</c:v>
                </c:pt>
                <c:pt idx="23">
                  <c:v>65.358</c:v>
                </c:pt>
                <c:pt idx="24">
                  <c:v>68.472</c:v>
                </c:pt>
                <c:pt idx="25">
                  <c:v>66.774</c:v>
                </c:pt>
                <c:pt idx="26">
                  <c:v>67.816</c:v>
                </c:pt>
                <c:pt idx="27">
                  <c:v>71.426</c:v>
                </c:pt>
                <c:pt idx="28">
                  <c:v>52.991</c:v>
                </c:pt>
                <c:pt idx="29">
                  <c:v>53.177</c:v>
                </c:pt>
                <c:pt idx="30">
                  <c:v>57.906</c:v>
                </c:pt>
                <c:pt idx="31">
                  <c:v>64.421</c:v>
                </c:pt>
              </c:numCache>
            </c:numRef>
          </c:val>
          <c:smooth val="0"/>
        </c:ser>
        <c:ser>
          <c:idx val="1"/>
          <c:order val="1"/>
          <c:tx>
            <c:strRef>
              <c:f>"MTD AVG"</c:f>
              <c:strCache>
                <c:ptCount val="1"/>
                <c:pt idx="0">
                  <c:v>MTD AVG</c:v>
                </c:pt>
              </c:strCache>
            </c:strRef>
          </c:tx>
          <c:spPr>
            <a:solidFill>
              <a:srgbClr val="ed7d31"/>
            </a:solidFill>
            <a:ln cap="rnd" w="28440">
              <a:solidFill>
                <a:srgbClr val="ed7d31"/>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JUN!$A$2:$B$32</c:f>
              <c:multiLvlStrCache>
                <c:ptCount val="31"/>
                <c:lvl>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JUN!$J$2:$J$33</c:f>
              <c:numCache>
                <c:formatCode>0.00</c:formatCode>
                <c:ptCount val="32"/>
                <c:pt idx="0">
                  <c:v>56.28</c:v>
                </c:pt>
                <c:pt idx="1">
                  <c:v>55.1485</c:v>
                </c:pt>
                <c:pt idx="2">
                  <c:v>55.1593333333333</c:v>
                </c:pt>
                <c:pt idx="3">
                  <c:v>54.835</c:v>
                </c:pt>
                <c:pt idx="4">
                  <c:v>55.703</c:v>
                </c:pt>
                <c:pt idx="5">
                  <c:v>55.5626666666667</c:v>
                </c:pt>
                <c:pt idx="6">
                  <c:v>56.262</c:v>
                </c:pt>
                <c:pt idx="7">
                  <c:v>56.289625</c:v>
                </c:pt>
                <c:pt idx="8">
                  <c:v>56.5781111111111</c:v>
                </c:pt>
                <c:pt idx="9">
                  <c:v>56.6202</c:v>
                </c:pt>
                <c:pt idx="10">
                  <c:v>56.3876363636364</c:v>
                </c:pt>
                <c:pt idx="11">
                  <c:v>56.0359166666667</c:v>
                </c:pt>
                <c:pt idx="12">
                  <c:v>54.811</c:v>
                </c:pt>
                <c:pt idx="13">
                  <c:v>54.3247142857143</c:v>
                </c:pt>
                <c:pt idx="14">
                  <c:v>54.3184666666667</c:v>
                </c:pt>
                <c:pt idx="15">
                  <c:v>54.1611875</c:v>
                </c:pt>
                <c:pt idx="16">
                  <c:v>54.0523529411765</c:v>
                </c:pt>
                <c:pt idx="17">
                  <c:v>54.2502777777778</c:v>
                </c:pt>
                <c:pt idx="18">
                  <c:v>54.054</c:v>
                </c:pt>
                <c:pt idx="19">
                  <c:v>54.1775</c:v>
                </c:pt>
                <c:pt idx="20">
                  <c:v>54.5281904761905</c:v>
                </c:pt>
                <c:pt idx="21">
                  <c:v>54.719</c:v>
                </c:pt>
                <c:pt idx="22">
                  <c:v>55.0261739130435</c:v>
                </c:pt>
                <c:pt idx="23">
                  <c:v>55.4566666666667</c:v>
                </c:pt>
                <c:pt idx="24">
                  <c:v>55.97728</c:v>
                </c:pt>
                <c:pt idx="25">
                  <c:v>56.3925384615385</c:v>
                </c:pt>
                <c:pt idx="26">
                  <c:v>56.8156296296296</c:v>
                </c:pt>
                <c:pt idx="27">
                  <c:v>57.3374285714286</c:v>
                </c:pt>
                <c:pt idx="28">
                  <c:v>57.1875517241379</c:v>
                </c:pt>
                <c:pt idx="29">
                  <c:v>57.0538666666667</c:v>
                </c:pt>
                <c:pt idx="30">
                  <c:v>57.0813548387097</c:v>
                </c:pt>
                <c:pt idx="31">
                  <c:v>57.31071875</c:v>
                </c:pt>
              </c:numCache>
            </c:numRef>
          </c:val>
          <c:smooth val="0"/>
        </c:ser>
        <c:hiLowLines>
          <c:spPr>
            <a:ln w="0">
              <a:noFill/>
            </a:ln>
          </c:spPr>
        </c:hiLowLines>
        <c:marker val="0"/>
        <c:axId val="43990675"/>
        <c:axId val="39215024"/>
      </c:lineChart>
      <c:lineChart>
        <c:grouping val="standard"/>
        <c:varyColors val="0"/>
        <c:ser>
          <c:idx val="2"/>
          <c:order val="2"/>
          <c:tx>
            <c:strRef>
              <c:f>"DAILY COST"</c:f>
              <c:strCache>
                <c:ptCount val="1"/>
                <c:pt idx="0">
                  <c:v>DAILY COST</c:v>
                </c:pt>
              </c:strCache>
            </c:strRef>
          </c:tx>
          <c:spPr>
            <a:solidFill>
              <a:srgbClr val="00b050"/>
            </a:solidFill>
            <a:ln cap="rnd" w="2844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ffc000"/>
                </a:solidFill>
                <a:prstDash val="sysDot"/>
                <a:round/>
              </a:ln>
            </c:spPr>
            <c:trendlineType val="linear"/>
            <c:forward val="0"/>
            <c:backward val="0"/>
            <c:dispRSqr val="0"/>
            <c:dispEq val="0"/>
          </c:trendline>
          <c:cat>
            <c:multiLvlStrRef>
              <c:f>JUN!$A$2:$B$32</c:f>
              <c:multiLvlStrCache>
                <c:ptCount val="31"/>
                <c:lvl>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lvl>
              </c:multiLvlStrCache>
            </c:multiLvlStrRef>
          </c:cat>
          <c:val>
            <c:numRef>
              <c:f>JUN!$K$2:$K$31</c:f>
              <c:numCache>
                <c:formatCode>0.00</c:formatCode>
                <c:ptCount val="30"/>
                <c:pt idx="0">
                  <c:v>6.32664516129032</c:v>
                </c:pt>
                <c:pt idx="1">
                  <c:v>6.03412258064516</c:v>
                </c:pt>
                <c:pt idx="2">
                  <c:v>6.16178709677419</c:v>
                </c:pt>
                <c:pt idx="3">
                  <c:v>6.01712258064516</c:v>
                </c:pt>
                <c:pt idx="4">
                  <c:v>6.59983870967742</c:v>
                </c:pt>
                <c:pt idx="5">
                  <c:v>6.12669032258065</c:v>
                </c:pt>
                <c:pt idx="6">
                  <c:v>6.74055483870968</c:v>
                </c:pt>
                <c:pt idx="7">
                  <c:v>6.30458709677419</c:v>
                </c:pt>
                <c:pt idx="8">
                  <c:v>6.56814193548387</c:v>
                </c:pt>
                <c:pt idx="9">
                  <c:v>6.36118064516129</c:v>
                </c:pt>
                <c:pt idx="10">
                  <c:v>6.03905806451613</c:v>
                </c:pt>
                <c:pt idx="11">
                  <c:v>5.83121935483871</c:v>
                </c:pt>
                <c:pt idx="12">
                  <c:v>4.50905806451613</c:v>
                </c:pt>
                <c:pt idx="13">
                  <c:v>5.37452258064516</c:v>
                </c:pt>
                <c:pt idx="14">
                  <c:v>6.0575935483871</c:v>
                </c:pt>
                <c:pt idx="15">
                  <c:v>5.79118709677419</c:v>
                </c:pt>
                <c:pt idx="16">
                  <c:v>5.84701290322581</c:v>
                </c:pt>
                <c:pt idx="17">
                  <c:v>6.42874193548387</c:v>
                </c:pt>
                <c:pt idx="18">
                  <c:v>5.65069032258065</c:v>
                </c:pt>
                <c:pt idx="19">
                  <c:v>6.30908387096774</c:v>
                </c:pt>
                <c:pt idx="20">
                  <c:v>6.85944516129032</c:v>
                </c:pt>
                <c:pt idx="21">
                  <c:v>6.5505935483871</c:v>
                </c:pt>
                <c:pt idx="22">
                  <c:v>6.88598709677419</c:v>
                </c:pt>
                <c:pt idx="23">
                  <c:v>7.27797419354839</c:v>
                </c:pt>
                <c:pt idx="24">
                  <c:v>7.61950967741935</c:v>
                </c:pt>
                <c:pt idx="25">
                  <c:v>7.43327741935484</c:v>
                </c:pt>
                <c:pt idx="26">
                  <c:v>7.54756129032258</c:v>
                </c:pt>
                <c:pt idx="27">
                  <c:v>7.94349677419355</c:v>
                </c:pt>
                <c:pt idx="28">
                  <c:v>5.9215935483871</c:v>
                </c:pt>
                <c:pt idx="29">
                  <c:v>5.9419935483871</c:v>
                </c:pt>
              </c:numCache>
            </c:numRef>
          </c:val>
          <c:smooth val="0"/>
        </c:ser>
        <c:hiLowLines>
          <c:spPr>
            <a:ln w="0">
              <a:noFill/>
            </a:ln>
          </c:spPr>
        </c:hiLowLines>
        <c:marker val="0"/>
        <c:axId val="10132898"/>
        <c:axId val="98790974"/>
      </c:lineChart>
      <c:catAx>
        <c:axId val="43990675"/>
        <c:scaling>
          <c:orientation val="minMax"/>
        </c:scaling>
        <c:delete val="0"/>
        <c:axPos val="b"/>
        <c:title>
          <c:tx>
            <c:rich>
              <a:bodyPr rot="0"/>
              <a:lstStyle/>
              <a:p>
                <a:pPr>
                  <a:defRPr b="1" lang="en-US" sz="1200" spc="-1" strike="noStrike">
                    <a:solidFill>
                      <a:srgbClr val="595959"/>
                    </a:solidFill>
                    <a:latin typeface="Calibri"/>
                  </a:defRPr>
                </a:pPr>
                <a:r>
                  <a:rPr b="1" lang="en-US" sz="1200" spc="-1" strike="noStrike">
                    <a:solidFill>
                      <a:srgbClr val="595959"/>
                    </a:solidFill>
                    <a:latin typeface="Calibri"/>
                  </a:rPr>
                  <a:t>Day of Week - Billing Cycle Day</a:t>
                </a:r>
              </a:p>
            </c:rich>
          </c:tx>
          <c:layout>
            <c:manualLayout>
              <c:xMode val="edge"/>
              <c:yMode val="edge"/>
              <c:x val="0.274306049822064"/>
              <c:y val="0.916116870876532"/>
            </c:manualLayout>
          </c:layout>
          <c:overlay val="0"/>
          <c:spPr>
            <a:noFill/>
            <a:ln w="0">
              <a:noFill/>
            </a:ln>
          </c:spPr>
        </c:title>
        <c:numFmt formatCode="General" sourceLinked="0"/>
        <c:majorTickMark val="out"/>
        <c:minorTickMark val="none"/>
        <c:tickLblPos val="nextTo"/>
        <c:spPr>
          <a:ln w="9360">
            <a:solidFill>
              <a:srgbClr val="d9d9d9"/>
            </a:solidFill>
            <a:round/>
          </a:ln>
        </c:spPr>
        <c:txPr>
          <a:bodyPr/>
          <a:lstStyle/>
          <a:p>
            <a:pPr>
              <a:defRPr b="0" sz="900" spc="-1" strike="noStrike">
                <a:solidFill>
                  <a:srgbClr val="595959"/>
                </a:solidFill>
                <a:latin typeface="Calibri"/>
              </a:defRPr>
            </a:pPr>
          </a:p>
        </c:txPr>
        <c:crossAx val="39215024"/>
        <c:crosses val="autoZero"/>
        <c:auto val="1"/>
        <c:lblAlgn val="ctr"/>
        <c:lblOffset val="100"/>
        <c:noMultiLvlLbl val="0"/>
      </c:catAx>
      <c:valAx>
        <c:axId val="39215024"/>
        <c:scaling>
          <c:orientation val="minMax"/>
          <c:max val="7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1" lang="en-US" sz="1200" spc="-1" strike="noStrike">
                    <a:solidFill>
                      <a:srgbClr val="0070c0"/>
                    </a:solidFill>
                    <a:latin typeface="Calibri"/>
                  </a:defRPr>
                </a:pPr>
                <a:r>
                  <a:rPr b="1" lang="en-US" sz="1200" spc="-1" strike="noStrike">
                    <a:solidFill>
                      <a:srgbClr val="0070c0"/>
                    </a:solidFill>
                    <a:latin typeface="Calibri"/>
                  </a:rPr>
                  <a:t>KWH USED</a:t>
                </a:r>
              </a:p>
            </c:rich>
          </c:tx>
          <c:layout>
            <c:manualLayout>
              <c:xMode val="edge"/>
              <c:yMode val="edge"/>
              <c:x val="0.0602846975088968"/>
              <c:y val="0.429573777358886"/>
            </c:manualLayout>
          </c:layout>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43990675"/>
        <c:crosses val="autoZero"/>
        <c:crossBetween val="between"/>
      </c:valAx>
      <c:catAx>
        <c:axId val="10132898"/>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98790974"/>
        <c:auto val="1"/>
        <c:lblAlgn val="ctr"/>
        <c:lblOffset val="100"/>
        <c:noMultiLvlLbl val="0"/>
      </c:catAx>
      <c:valAx>
        <c:axId val="98790974"/>
        <c:scaling>
          <c:orientation val="minMax"/>
          <c:max val="60"/>
          <c:min val="0"/>
        </c:scaling>
        <c:delete val="0"/>
        <c:axPos val="r"/>
        <c:title>
          <c:tx>
            <c:rich>
              <a:bodyPr rot="-5400000"/>
              <a:lstStyle/>
              <a:p>
                <a:pPr>
                  <a:defRPr b="1" lang="en-US" sz="1200" spc="-1" strike="noStrike">
                    <a:solidFill>
                      <a:srgbClr val="00b050"/>
                    </a:solidFill>
                    <a:latin typeface="Calibri"/>
                  </a:defRPr>
                </a:pPr>
                <a:r>
                  <a:rPr b="1" lang="en-US" sz="1200" spc="-1" strike="noStrike">
                    <a:solidFill>
                      <a:srgbClr val="00b050"/>
                    </a:solidFill>
                    <a:latin typeface="Calibri"/>
                  </a:rPr>
                  <a:t>Daily Charge Amounts</a:t>
                </a:r>
              </a:p>
            </c:rich>
          </c:tx>
          <c:layout>
            <c:manualLayout>
              <c:xMode val="edge"/>
              <c:yMode val="edge"/>
              <c:x val="0.933594306049822"/>
              <c:y val="0.29709917268824"/>
            </c:manualLayout>
          </c:layout>
          <c:overlay val="0"/>
          <c:spPr>
            <a:noFill/>
            <a:ln w="0">
              <a:noFill/>
            </a:ln>
          </c:spPr>
        </c:title>
        <c:numFmt formatCode="\$#,##0.0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10132898"/>
        <c:crosses val="max"/>
        <c:crossBetween val="between"/>
      </c:valAx>
      <c:spPr>
        <a:noFill/>
        <a:ln w="0">
          <a:noFill/>
        </a:ln>
      </c:spPr>
    </c:plotArea>
    <c:legend>
      <c:legendPos val="b"/>
      <c:layout>
        <c:manualLayout>
          <c:xMode val="edge"/>
          <c:yMode val="edge"/>
          <c:x val="0.749409391425229"/>
          <c:y val="0.905354925580449"/>
          <c:w val="0.198064844674271"/>
          <c:h val="0.0841271174191703"/>
        </c:manualLayout>
      </c:layout>
      <c:overlay val="0"/>
      <c:spPr>
        <a:noFill/>
        <a:ln w="0">
          <a:noFill/>
        </a:ln>
      </c:spPr>
      <c:txPr>
        <a:bodyPr/>
        <a:lstStyle/>
        <a:p>
          <a:pPr>
            <a:defRPr b="0" sz="900" spc="-1" strike="noStrike">
              <a:solidFill>
                <a:srgbClr val="595959"/>
              </a:solidFill>
              <a:latin typeface="Calibri"/>
            </a:defRPr>
          </a:pPr>
        </a:p>
      </c:txPr>
    </c:legend>
    <c:plotVisOnly val="1"/>
    <c:dispBlanksAs val="gap"/>
  </c:chart>
  <c:spPr>
    <a:solidFill>
      <a:srgbClr val="ffffff"/>
    </a:solidFill>
    <a:ln w="9360">
      <a:solidFill>
        <a:srgbClr val="d9d9d9"/>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MAY 2022</a:t>
            </a:r>
          </a:p>
        </c:rich>
      </c:tx>
      <c:layout>
        <c:manualLayout>
          <c:xMode val="edge"/>
          <c:yMode val="edge"/>
          <c:x val="0.381289429142945"/>
          <c:y val="0.0270858735411949"/>
        </c:manualLayout>
      </c:layout>
      <c:overlay val="0"/>
      <c:spPr>
        <a:noFill/>
        <a:ln w="0">
          <a:noFill/>
        </a:ln>
      </c:spPr>
    </c:title>
    <c:autoTitleDeleted val="0"/>
    <c:plotArea>
      <c:layout>
        <c:manualLayout>
          <c:layoutTarget val="inner"/>
          <c:xMode val="edge"/>
          <c:yMode val="edge"/>
          <c:x val="0.180104631481766"/>
          <c:y val="0.14082912384602"/>
          <c:w val="0.669026004000616"/>
          <c:h val="0.700226441386518"/>
        </c:manualLayout>
      </c:layout>
      <c:lineChart>
        <c:grouping val="standard"/>
        <c:varyColors val="0"/>
        <c:ser>
          <c:idx val="0"/>
          <c:order val="0"/>
          <c:tx>
            <c:strRef>
              <c:f>"KWH"</c:f>
              <c:strCache>
                <c:ptCount val="1"/>
                <c:pt idx="0">
                  <c:v>KWH</c:v>
                </c:pt>
              </c:strCache>
            </c:strRef>
          </c:tx>
          <c:spPr>
            <a:solidFill>
              <a:srgbClr val="3864b3"/>
            </a:solidFill>
            <a:ln cap="rnd" w="66600">
              <a:solidFill>
                <a:srgbClr val="3864b3"/>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4472c4"/>
                </a:solidFill>
                <a:round/>
              </a:ln>
            </c:spPr>
            <c:trendlineType val="linear"/>
            <c:forward val="0"/>
            <c:backward val="0"/>
            <c:dispRSqr val="0"/>
            <c:dispEq val="0"/>
          </c:trendline>
          <c:val>
            <c:numRef>
              <c:f>MAY!$H$2:$H$30</c:f>
              <c:numCache>
                <c:formatCode>0.00</c:formatCode>
                <c:ptCount val="29"/>
                <c:pt idx="0">
                  <c:v>27.676</c:v>
                </c:pt>
                <c:pt idx="1">
                  <c:v>23.433</c:v>
                </c:pt>
                <c:pt idx="2">
                  <c:v>36.131</c:v>
                </c:pt>
                <c:pt idx="3">
                  <c:v>33.592</c:v>
                </c:pt>
                <c:pt idx="4">
                  <c:v>35.211</c:v>
                </c:pt>
                <c:pt idx="5">
                  <c:v>34.504</c:v>
                </c:pt>
                <c:pt idx="6">
                  <c:v>35.798</c:v>
                </c:pt>
                <c:pt idx="7">
                  <c:v>33.661</c:v>
                </c:pt>
                <c:pt idx="8">
                  <c:v>31.823</c:v>
                </c:pt>
                <c:pt idx="9">
                  <c:v>26.946</c:v>
                </c:pt>
                <c:pt idx="10">
                  <c:v>36.473</c:v>
                </c:pt>
                <c:pt idx="11">
                  <c:v>35.063</c:v>
                </c:pt>
                <c:pt idx="12">
                  <c:v>38.298</c:v>
                </c:pt>
                <c:pt idx="13">
                  <c:v>35.688</c:v>
                </c:pt>
                <c:pt idx="14">
                  <c:v>40.727</c:v>
                </c:pt>
                <c:pt idx="15">
                  <c:v>30.649</c:v>
                </c:pt>
                <c:pt idx="16">
                  <c:v>42.611</c:v>
                </c:pt>
                <c:pt idx="17">
                  <c:v>28.387</c:v>
                </c:pt>
                <c:pt idx="18">
                  <c:v>41.429</c:v>
                </c:pt>
                <c:pt idx="19">
                  <c:v>44.397</c:v>
                </c:pt>
                <c:pt idx="20">
                  <c:v>48.106</c:v>
                </c:pt>
                <c:pt idx="21">
                  <c:v>46.379</c:v>
                </c:pt>
                <c:pt idx="22">
                  <c:v>46.352</c:v>
                </c:pt>
                <c:pt idx="23">
                  <c:v>42.607</c:v>
                </c:pt>
                <c:pt idx="24">
                  <c:v>43.569</c:v>
                </c:pt>
                <c:pt idx="25">
                  <c:v>39.334</c:v>
                </c:pt>
                <c:pt idx="26">
                  <c:v>47.043</c:v>
                </c:pt>
                <c:pt idx="27">
                  <c:v>49.004</c:v>
                </c:pt>
                <c:pt idx="28">
                  <c:v>46.92</c:v>
                </c:pt>
              </c:numCache>
            </c:numRef>
          </c:val>
          <c:smooth val="0"/>
        </c:ser>
        <c:ser>
          <c:idx val="1"/>
          <c:order val="1"/>
          <c:tx>
            <c:strRef>
              <c:f>"DAILY COST"</c:f>
              <c:strCache>
                <c:ptCount val="1"/>
                <c:pt idx="0">
                  <c:v>DAILY COST</c:v>
                </c:pt>
              </c:strCache>
            </c:strRef>
          </c:tx>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19080">
                <a:solidFill>
                  <a:srgbClr val="ed7d31"/>
                </a:solidFill>
                <a:round/>
              </a:ln>
            </c:spPr>
            <c:trendlineType val="linear"/>
            <c:forward val="0"/>
            <c:backward val="0"/>
            <c:dispRSqr val="0"/>
            <c:dispEq val="0"/>
          </c:trendline>
          <c:val>
            <c:numRef>
              <c:f>MAY!$K$2:$K$30</c:f>
              <c:numCache>
                <c:formatCode>General</c:formatCode>
                <c:ptCount val="29"/>
              </c:numCache>
            </c:numRef>
          </c:val>
          <c:smooth val="0"/>
        </c:ser>
        <c:ser>
          <c:idx val="2"/>
          <c:order val="2"/>
          <c:tx>
            <c:strRef>
              <c:f>"MOVING_AVERAGE"</c:f>
              <c:strCache>
                <c:ptCount val="1"/>
                <c:pt idx="0">
                  <c:v>MOVING_AVERAGE</c:v>
                </c:pt>
              </c:strCache>
            </c:strRef>
          </c:tx>
          <c:spPr>
            <a:solidFill>
              <a:srgbClr val="9dc3e6"/>
            </a:solidFill>
            <a:ln cap="rnd" w="38160">
              <a:solidFill>
                <a:srgbClr val="9dc3e6"/>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MAY!$J$2:$J$30</c:f>
              <c:numCache>
                <c:formatCode>0.00</c:formatCode>
                <c:ptCount val="29"/>
                <c:pt idx="0">
                  <c:v>27.676</c:v>
                </c:pt>
                <c:pt idx="1">
                  <c:v>25.5545</c:v>
                </c:pt>
                <c:pt idx="2">
                  <c:v>29.08</c:v>
                </c:pt>
                <c:pt idx="3">
                  <c:v>30.208</c:v>
                </c:pt>
                <c:pt idx="4">
                  <c:v>31.2086</c:v>
                </c:pt>
                <c:pt idx="5">
                  <c:v>31.7578333333333</c:v>
                </c:pt>
                <c:pt idx="6">
                  <c:v>32.335</c:v>
                </c:pt>
                <c:pt idx="7">
                  <c:v>32.50075</c:v>
                </c:pt>
                <c:pt idx="8">
                  <c:v>32.4254444444444</c:v>
                </c:pt>
                <c:pt idx="9">
                  <c:v>31.8775</c:v>
                </c:pt>
                <c:pt idx="10">
                  <c:v>32.2952727272727</c:v>
                </c:pt>
                <c:pt idx="11">
                  <c:v>32.5259166666667</c:v>
                </c:pt>
                <c:pt idx="12">
                  <c:v>32.9699230769231</c:v>
                </c:pt>
                <c:pt idx="13">
                  <c:v>33.1640714285714</c:v>
                </c:pt>
                <c:pt idx="14">
                  <c:v>33.6682666666667</c:v>
                </c:pt>
                <c:pt idx="15">
                  <c:v>33.4795625</c:v>
                </c:pt>
                <c:pt idx="16">
                  <c:v>34.0167058823529</c:v>
                </c:pt>
                <c:pt idx="17">
                  <c:v>33.7039444444444</c:v>
                </c:pt>
                <c:pt idx="18">
                  <c:v>34.1105263157895</c:v>
                </c:pt>
                <c:pt idx="19">
                  <c:v>34.62485</c:v>
                </c:pt>
                <c:pt idx="20">
                  <c:v>35.2668095238095</c:v>
                </c:pt>
                <c:pt idx="21">
                  <c:v>35.7719090909091</c:v>
                </c:pt>
                <c:pt idx="22">
                  <c:v>36.2319130434783</c:v>
                </c:pt>
                <c:pt idx="23">
                  <c:v>36.4975416666667</c:v>
                </c:pt>
                <c:pt idx="24">
                  <c:v>36.7804</c:v>
                </c:pt>
                <c:pt idx="25">
                  <c:v>36.8786153846154</c:v>
                </c:pt>
                <c:pt idx="26">
                  <c:v>37.2550740740741</c:v>
                </c:pt>
                <c:pt idx="27">
                  <c:v>37.6746785714286</c:v>
                </c:pt>
                <c:pt idx="28">
                  <c:v>37.9934827586207</c:v>
                </c:pt>
              </c:numCache>
            </c:numRef>
          </c:val>
          <c:smooth val="0"/>
        </c:ser>
        <c:hiLowLines>
          <c:spPr>
            <a:ln w="0">
              <a:noFill/>
            </a:ln>
          </c:spPr>
        </c:hiLowLines>
        <c:marker val="0"/>
        <c:axId val="22995790"/>
        <c:axId val="92020834"/>
      </c:lineChart>
      <c:catAx>
        <c:axId val="22995790"/>
        <c:scaling>
          <c:orientation val="minMax"/>
        </c:scaling>
        <c:delete val="1"/>
        <c:axPos val="b"/>
        <c:title>
          <c:tx>
            <c:rich>
              <a:bodyPr rot="0"/>
              <a:lstStyle/>
              <a:p>
                <a:pPr>
                  <a:defRPr b="0" sz="900" spc="-1" strike="noStrike">
                    <a:solidFill>
                      <a:srgbClr val="595959"/>
                    </a:solidFill>
                    <a:latin typeface="Calibri"/>
                  </a:defRPr>
                </a:pPr>
                <a:r>
                  <a:rPr b="0" sz="900" spc="-1" strike="noStrike">
                    <a:solidFill>
                      <a:srgbClr val="595959"/>
                    </a:solidFill>
                    <a:latin typeface="Calibri"/>
                  </a:rPr>
                  <a:t>Axis Title</a:t>
                </a:r>
              </a:p>
            </c:rich>
          </c:tx>
          <c:overlay val="0"/>
          <c:spPr>
            <a:noFill/>
            <a:ln w="0">
              <a:noFill/>
            </a:ln>
          </c:spPr>
        </c:title>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92020834"/>
        <c:auto val="1"/>
        <c:lblAlgn val="ctr"/>
        <c:lblOffset val="100"/>
        <c:noMultiLvlLbl val="0"/>
      </c:catAx>
      <c:valAx>
        <c:axId val="92020834"/>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0" lang="en-US" sz="900" spc="-1" strike="noStrike">
                    <a:solidFill>
                      <a:srgbClr val="595959"/>
                    </a:solidFill>
                    <a:latin typeface="Calibri"/>
                  </a:defRPr>
                </a:pPr>
                <a:r>
                  <a:rPr b="0" lang="en-US" sz="900" spc="-1" strike="noStrike">
                    <a:solidFill>
                      <a:srgbClr val="595959"/>
                    </a:solidFill>
                    <a:latin typeface="Calibri"/>
                  </a:rPr>
                  <a:t>KWH</a:t>
                </a:r>
              </a:p>
            </c:rich>
          </c:tx>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22995790"/>
        <c:crosses val="autoZero"/>
        <c:crossBetween val="between"/>
      </c:valAx>
      <c:spPr>
        <a:noFill/>
        <a:ln w="0">
          <a:noFill/>
        </a:ln>
      </c:spPr>
    </c:plotArea>
    <c:legend>
      <c:legendPos val="t"/>
      <c:layout>
        <c:manualLayout>
          <c:xMode val="edge"/>
          <c:yMode val="edge"/>
          <c:x val="0.104988899508949"/>
          <c:y val="0.863996245641553"/>
          <c:w val="0.743779224128776"/>
          <c:h val="0.099079066729562"/>
        </c:manualLayout>
      </c:layout>
      <c:overlay val="0"/>
      <c:spPr>
        <a:noFill/>
        <a:ln w="0">
          <a:noFill/>
        </a:ln>
      </c:spPr>
      <c:txPr>
        <a:bodyPr/>
        <a:lstStyle/>
        <a:p>
          <a:pPr>
            <a:defRPr b="0" sz="900" spc="-1" strike="noStrike">
              <a:solidFill>
                <a:srgbClr val="595959"/>
              </a:solidFill>
              <a:latin typeface="Calibri"/>
            </a:defRPr>
          </a:pPr>
        </a:p>
      </c:txPr>
    </c:legend>
    <c:plotVisOnly val="1"/>
    <c:dispBlanksAs val="zero"/>
  </c:chart>
  <c:spPr>
    <a:solidFill>
      <a:srgbClr val="ffffff"/>
    </a:solidFill>
    <a:ln w="9360">
      <a:solidFill>
        <a:srgbClr val="d9d9d9"/>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2000" spc="-1" strike="noStrike">
                <a:solidFill>
                  <a:srgbClr val="595959"/>
                </a:solidFill>
                <a:latin typeface="Calibri Light"/>
              </a:defRPr>
            </a:pPr>
            <a:r>
              <a:rPr b="1" lang="en-US" sz="2000" spc="-1" strike="noStrike">
                <a:solidFill>
                  <a:srgbClr val="595959"/>
                </a:solidFill>
                <a:latin typeface="Calibri Light"/>
              </a:rPr>
              <a:t>GEXA APRIL 2022</a:t>
            </a:r>
          </a:p>
        </c:rich>
      </c:tx>
      <c:layout>
        <c:manualLayout>
          <c:xMode val="edge"/>
          <c:yMode val="edge"/>
          <c:x val="0.381308640461152"/>
          <c:y val="0.0270671728007922"/>
        </c:manualLayout>
      </c:layout>
      <c:overlay val="0"/>
      <c:spPr>
        <a:noFill/>
        <a:ln w="0">
          <a:noFill/>
        </a:ln>
      </c:spPr>
    </c:title>
    <c:autoTitleDeleted val="0"/>
    <c:plotArea>
      <c:layout>
        <c:manualLayout>
          <c:layoutTarget val="inner"/>
          <c:xMode val="edge"/>
          <c:yMode val="edge"/>
          <c:x val="0.15140737106764"/>
          <c:y val="0.140864829179733"/>
          <c:w val="0.675660759183173"/>
          <c:h val="0.594322495461297"/>
        </c:manualLayout>
      </c:layout>
      <c:lineChart>
        <c:grouping val="standard"/>
        <c:varyColors val="0"/>
        <c:ser>
          <c:idx val="0"/>
          <c:order val="0"/>
          <c:spPr>
            <a:solidFill>
              <a:srgbClr val="3864b3"/>
            </a:solidFill>
            <a:ln cap="rnd" w="66600">
              <a:solidFill>
                <a:srgbClr val="3864b3"/>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name>KWH TREND</c:name>
            <c:spPr>
              <a:ln cap="rnd" w="19080">
                <a:solidFill>
                  <a:srgbClr val="4472c4"/>
                </a:solidFill>
                <a:round/>
              </a:ln>
            </c:spPr>
            <c:trendlineType val="poly"/>
            <c:order val="2"/>
            <c:forward val="0"/>
            <c:backward val="0"/>
            <c:dispRSqr val="0"/>
            <c:dispEq val="0"/>
          </c:trendline>
          <c:trendline>
            <c:spPr>
              <a:ln cap="rnd" w="19080">
                <a:solidFill>
                  <a:srgbClr val="4472c4"/>
                </a:solidFill>
                <a:round/>
              </a:ln>
            </c:spPr>
            <c:trendlineType val="linear"/>
            <c:forward val="0"/>
            <c:backward val="0"/>
            <c:dispRSqr val="0"/>
            <c:dispEq val="0"/>
          </c:trendline>
          <c:val>
            <c:numRef>
              <c:f>APR!$A$2:$A$32</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val>
          <c:smooth val="0"/>
        </c:ser>
        <c:hiLowLines>
          <c:spPr>
            <a:ln w="0">
              <a:noFill/>
            </a:ln>
          </c:spPr>
        </c:hiLowLines>
        <c:marker val="0"/>
        <c:axId val="96008021"/>
        <c:axId val="10187620"/>
      </c:lineChart>
      <c:lineChart>
        <c:grouping val="standard"/>
        <c:varyColors val="0"/>
        <c:ser>
          <c:idx val="1"/>
          <c:order val="1"/>
          <c:spPr>
            <a:solidFill>
              <a:srgbClr val="00b050"/>
            </a:solidFill>
            <a:ln cap="rnd" w="38160">
              <a:solidFill>
                <a:srgbClr val="00b05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name>COST TREND</c:name>
            <c:spPr>
              <a:ln cap="rnd" w="19080">
                <a:solidFill>
                  <a:srgbClr val="ed7d31"/>
                </a:solidFill>
                <a:round/>
              </a:ln>
            </c:spPr>
            <c:trendlineType val="poly"/>
            <c:order val="2"/>
            <c:forward val="0"/>
            <c:backward val="0"/>
            <c:dispRSqr val="0"/>
            <c:dispEq val="0"/>
          </c:trendline>
          <c:val>
            <c:numRef>
              <c:f>APR!$B$2:$B$32</c:f>
              <c:numCache>
                <c:formatCode>General</c:formatCode>
                <c:ptCount val="31"/>
                <c:pt idx="0">
                  <c:v>30</c:v>
                </c:pt>
                <c:pt idx="1">
                  <c:v>29</c:v>
                </c:pt>
                <c:pt idx="2">
                  <c:v>28</c:v>
                </c:pt>
                <c:pt idx="3">
                  <c:v>27</c:v>
                </c:pt>
                <c:pt idx="4">
                  <c:v>26</c:v>
                </c:pt>
                <c:pt idx="5">
                  <c:v>25</c:v>
                </c:pt>
                <c:pt idx="6">
                  <c:v>24</c:v>
                </c:pt>
                <c:pt idx="7">
                  <c:v>23</c:v>
                </c:pt>
                <c:pt idx="8">
                  <c:v>22</c:v>
                </c:pt>
                <c:pt idx="9">
                  <c:v>21</c:v>
                </c:pt>
                <c:pt idx="10">
                  <c:v>20</c:v>
                </c:pt>
                <c:pt idx="11">
                  <c:v>19</c:v>
                </c:pt>
                <c:pt idx="12">
                  <c:v>18</c:v>
                </c:pt>
                <c:pt idx="13">
                  <c:v>17</c:v>
                </c:pt>
                <c:pt idx="14">
                  <c:v>16</c:v>
                </c:pt>
                <c:pt idx="15">
                  <c:v>15</c:v>
                </c:pt>
                <c:pt idx="16">
                  <c:v>14</c:v>
                </c:pt>
                <c:pt idx="17">
                  <c:v>13</c:v>
                </c:pt>
                <c:pt idx="18">
                  <c:v>12</c:v>
                </c:pt>
                <c:pt idx="19">
                  <c:v>11</c:v>
                </c:pt>
                <c:pt idx="20">
                  <c:v>10</c:v>
                </c:pt>
                <c:pt idx="21">
                  <c:v>9</c:v>
                </c:pt>
                <c:pt idx="22">
                  <c:v>8</c:v>
                </c:pt>
                <c:pt idx="23">
                  <c:v>7</c:v>
                </c:pt>
                <c:pt idx="24">
                  <c:v>6</c:v>
                </c:pt>
                <c:pt idx="25">
                  <c:v>5</c:v>
                </c:pt>
                <c:pt idx="26">
                  <c:v>4</c:v>
                </c:pt>
                <c:pt idx="27">
                  <c:v>3</c:v>
                </c:pt>
                <c:pt idx="28">
                  <c:v>2</c:v>
                </c:pt>
                <c:pt idx="29">
                  <c:v>1</c:v>
                </c:pt>
                <c:pt idx="30">
                  <c:v>0</c:v>
                </c:pt>
              </c:numCache>
            </c:numRef>
          </c:val>
          <c:smooth val="0"/>
        </c:ser>
        <c:ser>
          <c:idx val="2"/>
          <c:order val="2"/>
          <c:spPr>
            <a:solidFill>
              <a:srgbClr val="a5a5a5"/>
            </a:solidFill>
            <a:ln cap="rnd" w="38160">
              <a:solidFill>
                <a:srgbClr val="a5a5a5"/>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APR!$H$2:$H$32</c:f>
              <c:numCache>
                <c:formatCode>0.000</c:formatCode>
                <c:ptCount val="31"/>
                <c:pt idx="0">
                  <c:v>23.112</c:v>
                </c:pt>
                <c:pt idx="1">
                  <c:v>35.298</c:v>
                </c:pt>
                <c:pt idx="2">
                  <c:v>28.625</c:v>
                </c:pt>
                <c:pt idx="3">
                  <c:v>19.609</c:v>
                </c:pt>
                <c:pt idx="4">
                  <c:v>29.478</c:v>
                </c:pt>
                <c:pt idx="5">
                  <c:v>21.654</c:v>
                </c:pt>
                <c:pt idx="6">
                  <c:v>24.06</c:v>
                </c:pt>
                <c:pt idx="7">
                  <c:v>25.334</c:v>
                </c:pt>
                <c:pt idx="8">
                  <c:v>26.575</c:v>
                </c:pt>
                <c:pt idx="9">
                  <c:v>27.393</c:v>
                </c:pt>
                <c:pt idx="10">
                  <c:v>32.52</c:v>
                </c:pt>
                <c:pt idx="11">
                  <c:v>26.308</c:v>
                </c:pt>
                <c:pt idx="12">
                  <c:v>37.117</c:v>
                </c:pt>
                <c:pt idx="13">
                  <c:v>29.114</c:v>
                </c:pt>
                <c:pt idx="14">
                  <c:v>23.065</c:v>
                </c:pt>
                <c:pt idx="15">
                  <c:v>24.155</c:v>
                </c:pt>
                <c:pt idx="16">
                  <c:v>52.183</c:v>
                </c:pt>
                <c:pt idx="17">
                  <c:v>42.711</c:v>
                </c:pt>
                <c:pt idx="18">
                  <c:v>32.742</c:v>
                </c:pt>
                <c:pt idx="19">
                  <c:v>43.771</c:v>
                </c:pt>
                <c:pt idx="20">
                  <c:v>23.182</c:v>
                </c:pt>
                <c:pt idx="21">
                  <c:v>19.918</c:v>
                </c:pt>
                <c:pt idx="22">
                  <c:v>37.454</c:v>
                </c:pt>
                <c:pt idx="23">
                  <c:v>31.953</c:v>
                </c:pt>
                <c:pt idx="24">
                  <c:v>40.211</c:v>
                </c:pt>
                <c:pt idx="25">
                  <c:v>46.562</c:v>
                </c:pt>
                <c:pt idx="26">
                  <c:v>46.488</c:v>
                </c:pt>
                <c:pt idx="27">
                  <c:v>46.449</c:v>
                </c:pt>
                <c:pt idx="28">
                  <c:v>37.502</c:v>
                </c:pt>
                <c:pt idx="29">
                  <c:v>24.353</c:v>
                </c:pt>
                <c:pt idx="30">
                  <c:v>57.367</c:v>
                </c:pt>
              </c:numCache>
            </c:numRef>
          </c:val>
          <c:smooth val="0"/>
        </c:ser>
        <c:ser>
          <c:idx val="3"/>
          <c:order val="3"/>
          <c:spPr>
            <a:solidFill>
              <a:srgbClr val="ffc000"/>
            </a:solidFill>
            <a:ln cap="rnd" w="38160">
              <a:solidFill>
                <a:srgbClr val="ffc000"/>
              </a:solidFill>
              <a:round/>
            </a:ln>
          </c:spPr>
          <c:marker>
            <c:symbol val="none"/>
          </c:marker>
          <c:dLbls>
            <c:txPr>
              <a:bodyPr wrap="square"/>
              <a:lstStyle/>
              <a:p>
                <a:pPr>
                  <a:defRPr b="0" sz="1000" spc="-1" strike="noStrike">
                    <a:solidFill>
                      <a:srgbClr val="000000"/>
                    </a:solidFill>
                    <a:latin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val>
            <c:numRef>
              <c:f>APR!$K$2:$K$32</c:f>
              <c:numCache>
                <c:formatCode>General</c:formatCode>
                <c:ptCount val="31"/>
              </c:numCache>
            </c:numRef>
          </c:val>
          <c:smooth val="0"/>
        </c:ser>
        <c:hiLowLines>
          <c:spPr>
            <a:ln w="0">
              <a:noFill/>
            </a:ln>
          </c:spPr>
        </c:hiLowLines>
        <c:marker val="0"/>
        <c:axId val="23998581"/>
        <c:axId val="89994284"/>
      </c:lineChart>
      <c:catAx>
        <c:axId val="96008021"/>
        <c:scaling>
          <c:orientation val="minMax"/>
        </c:scaling>
        <c:delete val="0"/>
        <c:axPos val="b"/>
        <c:title>
          <c:tx>
            <c:rich>
              <a:bodyPr rot="0"/>
              <a:lstStyle/>
              <a:p>
                <a:pPr>
                  <a:defRPr b="1" lang="en-US" sz="1400" spc="-1" strike="noStrike">
                    <a:solidFill>
                      <a:srgbClr val="595959"/>
                    </a:solidFill>
                    <a:latin typeface="Calibri"/>
                  </a:defRPr>
                </a:pPr>
                <a:r>
                  <a:rPr b="1" lang="en-US" sz="1400" spc="-1" strike="noStrike">
                    <a:solidFill>
                      <a:srgbClr val="595959"/>
                    </a:solidFill>
                    <a:latin typeface="Calibri"/>
                  </a:rPr>
                  <a:t>CYCLE DAY &amp; DAY OF WEEK</a:t>
                </a:r>
              </a:p>
            </c:rich>
          </c:tx>
          <c:layout>
            <c:manualLayout>
              <c:xMode val="edge"/>
              <c:yMode val="edge"/>
              <c:x val="0.345741092782241"/>
              <c:y val="0.854844033668922"/>
            </c:manualLayout>
          </c:layout>
          <c:overlay val="0"/>
          <c:spPr>
            <a:noFill/>
            <a:ln w="0">
              <a:noFill/>
            </a:ln>
          </c:spPr>
        </c:title>
        <c:numFmt formatCode="General" sourceLinked="0"/>
        <c:majorTickMark val="out"/>
        <c:minorTickMark val="none"/>
        <c:tickLblPos val="low"/>
        <c:spPr>
          <a:ln w="9360">
            <a:solidFill>
              <a:srgbClr val="d9d9d9"/>
            </a:solidFill>
            <a:round/>
          </a:ln>
        </c:spPr>
        <c:txPr>
          <a:bodyPr rot="-5400000"/>
          <a:lstStyle/>
          <a:p>
            <a:pPr>
              <a:defRPr b="0" sz="900" spc="-1" strike="noStrike">
                <a:solidFill>
                  <a:srgbClr val="595959"/>
                </a:solidFill>
                <a:latin typeface="Calibri"/>
              </a:defRPr>
            </a:pPr>
          </a:p>
        </c:txPr>
        <c:crossAx val="10187620"/>
        <c:crosses val="autoZero"/>
        <c:auto val="1"/>
        <c:lblAlgn val="ctr"/>
        <c:lblOffset val="100"/>
        <c:noMultiLvlLbl val="0"/>
      </c:catAx>
      <c:valAx>
        <c:axId val="10187620"/>
        <c:scaling>
          <c:orientation val="minMax"/>
          <c:max val="75"/>
          <c:min val="-5"/>
        </c:scaling>
        <c:delete val="0"/>
        <c:axPos val="l"/>
        <c:majorGridlines>
          <c:spPr>
            <a:ln w="9360">
              <a:solidFill>
                <a:srgbClr val="d9d9d9"/>
              </a:solidFill>
              <a:round/>
            </a:ln>
          </c:spPr>
        </c:majorGridlines>
        <c:minorGridlines>
          <c:spPr>
            <a:ln w="9360">
              <a:solidFill>
                <a:srgbClr val="f2f2f2"/>
              </a:solidFill>
              <a:round/>
            </a:ln>
          </c:spPr>
        </c:minorGridlines>
        <c:title>
          <c:tx>
            <c:rich>
              <a:bodyPr rot="-5400000"/>
              <a:lstStyle/>
              <a:p>
                <a:pPr>
                  <a:defRPr b="1" lang="en-US" sz="1400" spc="-1" strike="noStrike">
                    <a:solidFill>
                      <a:srgbClr val="595959"/>
                    </a:solidFill>
                    <a:latin typeface="Calibri"/>
                  </a:defRPr>
                </a:pPr>
                <a:r>
                  <a:rPr b="1" lang="en-US" sz="1400" spc="-1" strike="noStrike">
                    <a:solidFill>
                      <a:srgbClr val="595959"/>
                    </a:solidFill>
                    <a:latin typeface="Calibri"/>
                  </a:rPr>
                  <a:t>kwh</a:t>
                </a:r>
              </a:p>
            </c:rich>
          </c:tx>
          <c:layout>
            <c:manualLayout>
              <c:xMode val="edge"/>
              <c:yMode val="edge"/>
              <c:x val="0.0343410805175691"/>
              <c:y val="0.392721571216372"/>
            </c:manualLayout>
          </c:layout>
          <c:overlay val="0"/>
          <c:spPr>
            <a:noFill/>
            <a:ln w="0">
              <a:noFill/>
            </a:ln>
          </c:spPr>
        </c:title>
        <c:numFmt formatCode="0"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96008021"/>
        <c:crosses val="autoZero"/>
        <c:crossBetween val="midCat"/>
      </c:valAx>
      <c:catAx>
        <c:axId val="23998581"/>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defRPr>
            </a:pPr>
          </a:p>
        </c:txPr>
        <c:crossAx val="89994284"/>
        <c:auto val="1"/>
        <c:lblAlgn val="ctr"/>
        <c:lblOffset val="100"/>
        <c:noMultiLvlLbl val="0"/>
      </c:catAx>
      <c:valAx>
        <c:axId val="89994284"/>
        <c:scaling>
          <c:orientation val="minMax"/>
          <c:max val="60"/>
          <c:min val="0"/>
        </c:scaling>
        <c:delete val="0"/>
        <c:axPos val="r"/>
        <c:title>
          <c:tx>
            <c:rich>
              <a:bodyPr rot="-5400000"/>
              <a:lstStyle/>
              <a:p>
                <a:pPr>
                  <a:defRPr b="1" lang="en-US" sz="1400" spc="-1" strike="noStrike">
                    <a:solidFill>
                      <a:srgbClr val="548235"/>
                    </a:solidFill>
                    <a:latin typeface="Calibri"/>
                  </a:defRPr>
                </a:pPr>
                <a:r>
                  <a:rPr b="1" lang="en-US" sz="1400" spc="-1" strike="noStrike">
                    <a:solidFill>
                      <a:srgbClr val="548235"/>
                    </a:solidFill>
                    <a:latin typeface="Calibri"/>
                  </a:rPr>
                  <a:t>DAILY  $</a:t>
                </a:r>
              </a:p>
            </c:rich>
          </c:tx>
          <c:layout>
            <c:manualLayout>
              <c:xMode val="edge"/>
              <c:yMode val="edge"/>
              <c:x val="0.937818114919973"/>
              <c:y val="0.352615943224955"/>
            </c:manualLayout>
          </c:layout>
          <c:overlay val="0"/>
          <c:spPr>
            <a:noFill/>
            <a:ln w="0">
              <a:noFill/>
            </a:ln>
          </c:spPr>
        </c:title>
        <c:numFmt formatCode="General" sourceLinked="0"/>
        <c:majorTickMark val="out"/>
        <c:minorTickMark val="none"/>
        <c:tickLblPos val="nextTo"/>
        <c:spPr>
          <a:ln w="6480">
            <a:noFill/>
          </a:ln>
        </c:spPr>
        <c:txPr>
          <a:bodyPr/>
          <a:lstStyle/>
          <a:p>
            <a:pPr>
              <a:defRPr b="0" sz="900" spc="-1" strike="noStrike">
                <a:solidFill>
                  <a:srgbClr val="595959"/>
                </a:solidFill>
                <a:latin typeface="Calibri"/>
              </a:defRPr>
            </a:pPr>
          </a:p>
        </c:txPr>
        <c:crossAx val="23998581"/>
        <c:crosses val="max"/>
        <c:crossBetween val="midCat"/>
      </c:valAx>
      <c:spPr>
        <a:noFill/>
        <a:ln w="0">
          <a:noFill/>
        </a:ln>
      </c:spPr>
    </c:plotArea>
    <c:legend>
      <c:legendPos val="b"/>
      <c:overlay val="0"/>
      <c:spPr>
        <a:noFill/>
        <a:ln w="0">
          <a:noFill/>
        </a:ln>
      </c:spPr>
      <c:txPr>
        <a:bodyPr/>
        <a:lstStyle/>
        <a:p>
          <a:pPr>
            <a:defRPr b="0" sz="900" spc="-1" strike="noStrike">
              <a:solidFill>
                <a:srgbClr val="595959"/>
              </a:solidFill>
              <a:latin typeface="Calibri"/>
            </a:defRPr>
          </a:pPr>
        </a:p>
      </c:txPr>
    </c:legend>
    <c:plotVisOnly val="1"/>
    <c:dispBlanksAs val="zero"/>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10.xml.rels><?xml version="1.0" encoding="UTF-8"?>
<Relationships xmlns="http://schemas.openxmlformats.org/package/2006/relationships"><Relationship Id="rId1" Type="http://schemas.openxmlformats.org/officeDocument/2006/relationships/chart" Target="../charts/chart11.xml"/>
</Relationships>
</file>

<file path=xl/drawings/_rels/drawing11.xml.rels><?xml version="1.0" encoding="UTF-8"?>
<Relationships xmlns="http://schemas.openxmlformats.org/package/2006/relationships"><Relationship Id="rId1" Type="http://schemas.openxmlformats.org/officeDocument/2006/relationships/chart" Target="../charts/chart12.xml"/>
</Relationships>
</file>

<file path=xl/drawings/_rels/drawing12.xml.rels><?xml version="1.0" encoding="UTF-8"?>
<Relationships xmlns="http://schemas.openxmlformats.org/package/2006/relationships"><Relationship Id="rId1" Type="http://schemas.openxmlformats.org/officeDocument/2006/relationships/chart" Target="../charts/chart13.xml"/>
</Relationships>
</file>

<file path=xl/drawings/_rels/drawing2.xml.rels><?xml version="1.0" encoding="UTF-8"?>
<Relationships xmlns="http://schemas.openxmlformats.org/package/2006/relationships"><Relationship Id="rId1" Type="http://schemas.openxmlformats.org/officeDocument/2006/relationships/chart" Target="../charts/chart2.xml"/>
</Relationships>
</file>

<file path=xl/drawings/_rels/drawing3.xml.rels><?xml version="1.0" encoding="UTF-8"?>
<Relationships xmlns="http://schemas.openxmlformats.org/package/2006/relationships"><Relationship Id="rId1" Type="http://schemas.openxmlformats.org/officeDocument/2006/relationships/chart" Target="../charts/chart3.xml"/>
</Relationships>
</file>

<file path=xl/drawings/_rels/drawing4.xml.rels><?xml version="1.0" encoding="UTF-8"?>
<Relationships xmlns="http://schemas.openxmlformats.org/package/2006/relationships"><Relationship Id="rId1" Type="http://schemas.openxmlformats.org/officeDocument/2006/relationships/chart" Target="../charts/chart4.xml"/>
</Relationships>
</file>

<file path=xl/drawings/_rels/drawing5.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
</Relationships>
</file>

<file path=xl/drawings/_rels/drawing6.xml.rels><?xml version="1.0" encoding="UTF-8"?>
<Relationships xmlns="http://schemas.openxmlformats.org/package/2006/relationships"><Relationship Id="rId1" Type="http://schemas.openxmlformats.org/officeDocument/2006/relationships/chart" Target="../charts/chart7.xml"/>
</Relationships>
</file>

<file path=xl/drawings/_rels/drawing7.xml.rels><?xml version="1.0" encoding="UTF-8"?>
<Relationships xmlns="http://schemas.openxmlformats.org/package/2006/relationships"><Relationship Id="rId1" Type="http://schemas.openxmlformats.org/officeDocument/2006/relationships/chart" Target="../charts/chart8.xml"/>
</Relationships>
</file>

<file path=xl/drawings/_rels/drawing8.xml.rels><?xml version="1.0" encoding="UTF-8"?>
<Relationships xmlns="http://schemas.openxmlformats.org/package/2006/relationships"><Relationship Id="rId1" Type="http://schemas.openxmlformats.org/officeDocument/2006/relationships/chart" Target="../charts/chart9.xml"/>
</Relationships>
</file>

<file path=xl/drawings/_rels/drawing9.xml.rels><?xml version="1.0" encoding="UTF-8"?>
<Relationships xmlns="http://schemas.openxmlformats.org/package/2006/relationships"><Relationship Id="rId1" Type="http://schemas.openxmlformats.org/officeDocument/2006/relationships/chart" Target="../charts/chart10.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209520</xdr:colOff>
      <xdr:row>17</xdr:row>
      <xdr:rowOff>57240</xdr:rowOff>
    </xdr:from>
    <xdr:to>
      <xdr:col>23</xdr:col>
      <xdr:colOff>113760</xdr:colOff>
      <xdr:row>38</xdr:row>
      <xdr:rowOff>171360</xdr:rowOff>
    </xdr:to>
    <xdr:graphicFrame>
      <xdr:nvGraphicFramePr>
        <xdr:cNvPr id="0" name="Chart 1"/>
        <xdr:cNvGraphicFramePr/>
      </xdr:nvGraphicFramePr>
      <xdr:xfrm>
        <a:off x="10544040" y="3733920"/>
        <a:ext cx="5851080" cy="41144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343080</xdr:colOff>
      <xdr:row>14</xdr:row>
      <xdr:rowOff>152640</xdr:rowOff>
    </xdr:from>
    <xdr:to>
      <xdr:col>21</xdr:col>
      <xdr:colOff>438120</xdr:colOff>
      <xdr:row>36</xdr:row>
      <xdr:rowOff>66240</xdr:rowOff>
    </xdr:to>
    <xdr:graphicFrame>
      <xdr:nvGraphicFramePr>
        <xdr:cNvPr id="10" name="Chart 1"/>
        <xdr:cNvGraphicFramePr/>
      </xdr:nvGraphicFramePr>
      <xdr:xfrm>
        <a:off x="10677600" y="3257640"/>
        <a:ext cx="4679280" cy="4104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343080</xdr:colOff>
      <xdr:row>14</xdr:row>
      <xdr:rowOff>162000</xdr:rowOff>
    </xdr:from>
    <xdr:to>
      <xdr:col>21</xdr:col>
      <xdr:colOff>438120</xdr:colOff>
      <xdr:row>36</xdr:row>
      <xdr:rowOff>75600</xdr:rowOff>
    </xdr:to>
    <xdr:graphicFrame>
      <xdr:nvGraphicFramePr>
        <xdr:cNvPr id="11" name="Chart 1"/>
        <xdr:cNvGraphicFramePr/>
      </xdr:nvGraphicFramePr>
      <xdr:xfrm>
        <a:off x="10677600" y="3267000"/>
        <a:ext cx="4679280" cy="4104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343080</xdr:colOff>
      <xdr:row>14</xdr:row>
      <xdr:rowOff>163800</xdr:rowOff>
    </xdr:from>
    <xdr:to>
      <xdr:col>20</xdr:col>
      <xdr:colOff>434160</xdr:colOff>
      <xdr:row>33</xdr:row>
      <xdr:rowOff>73800</xdr:rowOff>
    </xdr:to>
    <xdr:graphicFrame>
      <xdr:nvGraphicFramePr>
        <xdr:cNvPr id="12" name="Chart 2"/>
        <xdr:cNvGraphicFramePr/>
      </xdr:nvGraphicFramePr>
      <xdr:xfrm>
        <a:off x="9630000" y="3268800"/>
        <a:ext cx="4674960" cy="352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352440</xdr:colOff>
      <xdr:row>16</xdr:row>
      <xdr:rowOff>162000</xdr:rowOff>
    </xdr:from>
    <xdr:to>
      <xdr:col>21</xdr:col>
      <xdr:colOff>447480</xdr:colOff>
      <xdr:row>38</xdr:row>
      <xdr:rowOff>123480</xdr:rowOff>
    </xdr:to>
    <xdr:graphicFrame>
      <xdr:nvGraphicFramePr>
        <xdr:cNvPr id="1" name="Chart 1"/>
        <xdr:cNvGraphicFramePr/>
      </xdr:nvGraphicFramePr>
      <xdr:xfrm>
        <a:off x="10686960" y="3781440"/>
        <a:ext cx="4820040" cy="4152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304920</xdr:colOff>
      <xdr:row>16</xdr:row>
      <xdr:rowOff>85680</xdr:rowOff>
    </xdr:from>
    <xdr:to>
      <xdr:col>22</xdr:col>
      <xdr:colOff>590400</xdr:colOff>
      <xdr:row>40</xdr:row>
      <xdr:rowOff>132840</xdr:rowOff>
    </xdr:to>
    <xdr:graphicFrame>
      <xdr:nvGraphicFramePr>
        <xdr:cNvPr id="2" name="Chart 1"/>
        <xdr:cNvGraphicFramePr/>
      </xdr:nvGraphicFramePr>
      <xdr:xfrm>
        <a:off x="9812160" y="3571920"/>
        <a:ext cx="10026360" cy="4619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47520</xdr:colOff>
      <xdr:row>16</xdr:row>
      <xdr:rowOff>142920</xdr:rowOff>
    </xdr:from>
    <xdr:to>
      <xdr:col>22</xdr:col>
      <xdr:colOff>113760</xdr:colOff>
      <xdr:row>39</xdr:row>
      <xdr:rowOff>123480</xdr:rowOff>
    </xdr:to>
    <xdr:graphicFrame>
      <xdr:nvGraphicFramePr>
        <xdr:cNvPr id="3" name="Chart 3"/>
        <xdr:cNvGraphicFramePr/>
      </xdr:nvGraphicFramePr>
      <xdr:xfrm>
        <a:off x="9198000" y="3629160"/>
        <a:ext cx="5823000" cy="43621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19080</xdr:colOff>
      <xdr:row>15</xdr:row>
      <xdr:rowOff>21960</xdr:rowOff>
    </xdr:from>
    <xdr:to>
      <xdr:col>22</xdr:col>
      <xdr:colOff>66240</xdr:colOff>
      <xdr:row>33</xdr:row>
      <xdr:rowOff>78840</xdr:rowOff>
    </xdr:to>
    <xdr:graphicFrame>
      <xdr:nvGraphicFramePr>
        <xdr:cNvPr id="4" name="Chart 3"/>
        <xdr:cNvGraphicFramePr/>
      </xdr:nvGraphicFramePr>
      <xdr:xfrm>
        <a:off x="11627640" y="3152520"/>
        <a:ext cx="5312520" cy="34858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200160</xdr:colOff>
      <xdr:row>15</xdr:row>
      <xdr:rowOff>98280</xdr:rowOff>
    </xdr:from>
    <xdr:to>
      <xdr:col>21</xdr:col>
      <xdr:colOff>295200</xdr:colOff>
      <xdr:row>37</xdr:row>
      <xdr:rowOff>40680</xdr:rowOff>
    </xdr:to>
    <xdr:graphicFrame>
      <xdr:nvGraphicFramePr>
        <xdr:cNvPr id="5" name="Chart 4"/>
        <xdr:cNvGraphicFramePr/>
      </xdr:nvGraphicFramePr>
      <xdr:xfrm>
        <a:off x="11808720" y="3228840"/>
        <a:ext cx="4736160" cy="4133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321840</xdr:colOff>
      <xdr:row>14</xdr:row>
      <xdr:rowOff>172440</xdr:rowOff>
    </xdr:from>
    <xdr:to>
      <xdr:col>21</xdr:col>
      <xdr:colOff>199800</xdr:colOff>
      <xdr:row>32</xdr:row>
      <xdr:rowOff>180720</xdr:rowOff>
    </xdr:to>
    <xdr:graphicFrame>
      <xdr:nvGraphicFramePr>
        <xdr:cNvPr id="6" name="Chart 2"/>
        <xdr:cNvGraphicFramePr/>
      </xdr:nvGraphicFramePr>
      <xdr:xfrm>
        <a:off x="9989640" y="3277440"/>
        <a:ext cx="5057640" cy="3437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343080</xdr:colOff>
      <xdr:row>14</xdr:row>
      <xdr:rowOff>152640</xdr:rowOff>
    </xdr:from>
    <xdr:to>
      <xdr:col>20</xdr:col>
      <xdr:colOff>438120</xdr:colOff>
      <xdr:row>36</xdr:row>
      <xdr:rowOff>94680</xdr:rowOff>
    </xdr:to>
    <xdr:graphicFrame>
      <xdr:nvGraphicFramePr>
        <xdr:cNvPr id="7" name="Chart 1"/>
        <xdr:cNvGraphicFramePr/>
      </xdr:nvGraphicFramePr>
      <xdr:xfrm>
        <a:off x="10072080" y="3257640"/>
        <a:ext cx="4678920" cy="4133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0</xdr:colOff>
      <xdr:row>16</xdr:row>
      <xdr:rowOff>174600</xdr:rowOff>
    </xdr:from>
    <xdr:to>
      <xdr:col>23</xdr:col>
      <xdr:colOff>95040</xdr:colOff>
      <xdr:row>39</xdr:row>
      <xdr:rowOff>155160</xdr:rowOff>
    </xdr:to>
    <xdr:graphicFrame>
      <xdr:nvGraphicFramePr>
        <xdr:cNvPr id="8" name="Chart 2"/>
        <xdr:cNvGraphicFramePr/>
      </xdr:nvGraphicFramePr>
      <xdr:xfrm>
        <a:off x="10204560" y="3495600"/>
        <a:ext cx="5870160" cy="43621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343080</xdr:colOff>
      <xdr:row>16</xdr:row>
      <xdr:rowOff>152280</xdr:rowOff>
    </xdr:from>
    <xdr:to>
      <xdr:col>22</xdr:col>
      <xdr:colOff>3960</xdr:colOff>
      <xdr:row>38</xdr:row>
      <xdr:rowOff>66240</xdr:rowOff>
    </xdr:to>
    <xdr:graphicFrame>
      <xdr:nvGraphicFramePr>
        <xdr:cNvPr id="9" name="Chart 1"/>
        <xdr:cNvGraphicFramePr/>
      </xdr:nvGraphicFramePr>
      <xdr:xfrm>
        <a:off x="9758880" y="3638520"/>
        <a:ext cx="5436360" cy="4104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1.vml"/>
</Relationships>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hyperlink" Target="https://answers.microsoft.com/threadauth/66cff5e9-3268-4f4a-9a78-be0b14396def/messages/8e08ec76-9da8-401a-9b66-3b4317c6a52f" TargetMode="External"/><Relationship Id="rId3" Type="http://schemas.openxmlformats.org/officeDocument/2006/relationships/vmlDrawing" Target="../drawings/vmlDrawing2.vml"/>
</Relationships>
</file>

<file path=xl/worksheets/_rels/sheet20.xml.rels><?xml version="1.0" encoding="UTF-8"?>
<Relationships xmlns="http://schemas.openxmlformats.org/package/2006/relationships"><Relationship Id="rId1" Type="http://schemas.openxmlformats.org/officeDocument/2006/relationships/drawing" Target="../drawings/drawing1.xml"/>
</Relationships>
</file>

<file path=xl/worksheets/_rels/sheet21.xml.rels><?xml version="1.0" encoding="UTF-8"?>
<Relationships xmlns="http://schemas.openxmlformats.org/package/2006/relationships"><Relationship Id="rId1" Type="http://schemas.openxmlformats.org/officeDocument/2006/relationships/drawing" Target="../drawings/drawing2.xml"/>
</Relationships>
</file>

<file path=xl/worksheets/_rels/sheet22.xml.rels><?xml version="1.0" encoding="UTF-8"?>
<Relationships xmlns="http://schemas.openxmlformats.org/package/2006/relationships"><Relationship Id="rId1" Type="http://schemas.openxmlformats.org/officeDocument/2006/relationships/drawing" Target="../drawings/drawing3.xml"/>
</Relationships>
</file>

<file path=xl/worksheets/_rels/sheet23.xml.rels><?xml version="1.0" encoding="UTF-8"?>
<Relationships xmlns="http://schemas.openxmlformats.org/package/2006/relationships"><Relationship Id="rId1" Type="http://schemas.openxmlformats.org/officeDocument/2006/relationships/drawing" Target="../drawings/drawing4.xml"/>
</Relationships>
</file>

<file path=xl/worksheets/_rels/sheet24.xml.rels><?xml version="1.0" encoding="UTF-8"?>
<Relationships xmlns="http://schemas.openxmlformats.org/package/2006/relationships"><Relationship Id="rId1" Type="http://schemas.openxmlformats.org/officeDocument/2006/relationships/drawing" Target="../drawings/drawing5.xml"/>
</Relationships>
</file>

<file path=xl/worksheets/_rels/sheet25.xml.rels><?xml version="1.0" encoding="UTF-8"?>
<Relationships xmlns="http://schemas.openxmlformats.org/package/2006/relationships"><Relationship Id="rId1" Type="http://schemas.openxmlformats.org/officeDocument/2006/relationships/drawing" Target="../drawings/drawing6.xml"/>
</Relationships>
</file>

<file path=xl/worksheets/_rels/sheet26.xml.rels><?xml version="1.0" encoding="UTF-8"?>
<Relationships xmlns="http://schemas.openxmlformats.org/package/2006/relationships"><Relationship Id="rId1" Type="http://schemas.openxmlformats.org/officeDocument/2006/relationships/drawing" Target="../drawings/drawing7.xml"/>
</Relationships>
</file>

<file path=xl/worksheets/_rels/sheet27.xml.rels><?xml version="1.0" encoding="UTF-8"?>
<Relationships xmlns="http://schemas.openxmlformats.org/package/2006/relationships"><Relationship Id="rId1" Type="http://schemas.openxmlformats.org/officeDocument/2006/relationships/drawing" Target="../drawings/drawing8.xml"/>
</Relationships>
</file>

<file path=xl/worksheets/_rels/sheet28.xml.rels><?xml version="1.0" encoding="UTF-8"?>
<Relationships xmlns="http://schemas.openxmlformats.org/package/2006/relationships"><Relationship Id="rId1" Type="http://schemas.openxmlformats.org/officeDocument/2006/relationships/drawing" Target="../drawings/drawing9.xml"/>
</Relationships>
</file>

<file path=xl/worksheets/_rels/sheet30.xml.rels><?xml version="1.0" encoding="UTF-8"?>
<Relationships xmlns="http://schemas.openxmlformats.org/package/2006/relationships"><Relationship Id="rId1" Type="http://schemas.openxmlformats.org/officeDocument/2006/relationships/drawing" Target="../drawings/drawing10.xml"/>
</Relationships>
</file>

<file path=xl/worksheets/_rels/sheet31.xml.rels><?xml version="1.0" encoding="UTF-8"?>
<Relationships xmlns="http://schemas.openxmlformats.org/package/2006/relationships"><Relationship Id="rId1" Type="http://schemas.openxmlformats.org/officeDocument/2006/relationships/drawing" Target="../drawings/drawing11.xml"/>
</Relationships>
</file>

<file path=xl/worksheets/_rels/sheet34.xml.rels><?xml version="1.0" encoding="UTF-8"?>
<Relationships xmlns="http://schemas.openxmlformats.org/package/2006/relationships"><Relationship Id="rId1" Type="http://schemas.openxmlformats.org/officeDocument/2006/relationships/drawing" Target="../drawings/drawing1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 activeCellId="0" sqref="D2"/>
    </sheetView>
  </sheetViews>
  <sheetFormatPr defaultColWidth="8.453125" defaultRowHeight="15" zeroHeight="false" outlineLevelRow="0" outlineLevelCol="0"/>
  <cols>
    <col collapsed="false" customWidth="true" hidden="false" outlineLevel="0" max="1" min="1" style="0" width="6.14"/>
    <col collapsed="false" customWidth="true" hidden="true" outlineLevel="0" max="2" min="2" style="0" width="6.29"/>
    <col collapsed="false" customWidth="true" hidden="false" outlineLevel="0" max="3" min="3" style="0" width="6.29"/>
    <col collapsed="false" customWidth="true" hidden="false" outlineLevel="0" max="4" min="4" style="1" width="10.71"/>
    <col collapsed="false" customWidth="true" hidden="false" outlineLevel="0" max="5" min="5" style="1" width="18.29"/>
    <col collapsed="false" customWidth="true" hidden="false" outlineLevel="0" max="7" min="6" style="2" width="9.14"/>
    <col collapsed="false" customWidth="true" hidden="false" outlineLevel="0" max="8" min="8" style="3" width="9.42"/>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6" min="16" style="0" width="12.71"/>
    <col collapsed="false" customWidth="true" hidden="false" outlineLevel="0" max="17" min="17" style="0" width="28.57"/>
    <col collapsed="false" customWidth="true" hidden="false" outlineLevel="0" max="19" min="19" style="0" width="10.71"/>
    <col collapsed="false" customWidth="true" hidden="false" outlineLevel="0" max="23" min="23"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14</v>
      </c>
      <c r="Q1" s="6" t="s">
        <v>15</v>
      </c>
      <c r="S1" s="10"/>
    </row>
    <row r="2" customFormat="false" ht="15" hidden="false" customHeight="false" outlineLevel="0" collapsed="false">
      <c r="A2" s="11" t="n">
        <v>1</v>
      </c>
      <c r="B2" s="11" t="e">
        <f aca="false">TEXT(#REF!,"ddd")</f>
        <v>#REF!</v>
      </c>
      <c r="C2" s="11" t="n">
        <v>30</v>
      </c>
      <c r="D2" s="12" t="s">
        <v>16</v>
      </c>
      <c r="E2" s="1" t="s">
        <v>17</v>
      </c>
      <c r="F2" s="2" t="n">
        <v>98382.115</v>
      </c>
      <c r="G2" s="2" t="n">
        <v>98409.643</v>
      </c>
      <c r="H2" s="3" t="n">
        <v>27.532</v>
      </c>
      <c r="I2" s="13" t="n">
        <v>27.532</v>
      </c>
      <c r="J2" s="14" t="n">
        <f aca="false">(I2)</f>
        <v>27.532</v>
      </c>
      <c r="K2" s="15" t="n">
        <f aca="false">IF($H2&gt;0,(($H2*$S$7)+$S$8)*(1+$R$9),"")</f>
        <v>6.08328793034424</v>
      </c>
      <c r="L2" s="16" t="n">
        <f aca="false">IF(I2 &gt;1000,($K2-100),K2)</f>
        <v>6.08328793034424</v>
      </c>
      <c r="M2" s="17" t="n">
        <f aca="false">IF($J2&lt;&gt;"",$J2*(LOOKUP(1E+307,$A:$A)-$A$2),"")</f>
        <v>825.96</v>
      </c>
      <c r="N2" s="17" t="n">
        <f aca="false">IF($M2&lt;&gt;"",IF($M2&gt;1000,(($M2*$S$7)+($A2*$S$8))*(1+$R$9)-100,($M2*$S$7)+($A2*$R$9)*(1+$R$9)),"")</f>
        <v>174.7158645609</v>
      </c>
      <c r="O2" s="18" t="n">
        <f aca="false">IF(I2&gt;=1000,"",(1000-I2))</f>
        <v>972.468</v>
      </c>
      <c r="Q2" s="19" t="s">
        <v>18</v>
      </c>
      <c r="R2" s="20" t="s">
        <v>19</v>
      </c>
      <c r="S2" s="21"/>
    </row>
    <row r="3" customFormat="false" ht="15" hidden="false" customHeight="false" outlineLevel="0" collapsed="false">
      <c r="A3" s="11" t="n">
        <v>2</v>
      </c>
      <c r="B3" s="11" t="str">
        <f aca="false">TEXT($D3,"ddd")</f>
        <v>Tue</v>
      </c>
      <c r="C3" s="11" t="n">
        <f aca="false">$A$31-$A2</f>
        <v>29</v>
      </c>
      <c r="D3" s="1" t="s">
        <v>20</v>
      </c>
      <c r="E3" s="1" t="s">
        <v>21</v>
      </c>
      <c r="F3" s="2" t="n">
        <v>98409.643</v>
      </c>
      <c r="G3" s="2" t="n">
        <v>98439.64</v>
      </c>
      <c r="H3" s="3" t="n">
        <v>29.999</v>
      </c>
      <c r="I3" s="13" t="n">
        <v>57.531</v>
      </c>
      <c r="J3" s="14" t="n">
        <f aca="false">IF($H3&gt;0,($I3/$A3),"")</f>
        <v>28.7655</v>
      </c>
      <c r="K3" s="15" t="n">
        <f aca="false">IF($H3&gt;0,(($H3*$S$7)+$S$8)*(1+$R$9),"")</f>
        <v>6.61549328482518</v>
      </c>
      <c r="L3" s="16" t="n">
        <f aca="false">IF($H3&gt;0,($K3+$L2),"")</f>
        <v>12.6987812151694</v>
      </c>
      <c r="M3" s="17" t="n">
        <f aca="false">IF($J3&lt;&gt;"",$J3*(LOOKUP(1E+307,$A:$A)-$A$2),"")</f>
        <v>862.965</v>
      </c>
      <c r="N3" s="17" t="n">
        <f aca="false">IF($M3&lt;&gt;"",IF($M3&gt;1000,(($M3*$S$7)+($A3*$S$8))*(1+$R$9)-100,($M3*$S$7)+($A3*$R$9)*(1+$R$9)),"")</f>
        <v>182.5630128918</v>
      </c>
      <c r="O3" s="18" t="n">
        <f aca="false">IF(I3&gt;=1000,"",(1000-I3))</f>
        <v>942.469</v>
      </c>
      <c r="Q3" s="22" t="s">
        <v>22</v>
      </c>
      <c r="R3" s="23" t="e">
        <f aca="false">(#REF!+1000)</f>
        <v>#REF!</v>
      </c>
      <c r="S3" s="24"/>
    </row>
    <row r="4" customFormat="false" ht="15" hidden="false" customHeight="false" outlineLevel="0" collapsed="false">
      <c r="A4" s="11" t="n">
        <v>3</v>
      </c>
      <c r="B4" s="11" t="str">
        <f aca="false">TEXT($D4,"ddd")</f>
        <v>Wed</v>
      </c>
      <c r="C4" s="11" t="n">
        <f aca="false">$A$31-$A3</f>
        <v>28</v>
      </c>
      <c r="D4" s="1" t="s">
        <v>23</v>
      </c>
      <c r="E4" s="1" t="s">
        <v>24</v>
      </c>
      <c r="F4" s="2" t="n">
        <v>98439.64</v>
      </c>
      <c r="G4" s="2" t="n">
        <v>98465.177</v>
      </c>
      <c r="H4" s="3" t="n">
        <v>25.537</v>
      </c>
      <c r="I4" s="13" t="n">
        <v>83.068</v>
      </c>
      <c r="J4" s="14" t="n">
        <f aca="false">IF($H4&gt;0,($I4/$A4),"")</f>
        <v>27.6893333333333</v>
      </c>
      <c r="K4" s="15" t="n">
        <f aca="false">IF($H4&gt;0,(($H4*$S$7)+$S$8)*(1+$R$9),"")</f>
        <v>5.65290702957834</v>
      </c>
      <c r="L4" s="16" t="n">
        <f aca="false">IF($H4&gt;0,($K4+$L3),"")</f>
        <v>18.3516882447478</v>
      </c>
      <c r="M4" s="17" t="n">
        <f aca="false">IF($J4&lt;&gt;"",$J4*(LOOKUP(1E+307,$A:$A)-$A$2),"")</f>
        <v>830.68</v>
      </c>
      <c r="N4" s="17" t="n">
        <f aca="false">IF($M4&lt;&gt;"",IF($M4&gt;1000,(($M4*$S$7)+($A4*$S$8))*(1+$R$9)-100,($M4*$S$7)+($A4*$R$9)*(1+$R$9)),"")</f>
        <v>175.7549104827</v>
      </c>
      <c r="O4" s="18" t="n">
        <f aca="false">IF(I4&gt;=1000,"",(1000-I4))</f>
        <v>916.932</v>
      </c>
      <c r="Q4" s="22" t="s">
        <v>25</v>
      </c>
      <c r="R4" s="25"/>
      <c r="S4" s="26" t="n">
        <v>0.001667</v>
      </c>
    </row>
    <row r="5" customFormat="false" ht="15" hidden="false" customHeight="false" outlineLevel="0" collapsed="false">
      <c r="A5" s="11" t="n">
        <v>4</v>
      </c>
      <c r="B5" s="11" t="str">
        <f aca="false">TEXT($D5,"ddd")</f>
        <v>Thu</v>
      </c>
      <c r="C5" s="11" t="n">
        <f aca="false">$A$31-$A4</f>
        <v>27</v>
      </c>
      <c r="D5" s="1" t="s">
        <v>26</v>
      </c>
      <c r="E5" s="1" t="s">
        <v>27</v>
      </c>
      <c r="F5" s="2" t="n">
        <v>98465.177</v>
      </c>
      <c r="G5" s="2" t="n">
        <v>98504.482</v>
      </c>
      <c r="H5" s="3" t="n">
        <v>39.304</v>
      </c>
      <c r="I5" s="13" t="n">
        <v>122.372</v>
      </c>
      <c r="J5" s="14" t="n">
        <f aca="false">IF($H5&gt;0,($I5/$A5),"")</f>
        <v>30.593</v>
      </c>
      <c r="K5" s="15" t="n">
        <f aca="false">IF($H5&gt;0,(($H5*$S$7)+$S$8)*(1+$R$9),"")</f>
        <v>8.62285883952528</v>
      </c>
      <c r="L5" s="16" t="n">
        <f aca="false">IF($H5&gt;0,($K5+$L4),"")</f>
        <v>26.974547084273</v>
      </c>
      <c r="M5" s="17" t="n">
        <f aca="false">IF($J5&lt;&gt;"",$J5*(LOOKUP(1E+307,$A:$A)-$A$2),"")</f>
        <v>917.79</v>
      </c>
      <c r="N5" s="17" t="n">
        <f aca="false">IF($M5&lt;&gt;"",IF($M5&gt;1000,(($M5*$S$7)+($A5*$S$8))*(1+$R$9)-100,($M5*$S$7)+($A5*$R$9)*(1+$R$9)),"")</f>
        <v>194.1995669436</v>
      </c>
      <c r="O5" s="18" t="n">
        <f aca="false">IF(I5&gt;=1000,"",(1000-I5))</f>
        <v>877.628</v>
      </c>
      <c r="P5" s="27"/>
      <c r="Q5" s="22" t="s">
        <v>28</v>
      </c>
      <c r="R5" s="25"/>
      <c r="S5" s="26" t="n">
        <v>0.050339</v>
      </c>
    </row>
    <row r="6" customFormat="false" ht="15" hidden="false" customHeight="false" outlineLevel="0" collapsed="false">
      <c r="A6" s="11" t="n">
        <v>5</v>
      </c>
      <c r="B6" s="11" t="str">
        <f aca="false">TEXT($D6,"ddd")</f>
        <v>Fri</v>
      </c>
      <c r="C6" s="11" t="n">
        <f aca="false">$A$31-$A5</f>
        <v>26</v>
      </c>
      <c r="D6" s="1" t="s">
        <v>29</v>
      </c>
      <c r="E6" s="1" t="s">
        <v>30</v>
      </c>
      <c r="F6" s="2" t="n">
        <v>98504.482</v>
      </c>
      <c r="G6" s="2" t="n">
        <v>98531.11</v>
      </c>
      <c r="H6" s="3" t="n">
        <v>26.621</v>
      </c>
      <c r="I6" s="13" t="n">
        <v>148.993</v>
      </c>
      <c r="J6" s="14" t="n">
        <f aca="false">IF($H6&gt;0,($I6/$A6),"")</f>
        <v>29.7986</v>
      </c>
      <c r="K6" s="15" t="n">
        <f aca="false">IF($H6&gt;0,(($H6*$S$7)+$S$8)*(1+$R$9),"")</f>
        <v>5.88675810548322</v>
      </c>
      <c r="L6" s="16" t="n">
        <f aca="false">IF($H6&gt;0,($K6+$L5),"")</f>
        <v>32.8613051897563</v>
      </c>
      <c r="M6" s="17" t="n">
        <f aca="false">IF($J6&lt;&gt;"",$J6*(LOOKUP(1E+307,$A:$A)-$A$2),"")</f>
        <v>893.958</v>
      </c>
      <c r="N6" s="17" t="n">
        <f aca="false">IF($M6&lt;&gt;"",IF($M6&gt;1000,(($M6*$S$7)+($A6*$S$8))*(1+$R$9)-100,($M6*$S$7)+($A6*$R$9)*(1+$R$9)),"")</f>
        <v>189.1793247525</v>
      </c>
      <c r="O6" s="18" t="n">
        <f aca="false">IF(I6&gt;=1000,"",(1000-I6))</f>
        <v>851.007</v>
      </c>
      <c r="Q6" s="22" t="s">
        <v>31</v>
      </c>
      <c r="R6" s="25"/>
      <c r="S6" s="26" t="n">
        <v>0.1595</v>
      </c>
    </row>
    <row r="7" customFormat="false" ht="15" hidden="false" customHeight="false" outlineLevel="0" collapsed="false">
      <c r="A7" s="11" t="n">
        <v>6</v>
      </c>
      <c r="B7" s="11" t="str">
        <f aca="false">TEXT($D7,"ddd")</f>
        <v>Sat</v>
      </c>
      <c r="C7" s="11" t="n">
        <f aca="false">$A$31-$A6</f>
        <v>25</v>
      </c>
      <c r="D7" s="1" t="s">
        <v>32</v>
      </c>
      <c r="E7" s="1" t="s">
        <v>33</v>
      </c>
      <c r="F7" s="2" t="n">
        <v>98531.11</v>
      </c>
      <c r="G7" s="2" t="n">
        <v>98560.212</v>
      </c>
      <c r="H7" s="3" t="n">
        <v>29.102</v>
      </c>
      <c r="I7" s="13" t="n">
        <v>178.095</v>
      </c>
      <c r="J7" s="14" t="n">
        <f aca="false">IF($H7&gt;0,($I7/$A7),"")</f>
        <v>29.6825</v>
      </c>
      <c r="K7" s="15" t="n">
        <f aca="false">IF($H7&gt;0,(($H7*$S$7)+$S$8)*(1+$R$9),"")</f>
        <v>6.42198367681164</v>
      </c>
      <c r="L7" s="16" t="n">
        <f aca="false">IF($H7&gt;0,($K7+$L6),"")</f>
        <v>39.2832888665679</v>
      </c>
      <c r="M7" s="17" t="n">
        <f aca="false">IF($J7&lt;&gt;"",$J7*(LOOKUP(1E+307,$A:$A)-$A$2),"")</f>
        <v>890.475</v>
      </c>
      <c r="N7" s="17" t="n">
        <f aca="false">IF($M7&lt;&gt;"",IF($M7&gt;1000,(($M7*$S$7)+($A7*$S$8))*(1+$R$9)-100,($M7*$S$7)+($A7*$R$9)*(1+$R$9)),"")</f>
        <v>188.4630181554</v>
      </c>
      <c r="O7" s="18" t="n">
        <f aca="false">IF(I7&gt;=1000,"",(1000-I7))</f>
        <v>821.905</v>
      </c>
      <c r="Q7" s="22" t="s">
        <v>34</v>
      </c>
      <c r="R7" s="25"/>
      <c r="S7" s="28" t="n">
        <f aca="false">SUM(S4:S6)</f>
        <v>0.211506</v>
      </c>
      <c r="T7" s="29" t="s">
        <v>35</v>
      </c>
    </row>
    <row r="8" customFormat="false" ht="15" hidden="false" customHeight="false" outlineLevel="0" collapsed="false">
      <c r="A8" s="11" t="n">
        <v>7</v>
      </c>
      <c r="B8" s="11" t="str">
        <f aca="false">TEXT($D8,"ddd")</f>
        <v>Sun</v>
      </c>
      <c r="C8" s="11" t="n">
        <f aca="false">$A$31-$A7</f>
        <v>24</v>
      </c>
      <c r="D8" s="1" t="s">
        <v>36</v>
      </c>
      <c r="E8" s="1" t="s">
        <v>37</v>
      </c>
      <c r="F8" s="2" t="n">
        <v>98560.212</v>
      </c>
      <c r="G8" s="2" t="n">
        <v>98587.176</v>
      </c>
      <c r="H8" s="3" t="n">
        <v>26.964</v>
      </c>
      <c r="I8" s="13" t="n">
        <v>205.059</v>
      </c>
      <c r="J8" s="14" t="n">
        <f aca="false">IF($H8&gt;0,($I8/$A8),"")</f>
        <v>29.2941428571429</v>
      </c>
      <c r="K8" s="15" t="n">
        <f aca="false">IF($H8&gt;0,(($H8*$S$7)+$S$8)*(1+$R$9),"")</f>
        <v>5.96075341824648</v>
      </c>
      <c r="L8" s="16" t="n">
        <f aca="false">IF($H8&gt;0,($K8+$L7),"")</f>
        <v>45.2440422848144</v>
      </c>
      <c r="M8" s="17" t="n">
        <f aca="false">IF($J8&lt;&gt;"",$J8*(LOOKUP(1E+307,$A:$A)-$A$2),"")</f>
        <v>878.824285714286</v>
      </c>
      <c r="N8" s="17" t="n">
        <f aca="false">IF($M8&lt;&gt;"",IF($M8&gt;1000,(($M8*$S$7)+($A8*$S$8))*(1+$R$9)-100,($M8*$S$7)+($A8*$R$9)*(1+$R$9)),"")</f>
        <v>186.019190980586</v>
      </c>
      <c r="O8" s="18" t="n">
        <f aca="false">IF(I8&gt;=1000,"",(1000-I8))</f>
        <v>794.941</v>
      </c>
      <c r="Q8" s="22" t="s">
        <v>38</v>
      </c>
      <c r="R8" s="30" t="n">
        <v>4.23</v>
      </c>
      <c r="S8" s="31" t="n">
        <f aca="false">(R8/A31)</f>
        <v>0.141</v>
      </c>
      <c r="T8" s="29" t="s">
        <v>39</v>
      </c>
    </row>
    <row r="9" customFormat="false" ht="15" hidden="false" customHeight="false" outlineLevel="0" collapsed="false">
      <c r="A9" s="11" t="n">
        <v>8</v>
      </c>
      <c r="B9" s="11" t="str">
        <f aca="false">TEXT($D9,"ddd")</f>
        <v>Mon</v>
      </c>
      <c r="C9" s="11" t="n">
        <f aca="false">$A$31-$A8</f>
        <v>23</v>
      </c>
      <c r="D9" s="1" t="s">
        <v>40</v>
      </c>
      <c r="E9" s="1" t="s">
        <v>41</v>
      </c>
      <c r="F9" s="2" t="n">
        <v>98587.176</v>
      </c>
      <c r="G9" s="2" t="n">
        <v>98619.016</v>
      </c>
      <c r="H9" s="3" t="n">
        <v>31.841</v>
      </c>
      <c r="I9" s="13" t="n">
        <v>236.9</v>
      </c>
      <c r="J9" s="14" t="n">
        <f aca="false">IF($H9&gt;0,($I9/$A9),"")</f>
        <v>29.6125</v>
      </c>
      <c r="K9" s="15" t="n">
        <f aca="false">IF($H9&gt;0,(($H9*$S$7)+$S$8)*(1+$R$9),"")</f>
        <v>7.01286753004362</v>
      </c>
      <c r="L9" s="16" t="n">
        <f aca="false">IF($H9&gt;0,($K9+$L8),"")</f>
        <v>52.256909814858</v>
      </c>
      <c r="M9" s="17" t="n">
        <f aca="false">IF($J9&lt;&gt;"",$J9*(LOOKUP(1E+307,$A:$A)-$A$2),"")</f>
        <v>888.375</v>
      </c>
      <c r="N9" s="17" t="n">
        <f aca="false">IF($M9&lt;&gt;"",IF($M9&gt;1000,(($M9*$S$7)+($A9*$S$8))*(1+$R$9)-100,($M9*$S$7)+($A9*$R$9)*(1+$R$9)),"")</f>
        <v>188.0595931572</v>
      </c>
      <c r="O9" s="18" t="n">
        <f aca="false">IF(I9&gt;=1000,"",(1000-I9))</f>
        <v>763.1</v>
      </c>
      <c r="Q9" s="22" t="s">
        <v>42</v>
      </c>
      <c r="R9" s="30" t="n">
        <v>0.01997</v>
      </c>
      <c r="S9" s="32"/>
      <c r="T9" s="29" t="s">
        <v>43</v>
      </c>
    </row>
    <row r="10" customFormat="false" ht="15" hidden="false" customHeight="false" outlineLevel="0" collapsed="false">
      <c r="A10" s="11" t="n">
        <v>9</v>
      </c>
      <c r="B10" s="11" t="str">
        <f aca="false">TEXT($D10,"ddd")</f>
        <v>Tue</v>
      </c>
      <c r="C10" s="11" t="n">
        <f aca="false">$A$31-$A9</f>
        <v>22</v>
      </c>
      <c r="D10" s="1" t="s">
        <v>44</v>
      </c>
      <c r="E10" s="1" t="s">
        <v>45</v>
      </c>
      <c r="F10" s="2" t="n">
        <v>98619.016</v>
      </c>
      <c r="G10" s="2" t="n">
        <v>98652.498</v>
      </c>
      <c r="H10" s="3" t="n">
        <v>33.482</v>
      </c>
      <c r="I10" s="13" t="n">
        <f aca="false">IF(H10&gt;0,(H10+I9),"")</f>
        <v>270.382</v>
      </c>
      <c r="J10" s="14" t="n">
        <f aca="false">IF($H10&gt;0,($I10/$A10),"")</f>
        <v>30.0424444444444</v>
      </c>
      <c r="K10" s="15" t="n">
        <f aca="false">IF($H10&gt;0,(($H10*$S$7)+$S$8)*(1+$R$9),"")</f>
        <v>7.36688009052324</v>
      </c>
      <c r="L10" s="16" t="n">
        <f aca="false">IF($H10&gt;0,($K10+$L9),"")</f>
        <v>59.6237899053812</v>
      </c>
      <c r="M10" s="17" t="n">
        <f aca="false">IF($J10&lt;&gt;"",$J10*(LOOKUP(1E+307,$A:$A)-$A$2),"")</f>
        <v>901.273333333333</v>
      </c>
      <c r="N10" s="17" t="n">
        <f aca="false">IF($M10&lt;&gt;"",IF($M10&gt;1000,(($M10*$S$7)+($A10*$S$8))*(1+$R$9)-100,($M10*$S$7)+($A10*$R$9)*(1+$R$9)),"")</f>
        <v>190.8080368481</v>
      </c>
      <c r="O10" s="18" t="n">
        <f aca="false">IF(I10&gt;=1000,"",(1000-I10))</f>
        <v>729.618</v>
      </c>
      <c r="Q10" s="22" t="s">
        <v>46</v>
      </c>
      <c r="R10" s="33" t="n">
        <v>100</v>
      </c>
      <c r="S10" s="24" t="n">
        <v>1000</v>
      </c>
      <c r="W10" s="34" t="n">
        <v>45275</v>
      </c>
    </row>
    <row r="11" customFormat="false" ht="15" hidden="false" customHeight="false" outlineLevel="0" collapsed="false">
      <c r="A11" s="11" t="n">
        <v>10</v>
      </c>
      <c r="B11" s="11" t="str">
        <f aca="false">TEXT($D11,"ddd")</f>
        <v>Wed</v>
      </c>
      <c r="C11" s="11" t="n">
        <f aca="false">$A$31-$A10</f>
        <v>21</v>
      </c>
      <c r="D11" s="1" t="s">
        <v>47</v>
      </c>
      <c r="E11" s="1" t="s">
        <v>48</v>
      </c>
      <c r="F11" s="2" t="n">
        <v>98652.498</v>
      </c>
      <c r="G11" s="2" t="n">
        <v>98689.051</v>
      </c>
      <c r="H11" s="3" t="n">
        <v>36.551</v>
      </c>
      <c r="I11" s="13" t="n">
        <f aca="false">IF(H11&gt;0,(H11+I10),"")</f>
        <v>306.933</v>
      </c>
      <c r="J11" s="14" t="n">
        <f aca="false">IF($H11&gt;0,($I11/$A11),"")</f>
        <v>30.6933</v>
      </c>
      <c r="K11" s="15" t="n">
        <f aca="false">IF($H11&gt;0,(($H11*$S$7)+$S$8)*(1+$R$9),"")</f>
        <v>8.02895476944582</v>
      </c>
      <c r="L11" s="16" t="n">
        <f aca="false">IF($H11&gt;0,($K11+$L10),"")</f>
        <v>67.6527446748271</v>
      </c>
      <c r="M11" s="17" t="n">
        <f aca="false">IF($J11&lt;&gt;"",$J11*(LOOKUP(1E+307,$A:$A)-$A$2),"")</f>
        <v>920.799</v>
      </c>
      <c r="N11" s="17" t="n">
        <f aca="false">IF($M11&lt;&gt;"",IF($M11&gt;1000,(($M11*$S$7)+($A11*$S$8))*(1+$R$9)-100,($M11*$S$7)+($A11*$R$9)*(1+$R$9)),"")</f>
        <v>194.958201303</v>
      </c>
      <c r="O11" s="18" t="n">
        <f aca="false">IF(I11&gt;=1000,"",(1000-I11))</f>
        <v>693.067</v>
      </c>
      <c r="Q11" s="22" t="s">
        <v>49</v>
      </c>
      <c r="R11" s="33" t="n">
        <v>295</v>
      </c>
      <c r="S11" s="32"/>
    </row>
    <row r="12" customFormat="false" ht="15" hidden="false" customHeight="false" outlineLevel="0" collapsed="false">
      <c r="A12" s="11" t="n">
        <v>11</v>
      </c>
      <c r="B12" s="11" t="str">
        <f aca="false">TEXT($D12,"ddd")</f>
        <v>Thu</v>
      </c>
      <c r="C12" s="11" t="n">
        <f aca="false">$A$31-$A11</f>
        <v>20</v>
      </c>
      <c r="D12" s="1" t="s">
        <v>50</v>
      </c>
      <c r="E12" s="1" t="s">
        <v>51</v>
      </c>
      <c r="F12" s="2" t="n">
        <v>98689.051</v>
      </c>
      <c r="G12" s="2" t="n">
        <v>98715.718</v>
      </c>
      <c r="H12" s="3" t="n">
        <v>26.669</v>
      </c>
      <c r="I12" s="13" t="n">
        <f aca="false">IF(H12&gt;0,(H12+I11),"")</f>
        <v>333.602</v>
      </c>
      <c r="J12" s="14" t="n">
        <f aca="false">IF($H12&gt;0,($I12/$A12),"")</f>
        <v>30.3274545454545</v>
      </c>
      <c r="K12" s="15" t="n">
        <f aca="false">IF($H12&gt;0,(($H12*$S$7)+$S$8)*(1+$R$9),"")</f>
        <v>5.89711313467458</v>
      </c>
      <c r="L12" s="16" t="n">
        <f aca="false">IF($H12&gt;0,($K12+$L11),"")</f>
        <v>73.5498578095017</v>
      </c>
      <c r="M12" s="17" t="n">
        <f aca="false">IF($J12&lt;&gt;"",$J12*(LOOKUP(1E+307,$A:$A)-$A$2),"")</f>
        <v>909.823636363636</v>
      </c>
      <c r="N12" s="17" t="n">
        <f aca="false">IF($M12&lt;&gt;"",IF($M12&gt;1000,(($M12*$S$7)+($A12*$S$8))*(1+$R$9)-100,($M12*$S$7)+($A12*$R$9)*(1+$R$9)),"")</f>
        <v>192.657214842627</v>
      </c>
      <c r="O12" s="18" t="n">
        <f aca="false">IF(I12&gt;=1000,"",(1000-I12))</f>
        <v>666.398</v>
      </c>
      <c r="Q12" s="22" t="s">
        <v>52</v>
      </c>
      <c r="R12" s="35" t="n">
        <f aca="false">INDEX(L2:L32,COUNT(L2:L32))</f>
        <v>85.760874003803</v>
      </c>
      <c r="S12" s="32"/>
    </row>
    <row r="13" customFormat="false" ht="15" hidden="false" customHeight="false" outlineLevel="0" collapsed="false">
      <c r="A13" s="11" t="n">
        <v>12</v>
      </c>
      <c r="B13" s="11" t="str">
        <f aca="false">TEXT($D13,"ddd")</f>
        <v>Fri</v>
      </c>
      <c r="C13" s="11" t="n">
        <f aca="false">$A$31-$A12</f>
        <v>19</v>
      </c>
      <c r="D13" s="1" t="s">
        <v>53</v>
      </c>
      <c r="E13" s="1" t="s">
        <v>54</v>
      </c>
      <c r="F13" s="2" t="n">
        <v>98715.718</v>
      </c>
      <c r="G13" s="2" t="n">
        <v>98740.588</v>
      </c>
      <c r="H13" s="3" t="n">
        <v>24.869</v>
      </c>
      <c r="I13" s="13" t="n">
        <f aca="false">IF(H13&gt;0,(H13+I12),"")</f>
        <v>358.471</v>
      </c>
      <c r="J13" s="14" t="n">
        <f aca="false">IF($H13&gt;0,($I13/$A13),"")</f>
        <v>29.8725833333333</v>
      </c>
      <c r="K13" s="15" t="n">
        <f aca="false">IF($H13&gt;0,(($H13*$S$7)+$S$8)*(1+$R$9),"")</f>
        <v>5.50879953999858</v>
      </c>
      <c r="L13" s="16" t="n">
        <f aca="false">IF($H13&gt;0,($K13+$L12),"")</f>
        <v>79.0586573495002</v>
      </c>
      <c r="M13" s="17" t="n">
        <f aca="false">IF($J13&lt;&gt;"",$J13*(LOOKUP(1E+307,$A:$A)-$A$2),"")</f>
        <v>896.1775</v>
      </c>
      <c r="N13" s="17" t="n">
        <f aca="false">IF($M13&lt;&gt;"",IF($M13&gt;1000,(($M13*$S$7)+($A13*$S$8))*(1+$R$9)-100,($M13*$S$7)+($A13*$R$9)*(1+$R$9)),"")</f>
        <v>189.7913439258</v>
      </c>
      <c r="O13" s="18" t="n">
        <f aca="false">IF(I13&gt;=1000,"",(1000-I13))</f>
        <v>641.529</v>
      </c>
      <c r="P13" s="36"/>
      <c r="Q13" s="22" t="s">
        <v>55</v>
      </c>
      <c r="R13" s="37" t="n">
        <f aca="false">INDEX(I2:I32,COUNT(I2:I32))</f>
        <v>388.872</v>
      </c>
      <c r="S13" s="32"/>
    </row>
    <row r="14" customFormat="false" ht="15" hidden="false" customHeight="false" outlineLevel="0" collapsed="false">
      <c r="A14" s="11" t="n">
        <v>13</v>
      </c>
      <c r="B14" s="11" t="str">
        <f aca="false">TEXT($D14,"ddd")</f>
        <v>Sat</v>
      </c>
      <c r="C14" s="11" t="n">
        <f aca="false">$A$31-$A13</f>
        <v>18</v>
      </c>
      <c r="D14" s="1" t="s">
        <v>56</v>
      </c>
      <c r="E14" s="1" t="s">
        <v>57</v>
      </c>
      <c r="F14" s="2" t="n">
        <v>98740.588</v>
      </c>
      <c r="G14" s="2" t="n">
        <v>98770.991</v>
      </c>
      <c r="H14" s="3" t="n">
        <v>30.401</v>
      </c>
      <c r="I14" s="13" t="n">
        <f aca="false">IF(H14&gt;0,(H14+I13),"")</f>
        <v>388.872</v>
      </c>
      <c r="J14" s="14" t="n">
        <f aca="false">IF($H14&gt;0,($I14/$A14),"")</f>
        <v>29.9132307692308</v>
      </c>
      <c r="K14" s="15" t="n">
        <f aca="false">IF($H14&gt;0,(($H14*$S$7)+$S$8)*(1+$R$9),"")</f>
        <v>6.70221665430282</v>
      </c>
      <c r="L14" s="16" t="n">
        <f aca="false">IF($H14&gt;0,($K14+$L13),"")</f>
        <v>85.760874003803</v>
      </c>
      <c r="M14" s="17" t="n">
        <f aca="false">IF($J14&lt;&gt;"",$J14*(LOOKUP(1E+307,$A:$A)-$A$2),"")</f>
        <v>897.396923076923</v>
      </c>
      <c r="N14" s="17" t="n">
        <f aca="false">IF($M14&lt;&gt;"",IF($M14&gt;1000,(($M14*$S$7)+($A14*$S$8))*(1+$R$9)-100,($M14*$S$7)+($A14*$R$9)*(1+$R$9)),"")</f>
        <v>190.069628024008</v>
      </c>
      <c r="O14" s="18" t="n">
        <f aca="false">IF(I14&gt;=1000,"",(1000-I14))</f>
        <v>611.128</v>
      </c>
      <c r="Q14" s="22" t="s">
        <v>58</v>
      </c>
      <c r="R14" s="37" t="n">
        <f aca="false">INDEX(J2:J32,COUNT(J2:J32))</f>
        <v>29.9132307692308</v>
      </c>
      <c r="S14" s="32"/>
    </row>
    <row r="15" customFormat="false" ht="15" hidden="false" customHeight="false" outlineLevel="0" collapsed="false">
      <c r="A15" s="11" t="n">
        <v>14</v>
      </c>
      <c r="B15" s="11" t="str">
        <f aca="false">TEXT($D15,"ddd")</f>
        <v>Sat</v>
      </c>
      <c r="C15" s="11" t="n">
        <f aca="false">$A$31-$A14</f>
        <v>17</v>
      </c>
      <c r="I15" s="13" t="str">
        <f aca="false">IF(H15&gt;0,(H15+I14),"")</f>
        <v/>
      </c>
      <c r="J15" s="14" t="str">
        <f aca="false">IF($H15&gt;0,($I15/$A15),"")</f>
        <v/>
      </c>
      <c r="K15" s="15" t="str">
        <f aca="false">IF($H15&gt;0,(($H15*$S$7)+$S$8)*(1+$R$9),"")</f>
        <v/>
      </c>
      <c r="L15" s="16" t="str">
        <f aca="false">IF($H15&gt;0,($K15+$L14),"")</f>
        <v/>
      </c>
      <c r="M15" s="17" t="str">
        <f aca="false">IF($J15&lt;&gt;"",$J15*(LOOKUP(1E+307,$A:$A)-$A$2),"")</f>
        <v/>
      </c>
      <c r="N15" s="17" t="str">
        <f aca="false">IF($M15&lt;&gt;"",IF($M15&gt;1000,(($M15*$S$7)+($A15*$S$8))*(1+$R$9)-100,($M15*$S$7)+($A15*$R$9)*(1+$R$9)),"")</f>
        <v/>
      </c>
      <c r="O15" s="18" t="str">
        <f aca="false">IF(I15&gt;=1000,"",(1000-I15))</f>
        <v/>
      </c>
      <c r="Q15" s="22"/>
      <c r="R15" s="38"/>
      <c r="S15" s="24"/>
    </row>
    <row r="16" customFormat="false" ht="15" hidden="false" customHeight="false" outlineLevel="0" collapsed="false">
      <c r="A16" s="11" t="n">
        <v>15</v>
      </c>
      <c r="B16" s="11" t="str">
        <f aca="false">TEXT($D16,"ddd")</f>
        <v>Sat</v>
      </c>
      <c r="C16" s="11" t="n">
        <f aca="false">$A$31-$A15</f>
        <v>16</v>
      </c>
      <c r="I16" s="13" t="str">
        <f aca="false">IF(H16&gt;0,(H16+I15),"")</f>
        <v/>
      </c>
      <c r="J16" s="14" t="str">
        <f aca="false">IF($H16&gt;0,($I16/$A16),"")</f>
        <v/>
      </c>
      <c r="K16" s="15" t="str">
        <f aca="false">IF($H16&gt;0,(($H16*$S$7)+$S$8)*(1+$R$9),"")</f>
        <v/>
      </c>
      <c r="L16" s="16" t="str">
        <f aca="false">IF($H16&gt;0,($K16+$L15),"")</f>
        <v/>
      </c>
      <c r="M16" s="17" t="str">
        <f aca="false">IF($J16&lt;&gt;"",$J16*(LOOKUP(1E+307,$A:$A)-$A$2),"")</f>
        <v/>
      </c>
      <c r="N16" s="17" t="str">
        <f aca="false">IF($M16&lt;&gt;"",IF($M16&gt;1000,(($M16*$S$7)+($A16*$S$8))*(1+$R$9)-100,($M16*$S$7)+($A16*$R$9)*(1+$R$9)),"")</f>
        <v/>
      </c>
      <c r="O16" s="18" t="str">
        <f aca="false">IF(I16&gt;=1000,"",(1000-I16))</f>
        <v/>
      </c>
      <c r="Q16" s="22" t="s">
        <v>59</v>
      </c>
      <c r="R16" s="37" t="n">
        <f aca="false">MIN(H2:H31)</f>
        <v>24.869</v>
      </c>
      <c r="S16" s="24"/>
    </row>
    <row r="17" customFormat="false" ht="15" hidden="false" customHeight="false" outlineLevel="0" collapsed="false">
      <c r="A17" s="11" t="n">
        <v>16</v>
      </c>
      <c r="B17" s="11" t="str">
        <f aca="false">TEXT($D17,"ddd")</f>
        <v>Sat</v>
      </c>
      <c r="C17" s="11" t="n">
        <f aca="false">$A$31-$A16</f>
        <v>15</v>
      </c>
      <c r="I17" s="13" t="str">
        <f aca="false">IF(H17&gt;0,(H17+I16),"")</f>
        <v/>
      </c>
      <c r="J17" s="14" t="str">
        <f aca="false">IF($H17&gt;0,($I17/$A17),"")</f>
        <v/>
      </c>
      <c r="K17" s="15" t="str">
        <f aca="false">IF($H17&gt;0,(($H17*$S$7)+$S$8)*(1+$R$9),"")</f>
        <v/>
      </c>
      <c r="L17" s="16" t="str">
        <f aca="false">IF($H17&gt;0,($K17+$L16),"")</f>
        <v/>
      </c>
      <c r="M17" s="17" t="str">
        <f aca="false">IF($J17&lt;&gt;"",$J17*(LOOKUP(1E+307,$A:$A)-$A$2),"")</f>
        <v/>
      </c>
      <c r="N17" s="17" t="str">
        <f aca="false">IF($M17&lt;&gt;"",IF($M17&gt;1000,(($M17*$S$7)+($A17*$S$8))*(1+$R$9)-100,($M17*$S$7)+($A17*$R$9)*(1+$R$9)),"")</f>
        <v/>
      </c>
      <c r="O17" s="18" t="str">
        <f aca="false">IF(I17&gt;=1000,"",(1000-I17))</f>
        <v/>
      </c>
      <c r="Q17" s="22" t="s">
        <v>60</v>
      </c>
      <c r="R17" s="37" t="n">
        <f aca="false">MAX(H2:H32)</f>
        <v>39.304</v>
      </c>
      <c r="S17" s="24"/>
    </row>
    <row r="18" customFormat="false" ht="15" hidden="false" customHeight="false" outlineLevel="0" collapsed="false">
      <c r="A18" s="11" t="n">
        <v>17</v>
      </c>
      <c r="B18" s="11" t="str">
        <f aca="false">TEXT($D18,"ddd")</f>
        <v>Sat</v>
      </c>
      <c r="C18" s="11" t="n">
        <f aca="false">$A$31-$A17</f>
        <v>14</v>
      </c>
      <c r="I18" s="13" t="str">
        <f aca="false">IF(H18&gt;0,(H18+I17),"")</f>
        <v/>
      </c>
      <c r="J18" s="14" t="str">
        <f aca="false">IF($H18&gt;0,($I18/$A18),"")</f>
        <v/>
      </c>
      <c r="K18" s="15" t="str">
        <f aca="false">IF($H18&gt;0,(($H18*$S$7)+$S$8)*(1+$R$9),"")</f>
        <v/>
      </c>
      <c r="L18" s="16" t="str">
        <f aca="false">IF($H18&gt;0,($K18+$L17),"")</f>
        <v/>
      </c>
      <c r="M18" s="17" t="str">
        <f aca="false">IF($J18&lt;&gt;"",$J18*(LOOKUP(1E+307,$A:$A)-$A$2),"")</f>
        <v/>
      </c>
      <c r="N18" s="17" t="str">
        <f aca="false">IF($M18&lt;&gt;"",IF($M18&gt;1000,(($M18*$S$7)+($A18*$S$8))*(1+$R$9)-100,($M18*$S$7)+($A18*$R$9)*(1+$R$9)),"")</f>
        <v/>
      </c>
      <c r="O18" s="18" t="str">
        <f aca="false">IF(I18&gt;=1000,"",(1000-I18))</f>
        <v/>
      </c>
      <c r="Q18" s="22" t="s">
        <v>61</v>
      </c>
      <c r="R18" s="39" t="str">
        <f aca="false">IF(I2&gt;0,LOOKUP(1001,$I2:$I32,D2:D32),"")</f>
        <v>03/30/2024</v>
      </c>
      <c r="S18" s="24"/>
    </row>
    <row r="19" customFormat="false" ht="15" hidden="false" customHeight="false" outlineLevel="0" collapsed="false">
      <c r="A19" s="11" t="n">
        <v>18</v>
      </c>
      <c r="B19" s="11" t="str">
        <f aca="false">TEXT($D19,"ddd")</f>
        <v>Sat</v>
      </c>
      <c r="C19" s="11" t="n">
        <f aca="false">$A$31-$A18</f>
        <v>13</v>
      </c>
      <c r="I19" s="13" t="str">
        <f aca="false">IF(H19&gt;0,(H19+I18),"")</f>
        <v/>
      </c>
      <c r="J19" s="14" t="str">
        <f aca="false">IF($H19&gt;0,($I19/$A19),"")</f>
        <v/>
      </c>
      <c r="K19" s="15" t="str">
        <f aca="false">IF($H19&gt;0,(($H19*$S$7)+$S$8)*(1+$R$9),"")</f>
        <v/>
      </c>
      <c r="L19" s="16" t="str">
        <f aca="false">IF($H19&gt;0,($K19+$L18),"")</f>
        <v/>
      </c>
      <c r="M19" s="17" t="str">
        <f aca="false">IF($J19&lt;&gt;"",$J19*(LOOKUP(1E+307,$A:$A)-$A$2),"")</f>
        <v/>
      </c>
      <c r="N19" s="17" t="str">
        <f aca="false">IF($M19&lt;&gt;"",IF($M19&gt;1000,(($M19*$S$7)+($A19*$S$8))*(1+$R$9)-100,($M19*$S$7)+($A19*$R$9)*(1+$R$9)),"")</f>
        <v/>
      </c>
      <c r="O19" s="18" t="str">
        <f aca="false">IF(I19&gt;=1000,"",(1000-I19))</f>
        <v/>
      </c>
      <c r="Q19" s="40"/>
      <c r="R19" s="41"/>
      <c r="S19" s="42"/>
    </row>
    <row r="20" customFormat="false" ht="15" hidden="false" customHeight="false" outlineLevel="0" collapsed="false">
      <c r="A20" s="11" t="n">
        <v>19</v>
      </c>
      <c r="B20" s="11" t="str">
        <f aca="false">TEXT($D20,"ddd")</f>
        <v>Sat</v>
      </c>
      <c r="C20" s="11" t="n">
        <f aca="false">$A$31-$A19</f>
        <v>12</v>
      </c>
      <c r="I20" s="13" t="str">
        <f aca="false">IF(H20&gt;0,(H20+I19),"")</f>
        <v/>
      </c>
      <c r="J20" s="14" t="str">
        <f aca="false">IF($H20&gt;0,($I20/$A20),"")</f>
        <v/>
      </c>
      <c r="K20" s="15" t="str">
        <f aca="false">IF($H20&gt;0,(($H20*$S$7)+$S$8)*(1+$R$9),"")</f>
        <v/>
      </c>
      <c r="L20" s="16" t="str">
        <f aca="false">IF($H20&gt;0,($K20+$L19),"")</f>
        <v/>
      </c>
      <c r="M20" s="17" t="str">
        <f aca="false">IF($J20&lt;&gt;"",$J20*(LOOKUP(1E+307,$A:$A)-$A$2),"")</f>
        <v/>
      </c>
      <c r="N20" s="17" t="str">
        <f aca="false">IF($M20&lt;&gt;"",IF($M20&gt;1000,(($M20*$S$7)+($A20*$S$8))*(1+$R$9)-100,($M20*$S$7)+($A20*$R$9)*(1+$R$9)),"")</f>
        <v/>
      </c>
      <c r="O20" s="18" t="str">
        <f aca="false">IF(I20&gt;=1000,"",(1000-I20))</f>
        <v/>
      </c>
    </row>
    <row r="21" customFormat="false" ht="15" hidden="false" customHeight="false" outlineLevel="0" collapsed="false">
      <c r="A21" s="11" t="n">
        <v>20</v>
      </c>
      <c r="B21" s="11" t="str">
        <f aca="false">TEXT($D21,"ddd")</f>
        <v>Sat</v>
      </c>
      <c r="C21" s="11" t="n">
        <f aca="false">$A$31-$A20</f>
        <v>11</v>
      </c>
      <c r="I21" s="13" t="str">
        <f aca="false">IF(H21&gt;0,(H21+I20),"")</f>
        <v/>
      </c>
      <c r="J21" s="14" t="str">
        <f aca="false">IF($H21&gt;0,($I21/$A21),"")</f>
        <v/>
      </c>
      <c r="K21" s="15" t="str">
        <f aca="false">IF($H21&gt;0,(($H21*$S$7)+$S$8)*(1+$R$9),"")</f>
        <v/>
      </c>
      <c r="L21" s="16" t="str">
        <f aca="false">IF($H21&gt;0,($K21+$L20),"")</f>
        <v/>
      </c>
      <c r="M21" s="17" t="str">
        <f aca="false">IF($J21&lt;&gt;"",$J21*(LOOKUP(1E+307,$A:$A)-$A$2),"")</f>
        <v/>
      </c>
      <c r="N21" s="17" t="str">
        <f aca="false">IF($M21&lt;&gt;"",IF($M21&gt;1000,(($M21*$S$7)+($A21*$S$8))*(1+$R$9)-100,($M21*$S$7)+($A21*$R$9)*(1+$R$9)),"")</f>
        <v/>
      </c>
      <c r="O21" s="18" t="str">
        <f aca="false">IF(I21&gt;=1000,"",(1000-I21))</f>
        <v/>
      </c>
    </row>
    <row r="22" customFormat="false" ht="15" hidden="false" customHeight="false" outlineLevel="0" collapsed="false">
      <c r="A22" s="11" t="n">
        <v>21</v>
      </c>
      <c r="B22" s="11" t="str">
        <f aca="false">TEXT($D22,"ddd")</f>
        <v>Sat</v>
      </c>
      <c r="C22" s="11" t="n">
        <f aca="false">$A$31-$A21</f>
        <v>10</v>
      </c>
      <c r="I22" s="13" t="str">
        <f aca="false">IF(H22&gt;0,(H22+I21),"")</f>
        <v/>
      </c>
      <c r="J22" s="14" t="str">
        <f aca="false">IF($H22&gt;0,($I22/$A22),"")</f>
        <v/>
      </c>
      <c r="K22" s="15" t="str">
        <f aca="false">IF($H22&gt;0,(($H22*$S$7)+$S$8)*(1+$R$9),"")</f>
        <v/>
      </c>
      <c r="L22" s="16" t="str">
        <f aca="false">IF($H22&gt;0,($K22+$L21),"")</f>
        <v/>
      </c>
      <c r="M22" s="17" t="str">
        <f aca="false">IF($J22&lt;&gt;"",$J22*(LOOKUP(1E+307,$A:$A)-$A$2),"")</f>
        <v/>
      </c>
      <c r="N22" s="17" t="str">
        <f aca="false">IF($M22&lt;&gt;"",IF($M22&gt;1000,(($M22*$S$7)+($A22*$S$8))*(1+$R$9)-100,($M22*$S$7)+($A22*$R$9)*(1+$R$9)),"")</f>
        <v/>
      </c>
      <c r="O22" s="18" t="str">
        <f aca="false">IF(I22&gt;=1000,"",(1000-I22))</f>
        <v/>
      </c>
      <c r="Q22" s="10"/>
      <c r="R22" s="43" t="n">
        <v>2023</v>
      </c>
      <c r="S22" s="43" t="s">
        <v>62</v>
      </c>
      <c r="T22" s="43" t="s">
        <v>63</v>
      </c>
    </row>
    <row r="23" customFormat="false" ht="15" hidden="false" customHeight="false" outlineLevel="0" collapsed="false">
      <c r="A23" s="11" t="n">
        <v>22</v>
      </c>
      <c r="B23" s="11" t="str">
        <f aca="false">TEXT($D23,"ddd")</f>
        <v>Sat</v>
      </c>
      <c r="C23" s="11" t="n">
        <f aca="false">$A$31-$A22</f>
        <v>9</v>
      </c>
      <c r="I23" s="13" t="str">
        <f aca="false">IF(H23&gt;0,(H23+I22),"")</f>
        <v/>
      </c>
      <c r="J23" s="14" t="str">
        <f aca="false">IF($H23&gt;0,($I23/$A23),"")</f>
        <v/>
      </c>
      <c r="K23" s="15" t="str">
        <f aca="false">IF($H23&gt;0,(($H23*$S$7)+$S$8)*(1+$R$9),"")</f>
        <v/>
      </c>
      <c r="L23" s="16" t="str">
        <f aca="false">IF($H23&gt;0,($K23+$L22),"")</f>
        <v/>
      </c>
      <c r="M23" s="17" t="str">
        <f aca="false">IF($J23&lt;&gt;"",$J23*(LOOKUP(1E+307,$A:$A)-$A$2),"")</f>
        <v/>
      </c>
      <c r="N23" s="17" t="str">
        <f aca="false">IF($M23&lt;&gt;"",IF($M23&gt;1000,(($M23*$S$7)+($A23*$S$8))*(1+$R$9)-100,($M23*$S$7)+($A23*$R$9)*(1+$R$9)),"")</f>
        <v/>
      </c>
      <c r="O23" s="18" t="str">
        <f aca="false">IF(I23&gt;=1000,"",(1000-I23))</f>
        <v/>
      </c>
      <c r="Q23" s="29"/>
      <c r="R23" s="44" t="s">
        <v>64</v>
      </c>
      <c r="S23" s="4" t="n">
        <v>7</v>
      </c>
      <c r="T23" s="4" t="n">
        <v>24</v>
      </c>
    </row>
    <row r="24" customFormat="false" ht="15" hidden="false" customHeight="false" outlineLevel="0" collapsed="false">
      <c r="A24" s="11" t="n">
        <v>23</v>
      </c>
      <c r="B24" s="11" t="str">
        <f aca="false">TEXT($D24,"ddd")</f>
        <v>Sat</v>
      </c>
      <c r="C24" s="11" t="n">
        <f aca="false">$A$31-$A23</f>
        <v>8</v>
      </c>
      <c r="I24" s="13" t="str">
        <f aca="false">IF(H24&gt;0,(H24+I23),"")</f>
        <v/>
      </c>
      <c r="J24" s="14" t="str">
        <f aca="false">IF($H24&gt;0,($I24/$A24),"")</f>
        <v/>
      </c>
      <c r="K24" s="15" t="str">
        <f aca="false">IF($H24&gt;0,(($H24*$S$7)+$S$8)*(1+$R$9),"")</f>
        <v/>
      </c>
      <c r="L24" s="16" t="str">
        <f aca="false">IF($H24&gt;0,($K24+$L23),"")</f>
        <v/>
      </c>
      <c r="M24" s="17" t="str">
        <f aca="false">IF($J24&lt;&gt;"",$J24*(LOOKUP(1E+307,$A:$A)-$A$2),"")</f>
        <v/>
      </c>
      <c r="N24" s="17" t="str">
        <f aca="false">IF($M24&lt;&gt;"",IF($M24&gt;1000,(($M24*$S$7)+($A24*$S$8))*(1+$R$9)-100,($M24*$S$7)+($A24*$R$9)*(1+$R$9)),"")</f>
        <v/>
      </c>
      <c r="O24" s="18" t="str">
        <f aca="false">IF(I24&gt;=1000,"",(1000-I24))</f>
        <v/>
      </c>
      <c r="R24" s="44" t="s">
        <v>65</v>
      </c>
      <c r="S24" s="4" t="n">
        <v>11</v>
      </c>
      <c r="T24" s="4" t="n">
        <v>26</v>
      </c>
    </row>
    <row r="25" customFormat="false" ht="15" hidden="false" customHeight="false" outlineLevel="0" collapsed="false">
      <c r="A25" s="11" t="n">
        <v>24</v>
      </c>
      <c r="B25" s="11" t="str">
        <f aca="false">TEXT($D25,"ddd")</f>
        <v>Sat</v>
      </c>
      <c r="C25" s="11" t="n">
        <f aca="false">$A$31-$A24</f>
        <v>7</v>
      </c>
      <c r="I25" s="13" t="str">
        <f aca="false">IF(H25&gt;0,(H25+I24),"")</f>
        <v/>
      </c>
      <c r="J25" s="14" t="str">
        <f aca="false">IF($H25&gt;0,($I25/$A25),"")</f>
        <v/>
      </c>
      <c r="K25" s="15" t="str">
        <f aca="false">IF($H25&gt;0,(($H25*$S$7)+$S$8)*(1+$R$9),"")</f>
        <v/>
      </c>
      <c r="L25" s="16" t="str">
        <f aca="false">IF($H25&gt;0,($K25+$L24),"")</f>
        <v/>
      </c>
      <c r="M25" s="17" t="str">
        <f aca="false">IF($J25&lt;&gt;"",$J25*(LOOKUP(1E+307,$A:$A)-$A$2),"")</f>
        <v/>
      </c>
      <c r="N25" s="17" t="str">
        <f aca="false">IF($M25&lt;&gt;"",IF($M25&gt;1000,(($M25*$S$7)+($A25*$S$8))*(1+$R$9)-100,($M25*$S$7)+($A25*$R$9)*(1+$R$9)),"")</f>
        <v/>
      </c>
      <c r="O25" s="18" t="str">
        <f aca="false">IF(I25&gt;=1000,"",(1000-I25))</f>
        <v/>
      </c>
      <c r="R25" s="44" t="s">
        <v>66</v>
      </c>
      <c r="S25" s="4" t="n">
        <v>16</v>
      </c>
      <c r="T25" s="4" t="n">
        <v>30</v>
      </c>
    </row>
    <row r="26" customFormat="false" ht="15" hidden="false" customHeight="false" outlineLevel="0" collapsed="false">
      <c r="A26" s="11" t="n">
        <v>25</v>
      </c>
      <c r="B26" s="11" t="str">
        <f aca="false">TEXT($D26,"ddd")</f>
        <v>Sat</v>
      </c>
      <c r="C26" s="11" t="n">
        <f aca="false">$A$31-$A25</f>
        <v>6</v>
      </c>
      <c r="I26" s="13" t="str">
        <f aca="false">IF(H26&gt;0,(H26+I25),"")</f>
        <v/>
      </c>
      <c r="J26" s="14" t="str">
        <f aca="false">IF($H26&gt;0,($I26/$A26),"")</f>
        <v/>
      </c>
      <c r="K26" s="15" t="str">
        <f aca="false">IF($H26&gt;0,(($H26*$S$7)+$S$8)*(1+$R$9),"")</f>
        <v/>
      </c>
      <c r="L26" s="16" t="str">
        <f aca="false">IF($H26&gt;0,($K26+$L25),"")</f>
        <v/>
      </c>
      <c r="M26" s="17" t="str">
        <f aca="false">IF($J26&lt;&gt;"",$J26*(LOOKUP(1E+307,$A:$A)-$A$2),"")</f>
        <v/>
      </c>
      <c r="N26" s="17" t="str">
        <f aca="false">IF($M26&lt;&gt;"",IF($M26&gt;1000,(($M26*$S$7)+($A26*$S$8))*(1+$R$9)-100,($M26*$S$7)+($A26*$R$9)*(1+$R$9)),"")</f>
        <v/>
      </c>
      <c r="O26" s="18" t="str">
        <f aca="false">IF(I26&gt;=1000,"",(1000-I26))</f>
        <v/>
      </c>
      <c r="R26" s="44" t="s">
        <v>67</v>
      </c>
      <c r="S26" s="4" t="n">
        <v>15</v>
      </c>
      <c r="T26" s="4" t="n">
        <v>31</v>
      </c>
    </row>
    <row r="27" customFormat="false" ht="15" hidden="false" customHeight="false" outlineLevel="0" collapsed="false">
      <c r="A27" s="11" t="n">
        <v>26</v>
      </c>
      <c r="B27" s="11" t="str">
        <f aca="false">TEXT($D27,"ddd")</f>
        <v>Sat</v>
      </c>
      <c r="C27" s="11" t="n">
        <f aca="false">$A$31-$A26</f>
        <v>5</v>
      </c>
      <c r="I27" s="13" t="str">
        <f aca="false">IF(H27&gt;0,(H27+I26),"")</f>
        <v/>
      </c>
      <c r="J27" s="14" t="str">
        <f aca="false">IF($H27&gt;0,($I27/$A27),"")</f>
        <v/>
      </c>
      <c r="K27" s="15" t="str">
        <f aca="false">IF($H27&gt;0,(($H27*$S$7)+$S$8)*(1+$R$9),"")</f>
        <v/>
      </c>
      <c r="L27" s="16" t="str">
        <f aca="false">IF($H27&gt;0,($K27+$L26),"")</f>
        <v/>
      </c>
      <c r="M27" s="17" t="str">
        <f aca="false">IF($J27&lt;&gt;"",$J27*(LOOKUP(1E+307,$A:$A)-$A$2),"")</f>
        <v/>
      </c>
      <c r="N27" s="17" t="str">
        <f aca="false">IF($M27&lt;&gt;"",IF($M27&gt;1000,(($M27*$S$7)+($A27*$S$8))*(1+$R$9)-100,($M27*$S$7)+($A27*$R$9)*(1+$R$9)),"")</f>
        <v/>
      </c>
      <c r="O27" s="18" t="str">
        <f aca="false">IF(I27&gt;=1000,"",(1000-I27))</f>
        <v/>
      </c>
      <c r="R27" s="44" t="s">
        <v>68</v>
      </c>
      <c r="S27" s="4" t="n">
        <v>15</v>
      </c>
      <c r="T27" s="4" t="n">
        <v>29</v>
      </c>
    </row>
    <row r="28" customFormat="false" ht="15" hidden="false" customHeight="false" outlineLevel="0" collapsed="false">
      <c r="A28" s="11" t="n">
        <v>27</v>
      </c>
      <c r="B28" s="11" t="str">
        <f aca="false">TEXT($D28,"ddd")</f>
        <v>Sat</v>
      </c>
      <c r="C28" s="11" t="n">
        <f aca="false">$A$31-$A27</f>
        <v>4</v>
      </c>
      <c r="I28" s="13" t="str">
        <f aca="false">IF(H28&gt;0,(H28+I27),"")</f>
        <v/>
      </c>
      <c r="J28" s="14" t="str">
        <f aca="false">IF($H28&gt;0,($I28/$A28),"")</f>
        <v/>
      </c>
      <c r="K28" s="15" t="str">
        <f aca="false">IF($H28&gt;0,(($H28*$S$7)+$S$8)*(1+$R$9),"")</f>
        <v/>
      </c>
      <c r="L28" s="16" t="str">
        <f aca="false">IF($H28&gt;0,($K28+$L27),"")</f>
        <v/>
      </c>
      <c r="M28" s="17" t="str">
        <f aca="false">IF($J28&lt;&gt;"",$J28*(LOOKUP(1E+307,$A:$A)-$A$2),"")</f>
        <v/>
      </c>
      <c r="N28" s="17" t="str">
        <f aca="false">IF($M28&lt;&gt;"",IF($M28&gt;1000,(($M28*$S$7)+($A28*$S$8))*(1+$R$9)-100,($M28*$S$7)+($A28*$R$9)*(1+$R$9)),"")</f>
        <v/>
      </c>
      <c r="O28" s="18" t="str">
        <f aca="false">IF(I28&gt;=1000,"",(1000-I28))</f>
        <v/>
      </c>
      <c r="Q28" s="29"/>
      <c r="R28" s="44" t="s">
        <v>69</v>
      </c>
      <c r="S28" s="4" t="n">
        <v>8</v>
      </c>
      <c r="T28" s="4" t="n">
        <v>24</v>
      </c>
    </row>
    <row r="29" customFormat="false" ht="15" hidden="false" customHeight="false" outlineLevel="0" collapsed="false">
      <c r="A29" s="11" t="n">
        <v>28</v>
      </c>
      <c r="B29" s="11" t="str">
        <f aca="false">TEXT($D29,"ddd")</f>
        <v>Sat</v>
      </c>
      <c r="C29" s="11" t="n">
        <f aca="false">$A$31-$A28</f>
        <v>3</v>
      </c>
      <c r="I29" s="13" t="str">
        <f aca="false">IF(H29&gt;0,(H29+I28),"")</f>
        <v/>
      </c>
      <c r="J29" s="14" t="str">
        <f aca="false">IF($H29&gt;0,($I29/$A29),"")</f>
        <v/>
      </c>
      <c r="K29" s="15" t="str">
        <f aca="false">IF($H29&gt;0,(($H29*$S$7)+$S$8)*(1+$R$9),"")</f>
        <v/>
      </c>
      <c r="L29" s="16" t="str">
        <f aca="false">IF($H29&gt;0,($K29+$L28),"")</f>
        <v/>
      </c>
      <c r="M29" s="17" t="str">
        <f aca="false">IF($J29&lt;&gt;"",$J29*(LOOKUP(1E+307,$A:$A)-$A$2),"")</f>
        <v/>
      </c>
      <c r="N29" s="17" t="str">
        <f aca="false">IF($M29&lt;&gt;"",IF($M29&gt;1000,(($M29*$S$7)+($A29*$S$8))*(1+$R$9)-100,($M29*$S$7)+($A29*$R$9)*(1+$R$9)),"")</f>
        <v/>
      </c>
      <c r="O29" s="18" t="str">
        <f aca="false">IF(I29&gt;=1000,"",(1000-I29))</f>
        <v/>
      </c>
      <c r="R29" s="44" t="s">
        <v>70</v>
      </c>
      <c r="S29" s="4" t="n">
        <v>5</v>
      </c>
      <c r="T29" s="4" t="n">
        <v>20</v>
      </c>
    </row>
    <row r="30" customFormat="false" ht="15" hidden="false" customHeight="false" outlineLevel="0" collapsed="false">
      <c r="A30" s="11" t="n">
        <v>29</v>
      </c>
      <c r="B30" s="11" t="str">
        <f aca="false">TEXT($D30,"ddd")</f>
        <v>Sat</v>
      </c>
      <c r="C30" s="11" t="n">
        <f aca="false">$A$31-$A29</f>
        <v>2</v>
      </c>
      <c r="I30" s="13" t="str">
        <f aca="false">IF(H30&gt;0,(H30+I29),"")</f>
        <v/>
      </c>
      <c r="J30" s="14" t="str">
        <f aca="false">IF($H30&gt;0,($I30/$A30),"")</f>
        <v/>
      </c>
      <c r="K30" s="15" t="str">
        <f aca="false">IF($H30&gt;0,(($H30*$S$7)+$S$8)*(1+$R$9),"")</f>
        <v/>
      </c>
      <c r="L30" s="16" t="str">
        <f aca="false">IF($H30&gt;0,($K30+$L29),"")</f>
        <v/>
      </c>
      <c r="M30" s="17" t="str">
        <f aca="false">IF($J30&lt;&gt;"",$J30*(LOOKUP(1E+307,$A:$A)-$A$2),"")</f>
        <v/>
      </c>
      <c r="N30" s="17" t="str">
        <f aca="false">IF($M30&lt;&gt;"",IF($M30&gt;1000,(($M30*$S$7)+($A30*$S$8))*(1+$R$9)-100,($M30*$S$7)+($A30*$R$9)*(1+$R$9)),"")</f>
        <v/>
      </c>
      <c r="O30" s="18" t="str">
        <f aca="false">IF(I30&gt;=1000,"",(1000-I30))</f>
        <v/>
      </c>
      <c r="R30" s="44" t="s">
        <v>71</v>
      </c>
      <c r="S30" s="4" t="n">
        <v>5</v>
      </c>
      <c r="T30" s="4" t="n">
        <v>19</v>
      </c>
    </row>
    <row r="31" customFormat="false" ht="15" hidden="false" customHeight="false" outlineLevel="0" collapsed="false">
      <c r="A31" s="11" t="n">
        <v>30</v>
      </c>
      <c r="B31" s="11" t="str">
        <f aca="false">TEXT($D31,"ddd")</f>
        <v>Sat</v>
      </c>
      <c r="C31" s="11" t="n">
        <f aca="false">$A$31-$A30</f>
        <v>1</v>
      </c>
      <c r="I31" s="13" t="str">
        <f aca="false">IF(H31&gt;0,(H31+I30),"")</f>
        <v/>
      </c>
      <c r="J31" s="14" t="str">
        <f aca="false">IF($H31&gt;0,($I31/$A31),"")</f>
        <v/>
      </c>
      <c r="K31" s="15" t="str">
        <f aca="false">IF($H31&gt;0,(($H31*$S$7)+$S$8)*(1+$R$9),"")</f>
        <v/>
      </c>
      <c r="L31" s="16" t="str">
        <f aca="false">IF($H31&gt;0,($K31+$L30),"")</f>
        <v/>
      </c>
      <c r="M31" s="17" t="str">
        <f aca="false">IF($J31&lt;&gt;"",$J31*(LOOKUP(1E+307,$A:$A)-$A$2),"")</f>
        <v/>
      </c>
      <c r="N31" s="17" t="str">
        <f aca="false">IF($M31&lt;&gt;"",IF($M31&gt;1000,(($M31*$S$7)+($A31*$S$8))*(1+$R$9)-100,($M31*$S$7)+($A31*$R$9)*(1+$R$9)),"")</f>
        <v/>
      </c>
      <c r="O31" s="18" t="str">
        <f aca="false">IF(I31&gt;=1000,"",(1000-I31))</f>
        <v/>
      </c>
      <c r="R31" s="44" t="s">
        <v>72</v>
      </c>
      <c r="S31" s="4" t="n">
        <v>4</v>
      </c>
      <c r="T31" s="4" t="n">
        <v>20</v>
      </c>
    </row>
    <row r="32" customFormat="false" ht="15" hidden="false" customHeight="false" outlineLevel="0" collapsed="false">
      <c r="A32" s="11" t="n">
        <v>31</v>
      </c>
      <c r="B32" s="11"/>
      <c r="C32" s="11" t="n">
        <f aca="false">$A$31-$A31</f>
        <v>0</v>
      </c>
      <c r="I32" s="13" t="str">
        <f aca="false">IF(H32&gt;0,(H32+I31),"")</f>
        <v/>
      </c>
      <c r="J32" s="14" t="str">
        <f aca="false">IF($H32&gt;0,($I32/$A32),"")</f>
        <v/>
      </c>
      <c r="K32" s="15" t="str">
        <f aca="false">IF($H32&gt;0,(($H32*$S$7)+$S$8)*(1+$R$9),"")</f>
        <v/>
      </c>
      <c r="L32" s="16" t="str">
        <f aca="false">IF($H32&gt;0,($K32+$L31),"")</f>
        <v/>
      </c>
      <c r="M32" s="17" t="str">
        <f aca="false">IF($J32&lt;&gt;"",$J32*(LOOKUP(1E+307,$A:$A)-$A$2),"")</f>
        <v/>
      </c>
      <c r="N32" s="17" t="str">
        <f aca="false">IF($M32&lt;&gt;"",IF($M32&gt;1000,(($M32*$S$7)+($A32*$S$8))*(1+$R$9)-100,($M32*$S$7)+($A32*$R$9)*(1+$R$9)),"")</f>
        <v/>
      </c>
      <c r="O32" s="18" t="str">
        <f aca="false">IF(I32&gt;=1000,"",(1000-I32))</f>
        <v/>
      </c>
      <c r="R32" s="44" t="s">
        <v>73</v>
      </c>
      <c r="S32" s="4" t="n">
        <v>9</v>
      </c>
      <c r="T32" s="4" t="n">
        <v>25</v>
      </c>
    </row>
    <row r="33" customFormat="false" ht="15" hidden="false" customHeight="false" outlineLevel="0" collapsed="false">
      <c r="A33" s="11"/>
      <c r="B33" s="11"/>
      <c r="C33" s="11"/>
      <c r="I33" s="13" t="str">
        <f aca="false">IF(H33&gt;0,(H33+I32),"")</f>
        <v/>
      </c>
      <c r="J33" s="14" t="str">
        <f aca="false">IF($H33&gt;0,($I33/$A33),"")</f>
        <v/>
      </c>
      <c r="K33" s="15" t="str">
        <f aca="false">IF($H33&lt;&gt;"",(($H33*$S$7)+($A33*$S$8))*(1+$S$9),"")</f>
        <v/>
      </c>
      <c r="L33" s="16" t="str">
        <f aca="false">IF($K33&lt;&gt;"",($K33+$L32),"")</f>
        <v/>
      </c>
      <c r="M33" s="17" t="str">
        <f aca="false">IF($J33&lt;&gt;"",$J33*(LOOKUP(1E+307,$A:$A)-$A$2),"")</f>
        <v/>
      </c>
      <c r="N33" s="17" t="str">
        <f aca="false">IF($M33&lt;&gt;"",IF($M33&gt;1000,(($M33*$S$7)+($A33*$S$8))*(1+$R$9)-100,($M33*$S$7)+($A33*$R$9)*(1+$R$9)),"")</f>
        <v/>
      </c>
      <c r="O33" s="18" t="str">
        <f aca="false">IF(I33&gt;=1000,"",(1000-I33))</f>
        <v/>
      </c>
      <c r="R33" s="44" t="s">
        <v>74</v>
      </c>
      <c r="S33" s="4" t="n">
        <v>14</v>
      </c>
      <c r="T33" s="4" t="n">
        <v>29</v>
      </c>
    </row>
    <row r="34" customFormat="false" ht="15" hidden="false" customHeight="false" outlineLevel="0" collapsed="false">
      <c r="A34" s="11"/>
      <c r="B34" s="11"/>
      <c r="C34" s="11"/>
      <c r="I34" s="13" t="str">
        <f aca="false">IF(H34&gt;0,(H34+I33),"")</f>
        <v/>
      </c>
      <c r="J34" s="14"/>
      <c r="K34" s="15"/>
      <c r="L34" s="16"/>
      <c r="M34" s="17"/>
      <c r="N34" s="17"/>
      <c r="O34" s="18" t="str">
        <f aca="false">IF(I34&gt;=1000,"",(1000-I34))</f>
        <v/>
      </c>
      <c r="P34" s="45"/>
      <c r="R34" s="44" t="s">
        <v>75</v>
      </c>
      <c r="S34" s="4" t="n">
        <v>12</v>
      </c>
      <c r="T34" s="4" t="n">
        <v>28</v>
      </c>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388.872</v>
      </c>
    </row>
    <row r="39" customFormat="false" ht="15" hidden="false" customHeight="false" outlineLevel="0" collapsed="false">
      <c r="P39" s="34"/>
      <c r="Q39" s="48"/>
    </row>
    <row r="40" customFormat="false" ht="15" hidden="false" customHeight="false" outlineLevel="0" collapsed="false">
      <c r="P40" s="34"/>
      <c r="Q40" s="48"/>
    </row>
    <row r="41" customFormat="false" ht="15" hidden="false" customHeight="false" outlineLevel="0" collapsed="false">
      <c r="P41" s="34"/>
      <c r="Q41" s="48"/>
    </row>
    <row r="42" customFormat="false" ht="15" hidden="false" customHeight="false" outlineLevel="0" collapsed="false">
      <c r="P42" s="34"/>
      <c r="Q42" s="48"/>
    </row>
    <row r="43" customFormat="false" ht="15" hidden="false" customHeight="false" outlineLevel="0" collapsed="false">
      <c r="P43" s="34"/>
      <c r="Q43" s="48"/>
    </row>
    <row r="44" customFormat="false" ht="15" hidden="false" customHeight="false" outlineLevel="0" collapsed="false">
      <c r="P44" s="34"/>
      <c r="Q44" s="48"/>
    </row>
    <row r="45" customFormat="false" ht="15" hidden="false" customHeight="false" outlineLevel="0" collapsed="false">
      <c r="P45" s="34"/>
      <c r="Q45" s="48"/>
    </row>
    <row r="46" customFormat="false" ht="15" hidden="false" customHeight="false" outlineLevel="0" collapsed="false">
      <c r="P46" s="34"/>
      <c r="Q46" s="48"/>
    </row>
    <row r="47" customFormat="false" ht="15" hidden="false" customHeight="false" outlineLevel="0" collapsed="false">
      <c r="P47" s="34"/>
      <c r="Q47" s="48"/>
    </row>
    <row r="48" customFormat="false" ht="15" hidden="false" customHeight="false" outlineLevel="0" collapsed="false">
      <c r="P48" s="34"/>
      <c r="Q48" s="48"/>
    </row>
    <row r="49" customFormat="false" ht="15" hidden="false" customHeight="false" outlineLevel="0" collapsed="false">
      <c r="P49" s="34"/>
      <c r="Q49" s="48"/>
    </row>
    <row r="50" customFormat="false" ht="15" hidden="false" customHeight="false" outlineLevel="0" collapsed="false">
      <c r="P50" s="34"/>
      <c r="Q50" s="48"/>
    </row>
    <row r="51" customFormat="false" ht="15" hidden="false" customHeight="false" outlineLevel="0" collapsed="false">
      <c r="P51" s="34"/>
      <c r="Q51" s="48"/>
    </row>
    <row r="52" customFormat="false" ht="15" hidden="false" customHeight="false" outlineLevel="0" collapsed="false">
      <c r="P52" s="34"/>
      <c r="Q52" s="48"/>
    </row>
    <row r="53" customFormat="false" ht="15" hidden="false" customHeight="false" outlineLevel="0" collapsed="false">
      <c r="P53" s="34"/>
      <c r="Q53" s="48"/>
    </row>
    <row r="54" customFormat="false" ht="15" hidden="false" customHeight="false" outlineLevel="0" collapsed="false">
      <c r="P54" s="34"/>
      <c r="Q54" s="48"/>
    </row>
    <row r="55" customFormat="false" ht="15" hidden="false" customHeight="false" outlineLevel="0" collapsed="false">
      <c r="P55" s="34"/>
      <c r="Q55" s="48"/>
    </row>
    <row r="56" customFormat="false" ht="15" hidden="false" customHeight="false" outlineLevel="0" collapsed="false">
      <c r="P56" s="34"/>
      <c r="Q56" s="48"/>
    </row>
    <row r="57" customFormat="false" ht="15" hidden="false" customHeight="false" outlineLevel="0" collapsed="false">
      <c r="P57" s="34"/>
      <c r="Q57" s="48"/>
    </row>
    <row r="58" customFormat="false" ht="15" hidden="false" customHeight="false" outlineLevel="0" collapsed="false">
      <c r="P58" s="34"/>
      <c r="Q58" s="48"/>
    </row>
    <row r="59" customFormat="false" ht="15" hidden="false" customHeight="false" outlineLevel="0" collapsed="false">
      <c r="P59" s="34"/>
      <c r="Q59" s="48"/>
    </row>
    <row r="60" customFormat="false" ht="15" hidden="false" customHeight="false" outlineLevel="0" collapsed="false">
      <c r="P60" s="34"/>
      <c r="Q60" s="48"/>
    </row>
    <row r="61" customFormat="false" ht="15" hidden="false" customHeight="false" outlineLevel="0" collapsed="false">
      <c r="P61" s="34"/>
      <c r="Q61" s="48"/>
    </row>
    <row r="62" customFormat="false" ht="15" hidden="false" customHeight="false" outlineLevel="0" collapsed="false">
      <c r="P62" s="34"/>
      <c r="Q62" s="48"/>
    </row>
    <row r="63" customFormat="false" ht="15" hidden="false" customHeight="false" outlineLevel="0" collapsed="false">
      <c r="P63" s="34"/>
      <c r="Q63" s="48"/>
    </row>
    <row r="64" customFormat="false" ht="15" hidden="false" customHeight="false" outlineLevel="0" collapsed="false">
      <c r="P64" s="34"/>
      <c r="Q64" s="48"/>
    </row>
    <row r="65" customFormat="false" ht="15" hidden="false" customHeight="false" outlineLevel="0" collapsed="false">
      <c r="P65" s="34"/>
      <c r="Q65" s="48"/>
    </row>
    <row r="66" customFormat="false" ht="15" hidden="false" customHeight="false" outlineLevel="0" collapsed="false">
      <c r="P66" s="34"/>
      <c r="Q66" s="48"/>
    </row>
    <row r="67" customFormat="false" ht="15" hidden="false" customHeight="false" outlineLevel="0" collapsed="false">
      <c r="P67" s="34"/>
      <c r="Q67" s="48"/>
    </row>
  </sheetData>
  <conditionalFormatting sqref="K1:O1">
    <cfRule type="expression" priority="2" aboveAverage="0" equalAverage="0" bottom="0" percent="0" rank="0" text="" dxfId="0">
      <formula>" =CELL(“Protect”,A1)=1"</formula>
    </cfRule>
    <cfRule type="expression" priority="3" aboveAverage="0" equalAverage="0" bottom="0" percent="0" rank="0" text="" dxfId="1">
      <formula>" =CELL(“Protect”,A1)=1"</formula>
    </cfRule>
  </conditionalFormatting>
  <conditionalFormatting sqref="Q1:Q19">
    <cfRule type="expression" priority="4" aboveAverage="0" equalAverage="0" bottom="0" percent="0" rank="0" text="" dxfId="2">
      <formula>" =CELL(“Protect”,A1)=1"</formula>
    </cfRule>
    <cfRule type="expression" priority="5" aboveAverage="0" equalAverage="0" bottom="0" percent="0" rank="0" text="" dxfId="1">
      <formula>" =CELL(“Protect”,A1)=1"</formula>
    </cfRule>
  </conditionalFormatting>
  <conditionalFormatting sqref="A1:I1">
    <cfRule type="expression" priority="6" aboveAverage="0" equalAverage="0" bottom="0" percent="0" rank="0" text="" dxfId="3">
      <formula>" =CELL(“Protect”,A1)=1"</formula>
    </cfRule>
    <cfRule type="expression" priority="7"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14"/>
    <col collapsed="false" customWidth="true" hidden="false" outlineLevel="0" max="3" min="2" style="0" width="6.29"/>
    <col collapsed="false" customWidth="true" hidden="false" outlineLevel="0" max="5" min="4" style="51" width="8.71"/>
    <col collapsed="false" customWidth="true" hidden="false" outlineLevel="0" max="7" min="6" style="2" width="9.14"/>
    <col collapsed="false" customWidth="true" hidden="false" outlineLevel="0" max="8" min="8" style="4" width="9.14"/>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7" min="17" style="0" width="28.57"/>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S1" s="10"/>
    </row>
    <row r="2" customFormat="false" ht="15" hidden="false" customHeight="false" outlineLevel="0" collapsed="false">
      <c r="A2" s="11" t="n">
        <v>1</v>
      </c>
      <c r="B2" s="11" t="str">
        <f aca="false">TEXT($D2,"ddd")</f>
        <v>Tue</v>
      </c>
      <c r="C2" s="11" t="n">
        <f aca="false">$A$30-$A2</f>
        <v>28</v>
      </c>
      <c r="D2" s="51" t="n">
        <v>45125</v>
      </c>
      <c r="E2" s="51" t="n">
        <v>45126.2569560185</v>
      </c>
      <c r="F2" s="2" t="n">
        <v>88094.197</v>
      </c>
      <c r="G2" s="2" t="n">
        <v>88156.24</v>
      </c>
      <c r="H2" s="3" t="n">
        <v>62.045</v>
      </c>
      <c r="I2" s="13" t="n">
        <f aca="false">H2</f>
        <v>62.045</v>
      </c>
      <c r="J2" s="14" t="n">
        <f aca="false">(I2)</f>
        <v>62.045</v>
      </c>
      <c r="K2" s="15" t="n">
        <f aca="false">IF($H2&lt;&gt;"",(($H2*$S$7)+($A2*$S$8))*(1+$S$9),"")</f>
        <v>9.66759891822581</v>
      </c>
      <c r="L2" s="16" t="n">
        <f aca="false">(K2)</f>
        <v>9.66759891822581</v>
      </c>
      <c r="M2" s="17" t="n">
        <f aca="false">IF($J2&lt;&gt;"",$J2*(LOOKUP(1E+307,$A:$A)-$A$2),"")</f>
        <v>1737.26</v>
      </c>
      <c r="N2" s="17" t="n">
        <f aca="false">IF($M2&lt;&gt;"",IF($M2&gt;1000,(($M2*$S$7)+($A2*$S$8))*(1+$R$9)-100,($M2*$S$7)+($A2*$R$9)*(1+$R$9)),"")</f>
        <v>171.875523221385</v>
      </c>
      <c r="O2" s="18" t="n">
        <f aca="false">IF(I2&gt;=1000,"",(1000-I2))</f>
        <v>937.955</v>
      </c>
      <c r="Q2" s="19" t="s">
        <v>18</v>
      </c>
      <c r="R2" s="20" t="s">
        <v>19</v>
      </c>
      <c r="S2" s="21"/>
    </row>
    <row r="3" customFormat="false" ht="15" hidden="false" customHeight="false" outlineLevel="0" collapsed="false">
      <c r="A3" s="11" t="n">
        <v>2</v>
      </c>
      <c r="B3" s="11" t="str">
        <f aca="false">TEXT($D3,"ddd")</f>
        <v>Wed</v>
      </c>
      <c r="C3" s="11" t="n">
        <f aca="false">$A$30-$A3</f>
        <v>27</v>
      </c>
      <c r="D3" s="51" t="n">
        <v>45126</v>
      </c>
      <c r="E3" s="51" t="n">
        <v>45127.2606481482</v>
      </c>
      <c r="F3" s="2" t="n">
        <v>88156.24</v>
      </c>
      <c r="G3" s="2" t="n">
        <v>88210.904</v>
      </c>
      <c r="H3" s="3" t="n">
        <v>54.664</v>
      </c>
      <c r="I3" s="13" t="n">
        <f aca="false">IF($H3&gt;0,($I2+$H3),"")</f>
        <v>116.709</v>
      </c>
      <c r="J3" s="14" t="n">
        <f aca="false">IF($H3&gt;0,$I3/$A3,"")</f>
        <v>58.3545</v>
      </c>
      <c r="K3" s="15" t="n">
        <f aca="false">IF($H3&lt;&gt;"",(($H3*$S$7)+($A3*$S$8))*(1+$S$9),"")</f>
        <v>8.68910817832258</v>
      </c>
      <c r="L3" s="16" t="n">
        <f aca="false">IF($K3&lt;&gt;"",($K3+$L2),"")</f>
        <v>18.3567070965484</v>
      </c>
      <c r="M3" s="17" t="n">
        <f aca="false">IF($J3&lt;&gt;"",$J3*(LOOKUP(1E+307,$A:$A)-$A$2),"")</f>
        <v>1633.926</v>
      </c>
      <c r="N3" s="17" t="n">
        <f aca="false">IF($M3&lt;&gt;"",IF($M3&gt;1000,(($M3*$S$7)+($A3*$S$8))*(1+$R$9)-100,($M3*$S$7)+($A3*$R$9)*(1+$R$9)),"")</f>
        <v>155.869799225356</v>
      </c>
      <c r="O3" s="18" t="n">
        <f aca="false">IF(I3&gt;=1000,"",(1000-I3))</f>
        <v>883.291</v>
      </c>
      <c r="Q3" s="22" t="s">
        <v>22</v>
      </c>
      <c r="R3" s="23" t="n">
        <f aca="false">($F$2+1000)</f>
        <v>89094.197</v>
      </c>
      <c r="S3" s="24"/>
    </row>
    <row r="4" customFormat="false" ht="15" hidden="false" customHeight="false" outlineLevel="0" collapsed="false">
      <c r="A4" s="11" t="n">
        <v>3</v>
      </c>
      <c r="B4" s="11" t="str">
        <f aca="false">TEXT($D4,"ddd")</f>
        <v>Thu</v>
      </c>
      <c r="C4" s="11" t="n">
        <f aca="false">$A$30-$A4</f>
        <v>26</v>
      </c>
      <c r="D4" s="51" t="n">
        <v>45127</v>
      </c>
      <c r="E4" s="51" t="n">
        <v>45128.2575694444</v>
      </c>
      <c r="F4" s="2" t="n">
        <v>88210.904</v>
      </c>
      <c r="G4" s="2" t="n">
        <v>88264.388</v>
      </c>
      <c r="H4" s="3" t="n">
        <v>53.484</v>
      </c>
      <c r="I4" s="13" t="n">
        <f aca="false">IF($H4&gt;0,($I3+$H4),"")</f>
        <v>170.193</v>
      </c>
      <c r="J4" s="14" t="n">
        <f aca="false">IF($H4&gt;0,$I4/$A4,"")</f>
        <v>56.731</v>
      </c>
      <c r="K4" s="15" t="n">
        <f aca="false">IF($H4&lt;&gt;"",(($H4*$S$7)+($A4*$S$8))*(1+$S$9),"")</f>
        <v>8.66150618283871</v>
      </c>
      <c r="L4" s="16" t="n">
        <f aca="false">IF($K4&lt;&gt;"",($K4+$L3),"")</f>
        <v>27.0182132793871</v>
      </c>
      <c r="M4" s="17" t="n">
        <f aca="false">IF($J4&lt;&gt;"",$J4*(LOOKUP(1E+307,$A:$A)-$A$2),"")</f>
        <v>1588.468</v>
      </c>
      <c r="N4" s="17" t="n">
        <f aca="false">IF($M4&lt;&gt;"",IF($M4&gt;1000,(($M4*$S$7)+($A4*$S$8))*(1+$R$9)-100,($M4*$S$7)+($A4*$R$9)*(1+$R$9)),"")</f>
        <v>148.916269827351</v>
      </c>
      <c r="O4" s="18" t="n">
        <f aca="false">IF(I4&gt;=1000,"",(1000-I4))</f>
        <v>829.807</v>
      </c>
      <c r="Q4" s="22" t="s">
        <v>25</v>
      </c>
      <c r="R4" s="25"/>
      <c r="S4" s="26" t="n">
        <v>0.001667</v>
      </c>
    </row>
    <row r="5" customFormat="false" ht="15" hidden="false" customHeight="false" outlineLevel="0" collapsed="false">
      <c r="A5" s="11" t="n">
        <v>4</v>
      </c>
      <c r="B5" s="11" t="str">
        <f aca="false">TEXT($D5,"ddd")</f>
        <v>Fri</v>
      </c>
      <c r="C5" s="11" t="n">
        <f aca="false">$A$30-$A5</f>
        <v>25</v>
      </c>
      <c r="D5" s="51" t="n">
        <v>45128</v>
      </c>
      <c r="E5" s="51" t="n">
        <v>45129.2558101852</v>
      </c>
      <c r="F5" s="2" t="n">
        <v>88264.388</v>
      </c>
      <c r="G5" s="2" t="n">
        <v>88320.59</v>
      </c>
      <c r="H5" s="3" t="n">
        <v>56.197</v>
      </c>
      <c r="I5" s="13" t="n">
        <f aca="false">IF($H5&gt;0,($I4+$H5),"")</f>
        <v>226.39</v>
      </c>
      <c r="J5" s="14" t="n">
        <f aca="false">IF($H5&gt;0,$I5/$A5,"")</f>
        <v>56.5975</v>
      </c>
      <c r="K5" s="15" t="n">
        <f aca="false">IF($H5&lt;&gt;"",(($H5*$S$7)+($A5*$S$8))*(1+$S$9),"")</f>
        <v>9.23087401190323</v>
      </c>
      <c r="L5" s="16" t="n">
        <f aca="false">IF($K5&lt;&gt;"",($K5+$L4),"")</f>
        <v>36.2490872912903</v>
      </c>
      <c r="M5" s="17" t="n">
        <f aca="false">IF($J5&lt;&gt;"",$J5*(LOOKUP(1E+307,$A:$A)-$A$2),"")</f>
        <v>1584.73</v>
      </c>
      <c r="N5" s="17" t="n">
        <f aca="false">IF($M5&lt;&gt;"",IF($M5&gt;1000,(($M5*$S$7)+($A5*$S$8))*(1+$R$9)-100,($M5*$S$7)+($A5*$R$9)*(1+$R$9)),"")</f>
        <v>148.488028262464</v>
      </c>
      <c r="O5" s="18" t="n">
        <f aca="false">IF(I5&gt;=1000,"",(1000-I5))</f>
        <v>773.61</v>
      </c>
      <c r="P5" s="27"/>
      <c r="Q5" s="22" t="s">
        <v>28</v>
      </c>
      <c r="R5" s="25"/>
      <c r="S5" s="26" t="n">
        <v>0.042</v>
      </c>
      <c r="U5" s="0" t="n">
        <v>4.23</v>
      </c>
      <c r="V5" s="29" t="s">
        <v>91</v>
      </c>
    </row>
    <row r="6" customFormat="false" ht="15" hidden="false" customHeight="false" outlineLevel="0" collapsed="false">
      <c r="A6" s="11" t="n">
        <v>5</v>
      </c>
      <c r="B6" s="11" t="str">
        <f aca="false">TEXT($D6,"ddd")</f>
        <v>Sat</v>
      </c>
      <c r="C6" s="11" t="n">
        <f aca="false">$A$30-$A6</f>
        <v>24</v>
      </c>
      <c r="D6" s="51" t="n">
        <v>45129</v>
      </c>
      <c r="E6" s="51" t="n">
        <v>45130.2741898148</v>
      </c>
      <c r="F6" s="2" t="n">
        <v>88320.59</v>
      </c>
      <c r="G6" s="2" t="n">
        <v>88372.618</v>
      </c>
      <c r="H6" s="3" t="n">
        <v>52.024</v>
      </c>
      <c r="I6" s="13" t="n">
        <f aca="false">IF($H6&gt;0,($I5+$H6),"")</f>
        <v>278.414</v>
      </c>
      <c r="J6" s="14" t="n">
        <f aca="false">IF($H6&gt;0,$I6/$A6,"")</f>
        <v>55.6828</v>
      </c>
      <c r="K6" s="15" t="n">
        <f aca="false">IF($H6&lt;&gt;"",(($H6*$S$7)+($A6*$S$8))*(1+$S$9),"")</f>
        <v>8.74431216929033</v>
      </c>
      <c r="L6" s="16" t="n">
        <f aca="false">IF($K6&lt;&gt;"",($K6+$L5),"")</f>
        <v>44.9933994605807</v>
      </c>
      <c r="M6" s="17" t="n">
        <f aca="false">IF($J6&lt;&gt;"",$J6*(LOOKUP(1E+307,$A:$A)-$A$2),"")</f>
        <v>1559.1184</v>
      </c>
      <c r="N6" s="17" t="n">
        <f aca="false">IF($M6&lt;&gt;"",IF($M6&gt;1000,(($M6*$S$7)+($A6*$S$8))*(1+$R$9)-100,($M6*$S$7)+($A6*$R$9)*(1+$R$9)),"")</f>
        <v>144.638608942388</v>
      </c>
      <c r="O6" s="18" t="n">
        <f aca="false">IF(I6&gt;=1000,"",(1000-I6))</f>
        <v>721.586</v>
      </c>
      <c r="Q6" s="22" t="s">
        <v>31</v>
      </c>
      <c r="R6" s="23" t="n">
        <v>3.4</v>
      </c>
      <c r="S6" s="26" t="n">
        <f aca="false">($R$6/DAYS)</f>
        <v>0.109677419354839</v>
      </c>
      <c r="W6" s="29" t="s">
        <v>92</v>
      </c>
    </row>
    <row r="7" customFormat="false" ht="15" hidden="false" customHeight="false" outlineLevel="0" collapsed="false">
      <c r="A7" s="11" t="n">
        <v>6</v>
      </c>
      <c r="B7" s="11" t="str">
        <f aca="false">TEXT($D7,"ddd")</f>
        <v>Sun</v>
      </c>
      <c r="C7" s="11" t="n">
        <f aca="false">$A$30-$A7</f>
        <v>23</v>
      </c>
      <c r="D7" s="51" t="n">
        <v>45130</v>
      </c>
      <c r="E7" s="51" t="n">
        <v>45131.2562152778</v>
      </c>
      <c r="F7" s="2" t="n">
        <v>88372.618</v>
      </c>
      <c r="G7" s="2" t="n">
        <v>88428.618</v>
      </c>
      <c r="H7" s="3" t="n">
        <v>56.007</v>
      </c>
      <c r="I7" s="13" t="n">
        <f aca="false">IF($H7&gt;0,($I6+$H7),"")</f>
        <v>334.421</v>
      </c>
      <c r="J7" s="14" t="n">
        <f aca="false">IF($H7&gt;0,$I7/$A7,"")</f>
        <v>55.7368333333333</v>
      </c>
      <c r="K7" s="15" t="n">
        <f aca="false">IF($H7&lt;&gt;"",(($H7*$S$7)+($A7*$S$8))*(1+$S$9),"")</f>
        <v>9.50842741093549</v>
      </c>
      <c r="L7" s="16" t="n">
        <f aca="false">IF($K7&lt;&gt;"",($K7+$L6),"")</f>
        <v>54.5018268715161</v>
      </c>
      <c r="M7" s="17" t="n">
        <f aca="false">IF($J7&lt;&gt;"",$J7*(LOOKUP(1E+307,$A:$A)-$A$2),"")</f>
        <v>1560.63133333333</v>
      </c>
      <c r="N7" s="17" t="n">
        <f aca="false">IF($M7&lt;&gt;"",IF($M7&gt;1000,(($M7*$S$7)+($A7*$S$8))*(1+$R$9)-100,($M7*$S$7)+($A7*$R$9)*(1+$R$9)),"")</f>
        <v>145.031648570994</v>
      </c>
      <c r="O7" s="18" t="n">
        <f aca="false">IF(I7&gt;=1000,"",(1000-I7))</f>
        <v>665.579</v>
      </c>
      <c r="Q7" s="22" t="s">
        <v>34</v>
      </c>
      <c r="R7" s="25"/>
      <c r="S7" s="28" t="n">
        <f aca="false">SUM(S4:S6)</f>
        <v>0.153344419354839</v>
      </c>
    </row>
    <row r="8" customFormat="false" ht="15" hidden="false" customHeight="false" outlineLevel="0" collapsed="false">
      <c r="A8" s="11" t="n">
        <v>7</v>
      </c>
      <c r="B8" s="11" t="str">
        <f aca="false">TEXT($D8,"ddd")</f>
        <v>Mon</v>
      </c>
      <c r="C8" s="11" t="n">
        <f aca="false">$A$30-$A8</f>
        <v>22</v>
      </c>
      <c r="D8" s="51" t="n">
        <v>45131</v>
      </c>
      <c r="E8" s="51" t="n">
        <v>45132.2563310185</v>
      </c>
      <c r="F8" s="2" t="n">
        <v>88428.618</v>
      </c>
      <c r="G8" s="2" t="n">
        <v>88482.384</v>
      </c>
      <c r="H8" s="3" t="n">
        <v>53.766</v>
      </c>
      <c r="I8" s="13" t="n">
        <f aca="false">IF($H8&gt;0,($I7+$H8),"")</f>
        <v>388.187</v>
      </c>
      <c r="J8" s="14" t="n">
        <f aca="false">IF($H8&gt;0,$I8/$A8,"")</f>
        <v>55.4552857142857</v>
      </c>
      <c r="K8" s="15" t="n">
        <f aca="false">IF($H8&lt;&gt;"",(($H8*$S$7)+($A8*$S$8))*(1+$S$9),"")</f>
        <v>9.31812698651613</v>
      </c>
      <c r="L8" s="16" t="n">
        <f aca="false">IF($K8&lt;&gt;"",($K8+$L7),"")</f>
        <v>63.8199538580323</v>
      </c>
      <c r="M8" s="17" t="n">
        <f aca="false">IF($J8&lt;&gt;"",$J8*(LOOKUP(1E+307,$A:$A)-$A$2),"")</f>
        <v>1552.748</v>
      </c>
      <c r="N8" s="17" t="n">
        <f aca="false">IF($M8&lt;&gt;"",IF($M8&gt;1000,(($M8*$S$7)+($A8*$S$8))*(1+$R$9)-100,($M8*$S$7)+($A8*$R$9)*(1+$R$9)),"")</f>
        <v>143.955049068326</v>
      </c>
      <c r="O8" s="18" t="n">
        <f aca="false">IF(I8&gt;=1000,"",(1000-I8))</f>
        <v>611.813</v>
      </c>
      <c r="Q8" s="22" t="s">
        <v>38</v>
      </c>
      <c r="R8" s="25"/>
      <c r="S8" s="67" t="n">
        <f aca="false">SUM(S4:S6)</f>
        <v>0.153344419354839</v>
      </c>
      <c r="U8" s="0" t="n">
        <v>0.155</v>
      </c>
    </row>
    <row r="9" customFormat="false" ht="15" hidden="false" customHeight="false" outlineLevel="0" collapsed="false">
      <c r="A9" s="11" t="n">
        <v>8</v>
      </c>
      <c r="B9" s="11" t="str">
        <f aca="false">TEXT($D9,"ddd")</f>
        <v>Tue</v>
      </c>
      <c r="C9" s="11" t="n">
        <f aca="false">$A$30-$A9</f>
        <v>21</v>
      </c>
      <c r="D9" s="51" t="n">
        <v>45132</v>
      </c>
      <c r="E9" s="51" t="n">
        <v>45133.2559606481</v>
      </c>
      <c r="F9" s="2" t="n">
        <v>88482.384</v>
      </c>
      <c r="G9" s="2" t="n">
        <v>88531.484</v>
      </c>
      <c r="H9" s="3" t="n">
        <v>49.104</v>
      </c>
      <c r="I9" s="13" t="n">
        <f aca="false">IF($H9&gt;0,($I8+$H9),"")</f>
        <v>437.291</v>
      </c>
      <c r="J9" s="14" t="n">
        <f aca="false">IF($H9&gt;0,$I9/$A9,"")</f>
        <v>54.661375</v>
      </c>
      <c r="K9" s="15" t="n">
        <f aca="false">IF($H9&lt;&gt;"",(($H9*$S$7)+($A9*$S$8))*(1+$S$9),"")</f>
        <v>8.75657972283871</v>
      </c>
      <c r="L9" s="16" t="n">
        <f aca="false">IF($K9&lt;&gt;"",($K9+$L8),"")</f>
        <v>72.576533580871</v>
      </c>
      <c r="M9" s="17" t="n">
        <f aca="false">IF($J9&lt;&gt;"",$J9*(LOOKUP(1E+307,$A:$A)-$A$2),"")</f>
        <v>1530.5185</v>
      </c>
      <c r="N9" s="17" t="n">
        <f aca="false">IF($M9&lt;&gt;"",IF($M9&gt;1000,(($M9*$S$7)+($A9*$S$8))*(1+$R$9)-100,($M9*$S$7)+($A9*$R$9)*(1+$R$9)),"")</f>
        <v>140.63461287338</v>
      </c>
      <c r="O9" s="18" t="n">
        <f aca="false">IF(I9&gt;=1000,"",(1000-I9))</f>
        <v>562.709</v>
      </c>
      <c r="Q9" s="22" t="s">
        <v>42</v>
      </c>
      <c r="R9" s="30" t="n">
        <v>0.01997</v>
      </c>
      <c r="S9" s="32"/>
    </row>
    <row r="10" customFormat="false" ht="15" hidden="false" customHeight="false" outlineLevel="0" collapsed="false">
      <c r="A10" s="11" t="n">
        <v>9</v>
      </c>
      <c r="B10" s="11" t="str">
        <f aca="false">TEXT($D10,"ddd")</f>
        <v>Wed</v>
      </c>
      <c r="C10" s="11" t="n">
        <f aca="false">$A$30-$A10</f>
        <v>20</v>
      </c>
      <c r="D10" s="51" t="n">
        <v>45133</v>
      </c>
      <c r="E10" s="51" t="n">
        <v>45134.2622916667</v>
      </c>
      <c r="F10" s="2" t="n">
        <v>88531.484</v>
      </c>
      <c r="G10" s="2" t="n">
        <v>88582.277</v>
      </c>
      <c r="H10" s="3" t="n">
        <v>50.791</v>
      </c>
      <c r="I10" s="13" t="n">
        <f aca="false">IF($H10&gt;0,($I9+$H10),"")</f>
        <v>488.082</v>
      </c>
      <c r="J10" s="14" t="n">
        <f aca="false">IF($H10&gt;0,$I10/$A10,"")</f>
        <v>54.2313333333333</v>
      </c>
      <c r="K10" s="15" t="n">
        <f aca="false">IF($H10&lt;&gt;"",(($H10*$S$7)+($A10*$S$8))*(1+$S$9),"")</f>
        <v>9.16861617764516</v>
      </c>
      <c r="L10" s="16" t="n">
        <f aca="false">IF($K10&lt;&gt;"",($K10+$L9),"")</f>
        <v>81.7451497585162</v>
      </c>
      <c r="M10" s="17" t="n">
        <f aca="false">IF($J10&lt;&gt;"",$J10*(LOOKUP(1E+307,$A:$A)-$A$2),"")</f>
        <v>1518.47733333333</v>
      </c>
      <c r="N10" s="17" t="n">
        <f aca="false">IF($M10&lt;&gt;"",IF($M10&gt;1000,(($M10*$S$7)+($A10*$S$8))*(1+$R$9)-100,($M10*$S$7)+($A10*$R$9)*(1+$R$9)),"")</f>
        <v>138.907700349088</v>
      </c>
      <c r="O10" s="18" t="n">
        <f aca="false">IF(I10&gt;=1000,"",(1000-I10))</f>
        <v>511.918</v>
      </c>
      <c r="Q10" s="22" t="s">
        <v>46</v>
      </c>
      <c r="R10" s="33" t="n">
        <v>100</v>
      </c>
      <c r="S10" s="24" t="n">
        <v>1000</v>
      </c>
    </row>
    <row r="11" customFormat="false" ht="15" hidden="false" customHeight="false" outlineLevel="0" collapsed="false">
      <c r="A11" s="11" t="n">
        <v>10</v>
      </c>
      <c r="B11" s="11" t="str">
        <f aca="false">TEXT($D11,"ddd")</f>
        <v>Thu</v>
      </c>
      <c r="C11" s="11" t="n">
        <f aca="false">$A$30-$A11</f>
        <v>19</v>
      </c>
      <c r="D11" s="51" t="n">
        <v>45134</v>
      </c>
      <c r="E11" s="51" t="n">
        <v>45135.2564583333</v>
      </c>
      <c r="F11" s="2" t="n">
        <v>88582.277</v>
      </c>
      <c r="G11" s="2" t="n">
        <v>88632.835</v>
      </c>
      <c r="H11" s="3" t="n">
        <v>50.556</v>
      </c>
      <c r="I11" s="13" t="n">
        <f aca="false">IF($H11&gt;0,($I10+$H11),"")</f>
        <v>538.638</v>
      </c>
      <c r="J11" s="14" t="n">
        <f aca="false">IF($H11&gt;0,$I11/$A11,"")</f>
        <v>53.8638</v>
      </c>
      <c r="K11" s="15" t="n">
        <f aca="false">IF($H11&lt;&gt;"",(($H11*$S$7)+($A11*$S$8))*(1+$S$9),"")</f>
        <v>9.28592465845161</v>
      </c>
      <c r="L11" s="16" t="n">
        <f aca="false">IF($K11&lt;&gt;"",($K11+$L10),"")</f>
        <v>91.0310744169678</v>
      </c>
      <c r="M11" s="17" t="n">
        <f aca="false">IF($J11&lt;&gt;"",$J11*(LOOKUP(1E+307,$A:$A)-$A$2),"")</f>
        <v>1508.1864</v>
      </c>
      <c r="N11" s="17" t="n">
        <f aca="false">IF($M11&lt;&gt;"",IF($M11&gt;1000,(($M11*$S$7)+($A11*$S$8))*(1+$R$9)-100,($M11*$S$7)+($A11*$R$9)*(1+$R$9)),"")</f>
        <v>137.454536057662</v>
      </c>
      <c r="O11" s="18" t="n">
        <f aca="false">IF(I11&gt;=1000,"",(1000-I11))</f>
        <v>461.362</v>
      </c>
      <c r="Q11" s="22" t="s">
        <v>49</v>
      </c>
      <c r="R11" s="33" t="n">
        <v>295</v>
      </c>
      <c r="S11" s="32"/>
      <c r="U11" s="0" t="n">
        <v>295</v>
      </c>
    </row>
    <row r="12" customFormat="false" ht="15" hidden="false" customHeight="false" outlineLevel="0" collapsed="false">
      <c r="A12" s="11" t="n">
        <v>11</v>
      </c>
      <c r="B12" s="11" t="str">
        <f aca="false">TEXT($D12,"ddd")</f>
        <v>Fri</v>
      </c>
      <c r="C12" s="11" t="n">
        <f aca="false">$A$30-$A12</f>
        <v>18</v>
      </c>
      <c r="D12" s="51" t="n">
        <v>45135</v>
      </c>
      <c r="E12" s="51" t="n">
        <v>45136.2551736111</v>
      </c>
      <c r="F12" s="2" t="n">
        <v>88632.835</v>
      </c>
      <c r="G12" s="2" t="n">
        <v>88683.773</v>
      </c>
      <c r="H12" s="3" t="n">
        <v>50.931</v>
      </c>
      <c r="I12" s="13" t="n">
        <f aca="false">IF($H12&gt;0,($I11+$H12),"")</f>
        <v>589.569</v>
      </c>
      <c r="J12" s="14" t="n">
        <f aca="false">IF($H12&gt;0,$I12/$A12,"")</f>
        <v>53.5971818181818</v>
      </c>
      <c r="K12" s="15" t="n">
        <f aca="false">IF($H12&lt;&gt;"",(($H12*$S$7)+($A12*$S$8))*(1+$S$9),"")</f>
        <v>9.49677323506452</v>
      </c>
      <c r="L12" s="16" t="n">
        <f aca="false">IF($K12&lt;&gt;"",($K12+$L11),"")</f>
        <v>100.527847652032</v>
      </c>
      <c r="M12" s="17" t="n">
        <f aca="false">IF($J12&lt;&gt;"",$J12*(LOOKUP(1E+307,$A:$A)-$A$2),"")</f>
        <v>1500.72109090909</v>
      </c>
      <c r="N12" s="17" t="n">
        <f aca="false">IF($M12&lt;&gt;"",IF($M12&gt;1000,(($M12*$S$7)+($A12*$S$8))*(1+$R$9)-100,($M12*$S$7)+($A12*$R$9)*(1+$R$9)),"")</f>
        <v>136.443318350369</v>
      </c>
      <c r="O12" s="18" t="n">
        <f aca="false">IF(I12&gt;=1000,"",(1000-I12))</f>
        <v>410.431</v>
      </c>
      <c r="Q12" s="22" t="s">
        <v>52</v>
      </c>
      <c r="R12" s="35" t="n">
        <f aca="false">INDEX(L2:L32,COUNT(L2:L32))</f>
        <v>311.559210812807</v>
      </c>
      <c r="S12" s="32"/>
    </row>
    <row r="13" customFormat="false" ht="15" hidden="false" customHeight="false" outlineLevel="0" collapsed="false">
      <c r="A13" s="11" t="n">
        <v>12</v>
      </c>
      <c r="B13" s="11" t="str">
        <f aca="false">TEXT($D13,"ddd")</f>
        <v>Sat</v>
      </c>
      <c r="C13" s="11" t="n">
        <f aca="false">$A$30-$A13</f>
        <v>17</v>
      </c>
      <c r="D13" s="51" t="n">
        <v>45136</v>
      </c>
      <c r="E13" s="51" t="n">
        <v>45137.2801388889</v>
      </c>
      <c r="F13" s="2" t="n">
        <v>88683.773</v>
      </c>
      <c r="G13" s="2" t="n">
        <v>88733.843</v>
      </c>
      <c r="H13" s="3" t="n">
        <v>50.066</v>
      </c>
      <c r="I13" s="13" t="n">
        <f aca="false">IF($H13&gt;0,($I12+$H13),"")</f>
        <v>639.635</v>
      </c>
      <c r="J13" s="14" t="n">
        <f aca="false">IF($H13&gt;0,$I13/$A13,"")</f>
        <v>53.3029166666667</v>
      </c>
      <c r="K13" s="15" t="n">
        <f aca="false">IF($H13&lt;&gt;"",(($H13*$S$7)+($A13*$S$8))*(1+$S$9),"")</f>
        <v>9.51747473167742</v>
      </c>
      <c r="L13" s="16" t="n">
        <f aca="false">IF($K13&lt;&gt;"",($K13+$L12),"")</f>
        <v>110.04532238371</v>
      </c>
      <c r="M13" s="17" t="n">
        <f aca="false">IF($J13&lt;&gt;"",$J13*(LOOKUP(1E+307,$A:$A)-$A$2),"")</f>
        <v>1492.48166666667</v>
      </c>
      <c r="N13" s="17" t="n">
        <f aca="false">IF($M13&lt;&gt;"",IF($M13&gt;1000,(($M13*$S$7)+($A13*$S$8))*(1+$R$9)-100,($M13*$S$7)+($A13*$R$9)*(1+$R$9)),"")</f>
        <v>135.311023841072</v>
      </c>
      <c r="O13" s="18" t="n">
        <f aca="false">IF(I13&gt;=1000,"",(1000-I13))</f>
        <v>360.365</v>
      </c>
      <c r="Q13" s="22" t="s">
        <v>55</v>
      </c>
      <c r="R13" s="37" t="n">
        <f aca="false">INDEX(I2:I32,COUNT(I2:I32))</f>
        <v>1596.761</v>
      </c>
      <c r="S13" s="32"/>
    </row>
    <row r="14" customFormat="false" ht="15" hidden="false" customHeight="false" outlineLevel="0" collapsed="false">
      <c r="A14" s="11" t="n">
        <v>13</v>
      </c>
      <c r="B14" s="11" t="str">
        <f aca="false">TEXT($D14,"ddd")</f>
        <v>Sun</v>
      </c>
      <c r="C14" s="11" t="n">
        <f aca="false">$A$30-$A14</f>
        <v>16</v>
      </c>
      <c r="D14" s="51" t="n">
        <v>45137</v>
      </c>
      <c r="E14" s="51" t="n">
        <v>45138.263900463</v>
      </c>
      <c r="F14" s="2" t="n">
        <v>88733.843</v>
      </c>
      <c r="G14" s="2" t="n">
        <v>88786.902</v>
      </c>
      <c r="H14" s="3" t="n">
        <v>53.057</v>
      </c>
      <c r="I14" s="13" t="n">
        <f aca="false">IF($H14&gt;0,($I13+$H14),"")</f>
        <v>692.692</v>
      </c>
      <c r="J14" s="14" t="n">
        <f aca="false">IF($H14&gt;0,$I14/$A14,"")</f>
        <v>53.284</v>
      </c>
      <c r="K14" s="15" t="n">
        <f aca="false">IF($H14&lt;&gt;"",(($H14*$S$7)+($A14*$S$8))*(1+$S$9),"")</f>
        <v>10.1294723093226</v>
      </c>
      <c r="L14" s="16" t="n">
        <f aca="false">IF($K14&lt;&gt;"",($K14+$L13),"")</f>
        <v>120.174794693032</v>
      </c>
      <c r="M14" s="17" t="n">
        <f aca="false">IF($J14&lt;&gt;"",$J14*(LOOKUP(1E+307,$A:$A)-$A$2),"")</f>
        <v>1491.952</v>
      </c>
      <c r="N14" s="17" t="n">
        <f aca="false">IF($M14&lt;&gt;"",IF($M14&gt;1000,(($M14*$S$7)+($A14*$S$8))*(1+$R$9)-100,($M14*$S$7)+($A14*$R$9)*(1+$R$9)),"")</f>
        <v>135.384587129123</v>
      </c>
      <c r="O14" s="18" t="n">
        <f aca="false">IF(I14&gt;=1000,"",(1000-I14))</f>
        <v>307.308</v>
      </c>
      <c r="Q14" s="22" t="s">
        <v>58</v>
      </c>
      <c r="R14" s="37" t="n">
        <f aca="false">INDEX(J2:J32,COUNT(J2:J32))</f>
        <v>55.060724137931</v>
      </c>
      <c r="S14" s="32"/>
    </row>
    <row r="15" customFormat="false" ht="15" hidden="false" customHeight="false" outlineLevel="0" collapsed="false">
      <c r="A15" s="11" t="n">
        <v>14</v>
      </c>
      <c r="B15" s="11" t="str">
        <f aca="false">TEXT($D15,"ddd")</f>
        <v>Mon</v>
      </c>
      <c r="C15" s="11" t="n">
        <f aca="false">$A$30-$A15</f>
        <v>15</v>
      </c>
      <c r="D15" s="51" t="n">
        <v>45138</v>
      </c>
      <c r="E15" s="51" t="n">
        <v>45139.263275463</v>
      </c>
      <c r="F15" s="2" t="n">
        <v>88786.902</v>
      </c>
      <c r="G15" s="2" t="n">
        <v>88842.206</v>
      </c>
      <c r="H15" s="3" t="n">
        <v>55.303</v>
      </c>
      <c r="I15" s="13" t="n">
        <f aca="false">IF($H15&gt;0,($I14+$H15),"")</f>
        <v>747.995</v>
      </c>
      <c r="J15" s="14" t="n">
        <f aca="false">IF($H15&gt;0,$I15/$A15,"")</f>
        <v>53.4282142857143</v>
      </c>
      <c r="K15" s="15" t="n">
        <f aca="false">IF($H15&lt;&gt;"",(($H15*$S$7)+($A15*$S$8))*(1+$S$9),"")</f>
        <v>10.6272282945484</v>
      </c>
      <c r="L15" s="16" t="n">
        <f aca="false">IF($K15&lt;&gt;"",($K15+$L14),"")</f>
        <v>130.802022987581</v>
      </c>
      <c r="M15" s="17" t="n">
        <f aca="false">IF($J15&lt;&gt;"",$J15*(LOOKUP(1E+307,$A:$A)-$A$2),"")</f>
        <v>1495.99</v>
      </c>
      <c r="N15" s="17" t="n">
        <f aca="false">IF($M15&lt;&gt;"",IF($M15&gt;1000,(($M15*$S$7)+($A15*$S$8))*(1+$R$9)-100,($M15*$S$7)+($A15*$R$9)*(1+$R$9)),"")</f>
        <v>136.172564121052</v>
      </c>
      <c r="O15" s="18" t="n">
        <f aca="false">IF(I15&gt;=1000,"",(1000-I15))</f>
        <v>252.005</v>
      </c>
      <c r="Q15" s="22"/>
      <c r="R15" s="38"/>
      <c r="S15" s="24"/>
    </row>
    <row r="16" customFormat="false" ht="15" hidden="false" customHeight="false" outlineLevel="0" collapsed="false">
      <c r="A16" s="11" t="n">
        <v>15</v>
      </c>
      <c r="B16" s="11" t="str">
        <f aca="false">TEXT($D16,"ddd")</f>
        <v>Tue</v>
      </c>
      <c r="C16" s="11" t="n">
        <f aca="false">$A$30-$A16</f>
        <v>14</v>
      </c>
      <c r="D16" s="51" t="n">
        <v>45139</v>
      </c>
      <c r="E16" s="51" t="n">
        <v>45140.2568402778</v>
      </c>
      <c r="F16" s="2" t="n">
        <v>88842.206</v>
      </c>
      <c r="G16" s="2" t="n">
        <v>88896.412</v>
      </c>
      <c r="H16" s="3" t="n">
        <v>54.209</v>
      </c>
      <c r="I16" s="13" t="n">
        <f aca="false">IF($H16&gt;0,($I15+$H16),"")</f>
        <v>802.204</v>
      </c>
      <c r="J16" s="14" t="n">
        <f aca="false">IF($H16&gt;0,$I16/$A16,"")</f>
        <v>53.4802666666667</v>
      </c>
      <c r="K16" s="15" t="n">
        <f aca="false">IF($H16&lt;&gt;"",(($H16*$S$7)+($A16*$S$8))*(1+$S$9),"")</f>
        <v>10.612813919129</v>
      </c>
      <c r="L16" s="16" t="n">
        <f aca="false">IF($K16&lt;&gt;"",($K16+$L15),"")</f>
        <v>141.41483690671</v>
      </c>
      <c r="M16" s="17" t="n">
        <f aca="false">IF($J16&lt;&gt;"",$J16*(LOOKUP(1E+307,$A:$A)-$A$2),"")</f>
        <v>1497.44746666667</v>
      </c>
      <c r="N16" s="17" t="n">
        <f aca="false">IF($M16&lt;&gt;"",IF($M16&gt;1000,(($M16*$S$7)+($A16*$S$8))*(1+$R$9)-100,($M16*$S$7)+($A16*$R$9)*(1+$R$9)),"")</f>
        <v>136.556928390953</v>
      </c>
      <c r="O16" s="18" t="n">
        <f aca="false">IF(I16&gt;=1000,"",(1000-I16))</f>
        <v>197.796</v>
      </c>
      <c r="Q16" s="22" t="s">
        <v>59</v>
      </c>
      <c r="R16" s="37" t="n">
        <f aca="false">MIN(H2:H31)</f>
        <v>46.877</v>
      </c>
      <c r="S16" s="24"/>
    </row>
    <row r="17" customFormat="false" ht="15" hidden="false" customHeight="false" outlineLevel="0" collapsed="false">
      <c r="A17" s="11" t="n">
        <v>16</v>
      </c>
      <c r="B17" s="11" t="str">
        <f aca="false">TEXT($D17,"ddd")</f>
        <v>Wed</v>
      </c>
      <c r="C17" s="11" t="n">
        <f aca="false">$A$30-$A17</f>
        <v>13</v>
      </c>
      <c r="D17" s="51" t="n">
        <v>45140</v>
      </c>
      <c r="E17" s="51" t="n">
        <v>45141.2570486111</v>
      </c>
      <c r="F17" s="2" t="n">
        <v>88896.412</v>
      </c>
      <c r="G17" s="2" t="n">
        <v>88954.189</v>
      </c>
      <c r="H17" s="3" t="n">
        <v>57.78</v>
      </c>
      <c r="I17" s="13" t="n">
        <f aca="false">IF($H17&gt;0,($I16+$H17),"")</f>
        <v>859.984</v>
      </c>
      <c r="J17" s="14" t="n">
        <f aca="false">IF($H17&gt;0,$I17/$A17,"")</f>
        <v>53.749</v>
      </c>
      <c r="K17" s="15" t="n">
        <f aca="false">IF($H17&lt;&gt;"",(($H17*$S$7)+($A17*$S$8))*(1+$S$9),"")</f>
        <v>11.31375126</v>
      </c>
      <c r="L17" s="16" t="n">
        <f aca="false">IF($K17&lt;&gt;"",($K17+$L16),"")</f>
        <v>152.72858816671</v>
      </c>
      <c r="M17" s="17" t="n">
        <f aca="false">IF($J17&lt;&gt;"",$J17*(LOOKUP(1E+307,$A:$A)-$A$2),"")</f>
        <v>1504.972</v>
      </c>
      <c r="N17" s="17" t="n">
        <f aca="false">IF($M17&lt;&gt;"",IF($M17&gt;1000,(($M17*$S$7)+($A17*$S$8))*(1+$R$9)-100,($M17*$S$7)+($A17*$R$9)*(1+$R$9)),"")</f>
        <v>137.890222581821</v>
      </c>
      <c r="O17" s="18" t="n">
        <f aca="false">IF(I17&gt;=1000,"",(1000-I17))</f>
        <v>140.016</v>
      </c>
      <c r="Q17" s="22" t="s">
        <v>60</v>
      </c>
      <c r="R17" s="37" t="n">
        <f aca="false">MAX(H2:H32)</f>
        <v>64.04</v>
      </c>
      <c r="S17" s="24"/>
    </row>
    <row r="18" customFormat="false" ht="15" hidden="false" customHeight="false" outlineLevel="0" collapsed="false">
      <c r="A18" s="11" t="n">
        <v>17</v>
      </c>
      <c r="B18" s="11" t="str">
        <f aca="false">TEXT($D18,"ddd")</f>
        <v>Thu</v>
      </c>
      <c r="C18" s="11" t="n">
        <f aca="false">$A$30-$A18</f>
        <v>12</v>
      </c>
      <c r="D18" s="51" t="n">
        <v>45141</v>
      </c>
      <c r="E18" s="51" t="n">
        <v>45142.2574305556</v>
      </c>
      <c r="F18" s="2" t="n">
        <v>88954.189</v>
      </c>
      <c r="G18" s="2" t="n">
        <v>89013.469</v>
      </c>
      <c r="H18" s="3" t="n">
        <v>59.277</v>
      </c>
      <c r="I18" s="13" t="n">
        <f aca="false">IF($H18&gt;0,($I17+$H18),"")</f>
        <v>919.261</v>
      </c>
      <c r="J18" s="14" t="n">
        <f aca="false">IF($H18&gt;0,$I18/$A18,"")</f>
        <v>54.0741764705883</v>
      </c>
      <c r="K18" s="15" t="n">
        <f aca="false">IF($H18&lt;&gt;"",(($H18*$S$7)+($A18*$S$8))*(1+$S$9),"")</f>
        <v>11.696652275129</v>
      </c>
      <c r="L18" s="16" t="n">
        <f aca="false">IF($K18&lt;&gt;"",($K18+$L17),"")</f>
        <v>164.425240441839</v>
      </c>
      <c r="M18" s="17" t="n">
        <f aca="false">IF($J18&lt;&gt;"",$J18*(LOOKUP(1E+307,$A:$A)-$A$2),"")</f>
        <v>1514.07694117647</v>
      </c>
      <c r="N18" s="17" t="n">
        <f aca="false">IF($M18&lt;&gt;"",IF($M18&gt;1000,(($M18*$S$7)+($A18*$S$8))*(1+$R$9)-100,($M18*$S$7)+($A18*$R$9)*(1+$R$9)),"")</f>
        <v>139.470703159798</v>
      </c>
      <c r="O18" s="18" t="n">
        <f aca="false">IF(I18&gt;=1000,"",(1000-I18))</f>
        <v>80.7389999999998</v>
      </c>
      <c r="Q18" s="22"/>
      <c r="R18" s="64"/>
      <c r="S18" s="24"/>
    </row>
    <row r="19" customFormat="false" ht="15" hidden="false" customHeight="false" outlineLevel="0" collapsed="false">
      <c r="A19" s="11" t="n">
        <v>18</v>
      </c>
      <c r="B19" s="11" t="str">
        <f aca="false">TEXT($D19,"ddd")</f>
        <v>Fri</v>
      </c>
      <c r="C19" s="11" t="n">
        <f aca="false">$A$30-$A19</f>
        <v>11</v>
      </c>
      <c r="D19" s="51" t="n">
        <v>45142</v>
      </c>
      <c r="E19" s="51" t="n">
        <v>45143.256087963</v>
      </c>
      <c r="F19" s="2" t="n">
        <v>89013.469</v>
      </c>
      <c r="G19" s="2" t="n">
        <v>89077.506</v>
      </c>
      <c r="H19" s="3" t="n">
        <v>64.04</v>
      </c>
      <c r="I19" s="13" t="n">
        <f aca="false">IF($H19&gt;0,($I18+$H19),"")</f>
        <v>983.301</v>
      </c>
      <c r="J19" s="14" t="n">
        <f aca="false">IF($H19&gt;0,$I19/$A19,"")</f>
        <v>54.6278333333333</v>
      </c>
      <c r="K19" s="15" t="n">
        <f aca="false">IF($H19&lt;&gt;"",(($H19*$S$7)+($A19*$S$8))*(1+$S$9),"")</f>
        <v>12.580376163871</v>
      </c>
      <c r="L19" s="16" t="n">
        <f aca="false">IF($K19&lt;&gt;"",($K19+$L18),"")</f>
        <v>177.00561660571</v>
      </c>
      <c r="M19" s="17" t="n">
        <f aca="false">IF($J19&lt;&gt;"",$J19*(LOOKUP(1E+307,$A:$A)-$A$2),"")</f>
        <v>1529.57933333333</v>
      </c>
      <c r="N19" s="17" t="n">
        <f aca="false">IF($M19&lt;&gt;"",IF($M19&gt;1000,(($M19*$S$7)+($A19*$S$8))*(1+$R$9)-100,($M19*$S$7)+($A19*$R$9)*(1+$R$9)),"")</f>
        <v>142.051787981431</v>
      </c>
      <c r="O19" s="18" t="n">
        <f aca="false">IF(I19&gt;=1000,"",(1000-I19))</f>
        <v>16.6989999999998</v>
      </c>
      <c r="Q19" s="40"/>
      <c r="R19" s="41"/>
      <c r="S19" s="42"/>
    </row>
    <row r="20" customFormat="false" ht="15" hidden="false" customHeight="false" outlineLevel="0" collapsed="false">
      <c r="A20" s="11" t="n">
        <v>19</v>
      </c>
      <c r="B20" s="11" t="str">
        <f aca="false">TEXT($D20,"ddd")</f>
        <v>Sat</v>
      </c>
      <c r="C20" s="11" t="n">
        <f aca="false">$A$30-$A20</f>
        <v>10</v>
      </c>
      <c r="D20" s="51" t="n">
        <v>45143</v>
      </c>
      <c r="E20" s="51" t="n">
        <v>45144.2755439815</v>
      </c>
      <c r="F20" s="2" t="n">
        <v>89077.506</v>
      </c>
      <c r="G20" s="2" t="n">
        <v>89134.71</v>
      </c>
      <c r="H20" s="3" t="n">
        <v>57.207</v>
      </c>
      <c r="I20" s="69" t="n">
        <f aca="false">IF($H20&gt;0,($I19+$H20),"")</f>
        <v>1040.508</v>
      </c>
      <c r="J20" s="14" t="n">
        <f aca="false">IF($H20&gt;0,$I20/$A20,"")</f>
        <v>54.7635789473684</v>
      </c>
      <c r="K20" s="15" t="n">
        <f aca="false">IF($H20&lt;&gt;"",(($H20*$S$7)+($A20*$S$8))*(1+$S$9),"")</f>
        <v>11.6859181657742</v>
      </c>
      <c r="L20" s="16" t="n">
        <f aca="false">IF($K20&lt;&gt;"",($K20+$L19),"")</f>
        <v>188.691534771484</v>
      </c>
      <c r="M20" s="17" t="n">
        <f aca="false">IF($J20&lt;&gt;"",$J20*(LOOKUP(1E+307,$A:$A)-$A$2),"")</f>
        <v>1533.38021052632</v>
      </c>
      <c r="N20" s="17" t="n">
        <f aca="false">IF($M20&lt;&gt;"",IF($M20&gt;1000,(($M20*$S$7)+($A20*$S$8))*(1+$R$9)-100,($M20*$S$7)+($A20*$R$9)*(1+$R$9)),"")</f>
        <v>142.802677375862</v>
      </c>
      <c r="O20" s="18" t="str">
        <f aca="false">IF(I20&gt;=1000,"",(1000-I20))</f>
        <v/>
      </c>
    </row>
    <row r="21" customFormat="false" ht="15" hidden="false" customHeight="false" outlineLevel="0" collapsed="false">
      <c r="A21" s="11" t="n">
        <v>20</v>
      </c>
      <c r="B21" s="11" t="str">
        <f aca="false">TEXT($D21,"ddd")</f>
        <v>Sun</v>
      </c>
      <c r="C21" s="11" t="n">
        <f aca="false">$A$30-$A21</f>
        <v>9</v>
      </c>
      <c r="D21" s="51" t="n">
        <v>45144</v>
      </c>
      <c r="E21" s="51" t="n">
        <v>45145.2566203704</v>
      </c>
      <c r="F21" s="2" t="n">
        <v>89134.71</v>
      </c>
      <c r="G21" s="2" t="n">
        <v>89192.785</v>
      </c>
      <c r="H21" s="3" t="n">
        <v>58.08</v>
      </c>
      <c r="I21" s="70" t="n">
        <f aca="false">IF($H21&gt;0,($I20+$H21),"")</f>
        <v>1098.588</v>
      </c>
      <c r="J21" s="14" t="n">
        <f aca="false">IF($H21&gt;0,$I21/$A21,"")</f>
        <v>54.9294</v>
      </c>
      <c r="K21" s="15" t="n">
        <f aca="false">IF($H21&lt;&gt;"",(($H21*$S$7)+($A21*$S$8))*(1+$S$9),"")</f>
        <v>11.9731322632258</v>
      </c>
      <c r="L21" s="16" t="n">
        <f aca="false">IF($K21&lt;&gt;"",($K21+$L20),"")</f>
        <v>200.66466703471</v>
      </c>
      <c r="M21" s="17" t="n">
        <f aca="false">IF($J21&lt;&gt;"",$J21*(LOOKUP(1E+307,$A:$A)-$A$2),"")</f>
        <v>1538.0232</v>
      </c>
      <c r="N21" s="17" t="n">
        <f aca="false">IF($M21&lt;&gt;"",IF($M21&gt;1000,(($M21*$S$7)+($A21*$S$8))*(1+$R$9)-100,($M21*$S$7)+($A21*$R$9)*(1+$R$9)),"")</f>
        <v>143.685278779387</v>
      </c>
      <c r="O21" s="18" t="str">
        <f aca="false">IF(I21&gt;=1000,"",(1000-I21))</f>
        <v/>
      </c>
    </row>
    <row r="22" customFormat="false" ht="15" hidden="false" customHeight="false" outlineLevel="0" collapsed="false">
      <c r="A22" s="11" t="n">
        <v>21</v>
      </c>
      <c r="B22" s="11" t="str">
        <f aca="false">TEXT($D22,"ddd")</f>
        <v>Mon</v>
      </c>
      <c r="C22" s="11" t="n">
        <f aca="false">$A$30-$A22</f>
        <v>8</v>
      </c>
      <c r="D22" s="51" t="n">
        <v>45145</v>
      </c>
      <c r="E22" s="51" t="n">
        <v>45146.2573611111</v>
      </c>
      <c r="F22" s="2" t="n">
        <v>89192.785</v>
      </c>
      <c r="G22" s="2" t="n">
        <v>89248.694</v>
      </c>
      <c r="H22" s="3" t="n">
        <v>55.911</v>
      </c>
      <c r="I22" s="13" t="n">
        <f aca="false">IF($H22&gt;0,($I21+$H22),"")</f>
        <v>1154.499</v>
      </c>
      <c r="J22" s="14" t="n">
        <f aca="false">IF($H22&gt;0,$I22/$A22,"")</f>
        <v>54.9761428571429</v>
      </c>
      <c r="K22" s="15" t="n">
        <f aca="false">IF($H22&lt;&gt;"",(($H22*$S$7)+($A22*$S$8))*(1+$S$9),"")</f>
        <v>11.793872637</v>
      </c>
      <c r="L22" s="16" t="n">
        <f aca="false">IF($K22&lt;&gt;"",($K22+$L21),"")</f>
        <v>212.45853967171</v>
      </c>
      <c r="M22" s="17" t="n">
        <f aca="false">IF($J22&lt;&gt;"",$J22*(LOOKUP(1E+307,$A:$A)-$A$2),"")</f>
        <v>1539.332</v>
      </c>
      <c r="N22" s="17" t="n">
        <f aca="false">IF($M22&lt;&gt;"",IF($M22&gt;1000,(($M22*$S$7)+($A22*$S$8))*(1+$R$9)-100,($M22*$S$7)+($A22*$R$9)*(1+$R$9)),"")</f>
        <v>144.046390585454</v>
      </c>
      <c r="O22" s="18" t="str">
        <f aca="false">IF(I22&gt;=1000,"",(1000-I22))</f>
        <v/>
      </c>
    </row>
    <row r="23" customFormat="false" ht="15" hidden="false" customHeight="false" outlineLevel="0" collapsed="false">
      <c r="A23" s="11" t="n">
        <v>22</v>
      </c>
      <c r="B23" s="11" t="str">
        <f aca="false">TEXT($D23,"ddd")</f>
        <v>Tue</v>
      </c>
      <c r="C23" s="11" t="n">
        <f aca="false">$A$30-$A23</f>
        <v>7</v>
      </c>
      <c r="D23" s="51" t="n">
        <v>45146</v>
      </c>
      <c r="E23" s="51" t="n">
        <v>45147.2565162037</v>
      </c>
      <c r="F23" s="2" t="n">
        <v>89248.694</v>
      </c>
      <c r="G23" s="2" t="n">
        <v>89302.634</v>
      </c>
      <c r="H23" s="3" t="n">
        <v>53.944</v>
      </c>
      <c r="I23" s="13" t="n">
        <f aca="false">IF($H23&gt;0,($I22+$H23),"")</f>
        <v>1208.443</v>
      </c>
      <c r="J23" s="14" t="n">
        <f aca="false">IF($H23&gt;0,$I23/$A23,"")</f>
        <v>54.9292272727273</v>
      </c>
      <c r="K23" s="15" t="n">
        <f aca="false">IF($H23&lt;&gt;"",(($H23*$S$7)+($A23*$S$8))*(1+$S$9),"")</f>
        <v>11.6455885834839</v>
      </c>
      <c r="L23" s="16" t="n">
        <f aca="false">IF($K23&lt;&gt;"",($K23+$L22),"")</f>
        <v>224.104128255194</v>
      </c>
      <c r="M23" s="17" t="n">
        <f aca="false">IF($J23&lt;&gt;"",$J23*(LOOKUP(1E+307,$A:$A)-$A$2),"")</f>
        <v>1538.01836363636</v>
      </c>
      <c r="N23" s="17" t="n">
        <f aca="false">IF($M23&lt;&gt;"",IF($M23&gt;1000,(($M23*$S$7)+($A23*$S$8))*(1+$R$9)-100,($M23*$S$7)+($A23*$R$9)*(1+$R$9)),"")</f>
        <v>143.997335754493</v>
      </c>
      <c r="O23" s="18" t="str">
        <f aca="false">IF(I23&gt;=1000,"",(1000-I23))</f>
        <v/>
      </c>
      <c r="Q23" s="29"/>
    </row>
    <row r="24" customFormat="false" ht="15" hidden="false" customHeight="false" outlineLevel="0" collapsed="false">
      <c r="A24" s="11" t="n">
        <v>23</v>
      </c>
      <c r="B24" s="11" t="str">
        <f aca="false">TEXT($D24,"ddd")</f>
        <v>Wed</v>
      </c>
      <c r="C24" s="11" t="n">
        <f aca="false">$A$30-$A24</f>
        <v>6</v>
      </c>
      <c r="D24" s="51" t="n">
        <v>45147</v>
      </c>
      <c r="E24" s="51" t="n">
        <v>45148.2560185185</v>
      </c>
      <c r="F24" s="2" t="n">
        <v>89302.634</v>
      </c>
      <c r="G24" s="2" t="n">
        <v>89360.83</v>
      </c>
      <c r="H24" s="3" t="n">
        <v>58.195</v>
      </c>
      <c r="I24" s="13" t="n">
        <f aca="false">IF($H24&gt;0,($I23+$H24),"")</f>
        <v>1266.638</v>
      </c>
      <c r="J24" s="14" t="n">
        <f aca="false">IF($H24&gt;0,$I24/$A24,"")</f>
        <v>55.0712173913044</v>
      </c>
      <c r="K24" s="15" t="n">
        <f aca="false">IF($H24&lt;&gt;"",(($H24*$S$7)+($A24*$S$8))*(1+$S$9),"")</f>
        <v>12.4508001295161</v>
      </c>
      <c r="L24" s="16" t="n">
        <f aca="false">IF($K24&lt;&gt;"",($K24+$L23),"")</f>
        <v>236.55492838471</v>
      </c>
      <c r="M24" s="17" t="n">
        <f aca="false">IF($J24&lt;&gt;"",$J24*(LOOKUP(1E+307,$A:$A)-$A$2),"")</f>
        <v>1541.99408695652</v>
      </c>
      <c r="N24" s="17" t="n">
        <f aca="false">IF($M24&lt;&gt;"",IF($M24&gt;1000,(($M24*$S$7)+($A24*$S$8))*(1+$R$9)-100,($M24*$S$7)+($A24*$R$9)*(1+$R$9)),"")</f>
        <v>144.775572255979</v>
      </c>
      <c r="O24" s="18" t="str">
        <f aca="false">IF(I24&gt;=1000,"",(1000-I24))</f>
        <v/>
      </c>
    </row>
    <row r="25" customFormat="false" ht="15" hidden="false" customHeight="false" outlineLevel="0" collapsed="false">
      <c r="A25" s="11" t="n">
        <v>24</v>
      </c>
      <c r="B25" s="11" t="str">
        <f aca="false">TEXT($D25,"ddd")</f>
        <v>Thu</v>
      </c>
      <c r="C25" s="11" t="n">
        <f aca="false">$A$30-$A25</f>
        <v>5</v>
      </c>
      <c r="D25" s="51" t="n">
        <v>45148</v>
      </c>
      <c r="E25" s="51" t="n">
        <v>45149.2595717593</v>
      </c>
      <c r="F25" s="2" t="n">
        <v>89360.83</v>
      </c>
      <c r="G25" s="2" t="n">
        <v>89418.449</v>
      </c>
      <c r="H25" s="3" t="n">
        <v>57.614</v>
      </c>
      <c r="I25" s="13" t="n">
        <f aca="false">IF($H25&gt;0,($I24+$H25),"")</f>
        <v>1324.252</v>
      </c>
      <c r="J25" s="14" t="n">
        <f aca="false">IF($H25&gt;0,$I25/$A25,"")</f>
        <v>55.1771666666667</v>
      </c>
      <c r="K25" s="15" t="n">
        <f aca="false">IF($H25&lt;&gt;"",(($H25*$S$7)+($A25*$S$8))*(1+$S$9),"")</f>
        <v>12.5150514412258</v>
      </c>
      <c r="L25" s="16" t="n">
        <f aca="false">IF($K25&lt;&gt;"",($K25+$L24),"")</f>
        <v>249.069979825936</v>
      </c>
      <c r="M25" s="17" t="n">
        <f aca="false">IF($J25&lt;&gt;"",$J25*(LOOKUP(1E+307,$A:$A)-$A$2),"")</f>
        <v>1544.96066666667</v>
      </c>
      <c r="N25" s="17" t="n">
        <f aca="false">IF($M25&lt;&gt;"",IF($M25&gt;1000,(($M25*$S$7)+($A25*$S$8))*(1+$R$9)-100,($M25*$S$7)+($A25*$R$9)*(1+$R$9)),"")</f>
        <v>145.39597192812</v>
      </c>
      <c r="O25" s="18" t="str">
        <f aca="false">IF(I25&gt;=1000,"",(1000-I25))</f>
        <v/>
      </c>
    </row>
    <row r="26" customFormat="false" ht="15" hidden="false" customHeight="false" outlineLevel="0" collapsed="false">
      <c r="A26" s="11" t="n">
        <v>25</v>
      </c>
      <c r="B26" s="11" t="str">
        <f aca="false">TEXT($D26,"ddd")</f>
        <v>Fri</v>
      </c>
      <c r="C26" s="11" t="n">
        <f aca="false">$A$30-$A26</f>
        <v>4</v>
      </c>
      <c r="D26" s="51" t="n">
        <v>45149</v>
      </c>
      <c r="E26" s="51" t="n">
        <v>45150.256400463</v>
      </c>
      <c r="F26" s="2" t="n">
        <v>89418.449</v>
      </c>
      <c r="G26" s="2" t="n">
        <v>89472.36</v>
      </c>
      <c r="H26" s="3" t="n">
        <v>53.911</v>
      </c>
      <c r="I26" s="13" t="n">
        <f aca="false">IF($H26&gt;0,($I25+$H26),"")</f>
        <v>1378.163</v>
      </c>
      <c r="J26" s="14" t="n">
        <f aca="false">IF($H26&gt;0,$I26/$A26,"")</f>
        <v>55.12652</v>
      </c>
      <c r="K26" s="15" t="n">
        <f aca="false">IF($H26&lt;&gt;"",(($H26*$S$7)+($A26*$S$8))*(1+$S$9),"")</f>
        <v>12.1005614757097</v>
      </c>
      <c r="L26" s="16" t="n">
        <f aca="false">IF($K26&lt;&gt;"",($K26+$L25),"")</f>
        <v>261.170541301645</v>
      </c>
      <c r="M26" s="17" t="n">
        <f aca="false">IF($J26&lt;&gt;"",$J26*(LOOKUP(1E+307,$A:$A)-$A$2),"")</f>
        <v>1543.54256</v>
      </c>
      <c r="N26" s="17" t="n">
        <f aca="false">IF($M26&lt;&gt;"",IF($M26&gt;1000,(($M26*$S$7)+($A26*$S$8))*(1+$R$9)-100,($M26*$S$7)+($A26*$R$9)*(1+$R$9)),"")</f>
        <v>145.33057724104</v>
      </c>
      <c r="O26" s="18" t="str">
        <f aca="false">IF(I26&gt;=1000,"",(1000-I26))</f>
        <v/>
      </c>
    </row>
    <row r="27" customFormat="false" ht="15" hidden="false" customHeight="false" outlineLevel="0" collapsed="false">
      <c r="A27" s="11" t="n">
        <v>26</v>
      </c>
      <c r="B27" s="11" t="str">
        <f aca="false">TEXT($D27,"ddd")</f>
        <v>Sat</v>
      </c>
      <c r="C27" s="11" t="n">
        <f aca="false">$A$30-$A27</f>
        <v>3</v>
      </c>
      <c r="D27" s="51" t="n">
        <v>45150</v>
      </c>
      <c r="E27" s="51" t="n">
        <v>45151.2763541667</v>
      </c>
      <c r="F27" s="2" t="n">
        <v>89472.36</v>
      </c>
      <c r="G27" s="2" t="n">
        <v>89534.752</v>
      </c>
      <c r="H27" s="3" t="n">
        <v>62.386</v>
      </c>
      <c r="I27" s="13" t="n">
        <f aca="false">IF($H27&gt;0,($I26+$H27),"")</f>
        <v>1440.549</v>
      </c>
      <c r="J27" s="14" t="n">
        <f aca="false">IF($H27&gt;0,$I27/$A27,"")</f>
        <v>55.4057307692308</v>
      </c>
      <c r="K27" s="15" t="n">
        <f aca="false">IF($H27&lt;&gt;"",(($H27*$S$7)+($A27*$S$8))*(1+$S$9),"")</f>
        <v>13.5534998490968</v>
      </c>
      <c r="L27" s="16" t="n">
        <f aca="false">IF($K27&lt;&gt;"",($K27+$L26),"")</f>
        <v>274.724041150742</v>
      </c>
      <c r="M27" s="17" t="n">
        <f aca="false">IF($J27&lt;&gt;"",$J27*(LOOKUP(1E+307,$A:$A)-$A$2),"")</f>
        <v>1551.36046153846</v>
      </c>
      <c r="N27" s="17" t="n">
        <f aca="false">IF($M27&lt;&gt;"",IF($M27&gt;1000,(($M27*$S$7)+($A27*$S$8))*(1+$R$9)-100,($M27*$S$7)+($A27*$R$9)*(1+$R$9)),"")</f>
        <v>146.709756186931</v>
      </c>
      <c r="O27" s="18" t="str">
        <f aca="false">IF(I27&gt;=1000,"",(1000-I27))</f>
        <v/>
      </c>
    </row>
    <row r="28" customFormat="false" ht="15" hidden="false" customHeight="false" outlineLevel="0" collapsed="false">
      <c r="A28" s="11" t="n">
        <v>27</v>
      </c>
      <c r="B28" s="11" t="str">
        <f aca="false">TEXT($D28,"ddd")</f>
        <v>Sun</v>
      </c>
      <c r="C28" s="11" t="n">
        <f aca="false">$A$30-$A28</f>
        <v>2</v>
      </c>
      <c r="D28" s="51" t="n">
        <v>45151</v>
      </c>
      <c r="E28" s="51" t="n">
        <v>45152.2588194445</v>
      </c>
      <c r="F28" s="2" t="n">
        <v>89534.752</v>
      </c>
      <c r="G28" s="2" t="n">
        <v>89590.249</v>
      </c>
      <c r="H28" s="3" t="n">
        <v>55.499</v>
      </c>
      <c r="I28" s="13" t="n">
        <f aca="false">IF($H28&gt;0,($I27+$H28),"")</f>
        <v>1496.048</v>
      </c>
      <c r="J28" s="14" t="n">
        <f aca="false">IF($H28&gt;0,$I28/$A28,"")</f>
        <v>55.4091851851852</v>
      </c>
      <c r="K28" s="15" t="n">
        <f aca="false">IF($H28&lt;&gt;"",(($H28*$S$7)+($A28*$S$8))*(1+$S$9),"")</f>
        <v>12.6507612523548</v>
      </c>
      <c r="L28" s="16" t="n">
        <f aca="false">IF($K28&lt;&gt;"",($K28+$L27),"")</f>
        <v>287.374802403097</v>
      </c>
      <c r="M28" s="17" t="n">
        <f aca="false">IF($J28&lt;&gt;"",$J28*(LOOKUP(1E+307,$A:$A)-$A$2),"")</f>
        <v>1551.45718518519</v>
      </c>
      <c r="N28" s="17" t="n">
        <f aca="false">IF($M28&lt;&gt;"",IF($M28&gt;1000,(($M28*$S$7)+($A28*$S$8))*(1+$R$9)-100,($M28*$S$7)+($A28*$R$9)*(1+$R$9)),"")</f>
        <v>146.881291121453</v>
      </c>
      <c r="O28" s="18" t="str">
        <f aca="false">IF(I28&gt;=1000,"",(1000-I28))</f>
        <v/>
      </c>
      <c r="Q28" s="29"/>
    </row>
    <row r="29" customFormat="false" ht="15" hidden="false" customHeight="false" outlineLevel="0" collapsed="false">
      <c r="A29" s="11" t="n">
        <v>28</v>
      </c>
      <c r="B29" s="11" t="str">
        <f aca="false">TEXT($D29,"ddd")</f>
        <v>Mon</v>
      </c>
      <c r="C29" s="11" t="n">
        <f aca="false">$A$30-$A29</f>
        <v>1</v>
      </c>
      <c r="D29" s="51" t="n">
        <v>45152</v>
      </c>
      <c r="E29" s="51" t="n">
        <v>45153.2594097222</v>
      </c>
      <c r="F29" s="2" t="n">
        <v>89590.249</v>
      </c>
      <c r="G29" s="2" t="n">
        <v>89644.087</v>
      </c>
      <c r="H29" s="3" t="n">
        <v>53.836</v>
      </c>
      <c r="I29" s="13" t="n">
        <f aca="false">IF($H29&gt;0,($I28+$H29),"")</f>
        <v>1549.884</v>
      </c>
      <c r="J29" s="14" t="n">
        <f aca="false">IF($H29&gt;0,$I29/$A29,"")</f>
        <v>55.353</v>
      </c>
      <c r="K29" s="15" t="n">
        <f aca="false">IF($H29&lt;&gt;"",(($H29*$S$7)+($A29*$S$8))*(1+$S$9),"")</f>
        <v>12.5490939023226</v>
      </c>
      <c r="L29" s="16" t="n">
        <f aca="false">IF($K29&lt;&gt;"",($K29+$L28),"")</f>
        <v>299.923896305419</v>
      </c>
      <c r="M29" s="17" t="n">
        <f aca="false">IF($J29&lt;&gt;"",$J29*(LOOKUP(1E+307,$A:$A)-$A$2),"")</f>
        <v>1549.884</v>
      </c>
      <c r="N29" s="17" t="n">
        <f aca="false">IF($M29&lt;&gt;"",IF($M29&gt;1000,(($M29*$S$7)+($A29*$S$8))*(1+$R$9)-100,($M29*$S$7)+($A29*$R$9)*(1+$R$9)),"")</f>
        <v>146.791641113903</v>
      </c>
      <c r="O29" s="18" t="str">
        <f aca="false">IF(I29&gt;=1000,"",(1000-I29))</f>
        <v/>
      </c>
    </row>
    <row r="30" customFormat="false" ht="15" hidden="false" customHeight="false" outlineLevel="0" collapsed="false">
      <c r="A30" s="11" t="n">
        <v>29</v>
      </c>
      <c r="B30" s="11" t="str">
        <f aca="false">TEXT($D30,"ddd")</f>
        <v>Tue</v>
      </c>
      <c r="C30" s="11" t="n">
        <f aca="false">$A$30-$A30</f>
        <v>0</v>
      </c>
      <c r="D30" s="51" t="n">
        <v>45153</v>
      </c>
      <c r="E30" s="51" t="n">
        <v>45154.257962963</v>
      </c>
      <c r="F30" s="2" t="n">
        <v>89644.087</v>
      </c>
      <c r="G30" s="2" t="n">
        <v>89690.966</v>
      </c>
      <c r="H30" s="3" t="n">
        <v>46.877</v>
      </c>
      <c r="I30" s="13" t="n">
        <f aca="false">IF($H30&gt;0,($I29+$H30),"")</f>
        <v>1596.761</v>
      </c>
      <c r="J30" s="14" t="n">
        <f aca="false">IF($H30&gt;0,$I30/$A30,"")</f>
        <v>55.060724137931</v>
      </c>
      <c r="K30" s="15" t="n">
        <f aca="false">IF($H30&lt;&gt;"",(($H30*$S$7)+($A30*$S$8))*(1+$S$9),"")</f>
        <v>11.6353145073871</v>
      </c>
      <c r="L30" s="16" t="n">
        <f aca="false">IF($K30&lt;&gt;"",($K30+$L29),"")</f>
        <v>311.559210812807</v>
      </c>
      <c r="M30" s="17" t="n">
        <f aca="false">IF($J30&lt;&gt;"",$J30*(LOOKUP(1E+307,$A:$A)-$A$2),"")</f>
        <v>1541.70027586207</v>
      </c>
      <c r="N30" s="17" t="n">
        <f aca="false">IF($M30&lt;&gt;"",IF($M30&gt;1000,(($M30*$S$7)+($A30*$S$8))*(1+$R$9)-100,($M30*$S$7)+($A30*$R$9)*(1+$R$9)),"")</f>
        <v>145.668058474552</v>
      </c>
      <c r="O30" s="18" t="str">
        <f aca="false">IF(I30&gt;=1000,"",(1000-I30))</f>
        <v/>
      </c>
    </row>
    <row r="31" customFormat="false" ht="15" hidden="false" customHeight="false" outlineLevel="0" collapsed="false">
      <c r="A31" s="11"/>
      <c r="B31" s="11"/>
      <c r="C31" s="11"/>
      <c r="H31" s="3"/>
      <c r="I31" s="13"/>
      <c r="J31" s="14"/>
      <c r="K31" s="15"/>
      <c r="L31" s="16"/>
      <c r="M31" s="17"/>
      <c r="N31" s="17"/>
      <c r="O31" s="18"/>
    </row>
    <row r="32" customFormat="false" ht="15" hidden="false" customHeight="false" outlineLevel="0" collapsed="false">
      <c r="A32" s="11"/>
      <c r="B32" s="11"/>
      <c r="C32" s="11"/>
      <c r="H32" s="3"/>
      <c r="I32" s="13"/>
      <c r="J32" s="14"/>
      <c r="K32" s="15"/>
      <c r="L32" s="16"/>
      <c r="M32" s="17"/>
      <c r="N32" s="17"/>
      <c r="O32" s="18"/>
    </row>
    <row r="33" customFormat="false" ht="15" hidden="false" customHeight="false" outlineLevel="0" collapsed="false">
      <c r="A33" s="11"/>
      <c r="B33" s="11"/>
      <c r="C33" s="11"/>
      <c r="D33" s="1"/>
      <c r="E33" s="1"/>
      <c r="H33" s="3"/>
      <c r="I33" s="13" t="str">
        <f aca="false">IF($H33&gt;0,($I32+$H33),"")</f>
        <v/>
      </c>
      <c r="J33" s="14" t="str">
        <f aca="false">IF($H33&gt;0,$I33/$A33,"")</f>
        <v/>
      </c>
      <c r="K33" s="15" t="str">
        <f aca="false">IF($H33&lt;&gt;"",(($H33*$S$7)+($A33*$S$8))*(1+$S$9),"")</f>
        <v/>
      </c>
      <c r="L33" s="16" t="n">
        <v>219.27</v>
      </c>
      <c r="M33" s="17" t="str">
        <f aca="false">IF($J33&lt;&gt;"",$J33*(LOOKUP(1E+307,$A:$A)-$A$2),"")</f>
        <v/>
      </c>
      <c r="N33" s="17"/>
      <c r="O33" s="18"/>
    </row>
    <row r="34" customFormat="false" ht="15" hidden="false" customHeight="false" outlineLevel="0" collapsed="false">
      <c r="A34" s="11"/>
      <c r="B34" s="11"/>
      <c r="C34" s="11"/>
      <c r="I34" s="66"/>
      <c r="J34" s="45"/>
      <c r="K34" s="27"/>
      <c r="L34" s="66"/>
      <c r="M34" s="66"/>
      <c r="N34" s="45"/>
      <c r="O34" s="66"/>
      <c r="P34" s="45"/>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1596.761</v>
      </c>
    </row>
  </sheetData>
  <conditionalFormatting sqref="A1:I1 K1:O1">
    <cfRule type="expression" priority="2" aboveAverage="0" equalAverage="0" bottom="0" percent="0" rank="0" text="" dxfId="20">
      <formula>" =CELL(“Protect”,A1)=1"</formula>
    </cfRule>
    <cfRule type="expression" priority="3" aboveAverage="0" equalAverage="0" bottom="0" percent="0" rank="0" text="" dxfId="1">
      <formula>" =CELL(“Protect”,A1)=1"</formula>
    </cfRule>
  </conditionalFormatting>
  <conditionalFormatting sqref="Q2:Q19">
    <cfRule type="expression" priority="4" aboveAverage="0" equalAverage="0" bottom="0" percent="0" rank="0" text="" dxfId="21">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9"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1" width="9.71"/>
    <col collapsed="false" customWidth="true" hidden="false" outlineLevel="0" max="7" min="6" style="2" width="10.71"/>
    <col collapsed="false" customWidth="true" hidden="false" outlineLevel="0" max="8" min="8" style="66" width="9.71"/>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S1" s="10"/>
      <c r="T1" s="71"/>
      <c r="U1" s="72"/>
      <c r="V1" s="72"/>
      <c r="W1" s="71"/>
      <c r="X1" s="71"/>
      <c r="Y1" s="71"/>
      <c r="Z1" s="73"/>
      <c r="AA1" s="71"/>
      <c r="AB1" s="71"/>
      <c r="AC1" s="71"/>
    </row>
    <row r="2" customFormat="false" ht="15" hidden="false" customHeight="true" outlineLevel="0" collapsed="false">
      <c r="A2" s="11" t="n">
        <v>1</v>
      </c>
      <c r="B2" s="11" t="str">
        <f aca="false">TEXT(D2,"ddd")</f>
        <v>Fri</v>
      </c>
      <c r="C2" s="11" t="n">
        <f aca="false">$A$31-$A2</f>
        <v>29</v>
      </c>
      <c r="D2" s="51" t="n">
        <v>45093</v>
      </c>
      <c r="E2" s="51" t="n">
        <v>45094.2709143519</v>
      </c>
      <c r="F2" s="2" t="n">
        <v>86412.397</v>
      </c>
      <c r="G2" s="2" t="n">
        <v>86464.472</v>
      </c>
      <c r="H2" s="66" t="n">
        <v>52.075</v>
      </c>
      <c r="I2" s="13" t="n">
        <f aca="false">H2</f>
        <v>52.075</v>
      </c>
      <c r="J2" s="14" t="n">
        <f aca="false">(I2)</f>
        <v>52.075</v>
      </c>
      <c r="K2" s="15" t="n">
        <f aca="false">IF($H2&lt;&gt;"",(($H2*$S$7)+($A2*$S$8))*(1+$S$9),"")</f>
        <v>8.13875505725807</v>
      </c>
      <c r="L2" s="16" t="n">
        <f aca="false">(K2)</f>
        <v>8.13875505725807</v>
      </c>
      <c r="M2" s="17" t="n">
        <f aca="false">IF($J2&lt;&gt;"",$J2*(LOOKUP(1E+307,$A:$A)-$A$2),"")</f>
        <v>1666.4</v>
      </c>
      <c r="N2" s="17" t="n">
        <f aca="false">IF($M2&lt;&gt;"",IF($M2&gt;1000,(($M2*$S$7)+($A2*$S$8))*(1+$R$9)-100,($M2*$S$7)+($A2*$R$9)*(1+$R$9)),"")</f>
        <v>160.792543934358</v>
      </c>
      <c r="O2" s="18" t="n">
        <f aca="false">IF(I2&gt;=1000,"",(1000-I2))</f>
        <v>947.925</v>
      </c>
      <c r="Q2" s="19" t="s">
        <v>18</v>
      </c>
      <c r="R2" s="20" t="s">
        <v>19</v>
      </c>
      <c r="S2" s="21"/>
      <c r="U2" s="74"/>
      <c r="V2" s="74"/>
    </row>
    <row r="3" customFormat="false" ht="15" hidden="false" customHeight="true" outlineLevel="0" collapsed="false">
      <c r="A3" s="11" t="n">
        <v>2</v>
      </c>
      <c r="B3" s="11" t="str">
        <f aca="false">TEXT(D3,"ddd")</f>
        <v>Sat</v>
      </c>
      <c r="C3" s="11" t="n">
        <f aca="false">$A$31-$A3</f>
        <v>28</v>
      </c>
      <c r="D3" s="51" t="n">
        <v>45094</v>
      </c>
      <c r="E3" s="51" t="n">
        <v>45095.2774537037</v>
      </c>
      <c r="F3" s="2" t="n">
        <v>86464.472</v>
      </c>
      <c r="G3" s="2" t="n">
        <v>86511.872</v>
      </c>
      <c r="H3" s="66" t="n">
        <v>47.395</v>
      </c>
      <c r="I3" s="13" t="n">
        <f aca="false">IF($H3&gt;0,($I2+$H3),"")</f>
        <v>99.47</v>
      </c>
      <c r="J3" s="14" t="n">
        <f aca="false">IF(KWH&gt;0,$I3/$A3,"")</f>
        <v>49.735</v>
      </c>
      <c r="K3" s="15" t="n">
        <f aca="false">IF($H3&lt;&gt;"",(($H3*$S$7)+($A3*$S$8))*(1+$S$9),"")</f>
        <v>7.57444759403226</v>
      </c>
      <c r="L3" s="16" t="n">
        <f aca="false">IF($K3&lt;&gt;"",($K3+$L2),"")</f>
        <v>15.7132026512903</v>
      </c>
      <c r="M3" s="17" t="n">
        <f aca="false">IF($J3&lt;&gt;"",$J3*(LOOKUP(1E+307,$A:$A)-$A$2),"")</f>
        <v>1591.52</v>
      </c>
      <c r="N3" s="17" t="n">
        <f aca="false">IF($M3&lt;&gt;"",IF($M3&gt;1000,(($M3*$S$7)+($A3*$S$8))*(1+$R$9)-100,($M3*$S$7)+($A3*$R$9)*(1+$R$9)),"")</f>
        <v>149.237216390955</v>
      </c>
      <c r="O3" s="18" t="n">
        <f aca="false">IF(I3&gt;=1000,"",(1000-I3))</f>
        <v>900.53</v>
      </c>
      <c r="Q3" s="22" t="s">
        <v>22</v>
      </c>
      <c r="R3" s="23" t="n">
        <f aca="false">(F2+1000)</f>
        <v>87412.397</v>
      </c>
      <c r="S3" s="24"/>
      <c r="V3" s="75"/>
      <c r="W3" s="76"/>
      <c r="X3" s="76"/>
      <c r="Y3" s="77"/>
      <c r="AC3" s="78"/>
    </row>
    <row r="4" customFormat="false" ht="15" hidden="false" customHeight="true" outlineLevel="0" collapsed="false">
      <c r="A4" s="11" t="n">
        <v>3</v>
      </c>
      <c r="B4" s="11" t="str">
        <f aca="false">TEXT(D4,"ddd")</f>
        <v>Sun</v>
      </c>
      <c r="C4" s="11" t="n">
        <f aca="false">$A$31-$A4</f>
        <v>27</v>
      </c>
      <c r="D4" s="51" t="n">
        <v>45095</v>
      </c>
      <c r="E4" s="51" t="n">
        <v>45096.2565625</v>
      </c>
      <c r="F4" s="2" t="n">
        <v>86511.872</v>
      </c>
      <c r="G4" s="2" t="n">
        <v>86573.664</v>
      </c>
      <c r="H4" s="66" t="n">
        <v>61.79</v>
      </c>
      <c r="I4" s="13" t="n">
        <f aca="false">IF($H4&gt;0,($I3+$H4),"")</f>
        <v>161.26</v>
      </c>
      <c r="J4" s="14" t="n">
        <f aca="false">IF(KWH&gt;0,$I4/$A4,"")</f>
        <v>53.7533333333333</v>
      </c>
      <c r="K4" s="15" t="n">
        <f aca="false">IF($H4&lt;&gt;"",(($H4*$S$7)+($A4*$S$8))*(1+$S$9),"")</f>
        <v>9.93518493</v>
      </c>
      <c r="L4" s="16" t="n">
        <f aca="false">IF($K4&lt;&gt;"",($K4+$L3),"")</f>
        <v>25.6483875812903</v>
      </c>
      <c r="M4" s="17" t="n">
        <f aca="false">IF($J4&lt;&gt;"",$J4*(LOOKUP(1E+307,$A:$A)-$A$2),"")</f>
        <v>1720.10666666667</v>
      </c>
      <c r="N4" s="17" t="n">
        <f aca="false">IF($M4&lt;&gt;"",IF($M4&gt;1000,(($M4*$S$7)+($A4*$S$8))*(1+$R$9)-100,($M4*$S$7)+($A4*$R$9)*(1+$R$9)),"")</f>
        <v>169.505440248442</v>
      </c>
      <c r="O4" s="18" t="n">
        <f aca="false">IF(I4&gt;=1000,"",(1000-I4))</f>
        <v>838.74</v>
      </c>
      <c r="Q4" s="22" t="s">
        <v>25</v>
      </c>
      <c r="R4" s="25"/>
      <c r="S4" s="26" t="n">
        <v>0.001667</v>
      </c>
      <c r="U4" s="79"/>
      <c r="V4" s="80"/>
      <c r="W4" s="81"/>
      <c r="X4" s="81"/>
      <c r="Y4" s="81"/>
      <c r="Z4" s="82"/>
      <c r="AC4" s="78"/>
    </row>
    <row r="5" s="45" customFormat="true" ht="15" hidden="false" customHeight="true" outlineLevel="0" collapsed="false">
      <c r="A5" s="11" t="n">
        <v>4</v>
      </c>
      <c r="B5" s="11" t="str">
        <f aca="false">TEXT(D5,"ddd")</f>
        <v>Mon</v>
      </c>
      <c r="C5" s="11" t="n">
        <f aca="false">$A$31-$A5</f>
        <v>26</v>
      </c>
      <c r="D5" s="51" t="n">
        <v>45096</v>
      </c>
      <c r="E5" s="51" t="n">
        <v>45097.2558333333</v>
      </c>
      <c r="F5" s="2" t="n">
        <v>86573.664</v>
      </c>
      <c r="G5" s="2" t="n">
        <v>86630.478</v>
      </c>
      <c r="H5" s="66" t="n">
        <v>56.816</v>
      </c>
      <c r="I5" s="13" t="n">
        <f aca="false">IF($H5&gt;0,($I4+$H5),"")</f>
        <v>218.076</v>
      </c>
      <c r="J5" s="14" t="n">
        <f aca="false">IF(KWH&gt;0,$I5/$A5,"")</f>
        <v>54.519</v>
      </c>
      <c r="K5" s="15" t="n">
        <f aca="false">IF($H5&lt;&gt;"",(($H5*$S$7)+($A5*$S$8))*(1+$S$9),"")</f>
        <v>9.32579420748387</v>
      </c>
      <c r="L5" s="16" t="n">
        <f aca="false">IF($K5&lt;&gt;"",($K5+$L4),"")</f>
        <v>34.9741817887742</v>
      </c>
      <c r="M5" s="17" t="n">
        <f aca="false">IF($J5&lt;&gt;"",$J5*(LOOKUP(1E+307,$A:$A)-$A$2),"")</f>
        <v>1744.608</v>
      </c>
      <c r="N5" s="17" t="n">
        <f aca="false">IF($M5&lt;&gt;"",IF($M5&gt;1000,(($M5*$S$7)+($A5*$S$8))*(1+$R$9)-100,($M5*$S$7)+($A5*$R$9)*(1+$R$9)),"")</f>
        <v>173.494019829657</v>
      </c>
      <c r="O5" s="18" t="n">
        <f aca="false">IF(I5&gt;=1000,"",(1000-I5))</f>
        <v>781.924</v>
      </c>
      <c r="P5" s="27"/>
      <c r="Q5" s="22" t="s">
        <v>28</v>
      </c>
      <c r="R5" s="25"/>
      <c r="S5" s="26" t="n">
        <v>0.042</v>
      </c>
      <c r="T5" s="83"/>
    </row>
    <row r="6" customFormat="false" ht="15" hidden="false" customHeight="true" outlineLevel="0" collapsed="false">
      <c r="A6" s="11" t="n">
        <v>5</v>
      </c>
      <c r="B6" s="11" t="str">
        <f aca="false">TEXT(D6,"ddd")</f>
        <v>Tue</v>
      </c>
      <c r="C6" s="11" t="n">
        <f aca="false">$A$31-$A6</f>
        <v>25</v>
      </c>
      <c r="D6" s="51" t="n">
        <v>45097</v>
      </c>
      <c r="E6" s="51" t="n">
        <v>45098.2563078704</v>
      </c>
      <c r="F6" s="2" t="n">
        <v>86630.478</v>
      </c>
      <c r="G6" s="2" t="n">
        <v>86685.695</v>
      </c>
      <c r="H6" s="66" t="n">
        <v>55.214</v>
      </c>
      <c r="I6" s="13" t="n">
        <f aca="false">IF($H6&gt;0,($I5+$H6),"")</f>
        <v>273.29</v>
      </c>
      <c r="J6" s="14" t="n">
        <f aca="false">IF(KWH&gt;0,$I6/$A6,"")</f>
        <v>54.658</v>
      </c>
      <c r="K6" s="15" t="n">
        <f aca="false">IF($H6&lt;&gt;"",(($H6*$S$7)+($A6*$S$8))*(1+$S$9),"")</f>
        <v>9.23348086703226</v>
      </c>
      <c r="L6" s="16" t="n">
        <f aca="false">IF($K6&lt;&gt;"",($K6+$L5),"")</f>
        <v>44.2076626558065</v>
      </c>
      <c r="M6" s="17" t="n">
        <f aca="false">IF($J6&lt;&gt;"",$J6*(LOOKUP(1E+307,$A:$A)-$A$2),"")</f>
        <v>1749.056</v>
      </c>
      <c r="N6" s="17" t="n">
        <f aca="false">IF($M6&lt;&gt;"",IF($M6&gt;1000,(($M6*$S$7)+($A6*$S$8))*(1+$R$9)-100,($M6*$S$7)+($A6*$R$9)*(1+$R$9)),"")</f>
        <v>174.346123571623</v>
      </c>
      <c r="O6" s="18" t="n">
        <f aca="false">IF(I6&gt;=1000,"",(1000-I6))</f>
        <v>726.71</v>
      </c>
      <c r="Q6" s="22" t="s">
        <v>31</v>
      </c>
      <c r="R6" s="23" t="n">
        <v>3.4</v>
      </c>
      <c r="S6" s="26" t="n">
        <f aca="false">($R$6/DAYS)</f>
        <v>0.109677419354839</v>
      </c>
      <c r="T6" s="83"/>
    </row>
    <row r="7" customFormat="false" ht="15" hidden="false" customHeight="true" outlineLevel="0" collapsed="false">
      <c r="A7" s="11" t="n">
        <v>6</v>
      </c>
      <c r="B7" s="11" t="str">
        <f aca="false">TEXT(D7,"ddd")</f>
        <v>Wed</v>
      </c>
      <c r="C7" s="11" t="n">
        <f aca="false">$A$31-$A7</f>
        <v>24</v>
      </c>
      <c r="D7" s="51" t="n">
        <v>45098</v>
      </c>
      <c r="E7" s="51" t="n">
        <v>45099.3067592593</v>
      </c>
      <c r="F7" s="2" t="n">
        <v>86685.695</v>
      </c>
      <c r="G7" s="2" t="n">
        <v>86742.055</v>
      </c>
      <c r="H7" s="66" t="n">
        <v>56.36</v>
      </c>
      <c r="I7" s="13" t="n">
        <f aca="false">IF($H7&gt;0,($I6+$H7),"")</f>
        <v>329.65</v>
      </c>
      <c r="J7" s="14" t="n">
        <f aca="false">IF(KWH&gt;0,$I7/$A7,"")</f>
        <v>54.9416666666667</v>
      </c>
      <c r="K7" s="15" t="n">
        <f aca="false">IF($H7&lt;&gt;"",(($H7*$S$7)+($A7*$S$8))*(1+$S$9),"")</f>
        <v>9.56255799096774</v>
      </c>
      <c r="L7" s="16" t="n">
        <f aca="false">IF($K7&lt;&gt;"",($K7+$L6),"")</f>
        <v>53.7702206467742</v>
      </c>
      <c r="M7" s="17" t="n">
        <f aca="false">IF($J7&lt;&gt;"",$J7*(LOOKUP(1E+307,$A:$A)-$A$2),"")</f>
        <v>1758.13333333333</v>
      </c>
      <c r="N7" s="17" t="n">
        <f aca="false">IF($M7&lt;&gt;"",IF($M7&gt;1000,(($M7*$S$7)+($A7*$S$8))*(1+$R$9)-100,($M7*$S$7)+($A7*$R$9)*(1+$R$9)),"")</f>
        <v>175.922286097757</v>
      </c>
      <c r="O7" s="18" t="n">
        <f aca="false">IF(I7&gt;=1000,"",(1000-I7))</f>
        <v>670.35</v>
      </c>
      <c r="Q7" s="22" t="s">
        <v>34</v>
      </c>
      <c r="R7" s="25"/>
      <c r="S7" s="28" t="n">
        <f aca="false">SUM(S4:S6)</f>
        <v>0.153344419354839</v>
      </c>
      <c r="T7" s="83"/>
    </row>
    <row r="8" customFormat="false" ht="15" hidden="false" customHeight="false" outlineLevel="0" collapsed="false">
      <c r="A8" s="11" t="n">
        <v>7</v>
      </c>
      <c r="B8" s="11" t="str">
        <f aca="false">TEXT(D8,"ddd")</f>
        <v>Thu</v>
      </c>
      <c r="C8" s="11" t="n">
        <f aca="false">$A$31-$A8</f>
        <v>23</v>
      </c>
      <c r="D8" s="51" t="n">
        <v>45099</v>
      </c>
      <c r="E8" s="51" t="n">
        <v>45100.2563541667</v>
      </c>
      <c r="F8" s="2" t="n">
        <v>86742.055</v>
      </c>
      <c r="G8" s="2" t="n">
        <v>86787.557</v>
      </c>
      <c r="H8" s="66" t="n">
        <v>45.502</v>
      </c>
      <c r="I8" s="13" t="n">
        <f aca="false">IF($H8&gt;0,($I7+$H8),"")</f>
        <v>375.152</v>
      </c>
      <c r="J8" s="14" t="n">
        <f aca="false">IF(KWH&gt;0,$I8/$A8,"")</f>
        <v>53.5931428571429</v>
      </c>
      <c r="K8" s="15" t="n">
        <f aca="false">IF($H8&lt;&gt;"",(($H8*$S$7)+($A8*$S$8))*(1+$S$9),"")</f>
        <v>8.05088870496774</v>
      </c>
      <c r="L8" s="16" t="n">
        <f aca="false">IF($K8&lt;&gt;"",($K8+$L7),"")</f>
        <v>61.821109351742</v>
      </c>
      <c r="M8" s="17" t="n">
        <f aca="false">IF($J8&lt;&gt;"",$J8*(LOOKUP(1E+307,$A:$A)-$A$2),"")</f>
        <v>1714.98057142857</v>
      </c>
      <c r="N8" s="17" t="n">
        <f aca="false">IF($M8&lt;&gt;"",IF($M8&gt;1000,(($M8*$S$7)+($A8*$S$8))*(1+$R$9)-100,($M8*$S$7)+($A8*$R$9)*(1+$R$9)),"")</f>
        <v>169.329311400022</v>
      </c>
      <c r="O8" s="18" t="n">
        <f aca="false">IF(I8&gt;=1000,"",(1000-I8))</f>
        <v>624.848</v>
      </c>
      <c r="Q8" s="22" t="s">
        <v>38</v>
      </c>
      <c r="R8" s="25"/>
      <c r="S8" s="67" t="n">
        <f aca="false">SUM(S4:S6)</f>
        <v>0.153344419354839</v>
      </c>
      <c r="T8" s="83"/>
    </row>
    <row r="9" customFormat="false" ht="15" hidden="false" customHeight="false" outlineLevel="0" collapsed="false">
      <c r="A9" s="11" t="n">
        <v>8</v>
      </c>
      <c r="B9" s="11" t="str">
        <f aca="false">TEXT(D9,"ddd")</f>
        <v>Fri</v>
      </c>
      <c r="C9" s="11" t="n">
        <f aca="false">$A$31-$A9</f>
        <v>22</v>
      </c>
      <c r="D9" s="51" t="n">
        <v>45100</v>
      </c>
      <c r="E9" s="51" t="n">
        <v>45101.2866435185</v>
      </c>
      <c r="F9" s="2" t="n">
        <v>86787.557</v>
      </c>
      <c r="G9" s="2" t="n">
        <v>86837.696</v>
      </c>
      <c r="H9" s="66" t="n">
        <v>50.136</v>
      </c>
      <c r="I9" s="13" t="n">
        <f aca="false">IF($H9&gt;0,($I8+$H9),"")</f>
        <v>425.288</v>
      </c>
      <c r="J9" s="14" t="n">
        <f aca="false">IF(KWH&gt;0,$I9/$A9,"")</f>
        <v>53.161</v>
      </c>
      <c r="K9" s="15" t="n">
        <f aca="false">IF($H9&lt;&gt;"",(($H9*$S$7)+($A9*$S$8))*(1+$S$9),"")</f>
        <v>8.9148311636129</v>
      </c>
      <c r="L9" s="16" t="n">
        <f aca="false">IF($K9&lt;&gt;"",($K9+$L8),"")</f>
        <v>70.7359405153549</v>
      </c>
      <c r="M9" s="17" t="n">
        <f aca="false">IF($J9&lt;&gt;"",$J9*(LOOKUP(1E+307,$A:$A)-$A$2),"")</f>
        <v>1701.152</v>
      </c>
      <c r="N9" s="17" t="n">
        <f aca="false">IF($M9&lt;&gt;"",IF($M9&gt;1000,(($M9*$S$7)+($A9*$S$8))*(1+$R$9)-100,($M9*$S$7)+($A9*$R$9)*(1+$R$9)),"")</f>
        <v>167.322836782114</v>
      </c>
      <c r="O9" s="18" t="n">
        <f aca="false">IF(I9&gt;=1000,"",(1000-I9))</f>
        <v>574.712</v>
      </c>
      <c r="Q9" s="22" t="s">
        <v>42</v>
      </c>
      <c r="R9" s="30" t="n">
        <v>0.01997</v>
      </c>
      <c r="S9" s="32"/>
      <c r="T9" s="83"/>
    </row>
    <row r="10" customFormat="false" ht="15" hidden="false" customHeight="false" outlineLevel="0" collapsed="false">
      <c r="A10" s="11" t="n">
        <v>9</v>
      </c>
      <c r="B10" s="11" t="str">
        <f aca="false">TEXT(D10,"ddd")</f>
        <v>Sat</v>
      </c>
      <c r="C10" s="11" t="n">
        <f aca="false">$A$31-$A10</f>
        <v>21</v>
      </c>
      <c r="D10" s="51" t="n">
        <v>45101</v>
      </c>
      <c r="E10" s="51" t="n">
        <v>45102.2746180556</v>
      </c>
      <c r="F10" s="2" t="n">
        <v>86837.696</v>
      </c>
      <c r="G10" s="2" t="n">
        <v>86886.385</v>
      </c>
      <c r="H10" s="66" t="n">
        <v>48.69</v>
      </c>
      <c r="I10" s="13" t="n">
        <f aca="false">IF($H10&gt;0,($I9+$H10),"")</f>
        <v>473.978</v>
      </c>
      <c r="J10" s="14" t="n">
        <f aca="false">IF(KWH&gt;0,$I10/$A10,"")</f>
        <v>52.6642222222222</v>
      </c>
      <c r="K10" s="15" t="n">
        <f aca="false">IF($H10&lt;&gt;"",(($H10*$S$7)+($A10*$S$8))*(1+$S$9),"")</f>
        <v>8.84643955258065</v>
      </c>
      <c r="L10" s="16" t="n">
        <f aca="false">IF($K10&lt;&gt;"",($K10+$L9),"")</f>
        <v>79.5823800679355</v>
      </c>
      <c r="M10" s="17" t="n">
        <f aca="false">IF($J10&lt;&gt;"",$J10*(LOOKUP(1E+307,$A:$A)-$A$2),"")</f>
        <v>1685.25511111111</v>
      </c>
      <c r="N10" s="17" t="n">
        <f aca="false">IF($M10&lt;&gt;"",IF($M10&gt;1000,(($M10*$S$7)+($A10*$S$8))*(1+$R$9)-100,($M10*$S$7)+($A10*$R$9)*(1+$R$9)),"")</f>
        <v>164.99286344036</v>
      </c>
      <c r="O10" s="18" t="n">
        <f aca="false">IF(I10&gt;=1000,"",(1000-I10))</f>
        <v>526.022</v>
      </c>
      <c r="Q10" s="22" t="s">
        <v>46</v>
      </c>
      <c r="R10" s="33" t="n">
        <v>100</v>
      </c>
      <c r="S10" s="30" t="n">
        <v>1000</v>
      </c>
      <c r="T10" s="83"/>
    </row>
    <row r="11" customFormat="false" ht="15" hidden="false" customHeight="false" outlineLevel="0" collapsed="false">
      <c r="A11" s="11" t="n">
        <v>10</v>
      </c>
      <c r="B11" s="11" t="str">
        <f aca="false">TEXT(D11,"ddd")</f>
        <v>Sun</v>
      </c>
      <c r="C11" s="11" t="n">
        <f aca="false">$A$31-$A11</f>
        <v>20</v>
      </c>
      <c r="D11" s="51" t="n">
        <v>45102</v>
      </c>
      <c r="E11" s="51" t="n">
        <v>45103.2554976852</v>
      </c>
      <c r="F11" s="2" t="n">
        <v>86886.385</v>
      </c>
      <c r="G11" s="2" t="n">
        <v>86938.468</v>
      </c>
      <c r="H11" s="66" t="n">
        <v>52.081</v>
      </c>
      <c r="I11" s="13" t="n">
        <f aca="false">IF($H11&gt;0,($I10+$H11),"")</f>
        <v>526.059</v>
      </c>
      <c r="J11" s="14" t="n">
        <f aca="false">IF(KWH&gt;0,$I11/$A11,"")</f>
        <v>52.6059</v>
      </c>
      <c r="K11" s="15" t="n">
        <f aca="false">IF($H11&lt;&gt;"",(($H11*$S$7)+($A11*$S$8))*(1+$S$9),"")</f>
        <v>9.51977489796774</v>
      </c>
      <c r="L11" s="16" t="n">
        <f aca="false">IF($K11&lt;&gt;"",($K11+$L10),"")</f>
        <v>89.1021549659033</v>
      </c>
      <c r="M11" s="17" t="n">
        <f aca="false">IF($J11&lt;&gt;"",$J11*(LOOKUP(1E+307,$A:$A)-$A$2),"")</f>
        <v>1683.3888</v>
      </c>
      <c r="N11" s="17" t="n">
        <f aca="false">IF($M11&lt;&gt;"",IF($M11&gt;1000,(($M11*$S$7)+($A11*$S$8))*(1+$R$9)-100,($M11*$S$7)+($A11*$R$9)*(1+$R$9)),"")</f>
        <v>164.857366571879</v>
      </c>
      <c r="O11" s="18" t="n">
        <f aca="false">IF(I11&gt;=1000,"",(1000-I11))</f>
        <v>473.941</v>
      </c>
      <c r="Q11" s="22" t="s">
        <v>49</v>
      </c>
      <c r="R11" s="33" t="n">
        <v>295</v>
      </c>
      <c r="S11" s="32"/>
      <c r="T11" s="83"/>
    </row>
    <row r="12" customFormat="false" ht="15" hidden="false" customHeight="false" outlineLevel="0" collapsed="false">
      <c r="A12" s="11" t="n">
        <v>11</v>
      </c>
      <c r="B12" s="11" t="str">
        <f aca="false">TEXT(D12,"ddd")</f>
        <v>Mon</v>
      </c>
      <c r="C12" s="11" t="n">
        <f aca="false">$A$31-$A12</f>
        <v>19</v>
      </c>
      <c r="D12" s="51" t="n">
        <v>45103</v>
      </c>
      <c r="E12" s="51" t="n">
        <v>45104.2554398148</v>
      </c>
      <c r="F12" s="2" t="n">
        <v>86938.468</v>
      </c>
      <c r="G12" s="2" t="n">
        <v>86991.857</v>
      </c>
      <c r="H12" s="66" t="n">
        <v>53.384</v>
      </c>
      <c r="I12" s="13" t="n">
        <f aca="false">IF($H12&gt;0,($I11+$H12),"")</f>
        <v>579.443</v>
      </c>
      <c r="J12" s="14" t="n">
        <f aca="false">IF(KWH&gt;0,$I12/$A12,"")</f>
        <v>52.6766363636364</v>
      </c>
      <c r="K12" s="15" t="n">
        <f aca="false">IF($H12&lt;&gt;"",(($H12*$S$7)+($A12*$S$8))*(1+$S$9),"")</f>
        <v>9.87292709574194</v>
      </c>
      <c r="L12" s="16" t="n">
        <f aca="false">IF($K12&lt;&gt;"",($K12+$L11),"")</f>
        <v>98.9750820616452</v>
      </c>
      <c r="M12" s="17" t="n">
        <f aca="false">IF($J12&lt;&gt;"",$J12*(LOOKUP(1E+307,$A:$A)-$A$2),"")</f>
        <v>1685.65236363636</v>
      </c>
      <c r="N12" s="17" t="n">
        <f aca="false">IF($M12&lt;&gt;"",IF($M12&gt;1000,(($M12*$S$7)+($A12*$S$8))*(1+$R$9)-100,($M12*$S$7)+($A12*$R$9)*(1+$R$9)),"")</f>
        <v>165.367809814663</v>
      </c>
      <c r="O12" s="18" t="n">
        <f aca="false">IF(I12&gt;=1000,"",(1000-I12))</f>
        <v>420.557</v>
      </c>
      <c r="Q12" s="22" t="s">
        <v>52</v>
      </c>
      <c r="R12" s="35" t="n">
        <f aca="false">INDEX(L2:L32,COUNT(L2:L32))</f>
        <v>326.189495174613</v>
      </c>
      <c r="S12" s="32"/>
      <c r="T12" s="83"/>
    </row>
    <row r="13" customFormat="false" ht="15" hidden="false" customHeight="false" outlineLevel="0" collapsed="false">
      <c r="A13" s="11" t="n">
        <v>12</v>
      </c>
      <c r="B13" s="11" t="str">
        <f aca="false">TEXT(D13,"ddd")</f>
        <v>Tue</v>
      </c>
      <c r="C13" s="11" t="n">
        <f aca="false">$A$31-$A13</f>
        <v>18</v>
      </c>
      <c r="D13" s="51" t="n">
        <v>45104</v>
      </c>
      <c r="E13" s="51" t="n">
        <v>45105.2577546296</v>
      </c>
      <c r="F13" s="2" t="n">
        <v>86991.857</v>
      </c>
      <c r="G13" s="2" t="n">
        <v>87039.37</v>
      </c>
      <c r="H13" s="66" t="n">
        <v>47.513</v>
      </c>
      <c r="I13" s="13" t="n">
        <f aca="false">IF($H13&gt;0,($I12+$H13),"")</f>
        <v>626.956</v>
      </c>
      <c r="J13" s="14" t="n">
        <f aca="false">IF(KWH&gt;0,$I13/$A13,"")</f>
        <v>52.2463333333333</v>
      </c>
      <c r="K13" s="15" t="n">
        <f aca="false">IF($H13&lt;&gt;"",(($H13*$S$7)+($A13*$S$8))*(1+$S$9),"")</f>
        <v>9.12598642906452</v>
      </c>
      <c r="L13" s="16" t="n">
        <f aca="false">IF($K13&lt;&gt;"",($K13+$L12),"")</f>
        <v>108.10106849071</v>
      </c>
      <c r="M13" s="17" t="n">
        <f aca="false">IF($J13&lt;&gt;"",$J13*(LOOKUP(1E+307,$A:$A)-$A$2),"")</f>
        <v>1671.88266666667</v>
      </c>
      <c r="N13" s="17" t="n">
        <f aca="false">IF($M13&lt;&gt;"",IF($M13&gt;1000,(($M13*$S$7)+($A13*$S$8))*(1+$R$9)-100,($M13*$S$7)+($A13*$R$9)*(1+$R$9)),"")</f>
        <v>163.370543557018</v>
      </c>
      <c r="O13" s="18" t="n">
        <f aca="false">IF(I13&gt;=1000,"",(1000-I13))</f>
        <v>373.044</v>
      </c>
      <c r="Q13" s="22" t="s">
        <v>55</v>
      </c>
      <c r="R13" s="37" t="n">
        <f aca="false">INDEX(I2:I32,COUNT(I2:I32))</f>
        <v>1631.169</v>
      </c>
      <c r="S13" s="32"/>
      <c r="T13" s="83"/>
    </row>
    <row r="14" customFormat="false" ht="15" hidden="false" customHeight="false" outlineLevel="0" collapsed="false">
      <c r="A14" s="11" t="n">
        <v>13</v>
      </c>
      <c r="B14" s="11" t="str">
        <f aca="false">TEXT(D14,"ddd")</f>
        <v>Wed</v>
      </c>
      <c r="C14" s="11" t="n">
        <f aca="false">$A$31-$A14</f>
        <v>17</v>
      </c>
      <c r="D14" s="51" t="n">
        <v>45105</v>
      </c>
      <c r="E14" s="51" t="n">
        <v>45106.2571180556</v>
      </c>
      <c r="F14" s="2" t="n">
        <v>87039.37</v>
      </c>
      <c r="G14" s="2" t="n">
        <v>87090.592</v>
      </c>
      <c r="H14" s="66" t="n">
        <v>51.225</v>
      </c>
      <c r="I14" s="13" t="n">
        <f aca="false">IF($H14&gt;0,($I13+$H14),"")</f>
        <v>678.181</v>
      </c>
      <c r="J14" s="14" t="n">
        <f aca="false">IF(KWH&gt;0,$I14/$A14,"")</f>
        <v>52.1677692307692</v>
      </c>
      <c r="K14" s="15" t="n">
        <f aca="false">IF($H14&lt;&gt;"",(($H14*$S$7)+($A14*$S$8))*(1+$S$9),"")</f>
        <v>9.84854533306452</v>
      </c>
      <c r="L14" s="16" t="n">
        <f aca="false">IF($K14&lt;&gt;"",($K14+$L13),"")</f>
        <v>117.949613823774</v>
      </c>
      <c r="M14" s="17" t="n">
        <f aca="false">IF($J14&lt;&gt;"",$J14*(LOOKUP(1E+307,$A:$A)-$A$2),"")</f>
        <v>1669.36861538462</v>
      </c>
      <c r="N14" s="17" t="n">
        <f aca="false">IF($M14&lt;&gt;"",IF($M14&gt;1000,(($M14*$S$7)+($A14*$S$8))*(1+$R$9)-100,($M14*$S$7)+($A14*$R$9)*(1+$R$9)),"")</f>
        <v>163.133735781143</v>
      </c>
      <c r="O14" s="18" t="n">
        <f aca="false">IF(I14&gt;=1000,"",(1000-I14))</f>
        <v>321.819</v>
      </c>
      <c r="Q14" s="22" t="s">
        <v>58</v>
      </c>
      <c r="R14" s="37" t="n">
        <f aca="false">INDEX(J2:J32,COUNT(J2:J32))</f>
        <v>52.6183548387097</v>
      </c>
      <c r="S14" s="32"/>
      <c r="T14" s="83"/>
    </row>
    <row r="15" customFormat="false" ht="15" hidden="false" customHeight="false" outlineLevel="0" collapsed="false">
      <c r="A15" s="11" t="n">
        <v>14</v>
      </c>
      <c r="B15" s="11" t="str">
        <f aca="false">TEXT(D15,"ddd")</f>
        <v>Thu</v>
      </c>
      <c r="C15" s="11" t="n">
        <f aca="false">$A$31-$A15</f>
        <v>16</v>
      </c>
      <c r="D15" s="51" t="n">
        <v>45106</v>
      </c>
      <c r="E15" s="51" t="n">
        <v>45107.2559259259</v>
      </c>
      <c r="F15" s="2" t="n">
        <v>87090.592</v>
      </c>
      <c r="G15" s="2" t="n">
        <v>87148.757</v>
      </c>
      <c r="H15" s="66" t="n">
        <v>58.159</v>
      </c>
      <c r="I15" s="13" t="n">
        <f aca="false">IF($H15&gt;0,($I14+$H15),"")</f>
        <v>736.34</v>
      </c>
      <c r="J15" s="14" t="n">
        <f aca="false">IF(KWH&gt;0,$I15/$A15,"")</f>
        <v>52.5957142857143</v>
      </c>
      <c r="K15" s="15" t="n">
        <f aca="false">IF($H15&lt;&gt;"",(($H15*$S$7)+($A15*$S$8))*(1+$S$9),"")</f>
        <v>11.0651799562258</v>
      </c>
      <c r="L15" s="16" t="n">
        <f aca="false">IF($K15&lt;&gt;"",($K15+$L14),"")</f>
        <v>129.01479378</v>
      </c>
      <c r="M15" s="17" t="n">
        <f aca="false">IF($J15&lt;&gt;"",$J15*(LOOKUP(1E+307,$A:$A)-$A$2),"")</f>
        <v>1683.06285714286</v>
      </c>
      <c r="N15" s="17" t="n">
        <f aca="false">IF($M15&lt;&gt;"",IF($M15&gt;1000,(($M15*$S$7)+($A15*$S$8))*(1+$R$9)-100,($M15*$S$7)+($A15*$R$9)*(1+$R$9)),"")</f>
        <v>165.432013752427</v>
      </c>
      <c r="O15" s="18" t="n">
        <f aca="false">IF(I15&gt;=1000,"",(1000-I15))</f>
        <v>263.66</v>
      </c>
      <c r="Q15" s="22"/>
      <c r="R15" s="38"/>
      <c r="S15" s="24"/>
    </row>
    <row r="16" customFormat="false" ht="15" hidden="false" customHeight="false" outlineLevel="0" collapsed="false">
      <c r="A16" s="11" t="n">
        <v>15</v>
      </c>
      <c r="B16" s="11" t="str">
        <f aca="false">TEXT(D16,"ddd")</f>
        <v>Fri</v>
      </c>
      <c r="C16" s="11" t="n">
        <f aca="false">$A$31-$A16</f>
        <v>15</v>
      </c>
      <c r="D16" s="51" t="n">
        <v>45107</v>
      </c>
      <c r="E16" s="51" t="n">
        <v>45108.2555671296</v>
      </c>
      <c r="F16" s="2" t="n">
        <v>87148.757</v>
      </c>
      <c r="G16" s="2" t="n">
        <v>87202.5</v>
      </c>
      <c r="H16" s="66" t="n">
        <v>53.738</v>
      </c>
      <c r="I16" s="13" t="n">
        <f aca="false">IF($H16&gt;0,($I15+$H16),"")</f>
        <v>790.078</v>
      </c>
      <c r="J16" s="14" t="n">
        <f aca="false">IF(KWH&gt;0,$I16/$A16,"")</f>
        <v>52.6718666666667</v>
      </c>
      <c r="K16" s="15" t="n">
        <f aca="false">IF($H16&lt;&gt;"",(($H16*$S$7)+($A16*$S$8))*(1+$S$9),"")</f>
        <v>10.5405886976129</v>
      </c>
      <c r="L16" s="16" t="n">
        <f aca="false">IF($K16&lt;&gt;"",($K16+$L15),"")</f>
        <v>139.555382477613</v>
      </c>
      <c r="M16" s="17" t="n">
        <f aca="false">IF($J16&lt;&gt;"",$J16*(LOOKUP(1E+307,$A:$A)-$A$2),"")</f>
        <v>1685.49973333333</v>
      </c>
      <c r="N16" s="17" t="n">
        <f aca="false">IF($M16&lt;&gt;"",IF($M16&gt;1000,(($M16*$S$7)+($A16*$S$8))*(1+$R$9)-100,($M16*$S$7)+($A16*$R$9)*(1+$R$9)),"")</f>
        <v>165.969564241153</v>
      </c>
      <c r="O16" s="18" t="n">
        <f aca="false">IF(I16&gt;=1000,"",(1000-I16))</f>
        <v>209.922</v>
      </c>
      <c r="Q16" s="22" t="s">
        <v>59</v>
      </c>
      <c r="R16" s="37" t="n">
        <f aca="false">MIN(H2:H31)</f>
        <v>45.502</v>
      </c>
      <c r="S16" s="24"/>
    </row>
    <row r="17" customFormat="false" ht="15" hidden="false" customHeight="false" outlineLevel="0" collapsed="false">
      <c r="A17" s="11" t="n">
        <v>16</v>
      </c>
      <c r="B17" s="11" t="str">
        <f aca="false">TEXT(D17,"ddd")</f>
        <v>Sat</v>
      </c>
      <c r="C17" s="11" t="n">
        <f aca="false">$A$31-$A17</f>
        <v>14</v>
      </c>
      <c r="D17" s="51" t="n">
        <v>45108</v>
      </c>
      <c r="E17" s="51" t="n">
        <v>45109.2744097222</v>
      </c>
      <c r="F17" s="2" t="n">
        <v>87202.5</v>
      </c>
      <c r="G17" s="2" t="n">
        <v>87253.914</v>
      </c>
      <c r="H17" s="66" t="n">
        <v>51.41</v>
      </c>
      <c r="I17" s="13" t="n">
        <f aca="false">IF($H17&gt;0,($I16+$H17),"")</f>
        <v>841.488</v>
      </c>
      <c r="J17" s="14" t="n">
        <f aca="false">IF(KWH&gt;0,$I17/$A17,"")</f>
        <v>52.593</v>
      </c>
      <c r="K17" s="15" t="n">
        <f aca="false">IF($H17&lt;&gt;"",(($H17*$S$7)+($A17*$S$8))*(1+$S$9),"")</f>
        <v>10.3369473087097</v>
      </c>
      <c r="L17" s="16" t="n">
        <f aca="false">IF($K17&lt;&gt;"",($K17+$L16),"")</f>
        <v>149.892329786323</v>
      </c>
      <c r="M17" s="17" t="n">
        <f aca="false">IF($J17&lt;&gt;"",$J17*(LOOKUP(1E+307,$A:$A)-$A$2),"")</f>
        <v>1682.976</v>
      </c>
      <c r="N17" s="17" t="n">
        <f aca="false">IF($M17&lt;&gt;"",IF($M17&gt;1000,(($M17*$S$7)+($A17*$S$8))*(1+$R$9)-100,($M17*$S$7)+($A17*$R$9)*(1+$R$9)),"")</f>
        <v>165.731242127516</v>
      </c>
      <c r="O17" s="18" t="n">
        <f aca="false">IF(I17&gt;=1000,"",(1000-I17))</f>
        <v>158.512</v>
      </c>
      <c r="Q17" s="22" t="s">
        <v>60</v>
      </c>
      <c r="R17" s="37" t="n">
        <f aca="false">MAX(H2:H32)</f>
        <v>61.79</v>
      </c>
      <c r="S17" s="24"/>
    </row>
    <row r="18" customFormat="false" ht="15" hidden="false" customHeight="false" outlineLevel="0" collapsed="false">
      <c r="A18" s="11" t="n">
        <v>17</v>
      </c>
      <c r="B18" s="11" t="str">
        <f aca="false">TEXT(D18,"ddd")</f>
        <v>Sun</v>
      </c>
      <c r="C18" s="11" t="n">
        <f aca="false">$A$31-$A18</f>
        <v>13</v>
      </c>
      <c r="D18" s="51" t="n">
        <v>45109</v>
      </c>
      <c r="E18" s="51" t="n">
        <v>45110.2555555556</v>
      </c>
      <c r="F18" s="2" t="n">
        <v>87253.914</v>
      </c>
      <c r="G18" s="2" t="n">
        <v>87309.354</v>
      </c>
      <c r="H18" s="66" t="n">
        <v>55.437</v>
      </c>
      <c r="I18" s="13" t="n">
        <f aca="false">IF($H18&gt;0,($I17+$H18),"")</f>
        <v>896.925</v>
      </c>
      <c r="J18" s="14" t="n">
        <f aca="false">IF(KWH&gt;0,$I18/$A18,"")</f>
        <v>52.7602941176471</v>
      </c>
      <c r="K18" s="15" t="n">
        <f aca="false">IF($H18&lt;&gt;"",(($H18*$S$7)+($A18*$S$8))*(1+$S$9),"")</f>
        <v>11.1078097048065</v>
      </c>
      <c r="L18" s="16" t="n">
        <f aca="false">IF($K18&lt;&gt;"",($K18+$L17),"")</f>
        <v>161.000139491129</v>
      </c>
      <c r="M18" s="17" t="n">
        <f aca="false">IF($J18&lt;&gt;"",$J18*(LOOKUP(1E+307,$A:$A)-$A$2),"")</f>
        <v>1688.32941176471</v>
      </c>
      <c r="N18" s="17" t="n">
        <f aca="false">IF($M18&lt;&gt;"",IF($M18&gt;1000,(($M18*$S$7)+($A18*$S$8))*(1+$R$9)-100,($M18*$S$7)+($A18*$R$9)*(1+$R$9)),"")</f>
        <v>166.72495834245</v>
      </c>
      <c r="O18" s="18" t="n">
        <f aca="false">IF(I18&gt;=1000,"",(1000-I18))</f>
        <v>103.075</v>
      </c>
      <c r="Q18" s="22"/>
      <c r="R18" s="64"/>
      <c r="S18" s="24"/>
    </row>
    <row r="19" customFormat="false" ht="15" hidden="false" customHeight="false" outlineLevel="0" collapsed="false">
      <c r="A19" s="11" t="n">
        <v>18</v>
      </c>
      <c r="B19" s="11" t="str">
        <f aca="false">TEXT(D19,"ddd")</f>
        <v>Mon</v>
      </c>
      <c r="C19" s="11" t="n">
        <f aca="false">$A$31-$A19</f>
        <v>12</v>
      </c>
      <c r="D19" s="51" t="n">
        <v>45110</v>
      </c>
      <c r="E19" s="51" t="n">
        <v>45111.2608680556</v>
      </c>
      <c r="F19" s="2" t="n">
        <v>87309.354</v>
      </c>
      <c r="G19" s="2" t="n">
        <v>87363.598</v>
      </c>
      <c r="H19" s="66" t="n">
        <v>54.242</v>
      </c>
      <c r="I19" s="13" t="n">
        <f aca="false">IF($H19&gt;0,($I18+$H19),"")</f>
        <v>951.167</v>
      </c>
      <c r="J19" s="14" t="n">
        <f aca="false">IF(KWH&gt;0,$I19/$A19,"")</f>
        <v>52.8426111111111</v>
      </c>
      <c r="K19" s="15" t="n">
        <f aca="false">IF($H19&lt;&gt;"",(($H19*$S$7)+($A19*$S$8))*(1+$S$9),"")</f>
        <v>11.0779075430323</v>
      </c>
      <c r="L19" s="16" t="n">
        <f aca="false">IF($K19&lt;&gt;"",($K19+$L18),"")</f>
        <v>172.078047034161</v>
      </c>
      <c r="M19" s="17" t="n">
        <f aca="false">IF($J19&lt;&gt;"",$J19*(LOOKUP(1E+307,$A:$A)-$A$2),"")</f>
        <v>1690.96355555556</v>
      </c>
      <c r="N19" s="17" t="n">
        <f aca="false">IF($M19&lt;&gt;"",IF($M19&gt;1000,(($M19*$S$7)+($A19*$S$8))*(1+$R$9)-100,($M19*$S$7)+($A19*$R$9)*(1+$R$9)),"")</f>
        <v>167.293362807029</v>
      </c>
      <c r="O19" s="18" t="n">
        <f aca="false">IF(I19&gt;=1000,"",(1000-I19))</f>
        <v>48.8330000000001</v>
      </c>
      <c r="Q19" s="40"/>
      <c r="R19" s="41"/>
      <c r="S19" s="42"/>
    </row>
    <row r="20" customFormat="false" ht="15" hidden="false" customHeight="false" outlineLevel="0" collapsed="false">
      <c r="A20" s="11" t="n">
        <v>19</v>
      </c>
      <c r="B20" s="11" t="str">
        <f aca="false">TEXT(D20,"ddd")</f>
        <v>Tue</v>
      </c>
      <c r="C20" s="11" t="n">
        <f aca="false">$A$31-$A20</f>
        <v>11</v>
      </c>
      <c r="D20" s="51" t="n">
        <v>45111</v>
      </c>
      <c r="E20" s="51" t="n">
        <v>45112.2635416667</v>
      </c>
      <c r="F20" s="2" t="n">
        <v>87363.598</v>
      </c>
      <c r="G20" s="2" t="n">
        <v>87411.024</v>
      </c>
      <c r="H20" s="66" t="n">
        <v>47.422</v>
      </c>
      <c r="I20" s="13" t="n">
        <f aca="false">IF($H20&gt;0,($I19+$H20),"")</f>
        <v>998.589</v>
      </c>
      <c r="J20" s="14" t="n">
        <f aca="false">IF(KWH&gt;0,$I20/$A20,"")</f>
        <v>52.5573157894737</v>
      </c>
      <c r="K20" s="15" t="n">
        <f aca="false">IF($H20&lt;&gt;"",(($H20*$S$7)+($A20*$S$8))*(1+$S$9),"")</f>
        <v>10.1854430223871</v>
      </c>
      <c r="L20" s="16" t="n">
        <f aca="false">IF($K20&lt;&gt;"",($K20+$L19),"")</f>
        <v>182.263490056548</v>
      </c>
      <c r="M20" s="17" t="n">
        <f aca="false">IF($J20&lt;&gt;"",$J20*(LOOKUP(1E+307,$A:$A)-$A$2),"")</f>
        <v>1681.83410526316</v>
      </c>
      <c r="N20" s="17" t="n">
        <f aca="false">IF($M20&lt;&gt;"",IF($M20&gt;1000,(($M20*$S$7)+($A20*$S$8))*(1+$R$9)-100,($M20*$S$7)+($A20*$R$9)*(1+$R$9)),"")</f>
        <v>166.021862253747</v>
      </c>
      <c r="O20" s="18" t="n">
        <f aca="false">IF(I20&gt;=1000,"",(1000-I20))</f>
        <v>1.41100000000006</v>
      </c>
    </row>
    <row r="21" customFormat="false" ht="15" hidden="false" customHeight="false" outlineLevel="0" collapsed="false">
      <c r="A21" s="11" t="n">
        <v>20</v>
      </c>
      <c r="B21" s="11" t="str">
        <f aca="false">TEXT(D21,"ddd")</f>
        <v>Wed</v>
      </c>
      <c r="C21" s="11" t="n">
        <f aca="false">$A$31-$A21</f>
        <v>10</v>
      </c>
      <c r="D21" s="51" t="n">
        <v>45112</v>
      </c>
      <c r="E21" s="51" t="n">
        <v>45113.2563310185</v>
      </c>
      <c r="F21" s="2" t="n">
        <v>87411.024</v>
      </c>
      <c r="G21" s="2" t="n">
        <v>87458.322</v>
      </c>
      <c r="H21" s="66" t="n">
        <v>47.293</v>
      </c>
      <c r="I21" s="69" t="n">
        <f aca="false">IF($H21&gt;0,($I20+$H21),"")</f>
        <v>1045.882</v>
      </c>
      <c r="J21" s="14" t="n">
        <f aca="false">IF(KWH&gt;0,$I21/$A21,"")</f>
        <v>52.2941</v>
      </c>
      <c r="K21" s="15" t="n">
        <f aca="false">IF($H21&lt;&gt;"",(($H21*$S$7)+($A21*$S$8))*(1+$S$9),"")</f>
        <v>10.3190060116452</v>
      </c>
      <c r="L21" s="16" t="n">
        <f aca="false">IF($K21&lt;&gt;"",($K21+$L20),"")</f>
        <v>192.582496068194</v>
      </c>
      <c r="M21" s="17" t="n">
        <f aca="false">IF($J21&lt;&gt;"",$J21*(LOOKUP(1E+307,$A:$A)-$A$2),"")</f>
        <v>1673.4112</v>
      </c>
      <c r="N21" s="17" t="n">
        <f aca="false">IF($M21&lt;&gt;"",IF($M21&gt;1000,(($M21*$S$7)+($A21*$S$8))*(1+$R$9)-100,($M21*$S$7)+($A21*$R$9)*(1+$R$9)),"")</f>
        <v>164.860870082124</v>
      </c>
      <c r="O21" s="18" t="str">
        <f aca="false">IF(I21&gt;=1000,"",(1000-I21))</f>
        <v/>
      </c>
    </row>
    <row r="22" customFormat="false" ht="15" hidden="false" customHeight="false" outlineLevel="0" collapsed="false">
      <c r="A22" s="11" t="n">
        <v>21</v>
      </c>
      <c r="B22" s="11" t="str">
        <f aca="false">TEXT(D22,"ddd")</f>
        <v>Thu</v>
      </c>
      <c r="C22" s="11" t="n">
        <f aca="false">$A$31-$A22</f>
        <v>9</v>
      </c>
      <c r="D22" s="51" t="n">
        <v>45113</v>
      </c>
      <c r="E22" s="51" t="n">
        <v>45114.2559606481</v>
      </c>
      <c r="F22" s="2" t="n">
        <v>87458.322</v>
      </c>
      <c r="G22" s="2" t="n">
        <v>87508.84</v>
      </c>
      <c r="H22" s="66" t="n">
        <v>50.516</v>
      </c>
      <c r="I22" s="13" t="n">
        <f aca="false">IF($H22&gt;0,($I21+$H22),"")</f>
        <v>1096.398</v>
      </c>
      <c r="J22" s="14" t="n">
        <f aca="false">IF(KWH&gt;0,$I22/$A22,"")</f>
        <v>52.2094285714286</v>
      </c>
      <c r="K22" s="15" t="n">
        <f aca="false">IF($H22&lt;&gt;"",(($H22*$S$7)+($A22*$S$8))*(1+$S$9),"")</f>
        <v>10.9665794945806</v>
      </c>
      <c r="L22" s="16" t="n">
        <f aca="false">IF($K22&lt;&gt;"",($K22+$L21),"")</f>
        <v>203.549075562774</v>
      </c>
      <c r="M22" s="17" t="n">
        <f aca="false">IF($J22&lt;&gt;"",$J22*(LOOKUP(1E+307,$A:$A)-$A$2),"")</f>
        <v>1670.70171428571</v>
      </c>
      <c r="N22" s="17" t="n">
        <f aca="false">IF($M22&lt;&gt;"",IF($M22&gt;1000,(($M22*$S$7)+($A22*$S$8))*(1+$R$9)-100,($M22*$S$7)+($A22*$R$9)*(1+$R$9)),"")</f>
        <v>164.59349505019</v>
      </c>
      <c r="O22" s="18" t="str">
        <f aca="false">IF(I22&gt;=1000,"",(1000-I22))</f>
        <v/>
      </c>
    </row>
    <row r="23" customFormat="false" ht="15" hidden="false" customHeight="false" outlineLevel="0" collapsed="false">
      <c r="A23" s="11" t="n">
        <v>22</v>
      </c>
      <c r="B23" s="11" t="str">
        <f aca="false">TEXT(D23,"ddd")</f>
        <v>Fri</v>
      </c>
      <c r="C23" s="11" t="n">
        <f aca="false">$A$31-$A23</f>
        <v>8</v>
      </c>
      <c r="D23" s="51" t="n">
        <v>45114</v>
      </c>
      <c r="E23" s="51" t="n">
        <v>45115.2569791667</v>
      </c>
      <c r="F23" s="2" t="n">
        <v>87508.84</v>
      </c>
      <c r="G23" s="2" t="n">
        <v>87563.236</v>
      </c>
      <c r="H23" s="66" t="n">
        <v>54.39</v>
      </c>
      <c r="I23" s="13" t="n">
        <f aca="false">IF($H23&gt;0,($I22+$H23),"")</f>
        <v>1150.788</v>
      </c>
      <c r="J23" s="14" t="n">
        <f aca="false">IF(KWH&gt;0,$I23/$A23,"")</f>
        <v>52.3085454545455</v>
      </c>
      <c r="K23" s="15" t="n">
        <f aca="false">IF($H23&lt;&gt;"",(($H23*$S$7)+($A23*$S$8))*(1+$S$9),"")</f>
        <v>11.7139801945161</v>
      </c>
      <c r="L23" s="16" t="n">
        <f aca="false">IF($K23&lt;&gt;"",($K23+$L22),"")</f>
        <v>215.26305575729</v>
      </c>
      <c r="M23" s="17" t="n">
        <f aca="false">IF($J23&lt;&gt;"",$J23*(LOOKUP(1E+307,$A:$A)-$A$2),"")</f>
        <v>1673.87345454545</v>
      </c>
      <c r="N23" s="17" t="n">
        <f aca="false">IF($M23&lt;&gt;"",IF($M23&gt;1000,(($M23*$S$7)+($A23*$S$8))*(1+$R$9)-100,($M23*$S$7)+($A23*$R$9)*(1+$R$9)),"")</f>
        <v>165.245983208383</v>
      </c>
      <c r="O23" s="18" t="str">
        <f aca="false">IF(I23&gt;=1000,"",(1000-I23))</f>
        <v/>
      </c>
      <c r="Q23" s="29"/>
    </row>
    <row r="24" customFormat="false" ht="15" hidden="false" customHeight="false" outlineLevel="0" collapsed="false">
      <c r="A24" s="11" t="n">
        <v>23</v>
      </c>
      <c r="B24" s="11" t="str">
        <f aca="false">TEXT(D24,"ddd")</f>
        <v>Sat</v>
      </c>
      <c r="C24" s="11" t="n">
        <f aca="false">$A$31-$A24</f>
        <v>7</v>
      </c>
      <c r="D24" s="51" t="n">
        <v>45115</v>
      </c>
      <c r="E24" s="51" t="n">
        <v>45116.2770949074</v>
      </c>
      <c r="F24" s="2" t="n">
        <v>87563.236</v>
      </c>
      <c r="G24" s="2" t="n">
        <v>87615.784</v>
      </c>
      <c r="H24" s="66" t="n">
        <v>52.544</v>
      </c>
      <c r="I24" s="13" t="n">
        <f aca="false">IF($H24&gt;0,($I23+$H24),"")</f>
        <v>1203.332</v>
      </c>
      <c r="J24" s="14" t="n">
        <f aca="false">IF(KWH&gt;0,$I24/$A24,"")</f>
        <v>52.3187826086957</v>
      </c>
      <c r="K24" s="15" t="n">
        <f aca="false">IF($H24&lt;&gt;"",(($H24*$S$7)+($A24*$S$8))*(1+$S$9),"")</f>
        <v>11.5842508157419</v>
      </c>
      <c r="L24" s="16" t="n">
        <f aca="false">IF($K24&lt;&gt;"",($K24+$L23),"")</f>
        <v>226.847306573032</v>
      </c>
      <c r="M24" s="17" t="n">
        <f aca="false">IF($J24&lt;&gt;"",$J24*(LOOKUP(1E+307,$A:$A)-$A$2),"")</f>
        <v>1674.20104347826</v>
      </c>
      <c r="N24" s="17" t="n">
        <f aca="false">IF($M24&lt;&gt;"",IF($M24&gt;1000,(($M24*$S$7)+($A24*$S$8))*(1+$R$9)-100,($M24*$S$7)+($A24*$R$9)*(1+$R$9)),"")</f>
        <v>165.453627022156</v>
      </c>
      <c r="O24" s="18" t="str">
        <f aca="false">IF(I24&gt;=1000,"",(1000-I24))</f>
        <v/>
      </c>
    </row>
    <row r="25" customFormat="false" ht="15" hidden="false" customHeight="false" outlineLevel="0" collapsed="false">
      <c r="A25" s="11" t="n">
        <v>24</v>
      </c>
      <c r="B25" s="11" t="str">
        <f aca="false">TEXT(D25,"ddd")</f>
        <v>Sun</v>
      </c>
      <c r="C25" s="11" t="n">
        <f aca="false">$A$31-$A25</f>
        <v>6</v>
      </c>
      <c r="D25" s="51" t="n">
        <v>45116</v>
      </c>
      <c r="E25" s="51" t="n">
        <v>45117.2566550926</v>
      </c>
      <c r="F25" s="2" t="n">
        <v>87615.784</v>
      </c>
      <c r="G25" s="2" t="n">
        <v>87668.957</v>
      </c>
      <c r="H25" s="66" t="n">
        <v>53.174</v>
      </c>
      <c r="I25" s="13" t="n">
        <f aca="false">IF($H25&gt;0,($I24+$H25),"")</f>
        <v>1256.506</v>
      </c>
      <c r="J25" s="14" t="n">
        <f aca="false">IF(KWH&gt;0,$I25/$A25,"")</f>
        <v>52.3544166666667</v>
      </c>
      <c r="K25" s="15" t="n">
        <f aca="false">IF($H25&lt;&gt;"",(($H25*$S$7)+($A25*$S$8))*(1+$S$9),"")</f>
        <v>11.8342022192903</v>
      </c>
      <c r="L25" s="16" t="n">
        <f aca="false">IF($K25&lt;&gt;"",($K25+$L24),"")</f>
        <v>238.681508792323</v>
      </c>
      <c r="M25" s="17" t="n">
        <f aca="false">IF($J25&lt;&gt;"",$J25*(LOOKUP(1E+307,$A:$A)-$A$2),"")</f>
        <v>1675.34133333333</v>
      </c>
      <c r="N25" s="17" t="n">
        <f aca="false">IF($M25&lt;&gt;"",IF($M25&gt;1000,(($M25*$S$7)+($A25*$S$8))*(1+$R$9)-100,($M25*$S$7)+($A25*$R$9)*(1+$R$9)),"")</f>
        <v>165.78838271129</v>
      </c>
      <c r="O25" s="18" t="str">
        <f aca="false">IF(I25&gt;=1000,"",(1000-I25))</f>
        <v/>
      </c>
    </row>
    <row r="26" customFormat="false" ht="15" hidden="false" customHeight="false" outlineLevel="0" collapsed="false">
      <c r="A26" s="11" t="n">
        <v>25</v>
      </c>
      <c r="B26" s="11" t="str">
        <f aca="false">TEXT(D26,"ddd")</f>
        <v>Mon</v>
      </c>
      <c r="C26" s="11" t="n">
        <f aca="false">$A$31-$A26</f>
        <v>5</v>
      </c>
      <c r="D26" s="51" t="n">
        <v>45117</v>
      </c>
      <c r="E26" s="51" t="n">
        <v>45118.2567592593</v>
      </c>
      <c r="F26" s="2" t="n">
        <v>87668.957</v>
      </c>
      <c r="G26" s="2" t="n">
        <v>87723.179</v>
      </c>
      <c r="H26" s="66" t="n">
        <v>54.221</v>
      </c>
      <c r="I26" s="13" t="n">
        <f aca="false">IF($H26&gt;0,($I25+$H26),"")</f>
        <v>1310.727</v>
      </c>
      <c r="J26" s="14" t="n">
        <f aca="false">IF(KWH&gt;0,$I26/$A26,"")</f>
        <v>52.42908</v>
      </c>
      <c r="K26" s="15" t="n">
        <f aca="false">IF($H26&lt;&gt;"",(($H26*$S$7)+($A26*$S$8))*(1+$S$9),"")</f>
        <v>12.1480982457097</v>
      </c>
      <c r="L26" s="16" t="n">
        <f aca="false">IF($K26&lt;&gt;"",($K26+$L25),"")</f>
        <v>250.829607038032</v>
      </c>
      <c r="M26" s="17" t="n">
        <f aca="false">IF($J26&lt;&gt;"",$J26*(LOOKUP(1E+307,$A:$A)-$A$2),"")</f>
        <v>1677.73056</v>
      </c>
      <c r="N26" s="17" t="n">
        <f aca="false">IF($M26&lt;&gt;"",IF($M26&gt;1000,(($M26*$S$7)+($A26*$S$8))*(1+$R$9)-100,($M26*$S$7)+($A26*$R$9)*(1+$R$9)),"")</f>
        <v>166.318480494887</v>
      </c>
      <c r="O26" s="18" t="str">
        <f aca="false">IF(I26&gt;=1000,"",(1000-I26))</f>
        <v/>
      </c>
    </row>
    <row r="27" customFormat="false" ht="15" hidden="false" customHeight="false" outlineLevel="0" collapsed="false">
      <c r="A27" s="11" t="n">
        <v>26</v>
      </c>
      <c r="B27" s="11" t="str">
        <f aca="false">TEXT(D27,"ddd")</f>
        <v>Tue</v>
      </c>
      <c r="C27" s="11" t="n">
        <f aca="false">$A$31-$A27</f>
        <v>4</v>
      </c>
      <c r="D27" s="51" t="n">
        <v>45118</v>
      </c>
      <c r="E27" s="51" t="n">
        <v>45119.2590972222</v>
      </c>
      <c r="F27" s="2" t="n">
        <v>87723.179</v>
      </c>
      <c r="G27" s="2" t="n">
        <v>87773.69</v>
      </c>
      <c r="H27" s="66" t="n">
        <v>50.511</v>
      </c>
      <c r="I27" s="13" t="n">
        <f aca="false">IF($H27&gt;0,($I26+$H27),"")</f>
        <v>1361.238</v>
      </c>
      <c r="J27" s="14" t="n">
        <f aca="false">IF(KWH&gt;0,$I27/$A27,"")</f>
        <v>52.3553076923077</v>
      </c>
      <c r="K27" s="15" t="n">
        <f aca="false">IF($H27&lt;&gt;"",(($H27*$S$7)+($A27*$S$8))*(1+$S$9),"")</f>
        <v>11.7325348692581</v>
      </c>
      <c r="L27" s="16" t="n">
        <f aca="false">IF($K27&lt;&gt;"",($K27+$L26),"")</f>
        <v>262.56214190729</v>
      </c>
      <c r="M27" s="17" t="n">
        <f aca="false">IF($J27&lt;&gt;"",$J27*(LOOKUP(1E+307,$A:$A)-$A$2),"")</f>
        <v>1675.36984615385</v>
      </c>
      <c r="N27" s="17" t="n">
        <f aca="false">IF($M27&lt;&gt;"",IF($M27&gt;1000,(($M27*$S$7)+($A27*$S$8))*(1+$R$9)-100,($M27*$S$7)+($A27*$R$9)*(1+$R$9)),"")</f>
        <v>166.105655722484</v>
      </c>
      <c r="O27" s="18" t="str">
        <f aca="false">IF(I27&gt;=1000,"",(1000-I27))</f>
        <v/>
      </c>
    </row>
    <row r="28" customFormat="false" ht="15" hidden="false" customHeight="false" outlineLevel="0" collapsed="false">
      <c r="A28" s="11" t="n">
        <v>27</v>
      </c>
      <c r="B28" s="11" t="str">
        <f aca="false">TEXT(D28,"ddd")</f>
        <v>Wed</v>
      </c>
      <c r="C28" s="11" t="n">
        <f aca="false">$A$31-$A28</f>
        <v>3</v>
      </c>
      <c r="D28" s="51" t="n">
        <v>45119</v>
      </c>
      <c r="E28" s="51" t="n">
        <v>45120.2592824074</v>
      </c>
      <c r="F28" s="2" t="n">
        <v>87773.69</v>
      </c>
      <c r="G28" s="2" t="n">
        <v>87825.148</v>
      </c>
      <c r="H28" s="66" t="n">
        <v>51.456</v>
      </c>
      <c r="I28" s="13" t="n">
        <f aca="false">IF($H28&gt;0,($I27+$H28),"")</f>
        <v>1412.694</v>
      </c>
      <c r="J28" s="14" t="n">
        <f aca="false">IF(KWH&gt;0,$I28/$A28,"")</f>
        <v>52.322</v>
      </c>
      <c r="K28" s="15" t="n">
        <f aca="false">IF($H28&lt;&gt;"",(($H28*$S$7)+($A28*$S$8))*(1+$S$9),"")</f>
        <v>12.0307897649032</v>
      </c>
      <c r="L28" s="16" t="n">
        <f aca="false">IF($K28&lt;&gt;"",($K28+$L27),"")</f>
        <v>274.592931672194</v>
      </c>
      <c r="M28" s="17" t="n">
        <f aca="false">IF($J28&lt;&gt;"",$J28*(LOOKUP(1E+307,$A:$A)-$A$2),"")</f>
        <v>1674.304</v>
      </c>
      <c r="N28" s="17" t="n">
        <f aca="false">IF($M28&lt;&gt;"",IF($M28&gt;1000,(($M28*$S$7)+($A28*$S$8))*(1+$R$9)-100,($M28*$S$7)+($A28*$R$9)*(1+$R$9)),"")</f>
        <v>166.095356942365</v>
      </c>
      <c r="O28" s="18" t="str">
        <f aca="false">IF(I28&gt;=1000,"",(1000-I28))</f>
        <v/>
      </c>
      <c r="Q28" s="29"/>
    </row>
    <row r="29" customFormat="false" ht="15" hidden="false" customHeight="false" outlineLevel="0" collapsed="false">
      <c r="A29" s="11" t="n">
        <v>28</v>
      </c>
      <c r="B29" s="11" t="str">
        <f aca="false">TEXT(D29,"ddd")</f>
        <v>Thu</v>
      </c>
      <c r="C29" s="11" t="n">
        <f aca="false">$A$31-$A29</f>
        <v>2</v>
      </c>
      <c r="D29" s="51" t="n">
        <v>45120</v>
      </c>
      <c r="E29" s="51" t="n">
        <v>45121.2573726852</v>
      </c>
      <c r="F29" s="2" t="n">
        <v>87825.148</v>
      </c>
      <c r="G29" s="2" t="n">
        <v>87884.412</v>
      </c>
      <c r="H29" s="66" t="n">
        <v>59.265</v>
      </c>
      <c r="I29" s="13" t="n">
        <f aca="false">IF($H29&gt;0,($I28+$H29),"")</f>
        <v>1471.959</v>
      </c>
      <c r="J29" s="14" t="n">
        <f aca="false">IF(KWH&gt;0,$I29/$A29,"")</f>
        <v>52.5699642857143</v>
      </c>
      <c r="K29" s="15" t="n">
        <f aca="false">IF($H29&lt;&gt;"",(($H29*$S$7)+($A29*$S$8))*(1+$S$9),"")</f>
        <v>13.381600755</v>
      </c>
      <c r="L29" s="16" t="n">
        <f aca="false">IF($K29&lt;&gt;"",($K29+$L28),"")</f>
        <v>287.974532427194</v>
      </c>
      <c r="M29" s="17" t="n">
        <f aca="false">IF($J29&lt;&gt;"",$J29*(LOOKUP(1E+307,$A:$A)-$A$2),"")</f>
        <v>1682.23885714286</v>
      </c>
      <c r="N29" s="17" t="n">
        <f aca="false">IF($M29&lt;&gt;"",IF($M29&gt;1000,(($M29*$S$7)+($A29*$S$8))*(1+$R$9)-100,($M29*$S$7)+($A29*$R$9)*(1+$R$9)),"")</f>
        <v>167.492828529252</v>
      </c>
      <c r="O29" s="18" t="str">
        <f aca="false">IF(I29&gt;=1000,"",(1000-I29))</f>
        <v/>
      </c>
    </row>
    <row r="30" customFormat="false" ht="15" hidden="false" customHeight="false" outlineLevel="0" collapsed="false">
      <c r="A30" s="11" t="n">
        <v>29</v>
      </c>
      <c r="B30" s="11" t="str">
        <f aca="false">TEXT(D30,"ddd")</f>
        <v>Fri</v>
      </c>
      <c r="C30" s="11" t="n">
        <f aca="false">$A$31-$A30</f>
        <v>1</v>
      </c>
      <c r="D30" s="51" t="n">
        <v>45121</v>
      </c>
      <c r="E30" s="51" t="n">
        <v>45122.2611458333</v>
      </c>
      <c r="F30" s="2" t="n">
        <v>87884.412</v>
      </c>
      <c r="G30" s="2" t="n">
        <v>87941.767</v>
      </c>
      <c r="H30" s="66" t="n">
        <v>57.36</v>
      </c>
      <c r="I30" s="13" t="n">
        <f aca="false">IF($H30&gt;0,($I29+$H30),"")</f>
        <v>1529.319</v>
      </c>
      <c r="J30" s="14" t="n">
        <f aca="false">IF(KWH&gt;0,$I30/$A30,"")</f>
        <v>52.7351379310345</v>
      </c>
      <c r="K30" s="15" t="n">
        <f aca="false">IF($H30&lt;&gt;"",(($H30*$S$7)+($A30*$S$8))*(1+$S$9),"")</f>
        <v>13.2428240554839</v>
      </c>
      <c r="L30" s="16" t="n">
        <f aca="false">IF($K30&lt;&gt;"",($K30+$L29),"")</f>
        <v>301.217356482678</v>
      </c>
      <c r="M30" s="17" t="n">
        <f aca="false">IF($J30&lt;&gt;"",$J30*(LOOKUP(1E+307,$A:$A)-$A$2),"")</f>
        <v>1687.5244137931</v>
      </c>
      <c r="N30" s="17" t="n">
        <f aca="false">IF($M30&lt;&gt;"",IF($M30&gt;1000,(($M30*$S$7)+($A30*$S$8))*(1+$R$9)-100,($M30*$S$7)+($A30*$R$9)*(1+$R$9)),"")</f>
        <v>168.475931749152</v>
      </c>
      <c r="O30" s="18" t="str">
        <f aca="false">IF(I30&gt;=1000,"",(1000-I30))</f>
        <v/>
      </c>
    </row>
    <row r="31" customFormat="false" ht="15" hidden="false" customHeight="false" outlineLevel="0" collapsed="false">
      <c r="A31" s="11" t="n">
        <v>30</v>
      </c>
      <c r="B31" s="11" t="str">
        <f aca="false">TEXT(D31,"ddd")</f>
        <v>Sat</v>
      </c>
      <c r="C31" s="11" t="n">
        <f aca="false">$A$31-$A31</f>
        <v>0</v>
      </c>
      <c r="D31" s="51" t="n">
        <v>45122</v>
      </c>
      <c r="E31" s="51" t="n">
        <v>45123.2829513889</v>
      </c>
      <c r="F31" s="2" t="n">
        <v>87941.767</v>
      </c>
      <c r="G31" s="2" t="n">
        <v>87992.612</v>
      </c>
      <c r="H31" s="66" t="n">
        <v>50.843</v>
      </c>
      <c r="I31" s="13" t="n">
        <f aca="false">IF($H31&gt;0,($I30+$H31),"")</f>
        <v>1580.162</v>
      </c>
      <c r="J31" s="14" t="n">
        <f aca="false">IF(KWH&gt;0,$I31/$A31,"")</f>
        <v>52.6720666666667</v>
      </c>
      <c r="K31" s="15" t="n">
        <f aca="false">IF($H31&lt;&gt;"",(($H31*$S$7)+($A31*$S$8))*(1+$S$9),"")</f>
        <v>12.3968228939032</v>
      </c>
      <c r="L31" s="16" t="n">
        <f aca="false">IF($K31&lt;&gt;"",($K31+$L30),"")</f>
        <v>313.614179376581</v>
      </c>
      <c r="M31" s="17" t="n">
        <f aca="false">IF($J31&lt;&gt;"",$J31*(LOOKUP(1E+307,$A:$A)-$A$2),"")</f>
        <v>1685.50613333333</v>
      </c>
      <c r="N31" s="17" t="n">
        <f aca="false">IF($M31&lt;&gt;"",IF($M31&gt;1000,(($M31*$S$7)+($A31*$S$8))*(1+$R$9)-100,($M31*$S$7)+($A31*$R$9)*(1+$R$9)),"")</f>
        <v>168.31666585522</v>
      </c>
      <c r="O31" s="18" t="str">
        <f aca="false">IF(I31&gt;=1000,"",(1000-I31))</f>
        <v/>
      </c>
    </row>
    <row r="32" customFormat="false" ht="15" hidden="false" customHeight="false" outlineLevel="0" collapsed="false">
      <c r="A32" s="11" t="n">
        <v>31</v>
      </c>
      <c r="B32" s="11" t="str">
        <f aca="false">TEXT(D32,"ddd")</f>
        <v>Sun</v>
      </c>
      <c r="C32" s="11" t="n">
        <f aca="false">$A$31-$A32</f>
        <v>-1</v>
      </c>
      <c r="D32" s="51" t="n">
        <v>45123</v>
      </c>
      <c r="E32" s="51" t="n">
        <v>45124.3086458333</v>
      </c>
      <c r="F32" s="2" t="n">
        <v>87992.612</v>
      </c>
      <c r="G32" s="2" t="n">
        <v>88043.623</v>
      </c>
      <c r="H32" s="66" t="n">
        <v>51.007</v>
      </c>
      <c r="I32" s="13" t="n">
        <f aca="false">IF($H32&gt;0,($I31+$H32),"")</f>
        <v>1631.169</v>
      </c>
      <c r="J32" s="14" t="n">
        <f aca="false">IF(KWH&gt;0,$I32/$A32,"")</f>
        <v>52.6183548387097</v>
      </c>
      <c r="K32" s="15" t="n">
        <f aca="false">IF($H32&lt;&gt;"",(($H32*$S$7)+($A32*$S$8))*(1+$S$9),"")</f>
        <v>12.5753157980323</v>
      </c>
      <c r="L32" s="16" t="n">
        <f aca="false">IF($K32&lt;&gt;"",($K32+$L31),"")</f>
        <v>326.189495174613</v>
      </c>
      <c r="M32" s="17" t="n">
        <f aca="false">IF($J32&lt;&gt;"",$J32*(LOOKUP(1E+307,$A:$A)-$A$2),"")</f>
        <v>1683.78735483871</v>
      </c>
      <c r="N32" s="17" t="n">
        <f aca="false">IF($M32&lt;&gt;"",IF($M32&gt;1000,(($M32*$S$7)+($A32*$S$8))*(1+$R$9)-100,($M32*$S$7)+($A32*$R$9)*(1+$R$9)),"")</f>
        <v>168.20424407752</v>
      </c>
      <c r="O32" s="18" t="str">
        <f aca="false">IF(I32&gt;=1000,"",(1000-I32))</f>
        <v/>
      </c>
    </row>
    <row r="33" customFormat="false" ht="15" hidden="false" customHeight="false" outlineLevel="0" collapsed="false">
      <c r="A33" s="11" t="n">
        <v>32</v>
      </c>
      <c r="B33" s="11" t="str">
        <f aca="false">TEXT(D33,"ddd")</f>
        <v>Mon</v>
      </c>
      <c r="C33" s="11" t="n">
        <f aca="false">$A$31-$A33</f>
        <v>-2</v>
      </c>
      <c r="D33" s="51" t="n">
        <v>45124</v>
      </c>
      <c r="E33" s="51" t="n">
        <v>45125.2595717593</v>
      </c>
      <c r="F33" s="2" t="n">
        <v>88043.623</v>
      </c>
      <c r="G33" s="2" t="n">
        <v>88094.197</v>
      </c>
      <c r="H33" s="66" t="n">
        <v>50.577</v>
      </c>
      <c r="I33" s="13" t="n">
        <f aca="false">IF($H33&gt;0,($I32+$H33),"")</f>
        <v>1681.746</v>
      </c>
      <c r="J33" s="14" t="n">
        <f aca="false">IF(KWH&gt;0,$I33/$A33,"")</f>
        <v>52.5545625</v>
      </c>
      <c r="K33" s="15" t="n">
        <f aca="false">IF($H33&lt;&gt;"",(($H33*$S$7)+($A33*$S$8))*(1+$S$9),"")</f>
        <v>12.6627221170645</v>
      </c>
      <c r="L33" s="16" t="n">
        <f aca="false">IF($K33&lt;&gt;"",($K33+$L32),"")</f>
        <v>338.852217291678</v>
      </c>
      <c r="M33" s="17" t="n">
        <f aca="false">IF($J33&lt;&gt;"",$J33*(LOOKUP(1E+307,$A:$A)-$A$2),"")</f>
        <v>1681.746</v>
      </c>
      <c r="N33" s="17" t="n">
        <f aca="false">IF($M33&lt;&gt;"",IF($M33&gt;1000,(($M33*$S$7)+($A33*$S$8))*(1+$R$9)-100,($M33*$S$7)+($A33*$R$9)*(1+$R$9)),"")</f>
        <v>168.041369195952</v>
      </c>
      <c r="O33" s="18" t="str">
        <f aca="false">IF(I33&gt;=1000,"",(1000-I33))</f>
        <v/>
      </c>
    </row>
    <row r="34" customFormat="false" ht="51.75" hidden="false" customHeight="true" outlineLevel="0" collapsed="false">
      <c r="A34" s="11" t="n">
        <v>33</v>
      </c>
      <c r="B34" s="11" t="str">
        <f aca="false">TEXT(D34,"ddd")</f>
        <v>Tue</v>
      </c>
      <c r="C34" s="11" t="n">
        <f aca="false">$A$31-$A34</f>
        <v>-3</v>
      </c>
      <c r="D34" s="51" t="n">
        <v>45125</v>
      </c>
      <c r="E34" s="51" t="n">
        <v>45126</v>
      </c>
      <c r="F34" s="66" t="s">
        <v>5</v>
      </c>
      <c r="G34" s="66" t="s">
        <v>6</v>
      </c>
      <c r="H34" s="66" t="s">
        <v>7</v>
      </c>
      <c r="I34" s="66" t="s">
        <v>8</v>
      </c>
      <c r="J34" s="45" t="s">
        <v>9</v>
      </c>
      <c r="K34" s="27" t="s">
        <v>10</v>
      </c>
      <c r="L34" s="66" t="s">
        <v>11</v>
      </c>
      <c r="M34" s="66" t="s">
        <v>12</v>
      </c>
      <c r="N34" s="45" t="s">
        <v>13</v>
      </c>
      <c r="O34" s="66" t="s">
        <v>77</v>
      </c>
      <c r="P34" s="45"/>
    </row>
    <row r="35" customFormat="false" ht="15" hidden="false" customHeight="false" outlineLevel="0" collapsed="false">
      <c r="I35" s="46"/>
      <c r="K35" s="47"/>
      <c r="L35" s="2"/>
      <c r="M35" s="2"/>
      <c r="N35" s="0" t="n">
        <v>236.42</v>
      </c>
    </row>
    <row r="36" customFormat="false" ht="15" hidden="false" customHeight="false" outlineLevel="0" collapsed="false">
      <c r="L36" s="2"/>
      <c r="M36" s="2"/>
    </row>
    <row r="38" customFormat="false" ht="48" hidden="false" customHeight="false" outlineLevel="0" collapsed="false">
      <c r="Q38" s="84" t="s">
        <v>93</v>
      </c>
    </row>
  </sheetData>
  <conditionalFormatting sqref="A1:I1 K1:O1">
    <cfRule type="expression" priority="2" aboveAverage="0" equalAverage="0" bottom="0" percent="0" rank="0" text="" dxfId="22">
      <formula>" =CELL(“Protect”,A1)=1"</formula>
    </cfRule>
    <cfRule type="expression" priority="3" aboveAverage="0" equalAverage="0" bottom="0" percent="0" rank="0" text="" dxfId="1">
      <formula>" =CELL(“Protect”,A1)=1"</formula>
    </cfRule>
  </conditionalFormatting>
  <conditionalFormatting sqref="Q2:Q19">
    <cfRule type="expression" priority="4" aboveAverage="0" equalAverage="0" bottom="0" percent="0" rank="0" text="" dxfId="23">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 topLeftCell="B9" activePane="bottomRight" state="frozen"/>
      <selection pane="topLeft" activeCell="A1" activeCellId="0" sqref="A1"/>
      <selection pane="topRight" activeCell="B1" activeCellId="0" sqref="B1"/>
      <selection pane="bottomLeft" activeCell="A9" activeCellId="0" sqref="A9"/>
      <selection pane="bottomRight" activeCell="D35" activeCellId="0" sqref="D35"/>
    </sheetView>
  </sheetViews>
  <sheetFormatPr defaultColWidth="8.453125" defaultRowHeight="15" zeroHeight="false" outlineLevelRow="0" outlineLevelCol="0"/>
  <cols>
    <col collapsed="false" customWidth="true" hidden="false" outlineLevel="0" max="1" min="1" style="0" width="6.29"/>
    <col collapsed="false" customWidth="true" hidden="false" outlineLevel="0" max="2" min="2" style="0" width="6.85"/>
    <col collapsed="false" customWidth="true" hidden="false" outlineLevel="0" max="3" min="3" style="0" width="5.42"/>
    <col collapsed="false" customWidth="true" hidden="false" outlineLevel="0" max="4" min="4" style="0" width="9.71"/>
    <col collapsed="false" customWidth="true" hidden="false" outlineLevel="0" max="8" min="8" style="4" width="9.14"/>
    <col collapsed="false" customWidth="true" hidden="false" outlineLevel="0" max="18" min="18" style="0" width="28.14"/>
    <col collapsed="false" customWidth="true" hidden="false" outlineLevel="0" max="20" min="20" style="0" width="11"/>
  </cols>
  <sheetData>
    <row r="1" customFormat="false" ht="36.5" hidden="false" customHeight="false" outlineLevel="0" collapsed="false">
      <c r="A1" s="5" t="s">
        <v>0</v>
      </c>
      <c r="B1" s="6" t="s">
        <v>1</v>
      </c>
      <c r="C1" s="6" t="s">
        <v>2</v>
      </c>
      <c r="D1" s="7" t="s">
        <v>3</v>
      </c>
      <c r="E1" s="7" t="s">
        <v>4</v>
      </c>
      <c r="F1" s="8" t="s">
        <v>5</v>
      </c>
      <c r="G1" s="8" t="s">
        <v>6</v>
      </c>
      <c r="H1" s="85" t="s">
        <v>7</v>
      </c>
      <c r="I1" s="6" t="s">
        <v>8</v>
      </c>
      <c r="J1" s="6" t="s">
        <v>94</v>
      </c>
      <c r="K1" s="6" t="s">
        <v>10</v>
      </c>
      <c r="L1" s="6" t="s">
        <v>11</v>
      </c>
      <c r="M1" s="6" t="s">
        <v>12</v>
      </c>
      <c r="N1" s="8" t="s">
        <v>13</v>
      </c>
      <c r="O1" s="9" t="s">
        <v>77</v>
      </c>
      <c r="P1" s="9" t="s">
        <v>95</v>
      </c>
      <c r="Q1" s="2"/>
      <c r="T1" s="10"/>
      <c r="U1" s="76"/>
      <c r="V1" s="2"/>
      <c r="W1" s="2"/>
    </row>
    <row r="2" customFormat="false" ht="15" hidden="false" customHeight="false" outlineLevel="0" collapsed="false">
      <c r="A2" s="86" t="n">
        <v>1</v>
      </c>
      <c r="B2" s="86" t="s">
        <v>96</v>
      </c>
      <c r="C2" s="86" t="n">
        <v>31</v>
      </c>
      <c r="D2" s="51" t="n">
        <v>45062</v>
      </c>
      <c r="E2" s="51" t="n">
        <v>45063.3048842593</v>
      </c>
      <c r="F2" s="2" t="n">
        <v>85020.312</v>
      </c>
      <c r="G2" s="2" t="n">
        <v>85058.324</v>
      </c>
      <c r="H2" s="3" t="n">
        <v>38.01</v>
      </c>
      <c r="I2" s="87" t="n">
        <f aca="false">H2</f>
        <v>38.01</v>
      </c>
      <c r="J2" s="87" t="n">
        <f aca="false">(I2)</f>
        <v>38.01</v>
      </c>
      <c r="K2" s="88" t="n">
        <f aca="false">IF($H2&lt;&gt;"",(($H2*$T$7)+($A2*$T$8))*(1+$S$9),"")</f>
        <v>7.761922843437</v>
      </c>
      <c r="L2" s="89" t="n">
        <f aca="false">(K2)</f>
        <v>7.761922843437</v>
      </c>
      <c r="M2" s="90" t="n">
        <f aca="false">IF($J2&lt;&gt;"",$J2*($A$32-$A$2),"")</f>
        <v>1140.3</v>
      </c>
      <c r="N2" s="90" t="n">
        <f aca="false">IF($M2&lt;&gt;"",IF($M2&gt;1000,(($M2*$T$7))*(1+$S$9)-100,($M2*$T$7)+($A2*$S$9)*(1+$S$9)),"")</f>
        <v>129.36938790311</v>
      </c>
      <c r="O2" s="91" t="n">
        <f aca="false">IF(KWH&lt;&gt;"",IF((BREAK-CUM_KWH)&gt;0,BREAK-CUM_KWH,0),"")</f>
        <v>961.99</v>
      </c>
      <c r="P2" s="92" t="n">
        <f aca="false">(34-H2)</f>
        <v>-4.01</v>
      </c>
      <c r="Q2" s="92"/>
      <c r="R2" s="19" t="s">
        <v>18</v>
      </c>
      <c r="S2" s="20" t="s">
        <v>19</v>
      </c>
      <c r="T2" s="21"/>
      <c r="U2" s="93" t="n">
        <v>2</v>
      </c>
      <c r="V2" s="92"/>
      <c r="W2" s="92"/>
    </row>
    <row r="3" customFormat="false" ht="15" hidden="false" customHeight="false" outlineLevel="0" collapsed="false">
      <c r="A3" s="86" t="n">
        <v>2</v>
      </c>
      <c r="B3" s="86" t="s">
        <v>97</v>
      </c>
      <c r="C3" s="86" t="n">
        <v>30</v>
      </c>
      <c r="D3" s="51" t="n">
        <v>45063</v>
      </c>
      <c r="E3" s="51" t="n">
        <v>45064.2581828704</v>
      </c>
      <c r="F3" s="2" t="n">
        <v>85058.324</v>
      </c>
      <c r="G3" s="2" t="n">
        <v>85100.779</v>
      </c>
      <c r="H3" s="3" t="n">
        <v>42.453</v>
      </c>
      <c r="I3" s="87" t="n">
        <f aca="false">IF($H3&gt;0,($I2+$H3),"")</f>
        <v>80.463</v>
      </c>
      <c r="J3" s="87" t="n">
        <f aca="false">IF(KWH&gt;0,$I3/$A3,"")</f>
        <v>40.2315</v>
      </c>
      <c r="K3" s="88" t="n">
        <f aca="false">IF($H3&lt;&gt;"",(($H3*$T$7)+($A3*$T$8))*(1+$S$9),"")</f>
        <v>8.7719012479161</v>
      </c>
      <c r="L3" s="89" t="n">
        <f aca="false">IF($K3&lt;&gt;"",($K3+$L2),"")</f>
        <v>16.5338240913531</v>
      </c>
      <c r="M3" s="90" t="n">
        <f aca="false">IF($H3&lt;&gt;"",$I3+($A$32-$A3)*$J3)</f>
        <v>1247.1765</v>
      </c>
      <c r="N3" s="90" t="n">
        <f aca="false">IF($M3&lt;&gt;"",IF($M3&gt;1000,(($M3*$T$7))*(1+$S$9)-100,($M3*$T$7)+($A3*$S$9)*(1+$S$9)),"")</f>
        <v>150.867412445973</v>
      </c>
      <c r="O3" s="91" t="n">
        <f aca="false">IF(KWH&lt;&gt;"",IF((BREAK-CUM_KWH)&gt;0,BREAK-CUM_KWH,0),"")</f>
        <v>919.537</v>
      </c>
      <c r="P3" s="92" t="n">
        <f aca="false">IF($H3&gt;0,P2+(34-H3),"")</f>
        <v>-12.463</v>
      </c>
      <c r="Q3" s="92"/>
      <c r="R3" s="22" t="s">
        <v>22</v>
      </c>
      <c r="S3" s="23" t="n">
        <v>84995.045</v>
      </c>
      <c r="T3" s="24" t="n">
        <v>0</v>
      </c>
      <c r="U3" s="93" t="n">
        <v>3</v>
      </c>
      <c r="V3" s="92"/>
      <c r="W3" s="92"/>
    </row>
    <row r="4" customFormat="false" ht="15" hidden="false" customHeight="false" outlineLevel="0" collapsed="false">
      <c r="A4" s="86" t="n">
        <v>3</v>
      </c>
      <c r="B4" s="86" t="s">
        <v>98</v>
      </c>
      <c r="C4" s="86" t="n">
        <v>29</v>
      </c>
      <c r="D4" s="51" t="n">
        <v>45064</v>
      </c>
      <c r="E4" s="51" t="n">
        <v>45065.2568402778</v>
      </c>
      <c r="F4" s="2" t="n">
        <v>85100.779</v>
      </c>
      <c r="G4" s="2" t="n">
        <v>85154.388</v>
      </c>
      <c r="H4" s="3" t="n">
        <v>53.607</v>
      </c>
      <c r="I4" s="87" t="n">
        <f aca="false">IF($H4&gt;0,($I3+$H4),"")</f>
        <v>134.07</v>
      </c>
      <c r="J4" s="87" t="n">
        <f aca="false">IF(KWH&gt;0,$I4/$A4,"")</f>
        <v>44.69</v>
      </c>
      <c r="K4" s="88" t="n">
        <f aca="false">IF($H4&lt;&gt;"",(($H4*$T$7)+($A4*$T$8))*(1+$S$9),"")</f>
        <v>11.1317857843059</v>
      </c>
      <c r="L4" s="89" t="n">
        <f aca="false">IF($K4&lt;&gt;"",($K4+$L3),"")</f>
        <v>27.665609875659</v>
      </c>
      <c r="M4" s="90" t="n">
        <f aca="false">IF($H4&lt;&gt;"",$I4+($A$32-$A4)*$J4)</f>
        <v>1385.39</v>
      </c>
      <c r="N4" s="90" t="n">
        <f aca="false">IF($M4&lt;&gt;"",IF($M4&gt;1000,(($M4*$T$7))*(1+$S$9)-100,($M4*$T$7)+($A4*$S$9)*(1+$S$9)),"")</f>
        <v>178.668820755143</v>
      </c>
      <c r="O4" s="91" t="n">
        <f aca="false">IF(KWH&lt;&gt;"",IF((BREAK-CUM_KWH)&gt;0,BREAK-CUM_KWH,0),"")</f>
        <v>865.93</v>
      </c>
      <c r="P4" s="92" t="n">
        <f aca="false">IF($H4&gt;0,P3+(34-H4),"")</f>
        <v>-32.07</v>
      </c>
      <c r="Q4" s="92"/>
      <c r="R4" s="22" t="s">
        <v>25</v>
      </c>
      <c r="S4" s="25"/>
      <c r="T4" s="26" t="n">
        <v>0.001667</v>
      </c>
      <c r="U4" s="93" t="n">
        <v>4</v>
      </c>
      <c r="V4" s="92"/>
      <c r="W4" s="92"/>
    </row>
    <row r="5" customFormat="false" ht="15" hidden="false" customHeight="false" outlineLevel="0" collapsed="false">
      <c r="A5" s="86" t="n">
        <v>4</v>
      </c>
      <c r="B5" s="86" t="s">
        <v>99</v>
      </c>
      <c r="C5" s="86" t="n">
        <v>28</v>
      </c>
      <c r="D5" s="51" t="n">
        <v>45065</v>
      </c>
      <c r="E5" s="51" t="n">
        <v>45066.2558217593</v>
      </c>
      <c r="F5" s="2" t="n">
        <v>85154.388</v>
      </c>
      <c r="G5" s="2" t="n">
        <v>85206.706</v>
      </c>
      <c r="H5" s="3" t="n">
        <v>52.319</v>
      </c>
      <c r="I5" s="87" t="n">
        <f aca="false">IF($H5&gt;0,($I4+$H5),"")</f>
        <v>186.389</v>
      </c>
      <c r="J5" s="87" t="n">
        <f aca="false">IF(KWH&gt;0,$I5/$A5,"")</f>
        <v>46.59725</v>
      </c>
      <c r="K5" s="88" t="n">
        <f aca="false">IF($H5&lt;&gt;"",(($H5*$T$7)+($A5*$T$8))*(1+$S$9),"")</f>
        <v>10.9889833749003</v>
      </c>
      <c r="L5" s="89" t="n">
        <f aca="false">IF($K5&lt;&gt;"",($K5+$L4),"")</f>
        <v>38.6545932505593</v>
      </c>
      <c r="M5" s="90" t="n">
        <f aca="false">IF($H5&lt;&gt;"",$I5+($A$32-$A5)*$J5)</f>
        <v>1444.51475</v>
      </c>
      <c r="N5" s="90" t="n">
        <f aca="false">IF($M5&lt;&gt;"",IF($M5&gt;1000,(($M5*$T$7))*(1+$S$9)-100,($M5*$T$7)+($A5*$S$9)*(1+$S$9)),"")</f>
        <v>190.561662741835</v>
      </c>
      <c r="O5" s="91" t="n">
        <f aca="false">IF(I5&gt;=1000,"",(1000-I5))</f>
        <v>813.611</v>
      </c>
      <c r="P5" s="92" t="n">
        <f aca="false">IF($H5&gt;0,P4+(34-H5),"")</f>
        <v>-50.389</v>
      </c>
      <c r="Q5" s="92"/>
      <c r="R5" s="22" t="s">
        <v>28</v>
      </c>
      <c r="S5" s="25"/>
      <c r="T5" s="26" t="n">
        <v>0.041543</v>
      </c>
      <c r="U5" s="93" t="n">
        <v>5</v>
      </c>
      <c r="V5" s="92"/>
      <c r="W5" s="92"/>
    </row>
    <row r="6" customFormat="false" ht="15" hidden="false" customHeight="false" outlineLevel="0" collapsed="false">
      <c r="A6" s="86" t="n">
        <v>5</v>
      </c>
      <c r="B6" s="86" t="s">
        <v>100</v>
      </c>
      <c r="C6" s="86" t="n">
        <v>27</v>
      </c>
      <c r="D6" s="51" t="n">
        <v>45066</v>
      </c>
      <c r="E6" s="51" t="n">
        <v>45067.3005671296</v>
      </c>
      <c r="F6" s="2" t="n">
        <v>85206.706</v>
      </c>
      <c r="G6" s="2" t="n">
        <v>85245.1</v>
      </c>
      <c r="H6" s="3" t="n">
        <v>38.399</v>
      </c>
      <c r="I6" s="87" t="n">
        <f aca="false">IF($H6&gt;0,($I5+$H6),"")</f>
        <v>224.788</v>
      </c>
      <c r="J6" s="87" t="n">
        <f aca="false">IF(KWH&gt;0,$I6/$A6,"")</f>
        <v>44.9576</v>
      </c>
      <c r="K6" s="88" t="n">
        <f aca="false">IF($H6&lt;&gt;"",(($H6*$T$7)+($A6*$T$8))*(1+$S$9),"")</f>
        <v>8.3052758457963</v>
      </c>
      <c r="L6" s="89" t="n">
        <f aca="false">IF($K6&lt;&gt;"",($K6+$L5),"")</f>
        <v>46.9598690963556</v>
      </c>
      <c r="M6" s="90" t="n">
        <f aca="false">IF($H6&lt;&gt;"",$I6+($A$32-$A6)*$J6)</f>
        <v>1393.6856</v>
      </c>
      <c r="N6" s="90" t="n">
        <f aca="false">IF($M6&lt;&gt;"",IF($M6&gt;1000,(($M6*$T$7))*(1+$S$9)-100,($M6*$T$7)+($A6*$S$9)*(1+$S$9)),"")</f>
        <v>180.337466457405</v>
      </c>
      <c r="O6" s="91" t="n">
        <f aca="false">IF(I6&gt;=1000,"",(1000-I6))</f>
        <v>775.212</v>
      </c>
      <c r="P6" s="92" t="n">
        <f aca="false">IF($H6&gt;0,P5+(34-H6),"")</f>
        <v>-54.788</v>
      </c>
      <c r="Q6" s="92"/>
      <c r="R6" s="22" t="s">
        <v>31</v>
      </c>
      <c r="S6" s="25"/>
      <c r="T6" s="26" t="n">
        <v>0.154</v>
      </c>
      <c r="U6" s="93" t="n">
        <v>6</v>
      </c>
      <c r="V6" s="92"/>
      <c r="W6" s="92"/>
    </row>
    <row r="7" customFormat="false" ht="15" hidden="false" customHeight="false" outlineLevel="0" collapsed="false">
      <c r="A7" s="86" t="n">
        <v>6</v>
      </c>
      <c r="B7" s="86" t="s">
        <v>101</v>
      </c>
      <c r="C7" s="86" t="n">
        <v>26</v>
      </c>
      <c r="D7" s="51" t="n">
        <v>45067</v>
      </c>
      <c r="E7" s="51" t="n">
        <v>45068.3082986111</v>
      </c>
      <c r="F7" s="2" t="n">
        <v>85245.1</v>
      </c>
      <c r="G7" s="2" t="n">
        <v>85281.524</v>
      </c>
      <c r="H7" s="3" t="n">
        <v>36.428</v>
      </c>
      <c r="I7" s="87" t="n">
        <f aca="false">IF($H7&gt;0,($I6+$H7),"")</f>
        <v>261.216</v>
      </c>
      <c r="J7" s="87" t="n">
        <f aca="false">IF(KWH&gt;0,$I7/$A7,"")</f>
        <v>43.536</v>
      </c>
      <c r="K7" s="88" t="n">
        <f aca="false">IF($H7&lt;&gt;"",(($H7*$T$7)+($A7*$T$8))*(1+$S$9),"")</f>
        <v>8.0250891586236</v>
      </c>
      <c r="L7" s="89" t="n">
        <f aca="false">IF($K7&lt;&gt;"",($K7+$L6),"")</f>
        <v>54.9849582549792</v>
      </c>
      <c r="M7" s="90" t="n">
        <f aca="false">IF($H7&lt;&gt;"",$I7+($A$32-$A7)*$J7)</f>
        <v>1349.616</v>
      </c>
      <c r="N7" s="90" t="n">
        <f aca="false">IF($M7&lt;&gt;"",IF($M7&gt;1000,(($M7*$T$7))*(1+$S$9)-100,($M7*$T$7)+($A7*$S$9)*(1+$S$9)),"")</f>
        <v>171.472942054059</v>
      </c>
      <c r="O7" s="91" t="n">
        <f aca="false">IF(I7&gt;=1000,"",(1000-I7))</f>
        <v>738.784</v>
      </c>
      <c r="P7" s="92" t="n">
        <f aca="false">IF($H7&gt;0,P6+(34-H7),"")</f>
        <v>-57.216</v>
      </c>
      <c r="Q7" s="92"/>
      <c r="R7" s="22" t="s">
        <v>34</v>
      </c>
      <c r="S7" s="25"/>
      <c r="T7" s="28" t="n">
        <v>0.19721</v>
      </c>
      <c r="U7" s="93" t="n">
        <v>7</v>
      </c>
      <c r="V7" s="92"/>
      <c r="W7" s="92"/>
    </row>
    <row r="8" customFormat="false" ht="15" hidden="false" customHeight="false" outlineLevel="0" collapsed="false">
      <c r="A8" s="86" t="n">
        <v>7</v>
      </c>
      <c r="B8" s="86" t="s">
        <v>102</v>
      </c>
      <c r="C8" s="86" t="n">
        <v>25</v>
      </c>
      <c r="D8" s="51" t="n">
        <v>45068</v>
      </c>
      <c r="E8" s="51" t="n">
        <v>45069.2568055556</v>
      </c>
      <c r="F8" s="2" t="n">
        <v>85281.524</v>
      </c>
      <c r="G8" s="2" t="n">
        <v>85332.324</v>
      </c>
      <c r="H8" s="3" t="n">
        <v>50.799</v>
      </c>
      <c r="I8" s="87" t="n">
        <f aca="false">IF($H8&gt;0,($I7+$H8),"")</f>
        <v>312.015</v>
      </c>
      <c r="J8" s="87" t="n">
        <f aca="false">IF(KWH&gt;0,$I8/$A8,"")</f>
        <v>44.5735714285714</v>
      </c>
      <c r="K8" s="88" t="n">
        <f aca="false">IF($H8&lt;&gt;"",(($H8*$T$7)+($A8*$T$8))*(1+$S$9),"")</f>
        <v>11.0320677236763</v>
      </c>
      <c r="L8" s="89" t="n">
        <f aca="false">IF($K8&lt;&gt;"",($K8+$L7),"")</f>
        <v>66.0170259786555</v>
      </c>
      <c r="M8" s="90" t="n">
        <f aca="false">IF($H8&lt;&gt;"",$I8+($A$32-$A8)*$J8)</f>
        <v>1381.78071428571</v>
      </c>
      <c r="N8" s="90" t="n">
        <f aca="false">IF($M8&lt;&gt;"",IF($M8&gt;1000,(($M8*$T$7))*(1+$S$9)-100,($M8*$T$7)+($A8*$S$9)*(1+$S$9)),"")</f>
        <v>177.942819128331</v>
      </c>
      <c r="O8" s="91" t="n">
        <f aca="false">IF(I8&gt;=1000,"",(1000-I8))</f>
        <v>687.985</v>
      </c>
      <c r="P8" s="92" t="n">
        <f aca="false">IF($H8&gt;0,P7+(34-H8),"")</f>
        <v>-74.015</v>
      </c>
      <c r="Q8" s="92"/>
      <c r="R8" s="22" t="s">
        <v>38</v>
      </c>
      <c r="S8" s="33" t="n">
        <v>3.42</v>
      </c>
      <c r="T8" s="94" t="n">
        <v>0.114</v>
      </c>
      <c r="U8" s="93" t="n">
        <v>8</v>
      </c>
      <c r="V8" s="92"/>
      <c r="W8" s="92"/>
    </row>
    <row r="9" customFormat="false" ht="15" hidden="false" customHeight="false" outlineLevel="0" collapsed="false">
      <c r="A9" s="86" t="n">
        <v>8</v>
      </c>
      <c r="B9" s="86" t="s">
        <v>96</v>
      </c>
      <c r="C9" s="86" t="n">
        <v>24</v>
      </c>
      <c r="D9" s="51" t="n">
        <v>45069</v>
      </c>
      <c r="E9" s="51" t="n">
        <v>45070.3052662037</v>
      </c>
      <c r="F9" s="2" t="n">
        <v>85332.324</v>
      </c>
      <c r="G9" s="2" t="n">
        <v>85375.591</v>
      </c>
      <c r="H9" s="3" t="n">
        <v>43.268</v>
      </c>
      <c r="I9" s="87" t="n">
        <f aca="false">IF($H9&gt;0,($I8+$H9),"")</f>
        <v>355.283</v>
      </c>
      <c r="J9" s="87" t="n">
        <f aca="false">IF(KWH&gt;0,$I9/$A9,"")</f>
        <v>44.410375</v>
      </c>
      <c r="K9" s="88" t="n">
        <f aca="false">IF($H9&lt;&gt;"",(($H9*$T$7)+($A9*$T$8))*(1+$S$9),"")</f>
        <v>9.6334965791316</v>
      </c>
      <c r="L9" s="89" t="n">
        <f aca="false">IF($K9&lt;&gt;"",($K9+$L8),"")</f>
        <v>75.6505225577871</v>
      </c>
      <c r="M9" s="90" t="n">
        <f aca="false">IF($H9&lt;&gt;"",$I9+($A$32-$A9)*$J9)</f>
        <v>1376.721625</v>
      </c>
      <c r="N9" s="90" t="n">
        <f aca="false">IF($M9&lt;&gt;"",IF($M9&gt;1000,(($M9*$T$7))*(1+$S$9)-100,($M9*$T$7)+($A9*$S$9)*(1+$S$9)),"")</f>
        <v>176.925192001425</v>
      </c>
      <c r="O9" s="91" t="n">
        <f aca="false">IF(I9&gt;=1000,"",(1000-I9))</f>
        <v>644.717</v>
      </c>
      <c r="P9" s="92" t="n">
        <f aca="false">IF($H9&gt;0,P8+(34-H9),"")</f>
        <v>-83.283</v>
      </c>
      <c r="Q9" s="92"/>
      <c r="R9" s="22" t="s">
        <v>42</v>
      </c>
      <c r="S9" s="30" t="n">
        <v>0.01997</v>
      </c>
      <c r="T9" s="32"/>
      <c r="U9" s="93" t="n">
        <v>9</v>
      </c>
      <c r="V9" s="92"/>
      <c r="W9" s="92"/>
    </row>
    <row r="10" customFormat="false" ht="15" hidden="false" customHeight="false" outlineLevel="0" collapsed="false">
      <c r="A10" s="86" t="n">
        <v>9</v>
      </c>
      <c r="B10" s="86" t="s">
        <v>97</v>
      </c>
      <c r="C10" s="86" t="n">
        <v>23</v>
      </c>
      <c r="D10" s="51" t="n">
        <v>45070</v>
      </c>
      <c r="E10" s="51" t="n">
        <v>45071.256412037</v>
      </c>
      <c r="F10" s="2" t="n">
        <v>85375.591</v>
      </c>
      <c r="G10" s="2" t="n">
        <v>85416.517</v>
      </c>
      <c r="H10" s="3" t="n">
        <v>40.927</v>
      </c>
      <c r="I10" s="87" t="n">
        <f aca="false">IF($H10&gt;0,($I9+$H10),"")</f>
        <v>396.21</v>
      </c>
      <c r="J10" s="87" t="n">
        <f aca="false">IF(KWH&gt;0,$I10/$A10,"")</f>
        <v>44.0233333333333</v>
      </c>
      <c r="K10" s="88" t="n">
        <f aca="false">IF($H10&lt;&gt;"",(($H10*$T$7)+($A10*$T$8))*(1+$S$9),"")</f>
        <v>9.2788850269899</v>
      </c>
      <c r="L10" s="89" t="n">
        <f aca="false">IF($K10&lt;&gt;"",($K10+$L9),"")</f>
        <v>84.929407584777</v>
      </c>
      <c r="M10" s="90" t="n">
        <f aca="false">IF($H10&lt;&gt;"",$I10+($A$32-$A10)*$J10)</f>
        <v>1364.72333333333</v>
      </c>
      <c r="N10" s="90" t="n">
        <f aca="false">IF($M10&lt;&gt;"",IF($M10&gt;1000,(($M10*$T$7))*(1+$S$9)-100,($M10*$T$7)+($A10*$S$9)*(1+$S$9)),"")</f>
        <v>174.511756225343</v>
      </c>
      <c r="O10" s="91" t="n">
        <f aca="false">IF(I10&gt;=1000,"",(1000-I10))</f>
        <v>603.79</v>
      </c>
      <c r="P10" s="92" t="n">
        <f aca="false">IF($H10&gt;0,P9+(34-H10),"")</f>
        <v>-90.21</v>
      </c>
      <c r="Q10" s="92"/>
      <c r="R10" s="22" t="s">
        <v>46</v>
      </c>
      <c r="S10" s="25"/>
      <c r="T10" s="95" t="n">
        <v>100</v>
      </c>
      <c r="U10" s="93" t="n">
        <v>10</v>
      </c>
      <c r="V10" s="92"/>
      <c r="W10" s="92"/>
    </row>
    <row r="11" customFormat="false" ht="15" hidden="false" customHeight="false" outlineLevel="0" collapsed="false">
      <c r="A11" s="86" t="n">
        <v>10</v>
      </c>
      <c r="B11" s="86" t="s">
        <v>98</v>
      </c>
      <c r="C11" s="86" t="n">
        <v>22</v>
      </c>
      <c r="D11" s="51" t="n">
        <v>45071</v>
      </c>
      <c r="E11" s="51" t="n">
        <v>45072.3098611111</v>
      </c>
      <c r="F11" s="2" t="n">
        <v>85416.517</v>
      </c>
      <c r="G11" s="2" t="n">
        <v>85455.971</v>
      </c>
      <c r="H11" s="3" t="n">
        <v>39.45</v>
      </c>
      <c r="I11" s="87" t="n">
        <f aca="false">IF($H11&gt;0,($I10+$H11),"")</f>
        <v>435.66</v>
      </c>
      <c r="J11" s="87" t="n">
        <f aca="false">IF(KWH&gt;0,$I11/$A11,"")</f>
        <v>43.566</v>
      </c>
      <c r="K11" s="88" t="n">
        <f aca="false">IF($H11&lt;&gt;"",(($H11*$T$7)+($A11*$T$8))*(1+$S$9),"")</f>
        <v>9.098065591965</v>
      </c>
      <c r="L11" s="89" t="n">
        <f aca="false">IF($K11&lt;&gt;"",($K11+$L10),"")</f>
        <v>94.027473176742</v>
      </c>
      <c r="M11" s="90" t="n">
        <f aca="false">IF($H11&lt;&gt;"",$I11+($A$32-$A11)*$J11)</f>
        <v>1350.546</v>
      </c>
      <c r="N11" s="90" t="n">
        <f aca="false">IF($M11&lt;&gt;"",IF($M11&gt;1000,(($M11*$T$7))*(1+$S$9)-100,($M11*$T$7)+($A11*$S$9)*(1+$S$9)),"")</f>
        <v>171.6600099579</v>
      </c>
      <c r="O11" s="91" t="n">
        <f aca="false">IF(I11&gt;=1000,"",(1000-I11))</f>
        <v>564.34</v>
      </c>
      <c r="P11" s="92" t="n">
        <f aca="false">IF($H11&gt;0,P10+(34-H11),"")</f>
        <v>-95.66</v>
      </c>
      <c r="Q11" s="92"/>
      <c r="R11" s="22" t="s">
        <v>103</v>
      </c>
      <c r="S11" s="96" t="s">
        <v>104</v>
      </c>
      <c r="T11" s="32"/>
      <c r="U11" s="93" t="n">
        <v>11</v>
      </c>
      <c r="V11" s="92"/>
      <c r="W11" s="92"/>
    </row>
    <row r="12" customFormat="false" ht="15" hidden="false" customHeight="false" outlineLevel="0" collapsed="false">
      <c r="A12" s="86" t="n">
        <v>11</v>
      </c>
      <c r="B12" s="86" t="s">
        <v>99</v>
      </c>
      <c r="C12" s="86" t="n">
        <v>21</v>
      </c>
      <c r="D12" s="51" t="n">
        <v>45072</v>
      </c>
      <c r="E12" s="51" t="n">
        <v>45073.2553935185</v>
      </c>
      <c r="F12" s="2" t="n">
        <v>85455.971</v>
      </c>
      <c r="G12" s="2" t="n">
        <v>85504.166</v>
      </c>
      <c r="H12" s="3" t="n">
        <v>48.192</v>
      </c>
      <c r="I12" s="87" t="n">
        <f aca="false">IF($H12&gt;0,($I11+$H12),"")</f>
        <v>483.852</v>
      </c>
      <c r="J12" s="87" t="n">
        <f aca="false">IF(KWH&gt;0,$I12/$A12,"")</f>
        <v>43.9865454545455</v>
      </c>
      <c r="K12" s="88" t="n">
        <f aca="false">IF($H12&lt;&gt;"",(($H12*$T$7)+($A12*$T$8))*(1+$S$9),"")</f>
        <v>10.9727804680704</v>
      </c>
      <c r="L12" s="89" t="n">
        <f aca="false">IF($K12&lt;&gt;"",($K12+$L11),"")</f>
        <v>105.000253644812</v>
      </c>
      <c r="M12" s="90" t="n">
        <f aca="false">IF($H12&lt;&gt;"",$I12+($A$32-$A12)*$J12)</f>
        <v>1363.58290909091</v>
      </c>
      <c r="N12" s="90" t="n">
        <f aca="false">IF($M12&lt;&gt;"",IF($M12&gt;1000,(($M12*$T$7))*(1+$S$9)-100,($M12*$T$7)+($A12*$S$9)*(1+$S$9)),"")</f>
        <v>174.28236184629</v>
      </c>
      <c r="O12" s="91" t="n">
        <f aca="false">IF(I12&gt;=1000,"",(1000-I12))</f>
        <v>516.148</v>
      </c>
      <c r="P12" s="92" t="n">
        <f aca="false">IF($H12&gt;0,P11+(34-H12),"")</f>
        <v>-109.852</v>
      </c>
      <c r="Q12" s="92"/>
      <c r="R12" s="22" t="s">
        <v>49</v>
      </c>
      <c r="S12" s="33" t="n">
        <v>295</v>
      </c>
      <c r="T12" s="32"/>
      <c r="U12" s="93" t="n">
        <v>12</v>
      </c>
      <c r="V12" s="92"/>
      <c r="W12" s="92"/>
    </row>
    <row r="13" customFormat="false" ht="15" hidden="false" customHeight="false" outlineLevel="0" collapsed="false">
      <c r="A13" s="86" t="n">
        <v>12</v>
      </c>
      <c r="B13" s="86" t="s">
        <v>100</v>
      </c>
      <c r="C13" s="86" t="n">
        <v>20</v>
      </c>
      <c r="D13" s="51" t="n">
        <v>45073</v>
      </c>
      <c r="E13" s="51" t="n">
        <v>45074.2783912037</v>
      </c>
      <c r="F13" s="2" t="n">
        <v>85504.166</v>
      </c>
      <c r="G13" s="2" t="n">
        <v>85549.261</v>
      </c>
      <c r="H13" s="3" t="n">
        <v>45.093</v>
      </c>
      <c r="I13" s="87" t="n">
        <f aca="false">IF($H13&gt;0,($I12+$H13),"")</f>
        <v>528.945</v>
      </c>
      <c r="J13" s="87" t="n">
        <f aca="false">IF(KWH&gt;0,$I13/$A13,"")</f>
        <v>44.07875</v>
      </c>
      <c r="K13" s="88" t="n">
        <f aca="false">IF($H13&lt;&gt;"",(($H13*$T$7)+($A13*$T$8))*(1+$S$9),"")</f>
        <v>10.4656985168841</v>
      </c>
      <c r="L13" s="89" t="n">
        <f aca="false">IF($K13&lt;&gt;"",($K13+$L12),"")</f>
        <v>115.465952161697</v>
      </c>
      <c r="M13" s="90" t="n">
        <f aca="false">IF($H13&lt;&gt;"",$I13+($A$32-$A13)*$J13)</f>
        <v>1366.44125</v>
      </c>
      <c r="N13" s="90" t="n">
        <f aca="false">IF($M13&lt;&gt;"",IF($M13&gt;1000,(($M13*$T$7))*(1+$S$9)-100,($M13*$T$7)+($A13*$S$9)*(1+$S$9)),"")</f>
        <v>174.857312214383</v>
      </c>
      <c r="O13" s="91" t="n">
        <f aca="false">IF(I13&gt;=1000,"",(1000-I13))</f>
        <v>471.055</v>
      </c>
      <c r="P13" s="92" t="n">
        <f aca="false">IF($H13&gt;0,P12+(34-H13),"")</f>
        <v>-120.945</v>
      </c>
      <c r="Q13" s="92"/>
      <c r="R13" s="22" t="s">
        <v>52</v>
      </c>
      <c r="S13" s="97" t="n">
        <v>267.942941864848</v>
      </c>
      <c r="T13" s="32"/>
      <c r="U13" s="98"/>
      <c r="V13" s="92"/>
      <c r="W13" s="92"/>
    </row>
    <row r="14" customFormat="false" ht="15" hidden="false" customHeight="false" outlineLevel="0" collapsed="false">
      <c r="A14" s="86" t="n">
        <v>13</v>
      </c>
      <c r="B14" s="86" t="s">
        <v>101</v>
      </c>
      <c r="C14" s="86" t="n">
        <v>19</v>
      </c>
      <c r="D14" s="51" t="n">
        <v>45074</v>
      </c>
      <c r="E14" s="51" t="n">
        <v>45075.2555555556</v>
      </c>
      <c r="F14" s="2" t="n">
        <v>85549.261</v>
      </c>
      <c r="G14" s="2" t="n">
        <v>85588.504</v>
      </c>
      <c r="H14" s="3" t="n">
        <v>39.242</v>
      </c>
      <c r="I14" s="87" t="n">
        <f aca="false">IF($H14&gt;0,($I13+$H14),"")</f>
        <v>568.187</v>
      </c>
      <c r="J14" s="87" t="n">
        <f aca="false">IF(KWH&gt;0,$I14/$A14,"")</f>
        <v>43.7066923076923</v>
      </c>
      <c r="K14" s="88" t="n">
        <f aca="false">IF($H14&lt;&gt;"",(($H14*$T$7)+($A14*$T$8))*(1+$S$9),"")</f>
        <v>9.4050564889554</v>
      </c>
      <c r="L14" s="89" t="n">
        <f aca="false">IF($K14&lt;&gt;"",($K14+$L13),"")</f>
        <v>124.871008650652</v>
      </c>
      <c r="M14" s="90" t="n">
        <f aca="false">IF($H14&lt;&gt;"",$I14+($A$32-$A14)*$J14)</f>
        <v>1354.90746153846</v>
      </c>
      <c r="N14" s="90" t="n">
        <f aca="false">IF($M14&lt;&gt;"",IF($M14&gt;1000,(($M14*$T$7))*(1+$S$9)-100,($M14*$T$7)+($A14*$S$9)*(1+$S$9)),"")</f>
        <v>172.537310460785</v>
      </c>
      <c r="O14" s="91" t="n">
        <f aca="false">IF(I14&gt;=1000,"",(1000-I14))</f>
        <v>431.813</v>
      </c>
      <c r="P14" s="92" t="n">
        <f aca="false">IF($H14&gt;0,P13+(34-H14),"")</f>
        <v>-126.187</v>
      </c>
      <c r="Q14" s="92"/>
      <c r="R14" s="22" t="s">
        <v>55</v>
      </c>
      <c r="S14" s="99" t="n">
        <v>1063.267</v>
      </c>
      <c r="T14" s="32"/>
      <c r="U14" s="98"/>
      <c r="V14" s="92"/>
      <c r="W14" s="92"/>
    </row>
    <row r="15" customFormat="false" ht="15" hidden="false" customHeight="false" outlineLevel="0" collapsed="false">
      <c r="A15" s="86" t="n">
        <v>14</v>
      </c>
      <c r="B15" s="86" t="s">
        <v>102</v>
      </c>
      <c r="C15" s="86" t="n">
        <v>18</v>
      </c>
      <c r="D15" s="51" t="n">
        <v>45075</v>
      </c>
      <c r="E15" s="51" t="n">
        <v>45076.2564814815</v>
      </c>
      <c r="F15" s="2" t="n">
        <v>85588.504</v>
      </c>
      <c r="G15" s="2" t="n">
        <v>85628.822</v>
      </c>
      <c r="H15" s="3" t="n">
        <v>40.319</v>
      </c>
      <c r="I15" s="87" t="n">
        <f aca="false">IF($H15&gt;0,($I14+$H15),"")</f>
        <v>608.506</v>
      </c>
      <c r="J15" s="87" t="n">
        <f aca="false">IF(KWH&gt;0,$I15/$A15,"")</f>
        <v>43.4647142857143</v>
      </c>
      <c r="K15" s="88" t="n">
        <f aca="false">IF($H15&lt;&gt;"",(($H15*$T$7)+($A15*$T$8))*(1+$S$9),"")</f>
        <v>9.7379697705003</v>
      </c>
      <c r="L15" s="89" t="n">
        <f aca="false">IF($K15&lt;&gt;"",($K15+$L14),"")</f>
        <v>134.608978421152</v>
      </c>
      <c r="M15" s="90" t="n">
        <f aca="false">IF($H15&lt;&gt;"",$I15+($A$32-$A15)*$J15)</f>
        <v>1347.40614285714</v>
      </c>
      <c r="N15" s="90" t="n">
        <f aca="false">IF($M15&lt;&gt;"",IF($M15&gt;1000,(($M15*$T$7))*(1+$S$9)-100,($M15*$T$7)+($A15*$S$9)*(1+$S$9)),"")</f>
        <v>171.028433082551</v>
      </c>
      <c r="O15" s="91" t="n">
        <f aca="false">IF(I15&gt;=1000,"",(1000-I15))</f>
        <v>391.494</v>
      </c>
      <c r="P15" s="92" t="n">
        <f aca="false">IF($H15&gt;0,P14+(34-H15),"")</f>
        <v>-132.506</v>
      </c>
      <c r="Q15" s="92"/>
      <c r="R15" s="40" t="s">
        <v>58</v>
      </c>
      <c r="S15" s="100" t="n">
        <v>35.4422333333333</v>
      </c>
      <c r="T15" s="101"/>
      <c r="V15" s="92"/>
      <c r="W15" s="92"/>
    </row>
    <row r="16" customFormat="false" ht="15" hidden="false" customHeight="false" outlineLevel="0" collapsed="false">
      <c r="A16" s="86" t="n">
        <v>15</v>
      </c>
      <c r="B16" s="86" t="s">
        <v>96</v>
      </c>
      <c r="C16" s="86" t="n">
        <v>17</v>
      </c>
      <c r="D16" s="51" t="n">
        <v>45076</v>
      </c>
      <c r="E16" s="51" t="n">
        <v>45077.2578356481</v>
      </c>
      <c r="F16" s="2" t="n">
        <v>85628.822</v>
      </c>
      <c r="G16" s="2" t="n">
        <v>85673.952</v>
      </c>
      <c r="H16" s="3" t="n">
        <v>45.133</v>
      </c>
      <c r="I16" s="87" t="n">
        <f aca="false">IF($H16&gt;0,($I15+$H16),"")</f>
        <v>653.639</v>
      </c>
      <c r="J16" s="87" t="n">
        <f aca="false">IF(KWH&gt;0,$I16/$A16,"")</f>
        <v>43.5759333333333</v>
      </c>
      <c r="K16" s="88" t="n">
        <f aca="false">IF($H16&lt;&gt;"",(($H16*$T$7)+($A16*$T$8))*(1+$S$9),"")</f>
        <v>10.8225741882321</v>
      </c>
      <c r="L16" s="89" t="n">
        <f aca="false">IF($K16&lt;&gt;"",($K16+$L15),"")</f>
        <v>145.431552609384</v>
      </c>
      <c r="M16" s="90" t="n">
        <f aca="false">IF($H16&lt;&gt;"",$I16+($A$32-$A16)*$J16)</f>
        <v>1350.85393333333</v>
      </c>
      <c r="N16" s="90" t="n">
        <f aca="false">IF($M16&lt;&gt;"",IF($M16&gt;1000,(($M16*$T$7))*(1+$S$9)-100,($M16*$T$7)+($A16*$S$9)*(1+$S$9)),"")</f>
        <v>171.721950219394</v>
      </c>
      <c r="O16" s="91" t="n">
        <f aca="false">IF(I16&gt;=1000,"",(1000-I16))</f>
        <v>346.361</v>
      </c>
      <c r="P16" s="92" t="n">
        <f aca="false">IF($H16&gt;0,P15+(34-H16),"")</f>
        <v>-143.639</v>
      </c>
      <c r="Q16" s="92"/>
      <c r="R16" s="102"/>
      <c r="S16" s="102"/>
      <c r="T16" s="102"/>
      <c r="U16" s="102"/>
      <c r="V16" s="92"/>
      <c r="W16" s="92"/>
    </row>
    <row r="17" customFormat="false" ht="15" hidden="false" customHeight="false" outlineLevel="0" collapsed="false">
      <c r="A17" s="86" t="n">
        <v>16</v>
      </c>
      <c r="B17" s="86" t="s">
        <v>97</v>
      </c>
      <c r="C17" s="86" t="n">
        <v>16</v>
      </c>
      <c r="D17" s="51" t="n">
        <v>45077</v>
      </c>
      <c r="E17" s="51" t="n">
        <v>45078.2567361111</v>
      </c>
      <c r="F17" s="2" t="n">
        <v>85673.952</v>
      </c>
      <c r="G17" s="2" t="n">
        <v>85717.602</v>
      </c>
      <c r="H17" s="3" t="n">
        <v>43.652</v>
      </c>
      <c r="I17" s="87" t="n">
        <f aca="false">IF($H17&gt;0,($I16+$H17),"")</f>
        <v>697.291</v>
      </c>
      <c r="J17" s="87" t="n">
        <f aca="false">IF(KWH&gt;0,$I17/$A17,"")</f>
        <v>43.5806875</v>
      </c>
      <c r="K17" s="88" t="n">
        <f aca="false">IF($H17&lt;&gt;"",(($H17*$T$7)+($A17*$T$8))*(1+$S$9),"")</f>
        <v>10.6409501600724</v>
      </c>
      <c r="L17" s="89" t="n">
        <f aca="false">IF($K17&lt;&gt;"",($K17+$L16),"")</f>
        <v>156.072502769457</v>
      </c>
      <c r="M17" s="90" t="n">
        <f aca="false">IF($H17&lt;&gt;"",$I17+($A$32-$A17)*$J17)</f>
        <v>1351.0013125</v>
      </c>
      <c r="N17" s="90" t="n">
        <f aca="false">IF($M17&lt;&gt;"",IF($M17&gt;1000,(($M17*$T$7))*(1+$S$9)-100,($M17*$T$7)+($A17*$S$9)*(1+$S$9)),"")</f>
        <v>171.751595285822</v>
      </c>
      <c r="O17" s="91" t="n">
        <f aca="false">IF(I17&gt;=1000,"",(1000-I17))</f>
        <v>302.709</v>
      </c>
      <c r="P17" s="92" t="n">
        <f aca="false">IF($H17&gt;0,P16+(34-H17),"")</f>
        <v>-153.291</v>
      </c>
      <c r="Q17" s="92"/>
      <c r="R17" s="102"/>
      <c r="S17" s="102"/>
      <c r="T17" s="102"/>
      <c r="U17" s="102"/>
      <c r="V17" s="92"/>
      <c r="W17" s="92"/>
    </row>
    <row r="18" customFormat="false" ht="15" hidden="false" customHeight="false" outlineLevel="0" collapsed="false">
      <c r="A18" s="86" t="n">
        <v>17</v>
      </c>
      <c r="B18" s="86" t="s">
        <v>98</v>
      </c>
      <c r="C18" s="86" t="n">
        <v>15</v>
      </c>
      <c r="D18" s="51" t="n">
        <v>45078</v>
      </c>
      <c r="E18" s="51" t="n">
        <v>45079.2580324074</v>
      </c>
      <c r="F18" s="2" t="n">
        <v>85717.602</v>
      </c>
      <c r="G18" s="2" t="n">
        <v>85762.609</v>
      </c>
      <c r="H18" s="3" t="n">
        <v>45.006</v>
      </c>
      <c r="I18" s="87" t="n">
        <f aca="false">IF($H18&gt;0,($I17+$H18),"")</f>
        <v>742.297</v>
      </c>
      <c r="J18" s="87" t="n">
        <f aca="false">IF(KWH&gt;0,$I18/$A18,"")</f>
        <v>43.6645294117647</v>
      </c>
      <c r="K18" s="88" t="n">
        <f aca="false">IF($H18&lt;&gt;"",(($H18*$T$7)+($A18*$T$8))*(1+$S$9),"")</f>
        <v>11.0295815162022</v>
      </c>
      <c r="L18" s="89" t="n">
        <f aca="false">IF($K18&lt;&gt;"",($K18+$L17),"")</f>
        <v>167.102084285659</v>
      </c>
      <c r="M18" s="90" t="n">
        <f aca="false">IF($H18&lt;&gt;"",$I18+($A$32-$A18)*$J18)</f>
        <v>1353.60041176471</v>
      </c>
      <c r="N18" s="90" t="n">
        <f aca="false">IF($M18&lt;&gt;"",IF($M18&gt;1000,(($M18*$T$7))*(1+$S$9)-100,($M18*$T$7)+($A18*$S$9)*(1+$S$9)),"")</f>
        <v>172.274399642084</v>
      </c>
      <c r="O18" s="91" t="n">
        <f aca="false">IF(I18&gt;=1000,"",(1000-I18))</f>
        <v>257.703</v>
      </c>
      <c r="P18" s="92" t="n">
        <f aca="false">IF($H18&gt;0,P17+(34-H18),"")</f>
        <v>-164.297</v>
      </c>
      <c r="Q18" s="92"/>
      <c r="R18" s="29" t="s">
        <v>105</v>
      </c>
      <c r="S18" s="102"/>
      <c r="T18" s="103" t="n">
        <f aca="false">(1000-I19)/J19+A19</f>
        <v>22.7739420555001</v>
      </c>
      <c r="U18" s="102"/>
      <c r="V18" s="92"/>
      <c r="W18" s="92"/>
    </row>
    <row r="19" customFormat="false" ht="15" hidden="false" customHeight="false" outlineLevel="0" collapsed="false">
      <c r="A19" s="86" t="n">
        <v>18</v>
      </c>
      <c r="B19" s="86" t="s">
        <v>99</v>
      </c>
      <c r="C19" s="86" t="n">
        <v>14</v>
      </c>
      <c r="D19" s="51" t="n">
        <v>45079</v>
      </c>
      <c r="E19" s="51" t="n">
        <v>45080.2558217593</v>
      </c>
      <c r="F19" s="2" t="n">
        <v>85762.609</v>
      </c>
      <c r="G19" s="2" t="n">
        <v>85810.687</v>
      </c>
      <c r="H19" s="3" t="n">
        <v>48.08</v>
      </c>
      <c r="I19" s="87" t="n">
        <f aca="false">IF($H19&gt;0,($I18+$H19),"")</f>
        <v>790.377</v>
      </c>
      <c r="J19" s="87" t="n">
        <f aca="false">IF(KWH&gt;0,$I19/$A19,"")</f>
        <v>43.9098333333333</v>
      </c>
      <c r="K19" s="88" t="n">
        <f aca="false">IF($H19&lt;&gt;"",(($H19*$T$7)+($A19*$T$8))*(1+$S$9),"")</f>
        <v>11.764187920296</v>
      </c>
      <c r="L19" s="89" t="n">
        <f aca="false">IF($K19&lt;&gt;"",($K19+$L18),"")</f>
        <v>178.866272205955</v>
      </c>
      <c r="M19" s="90" t="n">
        <f aca="false">IF($H19&lt;&gt;"",$I19+($A$32-$A19)*$J19)</f>
        <v>1361.20483333333</v>
      </c>
      <c r="N19" s="90" t="n">
        <f aca="false">IF($M19&lt;&gt;"",IF($M19&gt;1000,(($M19*$T$7))*(1+$S$9)-100,($M19*$T$7)+($A19*$S$9)*(1+$S$9)),"")</f>
        <v>173.804015989145</v>
      </c>
      <c r="O19" s="91" t="n">
        <f aca="false">IF(I19&gt;=1000,"",(1000-I19))</f>
        <v>209.623</v>
      </c>
      <c r="P19" s="92" t="n">
        <f aca="false">IF($H19&gt;0,P18+(34-H19),"")</f>
        <v>-178.377</v>
      </c>
      <c r="Q19" s="92"/>
      <c r="R19" s="102"/>
      <c r="S19" s="102"/>
      <c r="T19" s="102"/>
      <c r="U19" s="102"/>
      <c r="V19" s="92"/>
      <c r="W19" s="92"/>
    </row>
    <row r="20" customFormat="false" ht="15" hidden="false" customHeight="false" outlineLevel="0" collapsed="false">
      <c r="A20" s="86" t="n">
        <v>19</v>
      </c>
      <c r="B20" s="86" t="s">
        <v>100</v>
      </c>
      <c r="C20" s="86" t="n">
        <v>13</v>
      </c>
      <c r="D20" s="51" t="n">
        <v>45080</v>
      </c>
      <c r="E20" s="51" t="n">
        <v>45081.2761921296</v>
      </c>
      <c r="F20" s="2" t="n">
        <v>85810.687</v>
      </c>
      <c r="G20" s="2" t="n">
        <v>85854.35</v>
      </c>
      <c r="H20" s="3" t="n">
        <v>43.664</v>
      </c>
      <c r="I20" s="87" t="n">
        <f aca="false">IF($H20&gt;0,($I19+$H20),"")</f>
        <v>834.041</v>
      </c>
      <c r="J20" s="87" t="n">
        <f aca="false">IF(KWH&gt;0,$I20/$A20,"")</f>
        <v>43.8968947368421</v>
      </c>
      <c r="K20" s="88" t="n">
        <f aca="false">IF($H20&lt;&gt;"",(($H20*$T$7)+($A20*$T$8))*(1+$S$9),"")</f>
        <v>10.9921936794768</v>
      </c>
      <c r="L20" s="89" t="n">
        <f aca="false">IF($K20&lt;&gt;"",($K20+$L19),"")</f>
        <v>189.858465885432</v>
      </c>
      <c r="M20" s="90" t="n">
        <f aca="false">IF($H20&lt;&gt;"",$I20+($A$32-$A20)*$J20)</f>
        <v>1360.80373684211</v>
      </c>
      <c r="N20" s="90" t="n">
        <f aca="false">IF($M20&lt;&gt;"",IF($M20&gt;1000,(($M20*$T$7))*(1+$S$9)-100,($M20*$T$7)+($A20*$S$9)*(1+$S$9)),"")</f>
        <v>173.723336118336</v>
      </c>
      <c r="O20" s="91" t="n">
        <f aca="false">IF(I20&gt;=1000,"",(1000-I20))</f>
        <v>165.959</v>
      </c>
      <c r="P20" s="92" t="n">
        <f aca="false">IF($H20&gt;0,P19+(34-H20),"")</f>
        <v>-188.041</v>
      </c>
      <c r="Q20" s="92"/>
      <c r="R20" s="102"/>
      <c r="S20" s="102"/>
      <c r="T20" s="102"/>
      <c r="U20" s="102"/>
      <c r="V20" s="92"/>
      <c r="W20" s="92"/>
    </row>
    <row r="21" customFormat="false" ht="15" hidden="false" customHeight="false" outlineLevel="0" collapsed="false">
      <c r="A21" s="86" t="n">
        <v>20</v>
      </c>
      <c r="B21" s="86" t="s">
        <v>101</v>
      </c>
      <c r="C21" s="86" t="n">
        <v>12</v>
      </c>
      <c r="D21" s="51" t="n">
        <v>45081</v>
      </c>
      <c r="E21" s="51" t="n">
        <v>45082.2562152778</v>
      </c>
      <c r="F21" s="2" t="n">
        <v>85854.35</v>
      </c>
      <c r="G21" s="2" t="n">
        <v>85888.766</v>
      </c>
      <c r="H21" s="3" t="n">
        <v>34.418</v>
      </c>
      <c r="I21" s="87" t="n">
        <f aca="false">IF($H21&gt;0,($I20+$H21),"")</f>
        <v>868.459</v>
      </c>
      <c r="J21" s="87" t="n">
        <f aca="false">IF(KWH&gt;0,$I21/$A21,"")</f>
        <v>43.42295</v>
      </c>
      <c r="K21" s="88" t="n">
        <f aca="false">IF($H21&lt;&gt;"",(($H21*$T$7)+($A21*$T$8))*(1+$S$9),"")</f>
        <v>9.2486532283866</v>
      </c>
      <c r="L21" s="89" t="n">
        <f aca="false">IF($K21&lt;&gt;"",($K21+$L20),"")</f>
        <v>199.107119113818</v>
      </c>
      <c r="M21" s="90" t="n">
        <f aca="false">IF($H21&lt;&gt;"",$I21+($A$32-$A21)*$J21)</f>
        <v>1346.11145</v>
      </c>
      <c r="N21" s="90" t="n">
        <f aca="false">IF($M21&lt;&gt;"",IF($M21&gt;1000,(($M21*$T$7))*(1+$S$9)-100,($M21*$T$7)+($A21*$S$9)*(1+$S$9)),"")</f>
        <v>170.768007836418</v>
      </c>
      <c r="O21" s="91" t="n">
        <f aca="false">IF(I21&gt;=1000,"",(1000-I21))</f>
        <v>131.541</v>
      </c>
      <c r="P21" s="92" t="n">
        <f aca="false">IF($H21&gt;0,P20+(34-H21),"")</f>
        <v>-188.459</v>
      </c>
      <c r="Q21" s="92"/>
      <c r="R21" s="102" t="s">
        <v>106</v>
      </c>
      <c r="S21" s="102"/>
      <c r="T21" s="102"/>
      <c r="U21" s="102"/>
      <c r="V21" s="92"/>
      <c r="W21" s="92"/>
    </row>
    <row r="22" customFormat="false" ht="15" hidden="false" customHeight="false" outlineLevel="0" collapsed="false">
      <c r="A22" s="86" t="n">
        <v>21</v>
      </c>
      <c r="B22" s="86" t="s">
        <v>102</v>
      </c>
      <c r="C22" s="86" t="n">
        <v>11</v>
      </c>
      <c r="D22" s="51" t="n">
        <v>45082</v>
      </c>
      <c r="E22" s="51" t="n">
        <v>45083.3061574074</v>
      </c>
      <c r="F22" s="2" t="n">
        <v>85888.766</v>
      </c>
      <c r="G22" s="2" t="n">
        <v>85925.849</v>
      </c>
      <c r="H22" s="3" t="n">
        <v>37.086</v>
      </c>
      <c r="I22" s="87" t="n">
        <f aca="false">IF($H22&gt;0,($I21+$H22),"")</f>
        <v>905.545</v>
      </c>
      <c r="J22" s="87" t="n">
        <f aca="false">IF(KWH&gt;0,$I22/$A22,"")</f>
        <v>43.1211904761905</v>
      </c>
      <c r="K22" s="88" t="n">
        <f aca="false">IF($H22&lt;&gt;"",(($H22*$T$7)+($A22*$T$8))*(1+$S$9),"")</f>
        <v>9.9015934292982</v>
      </c>
      <c r="L22" s="89" t="n">
        <f aca="false">IF($K22&lt;&gt;"",($K22+$L21),"")</f>
        <v>209.008712543117</v>
      </c>
      <c r="M22" s="90" t="n">
        <f aca="false">IF($H22&lt;&gt;"",$I22+($A$32-$A22)*$J22)</f>
        <v>1336.75690476191</v>
      </c>
      <c r="N22" s="90" t="n">
        <f aca="false">IF($M22&lt;&gt;"",IF($M22&gt;1000,(($M22*$T$7))*(1+$S$9)-100,($M22*$T$7)+($A22*$S$9)*(1+$S$9)),"")</f>
        <v>168.886357116982</v>
      </c>
      <c r="O22" s="91" t="n">
        <f aca="false">IF(I22&gt;=1000,"",(1000-I22))</f>
        <v>94.4549999999999</v>
      </c>
      <c r="P22" s="92" t="n">
        <f aca="false">IF($H22&gt;0,P21+(34-H22),"")</f>
        <v>-191.545</v>
      </c>
      <c r="Q22" s="92"/>
      <c r="R22" s="102"/>
      <c r="S22" s="102"/>
      <c r="T22" s="102"/>
      <c r="U22" s="102"/>
      <c r="V22" s="92"/>
      <c r="W22" s="92"/>
    </row>
    <row r="23" customFormat="false" ht="15" hidden="false" customHeight="false" outlineLevel="0" collapsed="false">
      <c r="A23" s="86" t="n">
        <v>22</v>
      </c>
      <c r="B23" s="86" t="s">
        <v>96</v>
      </c>
      <c r="C23" s="86" t="n">
        <v>10</v>
      </c>
      <c r="D23" s="51" t="n">
        <v>45083</v>
      </c>
      <c r="E23" s="51" t="n">
        <v>45084.2581828704</v>
      </c>
      <c r="F23" s="2" t="n">
        <v>85925.849</v>
      </c>
      <c r="G23" s="2" t="n">
        <v>85964.665</v>
      </c>
      <c r="H23" s="3" t="n">
        <v>38.815</v>
      </c>
      <c r="I23" s="87" t="n">
        <f aca="false">IF($H23&gt;0,($I22+$H23),"")</f>
        <v>944.36</v>
      </c>
      <c r="J23" s="87" t="n">
        <f aca="false">IF(KWH&gt;0,$I23/$A23,"")</f>
        <v>42.9254545454546</v>
      </c>
      <c r="K23" s="88" t="n">
        <f aca="false">IF($H23&lt;&gt;"",(($H23*$T$7)+($A23*$T$8))*(1+$S$9),"")</f>
        <v>10.3656553918155</v>
      </c>
      <c r="L23" s="89" t="n">
        <f aca="false">IF($K23&lt;&gt;"",($K23+$L22),"")</f>
        <v>219.374367934932</v>
      </c>
      <c r="M23" s="90" t="n">
        <f aca="false">IF($H23&lt;&gt;"",$I23+($A$32-$A23)*$J23)</f>
        <v>1330.68909090909</v>
      </c>
      <c r="N23" s="90" t="n">
        <f aca="false">IF($M23&lt;&gt;"",IF($M23&gt;1000,(($M23*$T$7))*(1+$S$9)-100,($M23*$T$7)+($A23*$S$9)*(1+$S$9)),"")</f>
        <v>167.665826774677</v>
      </c>
      <c r="O23" s="91" t="n">
        <f aca="false">IF(I23&gt;=1000,"",(1000-I23))</f>
        <v>55.6399999999999</v>
      </c>
      <c r="P23" s="92" t="n">
        <f aca="false">IF($H23&gt;0,P22+(34-H23),"")</f>
        <v>-196.36</v>
      </c>
      <c r="Q23" s="92"/>
      <c r="R23" s="102"/>
      <c r="S23" s="102"/>
      <c r="T23" s="102"/>
      <c r="U23" s="102"/>
      <c r="V23" s="92"/>
      <c r="W23" s="92"/>
    </row>
    <row r="24" customFormat="false" ht="15" hidden="false" customHeight="false" outlineLevel="0" collapsed="false">
      <c r="A24" s="86" t="n">
        <v>23</v>
      </c>
      <c r="B24" s="86" t="s">
        <v>97</v>
      </c>
      <c r="C24" s="86" t="n">
        <v>9</v>
      </c>
      <c r="D24" s="51" t="n">
        <v>45084</v>
      </c>
      <c r="E24" s="51" t="n">
        <v>45085.3062615741</v>
      </c>
      <c r="F24" s="2" t="n">
        <v>85964.665</v>
      </c>
      <c r="G24" s="2" t="n">
        <v>86017.118</v>
      </c>
      <c r="H24" s="3" t="n">
        <v>52.454</v>
      </c>
      <c r="I24" s="87" t="n">
        <f aca="false">IF($H24&gt;0,($I23+$H24),"")</f>
        <v>996.814</v>
      </c>
      <c r="J24" s="87" t="n">
        <f aca="false">IF(KWH&gt;0,$I24/$A24,"")</f>
        <v>43.3397391304348</v>
      </c>
      <c r="K24" s="88" t="n">
        <f aca="false">IF($H24&lt;&gt;"",(($H24*$T$7)+($A24*$T$8))*(1+$S$9),"")</f>
        <v>13.2253934131998</v>
      </c>
      <c r="L24" s="89" t="n">
        <f aca="false">IF($K24&lt;&gt;"",($K24+$L23),"")</f>
        <v>232.599761348132</v>
      </c>
      <c r="M24" s="90" t="n">
        <f aca="false">IF($H24&lt;&gt;"",$I24+($A$32-$A24)*$J24)</f>
        <v>1343.53191304348</v>
      </c>
      <c r="N24" s="90" t="n">
        <f aca="false">IF($M24&lt;&gt;"",IF($M24&gt;1000,(($M24*$T$7))*(1+$S$9)-100,($M24*$T$7)+($A24*$S$9)*(1+$S$9)),"")</f>
        <v>170.249138404873</v>
      </c>
      <c r="O24" s="91" t="n">
        <f aca="false">IF(I24&gt;=1000,"",(1000-I24))</f>
        <v>3.18599999999992</v>
      </c>
      <c r="P24" s="92" t="n">
        <f aca="false">IF($H24&gt;0,P23+(34-H24),"")</f>
        <v>-214.814</v>
      </c>
      <c r="Q24" s="92"/>
      <c r="R24" s="102" t="s">
        <v>107</v>
      </c>
      <c r="S24" s="102"/>
      <c r="T24" s="102"/>
      <c r="U24" s="102"/>
      <c r="V24" s="92"/>
      <c r="W24" s="92"/>
    </row>
    <row r="25" customFormat="false" ht="15" hidden="false" customHeight="false" outlineLevel="0" collapsed="false">
      <c r="A25" s="86" t="n">
        <v>24</v>
      </c>
      <c r="B25" s="86" t="s">
        <v>98</v>
      </c>
      <c r="C25" s="86" t="n">
        <v>8</v>
      </c>
      <c r="D25" s="51" t="n">
        <v>45085</v>
      </c>
      <c r="E25" s="51" t="n">
        <v>45086.30375</v>
      </c>
      <c r="F25" s="2" t="n">
        <v>86017.118</v>
      </c>
      <c r="G25" s="2" t="n">
        <v>86056.464</v>
      </c>
      <c r="H25" s="3" t="n">
        <v>39.344</v>
      </c>
      <c r="I25" s="87" t="n">
        <f aca="false">IF($H25&gt;0,($I24+$H25),"")</f>
        <v>1036.158</v>
      </c>
      <c r="J25" s="87" t="n">
        <f aca="false">IF(KWH&gt;0,$I25/$A25,"")</f>
        <v>43.17325</v>
      </c>
      <c r="K25" s="88" t="n">
        <f aca="false">IF($H25&lt;&gt;"",(($H25*$T$7)+($A25*$T$8))*(1+$S$9),"")</f>
        <v>10.7046159938928</v>
      </c>
      <c r="L25" s="89" t="n">
        <f aca="false">IF($K25&lt;&gt;"",($K25+$L24),"")</f>
        <v>243.304377342025</v>
      </c>
      <c r="M25" s="90" t="n">
        <f aca="false">IF($H25&lt;&gt;"",$I25+($A$32-$A25)*$J25)</f>
        <v>1338.37075</v>
      </c>
      <c r="N25" s="90" t="n">
        <f aca="false">IF($M25&lt;&gt;"",IF($M25&gt;1000,(($M25*$T$7))*(1+$S$9)-100,($M25*$T$7)+($A25*$S$9)*(1+$S$9)),"")</f>
        <v>169.210979316782</v>
      </c>
      <c r="O25" s="91" t="str">
        <f aca="false">IF(I25&gt;=1000,"",(1000-I25))</f>
        <v/>
      </c>
      <c r="P25" s="92" t="n">
        <f aca="false">IF($H25&gt;0,P24+(34-H25),"")</f>
        <v>-220.158</v>
      </c>
      <c r="Q25" s="92"/>
      <c r="R25" s="104"/>
      <c r="S25" s="105"/>
      <c r="T25" s="102"/>
      <c r="U25" s="102"/>
      <c r="V25" s="92"/>
      <c r="W25" s="92"/>
    </row>
    <row r="26" customFormat="false" ht="15" hidden="false" customHeight="false" outlineLevel="0" collapsed="false">
      <c r="A26" s="86" t="n">
        <v>25</v>
      </c>
      <c r="B26" s="86" t="s">
        <v>99</v>
      </c>
      <c r="C26" s="86" t="n">
        <v>7</v>
      </c>
      <c r="D26" s="51" t="n">
        <v>45086</v>
      </c>
      <c r="E26" s="51" t="n">
        <v>45087.2555555556</v>
      </c>
      <c r="F26" s="2" t="n">
        <v>86056.464</v>
      </c>
      <c r="G26" s="2" t="n">
        <v>86107.054</v>
      </c>
      <c r="H26" s="3" t="n">
        <v>50.585</v>
      </c>
      <c r="I26" s="87" t="n">
        <f aca="false">IF($H26&gt;0,($I25+$H26),"")</f>
        <v>1086.743</v>
      </c>
      <c r="J26" s="87" t="n">
        <f aca="false">IF(KWH&gt;0,$I26/$A26,"")</f>
        <v>43.46972</v>
      </c>
      <c r="K26" s="88" t="n">
        <f aca="false">IF($H26&lt;&gt;"",(($H26*$T$7)+($A26*$T$8))*(1+$S$9),"")</f>
        <v>13.0820004309645</v>
      </c>
      <c r="L26" s="89" t="n">
        <f aca="false">IF($K26&lt;&gt;"",($K26+$L25),"")</f>
        <v>256.386377772989</v>
      </c>
      <c r="M26" s="90" t="n">
        <f aca="false">IF($H26&lt;&gt;"",$I26+($A$32-$A26)*$J26)</f>
        <v>1347.56132</v>
      </c>
      <c r="N26" s="90" t="n">
        <f aca="false">IF($M26&lt;&gt;"",IF($M26&gt;1000,(($M26*$T$7))*(1+$S$9)-100,($M26*$T$7)+($A26*$S$9)*(1+$S$9)),"")</f>
        <v>171.059646698507</v>
      </c>
      <c r="O26" s="91" t="str">
        <f aca="false">IF(I26&gt;=1000,"",(1000-I26))</f>
        <v/>
      </c>
      <c r="P26" s="92" t="n">
        <f aca="false">IF($H26&gt;0,P25+(34-H26),"")</f>
        <v>-236.743</v>
      </c>
      <c r="Q26" s="92"/>
      <c r="R26" s="106"/>
      <c r="S26" s="105"/>
      <c r="T26" s="102"/>
      <c r="U26" s="102"/>
      <c r="V26" s="92"/>
      <c r="W26" s="92"/>
    </row>
    <row r="27" customFormat="false" ht="15" hidden="false" customHeight="false" outlineLevel="0" collapsed="false">
      <c r="A27" s="86" t="n">
        <v>26</v>
      </c>
      <c r="B27" s="86" t="s">
        <v>100</v>
      </c>
      <c r="C27" s="86" t="n">
        <v>6</v>
      </c>
      <c r="D27" s="51" t="n">
        <v>45087</v>
      </c>
      <c r="E27" s="51" t="n">
        <v>45088.2746643519</v>
      </c>
      <c r="F27" s="2" t="n">
        <v>86107.054</v>
      </c>
      <c r="G27" s="2" t="n">
        <v>86160.736</v>
      </c>
      <c r="H27" s="3" t="n">
        <v>53.681</v>
      </c>
      <c r="I27" s="87" t="n">
        <f aca="false">IF($H27&gt;0,($I26+$H27),"")</f>
        <v>1140.424</v>
      </c>
      <c r="J27" s="87" t="n">
        <f aca="false">IF(KWH&gt;0,$I27/$A27,"")</f>
        <v>43.8624615384615</v>
      </c>
      <c r="K27" s="88" t="n">
        <f aca="false">IF($H27&lt;&gt;"",(($H27*$T$7)+($A27*$T$8))*(1+$S$9),"")</f>
        <v>13.8210320972997</v>
      </c>
      <c r="L27" s="89" t="n">
        <f aca="false">IF($K27&lt;&gt;"",($K27+$L26),"")</f>
        <v>270.207409870289</v>
      </c>
      <c r="M27" s="90" t="n">
        <f aca="false">IF($H27&lt;&gt;"",$I27+($A$32-$A27)*$J27)</f>
        <v>1359.73630769231</v>
      </c>
      <c r="N27" s="90" t="n">
        <f aca="false">IF($M27&lt;&gt;"",IF($M27&gt;1000,(($M27*$T$7))*(1+$S$9)-100,($M27*$T$7)+($A27*$S$9)*(1+$S$9)),"")</f>
        <v>173.508624576883</v>
      </c>
      <c r="O27" s="91" t="str">
        <f aca="false">IF(I27&gt;=1000,"",(1000-I27))</f>
        <v/>
      </c>
      <c r="P27" s="92" t="n">
        <f aca="false">IF($H27&gt;0,P26+(34-H27),"")</f>
        <v>-256.424</v>
      </c>
      <c r="Q27" s="92"/>
      <c r="R27" s="106"/>
      <c r="S27" s="105"/>
      <c r="T27" s="102"/>
      <c r="U27" s="102"/>
      <c r="V27" s="92"/>
      <c r="W27" s="92"/>
    </row>
    <row r="28" customFormat="false" ht="15" hidden="false" customHeight="false" outlineLevel="0" collapsed="false">
      <c r="A28" s="86" t="n">
        <v>27</v>
      </c>
      <c r="B28" s="86" t="s">
        <v>101</v>
      </c>
      <c r="C28" s="86" t="n">
        <v>5</v>
      </c>
      <c r="D28" s="51" t="n">
        <v>45088</v>
      </c>
      <c r="E28" s="51" t="n">
        <v>45089.3132175926</v>
      </c>
      <c r="F28" s="2" t="n">
        <v>86160.736</v>
      </c>
      <c r="G28" s="2" t="n">
        <v>86209.918</v>
      </c>
      <c r="H28" s="3" t="n">
        <v>49.176</v>
      </c>
      <c r="I28" s="87" t="n">
        <f aca="false">IF($H28&gt;0,($I27+$H28),"")</f>
        <v>1189.6</v>
      </c>
      <c r="J28" s="87" t="n">
        <f aca="false">IF(KWH&gt;0,$I28/$A28,"")</f>
        <v>44.0592592592593</v>
      </c>
      <c r="K28" s="88" t="n">
        <f aca="false">IF($H28&lt;&gt;"",(($H28*$T$7)+($A28*$T$8))*(1+$S$9),"")</f>
        <v>13.0311356592312</v>
      </c>
      <c r="L28" s="89" t="n">
        <f aca="false">IF($K28&lt;&gt;"",($K28+$L27),"")</f>
        <v>283.23854552952</v>
      </c>
      <c r="M28" s="90" t="n">
        <f aca="false">IF($H28&lt;&gt;"",$I28+($A$32-$A28)*$J28)</f>
        <v>1365.83703703704</v>
      </c>
      <c r="N28" s="90" t="n">
        <f aca="false">IF($M28&lt;&gt;"",IF($M28&gt;1000,(($M28*$T$7))*(1+$S$9)-100,($M28*$T$7)+($A28*$S$9)*(1+$S$9)),"")</f>
        <v>174.735775813893</v>
      </c>
      <c r="O28" s="91" t="str">
        <f aca="false">IF(I28&gt;=1000,"",(1000-I28))</f>
        <v/>
      </c>
      <c r="P28" s="92" t="n">
        <f aca="false">IF($H28&gt;0,P27+(34-H28),"")</f>
        <v>-271.6</v>
      </c>
      <c r="Q28" s="92"/>
      <c r="R28" s="106"/>
      <c r="S28" s="105"/>
      <c r="T28" s="102"/>
      <c r="U28" s="102"/>
      <c r="V28" s="92"/>
      <c r="W28" s="92"/>
    </row>
    <row r="29" customFormat="false" ht="15" hidden="false" customHeight="false" outlineLevel="0" collapsed="false">
      <c r="A29" s="86" t="n">
        <v>28</v>
      </c>
      <c r="B29" s="86" t="s">
        <v>102</v>
      </c>
      <c r="C29" s="86" t="n">
        <v>4</v>
      </c>
      <c r="D29" s="51" t="n">
        <v>45089</v>
      </c>
      <c r="E29" s="51" t="n">
        <v>45090.4393865741</v>
      </c>
      <c r="F29" s="2" t="n">
        <v>86209.918</v>
      </c>
      <c r="G29" s="2" t="n">
        <v>86264.689</v>
      </c>
      <c r="H29" s="3" t="n">
        <v>54.775</v>
      </c>
      <c r="I29" s="87" t="n">
        <f aca="false">IF($H29&gt;0,($I28+$H29),"")</f>
        <v>1244.375</v>
      </c>
      <c r="J29" s="87" t="n">
        <f aca="false">IF(KWH&gt;0,$I29/$A29,"")</f>
        <v>44.4419642857143</v>
      </c>
      <c r="K29" s="88" t="n">
        <f aca="false">IF($H29&lt;&gt;"",(($H29*$T$7)+($A29*$T$8))*(1+$S$9),"")</f>
        <v>14.2736414796675</v>
      </c>
      <c r="L29" s="89" t="n">
        <f aca="false">IF($K29&lt;&gt;"",($K29+$L28),"")</f>
        <v>297.512187009188</v>
      </c>
      <c r="M29" s="90" t="n">
        <f aca="false">IF($H29&lt;&gt;"",$I29+($A$32-$A29)*$J29)</f>
        <v>1377.70089285714</v>
      </c>
      <c r="N29" s="90" t="n">
        <f aca="false">IF($M29&lt;&gt;"",IF($M29&gt;1000,(($M29*$T$7))*(1+$S$9)-100,($M29*$T$7)+($A29*$S$9)*(1+$S$9)),"")</f>
        <v>177.122170050172</v>
      </c>
      <c r="O29" s="91" t="str">
        <f aca="false">IF(I29&gt;=1000,"",(1000-I29))</f>
        <v/>
      </c>
      <c r="P29" s="92" t="n">
        <f aca="false">IF($H29&gt;0,P28+(34-H29),"")</f>
        <v>-292.375</v>
      </c>
      <c r="Q29" s="92"/>
      <c r="R29" s="29" t="s">
        <v>108</v>
      </c>
      <c r="S29" s="105"/>
      <c r="T29" s="102"/>
      <c r="U29" s="102"/>
      <c r="V29" s="92"/>
      <c r="W29" s="92"/>
    </row>
    <row r="30" customFormat="false" ht="15" hidden="false" customHeight="false" outlineLevel="0" collapsed="false">
      <c r="A30" s="86" t="n">
        <v>29</v>
      </c>
      <c r="B30" s="86" t="s">
        <v>96</v>
      </c>
      <c r="C30" s="86" t="n">
        <v>3</v>
      </c>
      <c r="D30" s="51" t="n">
        <v>45090</v>
      </c>
      <c r="E30" s="51" t="n">
        <v>45091.2590856482</v>
      </c>
      <c r="F30" s="2" t="n">
        <v>86264.689</v>
      </c>
      <c r="G30" s="2" t="n">
        <v>86314.621</v>
      </c>
      <c r="H30" s="3" t="n">
        <v>49.933</v>
      </c>
      <c r="I30" s="87" t="n">
        <f aca="false">IF($H30&gt;0,($I29+$H30),"")</f>
        <v>1294.308</v>
      </c>
      <c r="J30" s="87" t="n">
        <f aca="false">IF(KWH&gt;0,$I30/$A30,"")</f>
        <v>44.6313103448276</v>
      </c>
      <c r="K30" s="88" t="n">
        <f aca="false">IF($H30&lt;&gt;"",(($H30*$T$7)+($A30*$T$8))*(1+$S$9),"")</f>
        <v>13.4159580699921</v>
      </c>
      <c r="L30" s="89" t="n">
        <f aca="false">IF($K30&lt;&gt;"",($K30+$L29),"")</f>
        <v>310.92814507918</v>
      </c>
      <c r="M30" s="90" t="n">
        <f aca="false">IF($H30&lt;&gt;"",$I30+($A$32-$A30)*$J30)</f>
        <v>1383.57062068966</v>
      </c>
      <c r="N30" s="90" t="n">
        <f aca="false">IF($M30&lt;&gt;"",IF($M30&gt;1000,(($M30*$T$7))*(1+$S$9)-100,($M30*$T$7)+($A30*$S$9)*(1+$S$9)),"")</f>
        <v>178.302855729468</v>
      </c>
      <c r="O30" s="91" t="str">
        <f aca="false">IF(I30&gt;=1000,"",(1000-I30))</f>
        <v/>
      </c>
      <c r="P30" s="92" t="n">
        <f aca="false">IF($H30&gt;0,P29+(34-H30),"")</f>
        <v>-308.308</v>
      </c>
      <c r="Q30" s="92"/>
      <c r="S30" s="102"/>
      <c r="T30" s="102"/>
      <c r="U30" s="102"/>
      <c r="V30" s="92"/>
      <c r="W30" s="92"/>
    </row>
    <row r="31" customFormat="false" ht="15" hidden="false" customHeight="false" outlineLevel="0" collapsed="false">
      <c r="A31" s="86" t="n">
        <v>30</v>
      </c>
      <c r="B31" s="86" t="s">
        <v>97</v>
      </c>
      <c r="C31" s="86" t="n">
        <v>2</v>
      </c>
      <c r="D31" s="51" t="n">
        <v>45091</v>
      </c>
      <c r="E31" s="51" t="n">
        <v>45092.2561689815</v>
      </c>
      <c r="F31" s="2" t="n">
        <v>86314.621</v>
      </c>
      <c r="G31" s="2" t="n">
        <v>86364.92</v>
      </c>
      <c r="H31" s="3" t="n">
        <v>50.295</v>
      </c>
      <c r="I31" s="87" t="n">
        <f aca="false">IF($H31&gt;0,($I30+$H31),"")</f>
        <v>1344.603</v>
      </c>
      <c r="J31" s="87" t="n">
        <f aca="false">IF(KWH&gt;0,$I31/$A31,"")</f>
        <v>44.8201</v>
      </c>
      <c r="K31" s="88" t="n">
        <f aca="false">IF($H31&lt;&gt;"",(($H31*$T$7)+($A31*$T$8))*(1+$S$9),"")</f>
        <v>13.6050503286915</v>
      </c>
      <c r="L31" s="89" t="n">
        <f aca="false">IF($K31&lt;&gt;"",($K31+$L30),"")</f>
        <v>324.533195407871</v>
      </c>
      <c r="M31" s="90" t="n">
        <f aca="false">IF($H31&lt;&gt;"",$I31+($A$32-$A31)*$J31)</f>
        <v>1389.4231</v>
      </c>
      <c r="N31" s="90" t="n">
        <f aca="false">IF($M31&lt;&gt;"",IF($M31&gt;1000,(($M31*$T$7))*(1+$S$9)-100,($M31*$T$7)+($A31*$S$9)*(1+$S$9)),"")</f>
        <v>179.480071898134</v>
      </c>
      <c r="O31" s="91" t="str">
        <f aca="false">IF(I31&gt;=1000,"",(1000-I31))</f>
        <v/>
      </c>
      <c r="P31" s="92" t="n">
        <f aca="false">IF($H31&gt;0,P30+(34-H31),"")</f>
        <v>-324.603</v>
      </c>
      <c r="Q31" s="92"/>
      <c r="R31" s="29" t="s">
        <v>109</v>
      </c>
      <c r="S31" s="102"/>
      <c r="T31" s="102"/>
      <c r="U31" s="102"/>
      <c r="V31" s="92"/>
      <c r="W31" s="92"/>
    </row>
    <row r="32" customFormat="false" ht="15" hidden="false" customHeight="false" outlineLevel="0" collapsed="false">
      <c r="A32" s="86" t="n">
        <v>31</v>
      </c>
      <c r="B32" s="86" t="s">
        <v>98</v>
      </c>
      <c r="C32" s="86" t="n">
        <v>1</v>
      </c>
      <c r="D32" s="51" t="n">
        <v>45092</v>
      </c>
      <c r="E32" s="51" t="n">
        <v>45093.3060532407</v>
      </c>
      <c r="F32" s="2" t="n">
        <v>86364.92</v>
      </c>
      <c r="G32" s="2" t="n">
        <v>86412.397</v>
      </c>
      <c r="H32" s="3" t="n">
        <v>47.484</v>
      </c>
      <c r="I32" s="87" t="n">
        <f aca="false">IF($H32&gt;0,($I31+$H32),"")</f>
        <v>1392.087</v>
      </c>
      <c r="J32" s="87" t="n">
        <f aca="false">IF(KWH&gt;0,$I32/$A32,"")</f>
        <v>44.9060322580645</v>
      </c>
      <c r="K32" s="88" t="n">
        <f aca="false">IF($H32&lt;&gt;"",(($H32*$T$7)+($A32*$T$8))*(1+$S$9),"")</f>
        <v>13.1558990832108</v>
      </c>
      <c r="L32" s="89" t="n">
        <f aca="false">IF($K32&lt;&gt;"",($K32+$L31),"")</f>
        <v>337.689094491082</v>
      </c>
      <c r="M32" s="90" t="n">
        <f aca="false">IF($H32&lt;&gt;"",$I32+($A$32-$A32)*$J32)</f>
        <v>1392.087</v>
      </c>
      <c r="N32" s="90" t="n">
        <f aca="false">IF($M32&lt;&gt;"",IF($M32&gt;1000,(($M32*$T$7))*(1+$S$9)-100,($M32*$T$7)+($A32*$S$9)*(1+$S$9)),"")</f>
        <v>180.015910811082</v>
      </c>
      <c r="O32" s="91" t="str">
        <f aca="false">IF(I32&gt;=1000,"",(1000-I32))</f>
        <v/>
      </c>
      <c r="P32" s="92" t="n">
        <f aca="false">IF($H32&gt;0,P31+(34-H32),"")</f>
        <v>-338.087</v>
      </c>
      <c r="Q32" s="92"/>
      <c r="S32" s="102"/>
      <c r="T32" s="102"/>
      <c r="U32" s="102"/>
      <c r="V32" s="92"/>
      <c r="W32" s="92"/>
    </row>
    <row r="33" customFormat="false" ht="15" hidden="false" customHeight="false" outlineLevel="0" collapsed="false">
      <c r="A33" s="86" t="n">
        <v>32</v>
      </c>
      <c r="B33" s="86"/>
      <c r="C33" s="86" t="n">
        <v>0</v>
      </c>
      <c r="D33" s="50" t="n">
        <v>45093</v>
      </c>
      <c r="E33" s="50" t="n">
        <v>45094.2709143519</v>
      </c>
      <c r="F33" s="0" t="n">
        <v>86412.397</v>
      </c>
      <c r="G33" s="0" t="n">
        <v>86464.472</v>
      </c>
      <c r="H33" s="3" t="n">
        <v>52.075</v>
      </c>
      <c r="I33" s="87" t="n">
        <f aca="false">IF($H33&gt;0,($I32+$H33),"")</f>
        <v>1444.162</v>
      </c>
      <c r="J33" s="87" t="n">
        <f aca="false">IF(KWH&gt;0,$I33/$A33,"")</f>
        <v>45.1300625</v>
      </c>
      <c r="K33" s="88" t="n">
        <f aca="false">IF($H33&lt;&gt;"",(($H33*$T$7)+($A33*$T$8))*(1+$S$9),"")</f>
        <v>14.1956474336775</v>
      </c>
      <c r="L33" s="89" t="n">
        <f aca="false">IF($K33&lt;&gt;"",($K33+$L32),"")</f>
        <v>351.884741924759</v>
      </c>
      <c r="M33" s="90" t="n">
        <f aca="false">IF($H33&lt;&gt;"",$I33+($A$32-$A33)*$J33)</f>
        <v>1399.0319375</v>
      </c>
      <c r="N33" s="90" t="n">
        <f aca="false">IF($M33&lt;&gt;"",IF($M33&gt;1000,(($M33*$T$7))*(1+$S$9)-100,($M33*$T$7)+($A33*$S$9)*(1+$S$9)),"")</f>
        <v>181.412873069611</v>
      </c>
      <c r="O33" s="91" t="str">
        <f aca="false">IF(I33&gt;=1000,"",(1000-I33))</f>
        <v/>
      </c>
      <c r="P33" s="92" t="n">
        <f aca="false">IF($H33&gt;0,P32+(34-H33),"")</f>
        <v>-356.162</v>
      </c>
      <c r="Q33" s="92"/>
      <c r="R33" s="29" t="s">
        <v>110</v>
      </c>
      <c r="S33" s="102"/>
      <c r="T33" s="102"/>
      <c r="U33" s="102"/>
      <c r="V33" s="92"/>
      <c r="W33" s="92"/>
    </row>
    <row r="34" customFormat="false" ht="15" hidden="false" customHeight="false" outlineLevel="0" collapsed="false">
      <c r="A34" s="45"/>
      <c r="B34" s="45"/>
      <c r="C34" s="45"/>
      <c r="D34" s="50" t="n">
        <v>45094</v>
      </c>
      <c r="E34" s="50" t="n">
        <v>45095.2774537037</v>
      </c>
      <c r="F34" s="66" t="n">
        <v>86464.472</v>
      </c>
      <c r="G34" s="66" t="n">
        <v>86511.872</v>
      </c>
      <c r="H34" s="3" t="n">
        <v>47.395</v>
      </c>
      <c r="I34" s="87" t="n">
        <f aca="false">IF($H34&gt;0,($I33+$H34),"")</f>
        <v>1491.557</v>
      </c>
      <c r="J34" s="87" t="e">
        <f aca="false">IF(KWH&gt;0,$I34/$A34,"")</f>
        <v>#DIV/0!</v>
      </c>
      <c r="K34" s="88" t="n">
        <f aca="false">IF($H34&lt;&gt;"",(($H34*$T$7)+($A34*$T$8))*(1+$S$9),"")</f>
        <v>9.5334229059615</v>
      </c>
      <c r="L34" s="89" t="n">
        <f aca="false">IF($K34&lt;&gt;"",($K34+$L33),"")</f>
        <v>361.418164830721</v>
      </c>
      <c r="M34" s="90" t="e">
        <f aca="false">IF($H34&lt;&gt;"",$I34+($A$32-$A34)*$J34)</f>
        <v>#DIV/0!</v>
      </c>
      <c r="N34" s="90" t="e">
        <f aca="false">IF($M34&lt;&gt;"",IF($M34&gt;1000,(($M34*$T$7))*(1+$S$9)-100,($M34*$T$7)+($A34*$S$9)*(1+$S$9)),"")</f>
        <v>#DIV/0!</v>
      </c>
      <c r="O34" s="91" t="str">
        <f aca="false">IF(I34&gt;=1000,"",(1000-I34))</f>
        <v/>
      </c>
      <c r="P34" s="92" t="n">
        <f aca="false">IF($H34&gt;0,P33+(34-H34),"")</f>
        <v>-369.557</v>
      </c>
      <c r="Q34" s="66"/>
      <c r="S34" s="102"/>
      <c r="T34" s="102"/>
      <c r="U34" s="102"/>
      <c r="V34" s="66"/>
      <c r="W34" s="66"/>
    </row>
    <row r="35" customFormat="false" ht="15" hidden="false" customHeight="false" outlineLevel="0" collapsed="false">
      <c r="D35" s="50"/>
      <c r="E35" s="50"/>
      <c r="F35" s="2"/>
      <c r="G35" s="2"/>
      <c r="H35" s="107"/>
      <c r="I35" s="81" t="n">
        <v>1031</v>
      </c>
      <c r="J35" s="108" t="n">
        <f aca="false">SUM(H2:H30)</f>
        <v>1294.308</v>
      </c>
      <c r="K35" s="47"/>
      <c r="L35" s="2"/>
      <c r="M35" s="2"/>
      <c r="N35" s="0" t="n">
        <v>106.46</v>
      </c>
      <c r="O35" s="2"/>
      <c r="P35" s="2"/>
      <c r="Q35" s="2"/>
      <c r="R35" s="29" t="s">
        <v>111</v>
      </c>
      <c r="V35" s="2"/>
      <c r="W35" s="2"/>
    </row>
    <row r="36" customFormat="false" ht="15" hidden="false" customHeight="false" outlineLevel="0" collapsed="false">
      <c r="E36" s="2"/>
      <c r="H36" s="3"/>
      <c r="I36" s="0" t="n">
        <v>1354</v>
      </c>
    </row>
    <row r="37" customFormat="false" ht="15" hidden="false" customHeight="false" outlineLevel="0" collapsed="false">
      <c r="H37" s="3"/>
      <c r="I37" s="2" t="n">
        <f aca="false">(I36-I31)</f>
        <v>9.39699999999971</v>
      </c>
    </row>
    <row r="38" customFormat="false" ht="15" hidden="false" customHeight="false" outlineLevel="0" collapsed="false">
      <c r="H38" s="3"/>
    </row>
    <row r="39" customFormat="false" ht="15" hidden="false" customHeight="false" outlineLevel="0" collapsed="false">
      <c r="H39" s="3"/>
    </row>
    <row r="40" customFormat="false" ht="15" hidden="false" customHeight="false" outlineLevel="0" collapsed="false">
      <c r="H40" s="3" t="n">
        <f aca="false">H35-H31</f>
        <v>-50.295</v>
      </c>
    </row>
    <row r="41" customFormat="false" ht="15" hidden="false" customHeight="false" outlineLevel="0" collapsed="false">
      <c r="H41" s="3" t="n">
        <f aca="false">SUM(H38:H40)</f>
        <v>-50.295</v>
      </c>
      <c r="R41" s="74"/>
    </row>
    <row r="42" customFormat="false" ht="15" hidden="false" customHeight="false" outlineLevel="0" collapsed="false">
      <c r="H42" s="3"/>
      <c r="K42" s="34"/>
      <c r="L42" s="48"/>
      <c r="R42" s="74"/>
    </row>
    <row r="43" customFormat="false" ht="15" hidden="false" customHeight="false" outlineLevel="0" collapsed="false">
      <c r="H43" s="3"/>
      <c r="K43" s="34"/>
      <c r="L43" s="48"/>
      <c r="R43" s="74"/>
      <c r="U43" s="74"/>
    </row>
    <row r="44" customFormat="false" ht="15" hidden="false" customHeight="false" outlineLevel="0" collapsed="false">
      <c r="H44" s="3"/>
      <c r="K44" s="34"/>
      <c r="L44" s="48"/>
      <c r="R44" s="74"/>
    </row>
    <row r="45" customFormat="false" ht="15" hidden="false" customHeight="false" outlineLevel="0" collapsed="false">
      <c r="D45" s="34"/>
      <c r="E45" s="48"/>
      <c r="K45" s="34"/>
      <c r="L45" s="48"/>
      <c r="R45" s="74"/>
    </row>
    <row r="46" customFormat="false" ht="15" hidden="false" customHeight="false" outlineLevel="0" collapsed="false">
      <c r="E46" s="2"/>
      <c r="F46" s="2"/>
      <c r="G46" s="2"/>
      <c r="H46" s="3"/>
      <c r="K46" s="34"/>
      <c r="L46" s="48"/>
      <c r="R46" s="74"/>
    </row>
    <row r="47" customFormat="false" ht="15" hidden="false" customHeight="false" outlineLevel="0" collapsed="false">
      <c r="E47" s="2"/>
      <c r="F47" s="2"/>
      <c r="G47" s="2"/>
      <c r="H47" s="3"/>
      <c r="K47" s="34"/>
      <c r="L47" s="48"/>
      <c r="R47" s="74"/>
    </row>
    <row r="48" customFormat="false" ht="15" hidden="false" customHeight="false" outlineLevel="0" collapsed="false">
      <c r="E48" s="2"/>
      <c r="F48" s="2"/>
      <c r="G48" s="2"/>
      <c r="H48" s="3"/>
      <c r="K48" s="34"/>
      <c r="L48" s="48"/>
      <c r="R48" s="74"/>
    </row>
    <row r="49" customFormat="false" ht="15" hidden="false" customHeight="false" outlineLevel="0" collapsed="false">
      <c r="D49" s="34" t="n">
        <v>45093</v>
      </c>
      <c r="E49" s="2" t="n">
        <v>45094.2709143519</v>
      </c>
      <c r="F49" s="2" t="n">
        <v>86412.397</v>
      </c>
      <c r="G49" s="2" t="n">
        <v>86464.472</v>
      </c>
      <c r="H49" s="3" t="n">
        <v>52.075</v>
      </c>
      <c r="K49" s="34"/>
      <c r="L49" s="48"/>
      <c r="R49" s="74"/>
    </row>
    <row r="50" customFormat="false" ht="15" hidden="false" customHeight="false" outlineLevel="0" collapsed="false">
      <c r="D50" s="34" t="n">
        <v>45094</v>
      </c>
      <c r="E50" s="2" t="n">
        <v>45095.2774537037</v>
      </c>
      <c r="F50" s="2" t="n">
        <v>86464.472</v>
      </c>
      <c r="G50" s="2" t="n">
        <v>86511.872</v>
      </c>
      <c r="H50" s="3" t="n">
        <v>47.395</v>
      </c>
      <c r="K50" s="34"/>
      <c r="L50" s="48"/>
      <c r="R50" s="74"/>
    </row>
    <row r="51" customFormat="false" ht="15" hidden="false" customHeight="false" outlineLevel="0" collapsed="false">
      <c r="D51" s="34" t="n">
        <v>45095</v>
      </c>
      <c r="E51" s="2" t="n">
        <v>45096.2565625</v>
      </c>
      <c r="F51" s="2" t="n">
        <v>86511.872</v>
      </c>
      <c r="G51" s="2" t="n">
        <v>86573.664</v>
      </c>
      <c r="H51" s="3" t="n">
        <v>61.79</v>
      </c>
      <c r="K51" s="34"/>
      <c r="L51" s="48"/>
      <c r="R51" s="74"/>
    </row>
    <row r="52" customFormat="false" ht="15" hidden="false" customHeight="false" outlineLevel="0" collapsed="false">
      <c r="D52" s="34" t="n">
        <v>45096</v>
      </c>
      <c r="E52" s="2" t="n">
        <v>45097.2558333333</v>
      </c>
      <c r="F52" s="2" t="n">
        <v>86573.664</v>
      </c>
      <c r="G52" s="2" t="n">
        <v>86630.478</v>
      </c>
      <c r="H52" s="3" t="n">
        <v>56.816</v>
      </c>
      <c r="K52" s="34"/>
      <c r="L52" s="48"/>
      <c r="R52" s="74"/>
    </row>
    <row r="53" customFormat="false" ht="15" hidden="false" customHeight="false" outlineLevel="0" collapsed="false">
      <c r="D53" s="34" t="n">
        <v>45097</v>
      </c>
      <c r="E53" s="2" t="n">
        <v>45098.2563078704</v>
      </c>
      <c r="F53" s="2" t="n">
        <v>86630.478</v>
      </c>
      <c r="G53" s="2" t="n">
        <v>86685.695</v>
      </c>
      <c r="H53" s="3" t="n">
        <v>55.214</v>
      </c>
      <c r="K53" s="34"/>
      <c r="L53" s="48"/>
      <c r="R53" s="74"/>
    </row>
    <row r="54" customFormat="false" ht="15" hidden="false" customHeight="false" outlineLevel="0" collapsed="false">
      <c r="D54" s="34"/>
      <c r="E54" s="48"/>
      <c r="K54" s="34"/>
      <c r="L54" s="48"/>
      <c r="R54" s="74"/>
    </row>
    <row r="55" customFormat="false" ht="15" hidden="false" customHeight="false" outlineLevel="0" collapsed="false">
      <c r="D55" s="34"/>
      <c r="E55" s="48"/>
      <c r="K55" s="34"/>
      <c r="L55" s="48"/>
      <c r="R55" s="74"/>
    </row>
    <row r="56" customFormat="false" ht="15" hidden="false" customHeight="false" outlineLevel="0" collapsed="false">
      <c r="D56" s="34"/>
      <c r="E56" s="48"/>
      <c r="K56" s="34"/>
      <c r="L56" s="48"/>
      <c r="R56" s="74"/>
    </row>
    <row r="57" customFormat="false" ht="15" hidden="false" customHeight="false" outlineLevel="0" collapsed="false">
      <c r="D57" s="34"/>
      <c r="E57" s="48"/>
      <c r="K57" s="34"/>
      <c r="L57" s="48"/>
    </row>
    <row r="58" customFormat="false" ht="15" hidden="false" customHeight="false" outlineLevel="0" collapsed="false">
      <c r="D58" s="34"/>
      <c r="E58" s="48"/>
      <c r="K58" s="34"/>
      <c r="L58" s="48"/>
    </row>
    <row r="59" customFormat="false" ht="15" hidden="false" customHeight="false" outlineLevel="0" collapsed="false">
      <c r="D59" s="34"/>
      <c r="E59" s="48"/>
      <c r="K59" s="34"/>
      <c r="L59" s="48"/>
    </row>
    <row r="60" customFormat="false" ht="15" hidden="false" customHeight="false" outlineLevel="0" collapsed="false">
      <c r="D60" s="34"/>
      <c r="E60" s="48"/>
      <c r="K60" s="34"/>
      <c r="L60" s="48"/>
    </row>
    <row r="61" customFormat="false" ht="15" hidden="false" customHeight="false" outlineLevel="0" collapsed="false">
      <c r="D61" s="34"/>
      <c r="E61" s="48"/>
      <c r="K61" s="34"/>
      <c r="L61" s="48"/>
    </row>
    <row r="62" customFormat="false" ht="15" hidden="false" customHeight="false" outlineLevel="0" collapsed="false">
      <c r="D62" s="34"/>
      <c r="E62" s="48"/>
      <c r="K62" s="34"/>
      <c r="L62" s="48"/>
    </row>
    <row r="63" customFormat="false" ht="15" hidden="false" customHeight="false" outlineLevel="0" collapsed="false">
      <c r="H63" s="3"/>
      <c r="K63" s="34"/>
      <c r="L63" s="48"/>
    </row>
    <row r="64" customFormat="false" ht="15" hidden="false" customHeight="false" outlineLevel="0" collapsed="false">
      <c r="H64" s="3"/>
      <c r="K64" s="34"/>
      <c r="L64" s="48"/>
    </row>
    <row r="65" customFormat="false" ht="15" hidden="false" customHeight="false" outlineLevel="0" collapsed="false">
      <c r="H65" s="3"/>
      <c r="K65" s="34"/>
      <c r="L65" s="48"/>
    </row>
    <row r="66" customFormat="false" ht="15" hidden="false" customHeight="false" outlineLevel="0" collapsed="false">
      <c r="H66" s="3"/>
      <c r="K66" s="34"/>
      <c r="L66" s="48"/>
    </row>
    <row r="67" customFormat="false" ht="15" hidden="false" customHeight="false" outlineLevel="0" collapsed="false">
      <c r="H67" s="3"/>
      <c r="K67" s="34"/>
      <c r="L67" s="48"/>
    </row>
    <row r="68" customFormat="false" ht="15" hidden="false" customHeight="false" outlineLevel="0" collapsed="false">
      <c r="H68" s="3"/>
      <c r="K68" s="34"/>
      <c r="L68" s="48"/>
    </row>
    <row r="69" customFormat="false" ht="15" hidden="false" customHeight="false" outlineLevel="0" collapsed="false">
      <c r="H69" s="3"/>
      <c r="K69" s="34"/>
      <c r="L69" s="48"/>
    </row>
    <row r="70" customFormat="false" ht="15" hidden="false" customHeight="false" outlineLevel="0" collapsed="false">
      <c r="H70" s="3"/>
      <c r="K70" s="34"/>
      <c r="L70" s="48"/>
    </row>
    <row r="71" customFormat="false" ht="15" hidden="false" customHeight="false" outlineLevel="0" collapsed="false">
      <c r="H71" s="3"/>
      <c r="K71" s="34"/>
      <c r="L71" s="48"/>
    </row>
    <row r="72" customFormat="false" ht="15" hidden="false" customHeight="false" outlineLevel="0" collapsed="false">
      <c r="H72" s="3"/>
    </row>
    <row r="73" customFormat="false" ht="15" hidden="false" customHeight="false" outlineLevel="0" collapsed="false">
      <c r="H73" s="3"/>
    </row>
    <row r="74" customFormat="false" ht="15" hidden="false" customHeight="false" outlineLevel="0" collapsed="false">
      <c r="H74" s="3"/>
    </row>
    <row r="75" customFormat="false" ht="15" hidden="false" customHeight="false" outlineLevel="0" collapsed="false">
      <c r="H75" s="3"/>
    </row>
    <row r="76" customFormat="false" ht="15" hidden="false" customHeight="false" outlineLevel="0" collapsed="false">
      <c r="H76" s="3"/>
    </row>
    <row r="77" customFormat="false" ht="15" hidden="false" customHeight="false" outlineLevel="0" collapsed="false">
      <c r="H77" s="3"/>
    </row>
    <row r="78" customFormat="false" ht="15" hidden="false" customHeight="false" outlineLevel="0" collapsed="false">
      <c r="H78" s="3"/>
    </row>
    <row r="79" customFormat="false" ht="15" hidden="false" customHeight="false" outlineLevel="0" collapsed="false">
      <c r="H79" s="3"/>
    </row>
    <row r="80" customFormat="false" ht="15" hidden="false" customHeight="false" outlineLevel="0" collapsed="false">
      <c r="H80" s="3"/>
    </row>
    <row r="81" customFormat="false" ht="15" hidden="false" customHeight="false" outlineLevel="0" collapsed="false">
      <c r="H81" s="3"/>
    </row>
    <row r="82" customFormat="false" ht="15" hidden="false" customHeight="false" outlineLevel="0" collapsed="false">
      <c r="H82" s="3"/>
    </row>
    <row r="83" customFormat="false" ht="15" hidden="false" customHeight="false" outlineLevel="0" collapsed="false">
      <c r="H83" s="3"/>
    </row>
    <row r="84" customFormat="false" ht="15" hidden="false" customHeight="false" outlineLevel="0" collapsed="false">
      <c r="H84" s="3"/>
    </row>
    <row r="85" customFormat="false" ht="15" hidden="false" customHeight="false" outlineLevel="0" collapsed="false">
      <c r="H85" s="3"/>
    </row>
    <row r="86" customFormat="false" ht="15" hidden="false" customHeight="false" outlineLevel="0" collapsed="false">
      <c r="H86" s="3"/>
    </row>
    <row r="87" customFormat="false" ht="15" hidden="false" customHeight="false" outlineLevel="0" collapsed="false">
      <c r="H87" s="3"/>
    </row>
    <row r="88" customFormat="false" ht="15" hidden="false" customHeight="false" outlineLevel="0" collapsed="false">
      <c r="H88" s="3"/>
    </row>
    <row r="89" customFormat="false" ht="15" hidden="false" customHeight="false" outlineLevel="0" collapsed="false">
      <c r="H89" s="3"/>
    </row>
    <row r="90" customFormat="false" ht="15" hidden="false" customHeight="false" outlineLevel="0" collapsed="false">
      <c r="H90" s="3"/>
    </row>
    <row r="91" customFormat="false" ht="15" hidden="false" customHeight="false" outlineLevel="0" collapsed="false">
      <c r="H91" s="3"/>
    </row>
    <row r="92" customFormat="false" ht="15" hidden="false" customHeight="false" outlineLevel="0" collapsed="false">
      <c r="H92" s="3"/>
    </row>
    <row r="93" customFormat="false" ht="15" hidden="false" customHeight="false" outlineLevel="0" collapsed="false">
      <c r="H93" s="3"/>
    </row>
    <row r="94" customFormat="false" ht="15" hidden="false" customHeight="false" outlineLevel="0" collapsed="false">
      <c r="H94" s="3"/>
    </row>
    <row r="95" customFormat="false" ht="15" hidden="false" customHeight="false" outlineLevel="0" collapsed="false">
      <c r="H95" s="3"/>
    </row>
    <row r="96" customFormat="false" ht="15" hidden="false" customHeight="false" outlineLevel="0" collapsed="false">
      <c r="H96" s="3"/>
    </row>
    <row r="97" customFormat="false" ht="15" hidden="false" customHeight="false" outlineLevel="0" collapsed="false">
      <c r="H97" s="3"/>
    </row>
    <row r="98" customFormat="false" ht="15" hidden="false" customHeight="false" outlineLevel="0" collapsed="false">
      <c r="H98" s="3"/>
    </row>
    <row r="99" customFormat="false" ht="15" hidden="false" customHeight="false" outlineLevel="0" collapsed="false">
      <c r="H99" s="3"/>
    </row>
    <row r="100" customFormat="false" ht="15" hidden="false" customHeight="false" outlineLevel="0" collapsed="false">
      <c r="H100" s="3"/>
    </row>
    <row r="101" customFormat="false" ht="15" hidden="false" customHeight="false" outlineLevel="0" collapsed="false">
      <c r="H101" s="3"/>
    </row>
    <row r="102" customFormat="false" ht="15" hidden="false" customHeight="false" outlineLevel="0" collapsed="false">
      <c r="H102" s="3"/>
    </row>
    <row r="103" customFormat="false" ht="15" hidden="false" customHeight="false" outlineLevel="0" collapsed="false">
      <c r="H103" s="3"/>
    </row>
    <row r="104" customFormat="false" ht="15" hidden="false" customHeight="false" outlineLevel="0" collapsed="false">
      <c r="H104" s="3"/>
    </row>
    <row r="105" customFormat="false" ht="15" hidden="false" customHeight="false" outlineLevel="0" collapsed="false">
      <c r="H105" s="3"/>
    </row>
    <row r="106" customFormat="false" ht="15" hidden="false" customHeight="false" outlineLevel="0" collapsed="false">
      <c r="H106" s="3"/>
    </row>
    <row r="107" customFormat="false" ht="15" hidden="false" customHeight="false" outlineLevel="0" collapsed="false">
      <c r="H107" s="3"/>
    </row>
    <row r="108" customFormat="false" ht="15" hidden="false" customHeight="false" outlineLevel="0" collapsed="false">
      <c r="H108" s="3"/>
    </row>
    <row r="109" customFormat="false" ht="15" hidden="false" customHeight="false" outlineLevel="0" collapsed="false">
      <c r="H109" s="3"/>
    </row>
    <row r="110" customFormat="false" ht="15" hidden="false" customHeight="false" outlineLevel="0" collapsed="false">
      <c r="H110" s="3"/>
    </row>
    <row r="111" customFormat="false" ht="15" hidden="false" customHeight="false" outlineLevel="0" collapsed="false">
      <c r="H111" s="3"/>
    </row>
    <row r="112" customFormat="false" ht="15" hidden="false" customHeight="false" outlineLevel="0" collapsed="false">
      <c r="H112" s="3"/>
    </row>
    <row r="113" customFormat="false" ht="15" hidden="false" customHeight="false" outlineLevel="0" collapsed="false">
      <c r="H113" s="3"/>
    </row>
    <row r="114" customFormat="false" ht="15" hidden="false" customHeight="false" outlineLevel="0" collapsed="false">
      <c r="H114" s="3"/>
    </row>
    <row r="115" customFormat="false" ht="15" hidden="false" customHeight="false" outlineLevel="0" collapsed="false">
      <c r="H115" s="3"/>
    </row>
    <row r="116" customFormat="false" ht="15" hidden="false" customHeight="false" outlineLevel="0" collapsed="false">
      <c r="H116" s="3"/>
    </row>
    <row r="117" customFormat="false" ht="15" hidden="false" customHeight="false" outlineLevel="0" collapsed="false">
      <c r="H117" s="3"/>
    </row>
    <row r="118" customFormat="false" ht="15" hidden="false" customHeight="false" outlineLevel="0" collapsed="false">
      <c r="H118" s="3"/>
    </row>
    <row r="119" customFormat="false" ht="15" hidden="false" customHeight="false" outlineLevel="0" collapsed="false">
      <c r="H119" s="3"/>
    </row>
    <row r="120" customFormat="false" ht="15" hidden="false" customHeight="false" outlineLevel="0" collapsed="false">
      <c r="H120" s="3"/>
    </row>
    <row r="121" customFormat="false" ht="15" hidden="false" customHeight="false" outlineLevel="0" collapsed="false">
      <c r="H121" s="3"/>
    </row>
    <row r="122" customFormat="false" ht="15" hidden="false" customHeight="false" outlineLevel="0" collapsed="false">
      <c r="H122" s="3"/>
    </row>
    <row r="123" customFormat="false" ht="15" hidden="false" customHeight="false" outlineLevel="0" collapsed="false">
      <c r="H123" s="3"/>
    </row>
    <row r="124" customFormat="false" ht="15" hidden="false" customHeight="false" outlineLevel="0" collapsed="false">
      <c r="H124" s="3"/>
    </row>
    <row r="125" customFormat="false" ht="15" hidden="false" customHeight="false" outlineLevel="0" collapsed="false">
      <c r="H125" s="3"/>
    </row>
    <row r="126" customFormat="false" ht="15" hidden="false" customHeight="false" outlineLevel="0" collapsed="false">
      <c r="H126" s="3"/>
    </row>
    <row r="127" customFormat="false" ht="15" hidden="false" customHeight="false" outlineLevel="0" collapsed="false">
      <c r="H127" s="3"/>
    </row>
    <row r="128" customFormat="false" ht="15" hidden="false" customHeight="false" outlineLevel="0" collapsed="false">
      <c r="H128" s="3"/>
    </row>
    <row r="129" customFormat="false" ht="15" hidden="false" customHeight="false" outlineLevel="0" collapsed="false">
      <c r="H129" s="3"/>
    </row>
    <row r="130" customFormat="false" ht="15" hidden="false" customHeight="false" outlineLevel="0" collapsed="false">
      <c r="H130" s="3"/>
    </row>
    <row r="131" customFormat="false" ht="15" hidden="false" customHeight="false" outlineLevel="0" collapsed="false">
      <c r="H131" s="3"/>
    </row>
    <row r="132" customFormat="false" ht="15" hidden="false" customHeight="false" outlineLevel="0" collapsed="false">
      <c r="H132" s="3"/>
    </row>
    <row r="133" customFormat="false" ht="15" hidden="false" customHeight="false" outlineLevel="0" collapsed="false">
      <c r="H133" s="3"/>
    </row>
    <row r="134" customFormat="false" ht="15" hidden="false" customHeight="false" outlineLevel="0" collapsed="false">
      <c r="H134" s="3"/>
    </row>
    <row r="135" customFormat="false" ht="15" hidden="false" customHeight="false" outlineLevel="0" collapsed="false">
      <c r="H135" s="3"/>
    </row>
    <row r="136" customFormat="false" ht="15" hidden="false" customHeight="false" outlineLevel="0" collapsed="false">
      <c r="H136" s="3"/>
    </row>
    <row r="137" customFormat="false" ht="15" hidden="false" customHeight="false" outlineLevel="0" collapsed="false">
      <c r="H137" s="3"/>
    </row>
    <row r="138" customFormat="false" ht="15" hidden="false" customHeight="false" outlineLevel="0" collapsed="false">
      <c r="H138" s="3"/>
    </row>
    <row r="139" customFormat="false" ht="15" hidden="false" customHeight="false" outlineLevel="0" collapsed="false">
      <c r="H139" s="3"/>
    </row>
    <row r="140" customFormat="false" ht="15" hidden="false" customHeight="false" outlineLevel="0" collapsed="false">
      <c r="H140" s="3"/>
    </row>
    <row r="141" customFormat="false" ht="15" hidden="false" customHeight="false" outlineLevel="0" collapsed="false">
      <c r="H141" s="3"/>
    </row>
    <row r="142" customFormat="false" ht="15" hidden="false" customHeight="false" outlineLevel="0" collapsed="false">
      <c r="H142" s="3"/>
    </row>
    <row r="143" customFormat="false" ht="15" hidden="false" customHeight="false" outlineLevel="0" collapsed="false">
      <c r="H143" s="3"/>
    </row>
    <row r="144" customFormat="false" ht="15" hidden="false" customHeight="false" outlineLevel="0" collapsed="false">
      <c r="H144" s="3"/>
    </row>
    <row r="145" customFormat="false" ht="15" hidden="false" customHeight="false" outlineLevel="0" collapsed="false">
      <c r="H145" s="3"/>
    </row>
    <row r="146" customFormat="false" ht="15" hidden="false" customHeight="false" outlineLevel="0" collapsed="false">
      <c r="H146" s="3"/>
    </row>
    <row r="147" customFormat="false" ht="15" hidden="false" customHeight="false" outlineLevel="0" collapsed="false">
      <c r="H147" s="3"/>
    </row>
    <row r="148" customFormat="false" ht="15" hidden="false" customHeight="false" outlineLevel="0" collapsed="false">
      <c r="H148" s="3"/>
    </row>
    <row r="149" customFormat="false" ht="15" hidden="false" customHeight="false" outlineLevel="0" collapsed="false">
      <c r="H149" s="3"/>
    </row>
    <row r="150" customFormat="false" ht="15" hidden="false" customHeight="false" outlineLevel="0" collapsed="false">
      <c r="H150" s="3"/>
    </row>
    <row r="151" customFormat="false" ht="15" hidden="false" customHeight="false" outlineLevel="0" collapsed="false">
      <c r="H151" s="3"/>
    </row>
    <row r="152" customFormat="false" ht="15" hidden="false" customHeight="false" outlineLevel="0" collapsed="false">
      <c r="H152" s="3"/>
    </row>
    <row r="153" customFormat="false" ht="15" hidden="false" customHeight="false" outlineLevel="0" collapsed="false">
      <c r="H153" s="3"/>
    </row>
    <row r="154" customFormat="false" ht="15" hidden="false" customHeight="false" outlineLevel="0" collapsed="false">
      <c r="H154" s="3"/>
    </row>
    <row r="155" customFormat="false" ht="15" hidden="false" customHeight="false" outlineLevel="0" collapsed="false">
      <c r="H155" s="3"/>
    </row>
    <row r="156" customFormat="false" ht="15" hidden="false" customHeight="false" outlineLevel="0" collapsed="false">
      <c r="H156" s="3"/>
    </row>
    <row r="157" customFormat="false" ht="15" hidden="false" customHeight="false" outlineLevel="0" collapsed="false">
      <c r="H157" s="3"/>
    </row>
    <row r="158" customFormat="false" ht="15" hidden="false" customHeight="false" outlineLevel="0" collapsed="false">
      <c r="H158" s="3"/>
    </row>
    <row r="159" customFormat="false" ht="15" hidden="false" customHeight="false" outlineLevel="0" collapsed="false">
      <c r="H159" s="3"/>
    </row>
    <row r="160" customFormat="false" ht="15" hidden="false" customHeight="false" outlineLevel="0" collapsed="false">
      <c r="H160" s="3"/>
    </row>
    <row r="161" customFormat="false" ht="15" hidden="false" customHeight="false" outlineLevel="0" collapsed="false">
      <c r="H161" s="3"/>
    </row>
    <row r="162" customFormat="false" ht="15" hidden="false" customHeight="false" outlineLevel="0" collapsed="false">
      <c r="H162" s="3"/>
    </row>
    <row r="163" customFormat="false" ht="15" hidden="false" customHeight="false" outlineLevel="0" collapsed="false">
      <c r="H163" s="3"/>
    </row>
  </sheetData>
  <conditionalFormatting sqref="R2:R15">
    <cfRule type="expression" priority="2" aboveAverage="0" equalAverage="0" bottom="0" percent="0" rank="0" text="" dxfId="24">
      <formula>" =CELL(“Protect”,A1)=1"</formula>
    </cfRule>
    <cfRule type="expression" priority="3" aboveAverage="0" equalAverage="0" bottom="0" percent="0" rank="0" text="" dxfId="1">
      <formula>" =CELL(“Protect”,A1)=1"</formula>
    </cfRule>
  </conditionalFormatting>
  <conditionalFormatting sqref="A1:I1 K1:P1">
    <cfRule type="expression" priority="4" aboveAverage="0" equalAverage="0" bottom="0" percent="0" rank="0" text="" dxfId="25">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EV45"/>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10" activePane="bottomLeft" state="frozen"/>
      <selection pane="topLeft" activeCell="A1" activeCellId="0" sqref="A1"/>
      <selection pane="bottomLeft" activeCell="O10" activeCellId="0" sqref="O10"/>
    </sheetView>
  </sheetViews>
  <sheetFormatPr defaultColWidth="8.453125" defaultRowHeight="15" zeroHeight="false" outlineLevelRow="0" outlineLevelCol="0"/>
  <cols>
    <col collapsed="false" customWidth="true" hidden="false" outlineLevel="0" max="3" min="1" style="0" width="6.43"/>
    <col collapsed="false" customWidth="true" hidden="false" outlineLevel="0" max="8" min="8" style="108" width="9.14"/>
    <col collapsed="false" customWidth="true" hidden="false" outlineLevel="0" max="18" min="18" style="0" width="20.71"/>
    <col collapsed="false" customWidth="true" hidden="false" outlineLevel="0" max="19" min="19" style="0" width="18.86"/>
    <col collapsed="false" customWidth="true" hidden="false" outlineLevel="0" max="20" min="20" style="0" width="10.57"/>
  </cols>
  <sheetData>
    <row r="1" customFormat="false" ht="36.5" hidden="false" customHeight="false" outlineLevel="0" collapsed="false">
      <c r="A1" s="5" t="s">
        <v>0</v>
      </c>
      <c r="B1" s="6" t="s">
        <v>1</v>
      </c>
      <c r="C1" s="6" t="s">
        <v>2</v>
      </c>
      <c r="D1" s="7" t="s">
        <v>3</v>
      </c>
      <c r="E1" s="7" t="s">
        <v>4</v>
      </c>
      <c r="F1" s="8" t="s">
        <v>5</v>
      </c>
      <c r="G1" s="8" t="s">
        <v>6</v>
      </c>
      <c r="H1" s="8" t="s">
        <v>7</v>
      </c>
      <c r="I1" s="6" t="s">
        <v>8</v>
      </c>
      <c r="J1" s="6" t="s">
        <v>94</v>
      </c>
      <c r="K1" s="6" t="s">
        <v>10</v>
      </c>
      <c r="L1" s="6" t="s">
        <v>11</v>
      </c>
      <c r="M1" s="6" t="s">
        <v>12</v>
      </c>
      <c r="N1" s="8" t="s">
        <v>13</v>
      </c>
      <c r="O1" s="9" t="s">
        <v>77</v>
      </c>
      <c r="P1" s="9" t="s">
        <v>95</v>
      </c>
      <c r="Q1" s="2"/>
      <c r="T1" s="10"/>
      <c r="U1" s="76"/>
      <c r="V1" s="2"/>
      <c r="W1" s="2"/>
    </row>
    <row r="2" customFormat="false" ht="15" hidden="false" customHeight="false" outlineLevel="0" collapsed="false">
      <c r="A2" s="86" t="n">
        <v>1</v>
      </c>
      <c r="B2" s="86" t="s">
        <v>96</v>
      </c>
      <c r="C2" s="86" t="n">
        <v>31</v>
      </c>
      <c r="D2" s="51" t="n">
        <v>45033</v>
      </c>
      <c r="E2" s="51" t="n">
        <v>45034.2567708333</v>
      </c>
      <c r="F2" s="0" t="n">
        <v>83995.045</v>
      </c>
      <c r="G2" s="0" t="n">
        <v>84027.528</v>
      </c>
      <c r="H2" s="108" t="n">
        <v>32.477</v>
      </c>
      <c r="I2" s="87" t="n">
        <f aca="false">H2</f>
        <v>32.477</v>
      </c>
      <c r="J2" s="87" t="n">
        <f aca="false">(I2)</f>
        <v>32.477</v>
      </c>
      <c r="K2" s="88" t="n">
        <f aca="false">IF($H2&lt;&gt;"",(($H2*$T$7)+($A2*$T$8))*(1+$S$9),"")</f>
        <v>6.6489693897249</v>
      </c>
      <c r="L2" s="89" t="n">
        <f aca="false">(K2)</f>
        <v>6.6489693897249</v>
      </c>
      <c r="M2" s="90" t="n">
        <f aca="false">IF($J2&lt;&gt;"",$J2*($A$31-$A$2),"")</f>
        <v>941.833</v>
      </c>
      <c r="N2" s="90" t="n">
        <f aca="false">IF($M2&lt;&gt;"",IF($M2&gt;1000,(($M2*$T$7))*(1+$S$9)-100,($M2*$T$7)+($A2*$S$9)*(1+$S$9)),"")</f>
        <v>185.7592547309</v>
      </c>
      <c r="O2" s="18" t="n">
        <f aca="false">IF(I2&gt;=1000,"",(1000-I2))</f>
        <v>967.523</v>
      </c>
      <c r="P2" s="92" t="n">
        <f aca="false">(34-H2)</f>
        <v>1.523</v>
      </c>
      <c r="Q2" s="92"/>
      <c r="R2" s="19" t="s">
        <v>18</v>
      </c>
      <c r="S2" s="20" t="s">
        <v>19</v>
      </c>
      <c r="T2" s="21"/>
      <c r="U2" s="93" t="n">
        <v>2</v>
      </c>
      <c r="V2" s="92"/>
      <c r="W2" s="92"/>
    </row>
    <row r="3" customFormat="false" ht="15" hidden="false" customHeight="false" outlineLevel="0" collapsed="false">
      <c r="A3" s="86" t="n">
        <v>2</v>
      </c>
      <c r="B3" s="86" t="s">
        <v>97</v>
      </c>
      <c r="C3" s="86" t="n">
        <v>30</v>
      </c>
      <c r="D3" s="51" t="n">
        <v>45034</v>
      </c>
      <c r="E3" s="51" t="n">
        <v>45035.2562037037</v>
      </c>
      <c r="F3" s="2" t="n">
        <v>84027.528</v>
      </c>
      <c r="G3" s="2" t="n">
        <v>84055.559</v>
      </c>
      <c r="H3" s="108" t="n">
        <v>28.029</v>
      </c>
      <c r="I3" s="87" t="n">
        <f aca="false">IF($H3&gt;0,($I2+$H3),"")</f>
        <v>60.506</v>
      </c>
      <c r="J3" s="87" t="n">
        <f aca="false">IF(KWH&gt;0,$I3/$A3,"")</f>
        <v>30.253</v>
      </c>
      <c r="K3" s="88" t="n">
        <f aca="false">IF($H3&lt;&gt;"",(($H3*$T$7)+($A3*$T$8))*(1+$S$9),"")</f>
        <v>5.8705384038273</v>
      </c>
      <c r="L3" s="89" t="n">
        <f aca="false">IF($K3&lt;&gt;"",($K3+$L2),"")</f>
        <v>12.5195077935522</v>
      </c>
      <c r="M3" s="90" t="n">
        <f aca="false">IF($H3&lt;&gt;"",$I3+($A$33-$A3)*$J3)</f>
        <v>968.096</v>
      </c>
      <c r="N3" s="90" t="n">
        <f aca="false">IF($M3&lt;&gt;"",IF($M3&gt;1000,(($M3*$T$7))*(1+$S$9)-100,($M3*$T$7)+($A3*$S$9)*(1+$S$9)),"")</f>
        <v>190.9589497618</v>
      </c>
      <c r="O3" s="18" t="n">
        <f aca="false">IF(I3&gt;=1000,"",(1000-I3))</f>
        <v>939.494</v>
      </c>
      <c r="P3" s="92" t="n">
        <f aca="false">IF($H3&gt;0,P2+(34-H3),"")</f>
        <v>7.494</v>
      </c>
      <c r="Q3" s="92"/>
      <c r="R3" s="22" t="s">
        <v>22</v>
      </c>
      <c r="S3" s="23" t="n">
        <f aca="false">(F2+1000)</f>
        <v>84995.045</v>
      </c>
      <c r="T3" s="24" t="n">
        <v>0</v>
      </c>
      <c r="U3" s="93" t="n">
        <v>3</v>
      </c>
      <c r="V3" s="92"/>
      <c r="W3" s="92"/>
    </row>
    <row r="4" customFormat="false" ht="15" hidden="false" customHeight="false" outlineLevel="0" collapsed="false">
      <c r="A4" s="86" t="n">
        <v>3</v>
      </c>
      <c r="B4" s="86" t="s">
        <v>98</v>
      </c>
      <c r="C4" s="86" t="n">
        <v>29</v>
      </c>
      <c r="D4" s="51" t="n">
        <v>45035</v>
      </c>
      <c r="E4" s="51" t="n">
        <v>45036.2559143519</v>
      </c>
      <c r="F4" s="2" t="n">
        <v>84055.559</v>
      </c>
      <c r="G4" s="2" t="n">
        <v>84083.774</v>
      </c>
      <c r="H4" s="108" t="n">
        <v>28.217</v>
      </c>
      <c r="I4" s="87" t="n">
        <f aca="false">IF($H4&gt;0,($I3+$H4),"")</f>
        <v>88.723</v>
      </c>
      <c r="J4" s="87" t="n">
        <f aca="false">IF(KWH&gt;0,$I4/$A4,"")</f>
        <v>29.5743333333333</v>
      </c>
      <c r="K4" s="88" t="n">
        <f aca="false">IF($H4&lt;&gt;"",(($H4*$T$7)+($A4*$T$8))*(1+$S$9),"")</f>
        <v>6.0246308611629</v>
      </c>
      <c r="L4" s="89" t="n">
        <f aca="false">IF($K4&lt;&gt;"",($K4+$L3),"")</f>
        <v>18.5441386547151</v>
      </c>
      <c r="M4" s="90" t="n">
        <f aca="false">IF($H4&lt;&gt;"",$I4+($A$33-$A4)*$J4)</f>
        <v>946.378666666667</v>
      </c>
      <c r="N4" s="90" t="n">
        <f aca="false">IF($M4&lt;&gt;"",IF($M4&gt;1000,(($M4*$T$7))*(1+$S$9)-100,($M4*$T$7)+($A4*$S$9)*(1+$S$9)),"")</f>
        <v>186.696443256033</v>
      </c>
      <c r="O4" s="18" t="n">
        <f aca="false">IF(I4&gt;=1000,"",(1000-I4))</f>
        <v>911.277</v>
      </c>
      <c r="P4" s="92" t="n">
        <f aca="false">IF($H4&gt;0,P3+(34-H4),"")</f>
        <v>13.277</v>
      </c>
      <c r="Q4" s="92"/>
      <c r="R4" s="22" t="s">
        <v>25</v>
      </c>
      <c r="S4" s="25"/>
      <c r="T4" s="26" t="n">
        <v>0.001667</v>
      </c>
      <c r="U4" s="93" t="n">
        <v>4</v>
      </c>
      <c r="V4" s="92"/>
      <c r="W4" s="92"/>
    </row>
    <row r="5" customFormat="false" ht="15" hidden="false" customHeight="false" outlineLevel="0" collapsed="false">
      <c r="A5" s="86" t="n">
        <v>4</v>
      </c>
      <c r="B5" s="86" t="s">
        <v>99</v>
      </c>
      <c r="C5" s="86" t="n">
        <v>28</v>
      </c>
      <c r="D5" s="51" t="n">
        <v>45036</v>
      </c>
      <c r="E5" s="51" t="n">
        <v>45037.2553819444</v>
      </c>
      <c r="F5" s="2" t="n">
        <v>84083.774</v>
      </c>
      <c r="G5" s="2" t="n">
        <v>84117.797</v>
      </c>
      <c r="H5" s="108" t="n">
        <v>34.023</v>
      </c>
      <c r="I5" s="87" t="n">
        <f aca="false">IF($H5&gt;0,($I4+$H5),"")</f>
        <v>122.746</v>
      </c>
      <c r="J5" s="87" t="n">
        <f aca="false">IF(KWH&gt;0,$I5/$A5,"")</f>
        <v>30.6865</v>
      </c>
      <c r="K5" s="88" t="n">
        <f aca="false">IF($H5&lt;&gt;"",(($H5*$T$7)+($A5*$T$8))*(1+$S$9),"")</f>
        <v>7.3087743763251</v>
      </c>
      <c r="L5" s="89" t="n">
        <f aca="false">IF($K5&lt;&gt;"",($K5+$L4),"")</f>
        <v>25.8529130310402</v>
      </c>
      <c r="M5" s="90" t="n">
        <f aca="false">IF($H5&lt;&gt;"",$I5+($A$33-$A5)*$J5)</f>
        <v>981.968</v>
      </c>
      <c r="N5" s="90" t="n">
        <f aca="false">IF($M5&lt;&gt;"",IF($M5&gt;1000,(($M5*$T$7))*(1+$S$9)-100,($M5*$T$7)+($A5*$S$9)*(1+$S$9)),"")</f>
        <v>193.7353844836</v>
      </c>
      <c r="O5" s="18" t="n">
        <f aca="false">IF(I5&gt;=1000,"",(1000-I5))</f>
        <v>877.254</v>
      </c>
      <c r="P5" s="92" t="n">
        <f aca="false">IF($H5&gt;0,P4+(34-H5),"")</f>
        <v>13.254</v>
      </c>
      <c r="Q5" s="92"/>
      <c r="R5" s="22" t="s">
        <v>28</v>
      </c>
      <c r="S5" s="25"/>
      <c r="T5" s="26" t="n">
        <v>0.041543</v>
      </c>
      <c r="U5" s="93" t="n">
        <v>5</v>
      </c>
      <c r="V5" s="92"/>
      <c r="W5" s="92"/>
    </row>
    <row r="6" customFormat="false" ht="15" hidden="false" customHeight="false" outlineLevel="0" collapsed="false">
      <c r="A6" s="86" t="n">
        <v>5</v>
      </c>
      <c r="B6" s="86" t="s">
        <v>100</v>
      </c>
      <c r="C6" s="86" t="n">
        <v>27</v>
      </c>
      <c r="D6" s="51" t="n">
        <v>45037</v>
      </c>
      <c r="E6" s="51" t="n">
        <v>45038.2550810185</v>
      </c>
      <c r="F6" s="2" t="n">
        <v>84117.797</v>
      </c>
      <c r="G6" s="2" t="n">
        <v>84145.544</v>
      </c>
      <c r="H6" s="108" t="n">
        <v>27.751</v>
      </c>
      <c r="I6" s="87" t="n">
        <f aca="false">IF($H6&gt;0,($I5+$H6),"")</f>
        <v>150.497</v>
      </c>
      <c r="J6" s="87" t="n">
        <f aca="false">IF(KWH&gt;0,$I6/$A6,"")</f>
        <v>30.0994</v>
      </c>
      <c r="K6" s="88" t="n">
        <f aca="false">IF($H6&lt;&gt;"",(($H6*$T$7)+($A6*$T$8))*(1+$S$9),"")</f>
        <v>6.1634489209587</v>
      </c>
      <c r="L6" s="89" t="n">
        <f aca="false">IF($K6&lt;&gt;"",($K6+$L5),"")</f>
        <v>32.0163619519989</v>
      </c>
      <c r="M6" s="90" t="n">
        <f aca="false">IF($H6&lt;&gt;"",$I6+($A$33-$A6)*$J6)</f>
        <v>963.1808</v>
      </c>
      <c r="N6" s="90" t="n">
        <f aca="false">IF($M6&lt;&gt;"",IF($M6&gt;1000,(($M6*$T$7))*(1+$S$9)-100,($M6*$T$7)+($A6*$S$9)*(1+$S$9)),"")</f>
        <v>190.0507295725</v>
      </c>
      <c r="O6" s="18" t="n">
        <f aca="false">IF(I6&gt;=1000,"",(1000-I6))</f>
        <v>849.503</v>
      </c>
      <c r="P6" s="92" t="n">
        <f aca="false">IF($H6&gt;0,P5+(34-H6),"")</f>
        <v>19.503</v>
      </c>
      <c r="Q6" s="92"/>
      <c r="R6" s="22" t="s">
        <v>31</v>
      </c>
      <c r="S6" s="25"/>
      <c r="T6" s="26" t="n">
        <v>0.154</v>
      </c>
      <c r="U6" s="93" t="n">
        <v>6</v>
      </c>
      <c r="V6" s="92"/>
      <c r="W6" s="92"/>
    </row>
    <row r="7" customFormat="false" ht="15" hidden="false" customHeight="false" outlineLevel="0" collapsed="false">
      <c r="A7" s="86" t="n">
        <v>6</v>
      </c>
      <c r="B7" s="86" t="s">
        <v>101</v>
      </c>
      <c r="C7" s="86" t="n">
        <v>26</v>
      </c>
      <c r="D7" s="51" t="n">
        <v>45038</v>
      </c>
      <c r="E7" s="51" t="n">
        <v>45039.2765625</v>
      </c>
      <c r="F7" s="2" t="n">
        <v>84145.544</v>
      </c>
      <c r="G7" s="2" t="n">
        <v>84171.287</v>
      </c>
      <c r="H7" s="108" t="n">
        <v>25.748</v>
      </c>
      <c r="I7" s="87" t="n">
        <f aca="false">IF($H7&gt;0,($I6+$H7),"")</f>
        <v>176.245</v>
      </c>
      <c r="J7" s="87" t="n">
        <f aca="false">IF(KWH&gt;0,$I7/$A7,"")</f>
        <v>29.3741666666667</v>
      </c>
      <c r="K7" s="88" t="n">
        <f aca="false">IF($H7&lt;&gt;"",(($H7*$T$7)+($A7*$T$8))*(1+$S$9),"")</f>
        <v>5.8768254887076</v>
      </c>
      <c r="L7" s="89" t="n">
        <f aca="false">IF($K7&lt;&gt;"",($K7+$L6),"")</f>
        <v>37.8931874407065</v>
      </c>
      <c r="M7" s="90" t="n">
        <f aca="false">IF($H7&lt;&gt;"",$I7+($A$33-$A7)*$J7)</f>
        <v>939.973333333333</v>
      </c>
      <c r="N7" s="90" t="n">
        <f aca="false">IF($M7&lt;&gt;"",IF($M7&gt;1000,(($M7*$T$7))*(1+$S$9)-100,($M7*$T$7)+($A7*$S$9)*(1+$S$9)),"")</f>
        <v>185.494353872067</v>
      </c>
      <c r="O7" s="18" t="n">
        <f aca="false">IF(I7&gt;=1000,"",(1000-I7))</f>
        <v>823.755</v>
      </c>
      <c r="P7" s="92" t="n">
        <f aca="false">IF($H7&gt;0,P6+(34-H7),"")</f>
        <v>27.755</v>
      </c>
      <c r="Q7" s="92"/>
      <c r="R7" s="22" t="s">
        <v>34</v>
      </c>
      <c r="S7" s="25"/>
      <c r="T7" s="28" t="n">
        <f aca="false">SUM(T4:T6)</f>
        <v>0.19721</v>
      </c>
      <c r="U7" s="93" t="n">
        <v>7</v>
      </c>
      <c r="V7" s="92"/>
      <c r="W7" s="92"/>
    </row>
    <row r="8" customFormat="false" ht="15" hidden="false" customHeight="false" outlineLevel="0" collapsed="false">
      <c r="A8" s="86" t="n">
        <v>7</v>
      </c>
      <c r="B8" s="86" t="s">
        <v>102</v>
      </c>
      <c r="C8" s="86" t="n">
        <v>25</v>
      </c>
      <c r="D8" s="51" t="n">
        <v>45039</v>
      </c>
      <c r="E8" s="51" t="n">
        <v>45040.254849537</v>
      </c>
      <c r="F8" s="2" t="n">
        <v>84171.287</v>
      </c>
      <c r="G8" s="2" t="n">
        <v>84195.079</v>
      </c>
      <c r="H8" s="108" t="n">
        <v>23.794</v>
      </c>
      <c r="I8" s="87" t="n">
        <f aca="false">IF($H8&gt;0,($I7+$H8),"")</f>
        <v>200.039</v>
      </c>
      <c r="J8" s="87" t="n">
        <f aca="false">IF(KWH&gt;0,$I8/$A8,"")</f>
        <v>28.577</v>
      </c>
      <c r="K8" s="88" t="n">
        <f aca="false">IF($H8&lt;&gt;"",(($H8*$T$7)+($A8*$T$8))*(1+$S$9),"")</f>
        <v>5.6000583223578</v>
      </c>
      <c r="L8" s="89" t="n">
        <f aca="false">IF($K8&lt;&gt;"",($K8+$L7),"")</f>
        <v>43.4932457630643</v>
      </c>
      <c r="M8" s="90" t="n">
        <f aca="false">IF($H8&lt;&gt;"",$I8+($A$33-$A8)*$J8)</f>
        <v>914.464</v>
      </c>
      <c r="N8" s="90" t="n">
        <f aca="false">IF($M8&lt;&gt;"",IF($M8&gt;1000,(($M8*$T$7))*(1+$S$9)-100,($M8*$T$7)+($A8*$S$9)*(1+$S$9)),"")</f>
        <v>180.4840270463</v>
      </c>
      <c r="O8" s="18" t="n">
        <f aca="false">IF(I8&gt;=1000,"",(1000-I8))</f>
        <v>799.961</v>
      </c>
      <c r="P8" s="92" t="n">
        <f aca="false">IF($H8&gt;0,P7+(34-H8),"")</f>
        <v>37.961</v>
      </c>
      <c r="Q8" s="92"/>
      <c r="R8" s="22" t="s">
        <v>38</v>
      </c>
      <c r="S8" s="33" t="n">
        <v>3.42</v>
      </c>
      <c r="T8" s="94" t="n">
        <f aca="false">(S8/$A$31)</f>
        <v>0.114</v>
      </c>
      <c r="U8" s="93" t="n">
        <v>8</v>
      </c>
      <c r="V8" s="92"/>
      <c r="W8" s="92"/>
    </row>
    <row r="9" customFormat="false" ht="15" hidden="false" customHeight="false" outlineLevel="0" collapsed="false">
      <c r="A9" s="86" t="n">
        <v>8</v>
      </c>
      <c r="B9" s="86" t="s">
        <v>96</v>
      </c>
      <c r="C9" s="86" t="n">
        <v>24</v>
      </c>
      <c r="D9" s="51" t="n">
        <v>45040</v>
      </c>
      <c r="E9" s="51" t="n">
        <v>45041.3023958333</v>
      </c>
      <c r="F9" s="2" t="n">
        <v>84195.079</v>
      </c>
      <c r="G9" s="2" t="n">
        <v>84229.452</v>
      </c>
      <c r="H9" s="108" t="n">
        <v>34.376</v>
      </c>
      <c r="I9" s="87" t="n">
        <f aca="false">IF($H9&gt;0,($I8+$H9),"")</f>
        <v>234.415</v>
      </c>
      <c r="J9" s="87" t="n">
        <f aca="false">IF(KWH&gt;0,$I9/$A9,"")</f>
        <v>29.301875</v>
      </c>
      <c r="K9" s="88" t="n">
        <f aca="false">IF($H9&lt;&gt;"",(($H9*$T$7)+($A9*$T$8))*(1+$S$9),"")</f>
        <v>7.8448860404712</v>
      </c>
      <c r="L9" s="89" t="n">
        <f aca="false">IF($K9&lt;&gt;"",($K9+$L8),"")</f>
        <v>51.3381318035355</v>
      </c>
      <c r="M9" s="90" t="n">
        <f aca="false">IF($H9&lt;&gt;"",$I9+($A$33-$A9)*$J9)</f>
        <v>937.66</v>
      </c>
      <c r="N9" s="90" t="n">
        <f aca="false">IF($M9&lt;&gt;"",IF($M9&gt;1000,(($M9*$T$7))*(1+$S$9)-100,($M9*$T$7)+($A9*$S$9)*(1+$S$9)),"")</f>
        <v>185.0788790072</v>
      </c>
      <c r="O9" s="18" t="n">
        <f aca="false">IF(I9&gt;=1000,"",(1000-I9))</f>
        <v>765.585</v>
      </c>
      <c r="P9" s="92" t="n">
        <f aca="false">IF($H9&gt;0,P8+(34-H9),"")</f>
        <v>37.585</v>
      </c>
      <c r="Q9" s="92"/>
      <c r="R9" s="22" t="s">
        <v>42</v>
      </c>
      <c r="S9" s="30" t="n">
        <v>0.01997</v>
      </c>
      <c r="T9" s="32"/>
      <c r="U9" s="93" t="n">
        <v>9</v>
      </c>
      <c r="V9" s="92"/>
      <c r="W9" s="92"/>
    </row>
    <row r="10" customFormat="false" ht="15" hidden="false" customHeight="false" outlineLevel="0" collapsed="false">
      <c r="A10" s="86" t="n">
        <v>9</v>
      </c>
      <c r="B10" s="86" t="s">
        <v>97</v>
      </c>
      <c r="C10" s="86" t="n">
        <v>23</v>
      </c>
      <c r="D10" s="51" t="n">
        <v>45041</v>
      </c>
      <c r="E10" s="51" t="n">
        <v>45042.2560416667</v>
      </c>
      <c r="F10" s="2" t="n">
        <v>84229.452</v>
      </c>
      <c r="G10" s="2" t="n">
        <v>84259.781</v>
      </c>
      <c r="H10" s="108" t="n">
        <v>30.329</v>
      </c>
      <c r="I10" s="87" t="n">
        <f aca="false">IF($H10&gt;0,($I9+$H10),"")</f>
        <v>264.744</v>
      </c>
      <c r="J10" s="87" t="n">
        <f aca="false">IF(KWH&gt;0,$I10/$A10,"")</f>
        <v>29.416</v>
      </c>
      <c r="K10" s="88" t="n">
        <f aca="false">IF($H10&lt;&gt;"",(($H10*$T$7)+($A10*$T$8))*(1+$S$9),"")</f>
        <v>7.1471155163373</v>
      </c>
      <c r="L10" s="89" t="n">
        <f aca="false">IF($K10&lt;&gt;"",($K10+$L9),"")</f>
        <v>58.4852473198728</v>
      </c>
      <c r="M10" s="90" t="n">
        <f aca="false">IF($H10&lt;&gt;"",$I10+($A$33-$A10)*$J10)</f>
        <v>941.312</v>
      </c>
      <c r="N10" s="90" t="n">
        <f aca="false">IF($M10&lt;&gt;"",IF($M10&gt;1000,(($M10*$T$7))*(1+$S$9)-100,($M10*$T$7)+($A10*$S$9)*(1+$S$9)),"")</f>
        <v>185.8194587281</v>
      </c>
      <c r="O10" s="18" t="n">
        <f aca="false">IF(I10&gt;=1000,"",(1000-I10))</f>
        <v>735.256</v>
      </c>
      <c r="P10" s="92" t="n">
        <f aca="false">IF($H10&gt;0,P9+(34-H10),"")</f>
        <v>41.256</v>
      </c>
      <c r="Q10" s="92"/>
      <c r="R10" s="22" t="s">
        <v>46</v>
      </c>
      <c r="S10" s="25"/>
      <c r="T10" s="95" t="n">
        <v>100</v>
      </c>
      <c r="U10" s="93" t="n">
        <v>10</v>
      </c>
      <c r="V10" s="92"/>
      <c r="W10" s="92"/>
    </row>
    <row r="11" customFormat="false" ht="15" hidden="false" customHeight="false" outlineLevel="0" collapsed="false">
      <c r="A11" s="86" t="n">
        <v>10</v>
      </c>
      <c r="B11" s="86" t="s">
        <v>98</v>
      </c>
      <c r="C11" s="86" t="n">
        <v>22</v>
      </c>
      <c r="D11" s="51" t="n">
        <v>45042</v>
      </c>
      <c r="E11" s="51" t="n">
        <v>45043.2560300926</v>
      </c>
      <c r="F11" s="2" t="n">
        <v>84259.781</v>
      </c>
      <c r="G11" s="2" t="n">
        <v>84293.084</v>
      </c>
      <c r="H11" s="108" t="n">
        <v>33.303</v>
      </c>
      <c r="I11" s="87" t="n">
        <f aca="false">IF($H11&gt;0,($I10+$H11),"")</f>
        <v>298.047</v>
      </c>
      <c r="J11" s="87" t="n">
        <f aca="false">IF(KWH&gt;0,$I11/$A11,"")</f>
        <v>29.8047</v>
      </c>
      <c r="K11" s="88" t="n">
        <f aca="false">IF($H11&lt;&gt;"",(($H11*$T$7)+($A11*$T$8))*(1+$S$9),"")</f>
        <v>7.8616070920611</v>
      </c>
      <c r="L11" s="89" t="n">
        <f aca="false">IF($K11&lt;&gt;"",($K11+$L10),"")</f>
        <v>66.3468544119339</v>
      </c>
      <c r="M11" s="90" t="n">
        <f aca="false">IF($H11&lt;&gt;"",$I11+($A$33-$A11)*$J11)</f>
        <v>953.7504</v>
      </c>
      <c r="N11" s="90" t="n">
        <f aca="false">IF($M11&lt;&gt;"",IF($M11&gt;1000,(($M11*$T$7))*(1+$S$9)-100,($M11*$T$7)+($A11*$S$9)*(1+$S$9)),"")</f>
        <v>188.292804393</v>
      </c>
      <c r="O11" s="18" t="n">
        <f aca="false">IF(I11&gt;=1000,"",(1000-I11))</f>
        <v>701.953</v>
      </c>
      <c r="P11" s="92" t="n">
        <f aca="false">IF($H11&gt;0,P10+(34-H11),"")</f>
        <v>41.953</v>
      </c>
      <c r="Q11" s="92"/>
      <c r="R11" s="22" t="s">
        <v>103</v>
      </c>
      <c r="S11" s="96" t="str">
        <f aca="false">IF(COUNTIF(O1:O459, "&lt;0")=0, "NOT YET!", INDEX(A1:A459, MIN(IF(O1:O459&lt;0, ROW(O1:O459)))))</f>
        <v>NOT YET!</v>
      </c>
      <c r="T11" s="32"/>
      <c r="U11" s="93" t="n">
        <v>11</v>
      </c>
      <c r="V11" s="92"/>
      <c r="W11" s="92"/>
    </row>
    <row r="12" customFormat="false" ht="15" hidden="false" customHeight="false" outlineLevel="0" collapsed="false">
      <c r="A12" s="86" t="n">
        <v>11</v>
      </c>
      <c r="B12" s="86" t="s">
        <v>99</v>
      </c>
      <c r="C12" s="86" t="n">
        <v>21</v>
      </c>
      <c r="D12" s="51" t="n">
        <v>45043</v>
      </c>
      <c r="E12" s="51" t="n">
        <v>45044.2553009259</v>
      </c>
      <c r="F12" s="2" t="n">
        <v>84293.084</v>
      </c>
      <c r="G12" s="2" t="n">
        <v>84324.257</v>
      </c>
      <c r="H12" s="108" t="n">
        <v>31.168</v>
      </c>
      <c r="I12" s="87" t="n">
        <f aca="false">IF($H12&gt;0,($I11+$H12),"")</f>
        <v>329.215</v>
      </c>
      <c r="J12" s="87" t="n">
        <f aca="false">IF(KWH&gt;0,$I12/$A12,"")</f>
        <v>29.9286363636364</v>
      </c>
      <c r="K12" s="88" t="n">
        <f aca="false">IF($H12&lt;&gt;"",(($H12*$T$7)+($A12*$T$8))*(1+$S$9),"")</f>
        <v>7.5484320863616</v>
      </c>
      <c r="L12" s="89" t="n">
        <f aca="false">IF($K12&lt;&gt;"",($K12+$L11),"")</f>
        <v>73.8952864982955</v>
      </c>
      <c r="M12" s="90" t="n">
        <f aca="false">IF($H12&lt;&gt;"",$I12+($A$33-$A12)*$J12)</f>
        <v>957.716363636364</v>
      </c>
      <c r="N12" s="90" t="n">
        <f aca="false">IF($M12&lt;&gt;"",IF($M12&gt;1000,(($M12*$T$7))*(1+$S$9)-100,($M12*$T$7)+($A12*$S$9)*(1+$S$9)),"")</f>
        <v>189.095300882627</v>
      </c>
      <c r="O12" s="18" t="n">
        <f aca="false">IF(I12&gt;=1000,"",(1000-I12))</f>
        <v>670.785</v>
      </c>
      <c r="P12" s="92" t="n">
        <f aca="false">IF($H12&gt;0,P11+(34-H12),"")</f>
        <v>44.785</v>
      </c>
      <c r="Q12" s="92"/>
      <c r="R12" s="22" t="s">
        <v>49</v>
      </c>
      <c r="S12" s="33" t="n">
        <v>295</v>
      </c>
      <c r="T12" s="32"/>
      <c r="U12" s="93" t="n">
        <v>12</v>
      </c>
      <c r="V12" s="92"/>
      <c r="W12" s="92"/>
    </row>
    <row r="13" customFormat="false" ht="15" hidden="false" customHeight="false" outlineLevel="0" collapsed="false">
      <c r="A13" s="86" t="n">
        <v>12</v>
      </c>
      <c r="B13" s="86" t="s">
        <v>100</v>
      </c>
      <c r="C13" s="86" t="n">
        <v>20</v>
      </c>
      <c r="D13" s="51" t="n">
        <v>45044</v>
      </c>
      <c r="E13" s="51" t="n">
        <v>45045.2552314815</v>
      </c>
      <c r="F13" s="2" t="n">
        <v>84324.257</v>
      </c>
      <c r="G13" s="2" t="n">
        <v>84353.948</v>
      </c>
      <c r="H13" s="108" t="n">
        <v>29.69</v>
      </c>
      <c r="I13" s="87" t="n">
        <f aca="false">IF($H13&gt;0,($I12+$H13),"")</f>
        <v>358.905</v>
      </c>
      <c r="J13" s="87" t="n">
        <f aca="false">IF(KWH&gt;0,$I13/$A13,"")</f>
        <v>29.90875</v>
      </c>
      <c r="K13" s="88" t="n">
        <f aca="false">IF($H13&lt;&gt;"",(($H13*$T$7)+($A13*$T$8))*(1+$S$9),"")</f>
        <v>7.367411503053</v>
      </c>
      <c r="L13" s="89" t="n">
        <f aca="false">IF($K13&lt;&gt;"",($K13+$L12),"")</f>
        <v>81.2626980013485</v>
      </c>
      <c r="M13" s="90" t="n">
        <f aca="false">IF($H13&lt;&gt;"",$I13+($A$33-$A13)*$J13)</f>
        <v>957.08</v>
      </c>
      <c r="N13" s="90" t="n">
        <f aca="false">IF($M13&lt;&gt;"",IF($M13&gt;1000,(($M13*$T$7))*(1+$S$9)-100,($M13*$T$7)+($A13*$S$9)*(1+$S$9)),"")</f>
        <v>188.9901724108</v>
      </c>
      <c r="O13" s="18" t="n">
        <f aca="false">IF(I13&gt;=1000,"",(1000-I13))</f>
        <v>641.095</v>
      </c>
      <c r="P13" s="92" t="n">
        <f aca="false">IF($H13&gt;0,P12+(34-H13),"")</f>
        <v>49.095</v>
      </c>
      <c r="Q13" s="92"/>
      <c r="R13" s="22" t="s">
        <v>52</v>
      </c>
      <c r="S13" s="97" t="n">
        <f aca="false">INDEX(L2:L32,COUNT(L2:L32))</f>
        <v>280.086863932764</v>
      </c>
      <c r="T13" s="32"/>
      <c r="U13" s="98"/>
      <c r="V13" s="92"/>
      <c r="W13" s="92"/>
    </row>
    <row r="14" customFormat="false" ht="15" hidden="false" customHeight="false" outlineLevel="0" collapsed="false">
      <c r="A14" s="86" t="n">
        <v>13</v>
      </c>
      <c r="B14" s="86" t="s">
        <v>101</v>
      </c>
      <c r="C14" s="86" t="n">
        <v>19</v>
      </c>
      <c r="D14" s="51" t="n">
        <v>45045</v>
      </c>
      <c r="E14" s="51" t="n">
        <v>45047.2566898148</v>
      </c>
      <c r="F14" s="2" t="n">
        <v>84353.948</v>
      </c>
      <c r="G14" s="2" t="n">
        <v>84378.95</v>
      </c>
      <c r="H14" s="108" t="n">
        <v>24.999</v>
      </c>
      <c r="I14" s="87" t="n">
        <f aca="false">IF($H14&gt;0,($I13+$H14),"")</f>
        <v>383.904</v>
      </c>
      <c r="J14" s="87" t="n">
        <f aca="false">IF(KWH&gt;0,$I14/$A14,"")</f>
        <v>29.5310769230769</v>
      </c>
      <c r="K14" s="88" t="n">
        <f aca="false">IF($H14&lt;&gt;"",(($H14*$T$7)+($A14*$T$8))*(1+$S$9),"")</f>
        <v>6.5401014842163</v>
      </c>
      <c r="L14" s="89" t="n">
        <f aca="false">IF($K14&lt;&gt;"",($K14+$L13),"")</f>
        <v>87.8027994855648</v>
      </c>
      <c r="M14" s="90" t="n">
        <f aca="false">IF($H14&lt;&gt;"",$I14+($A$33-$A14)*$J14)</f>
        <v>944.994461538462</v>
      </c>
      <c r="N14" s="90" t="n">
        <f aca="false">IF($M14&lt;&gt;"",IF($M14&gt;1000,(($M14*$T$7))*(1+$S$9)-100,($M14*$T$7)+($A14*$S$9)*(1+$S$9)),"")</f>
        <v>186.6271521717</v>
      </c>
      <c r="O14" s="18" t="n">
        <f aca="false">IF(I14&gt;=1000,"",(1000-I14))</f>
        <v>616.096</v>
      </c>
      <c r="P14" s="92" t="n">
        <f aca="false">IF($H14&gt;0,P13+(34-H14),"")</f>
        <v>58.096</v>
      </c>
      <c r="Q14" s="92"/>
      <c r="R14" s="22" t="s">
        <v>55</v>
      </c>
      <c r="S14" s="99" t="n">
        <f aca="false">INDEX(I2:I32,COUNT(I2:I32))</f>
        <v>1105.72</v>
      </c>
      <c r="T14" s="32"/>
      <c r="U14" s="98"/>
      <c r="V14" s="92"/>
      <c r="W14" s="92"/>
    </row>
    <row r="15" customFormat="false" ht="15" hidden="false" customHeight="false" outlineLevel="0" collapsed="false">
      <c r="A15" s="86" t="n">
        <v>14</v>
      </c>
      <c r="B15" s="86" t="s">
        <v>102</v>
      </c>
      <c r="C15" s="86" t="n">
        <v>18</v>
      </c>
      <c r="D15" s="51" t="n">
        <v>45046</v>
      </c>
      <c r="E15" s="51" t="n">
        <v>45047.2561689815</v>
      </c>
      <c r="F15" s="2" t="n">
        <v>84378.95</v>
      </c>
      <c r="G15" s="2" t="n">
        <v>84410.022</v>
      </c>
      <c r="H15" s="108" t="n">
        <v>31.073</v>
      </c>
      <c r="I15" s="87" t="n">
        <f aca="false">IF($H15&gt;0,($I14+$H15),"")</f>
        <v>414.977</v>
      </c>
      <c r="J15" s="87" t="n">
        <f aca="false">IF(KWH&gt;0,$I15/$A15,"")</f>
        <v>29.6412142857143</v>
      </c>
      <c r="K15" s="88" t="n">
        <f aca="false">IF($H15&lt;&gt;"",(($H15*$T$7)+($A15*$T$8))*(1+$S$9),"")</f>
        <v>7.8781527394101</v>
      </c>
      <c r="L15" s="89" t="n">
        <f aca="false">IF($K15&lt;&gt;"",($K15+$L14),"")</f>
        <v>95.6809522249749</v>
      </c>
      <c r="M15" s="90" t="n">
        <f aca="false">IF($H15&lt;&gt;"",$I15+($A$33-$A15)*$J15)</f>
        <v>948.518857142857</v>
      </c>
      <c r="N15" s="90" t="n">
        <f aca="false">IF($M15&lt;&gt;"",IF($M15&gt;1000,(($M15*$T$7))*(1+$S$9)-100,($M15*$T$7)+($A15*$S$9)*(1+$S$9)),"")</f>
        <v>187.342567029743</v>
      </c>
      <c r="O15" s="18" t="n">
        <f aca="false">IF(I15&gt;=1000,"",(1000-I15))</f>
        <v>585.023</v>
      </c>
      <c r="P15" s="92" t="n">
        <f aca="false">IF($H15&gt;0,P14+(34-H15),"")</f>
        <v>61.023</v>
      </c>
      <c r="Q15" s="92"/>
      <c r="R15" s="40" t="s">
        <v>58</v>
      </c>
      <c r="S15" s="100" t="n">
        <f aca="false">INDEX(J2:J32,COUNT(J2:J32))</f>
        <v>35.6683870967742</v>
      </c>
      <c r="T15" s="101"/>
      <c r="V15" s="92"/>
      <c r="W15" s="92"/>
    </row>
    <row r="16" customFormat="false" ht="15" hidden="false" customHeight="false" outlineLevel="0" collapsed="false">
      <c r="A16" s="86" t="n">
        <v>15</v>
      </c>
      <c r="B16" s="86" t="s">
        <v>96</v>
      </c>
      <c r="C16" s="86" t="n">
        <v>17</v>
      </c>
      <c r="D16" s="51" t="n">
        <v>45047</v>
      </c>
      <c r="E16" s="51" t="n">
        <v>45048.2565393519</v>
      </c>
      <c r="F16" s="2" t="n">
        <v>84410.022</v>
      </c>
      <c r="G16" s="2" t="n">
        <v>84440.677</v>
      </c>
      <c r="H16" s="108" t="n">
        <v>30.65</v>
      </c>
      <c r="I16" s="87" t="n">
        <f aca="false">IF($H16&gt;0,($I15+$H16),"")</f>
        <v>445.627</v>
      </c>
      <c r="J16" s="87" t="n">
        <f aca="false">IF(KWH&gt;0,$I16/$A16,"")</f>
        <v>29.7084666666667</v>
      </c>
      <c r="K16" s="88" t="n">
        <f aca="false">IF($H16&lt;&gt;"",(($H16*$T$7)+($A16*$T$8))*(1+$S$9),"")</f>
        <v>7.909343595405</v>
      </c>
      <c r="L16" s="89" t="n">
        <f aca="false">IF($K16&lt;&gt;"",($K16+$L15),"")</f>
        <v>103.59029582038</v>
      </c>
      <c r="M16" s="90" t="n">
        <f aca="false">IF($H16&lt;&gt;"",$I16+($A$33-$A16)*$J16)</f>
        <v>950.670933333333</v>
      </c>
      <c r="N16" s="90" t="n">
        <f aca="false">IF($M16&lt;&gt;"",IF($M16&gt;1000,(($M16*$T$7))*(1+$S$9)-100,($M16*$T$7)+($A16*$S$9)*(1+$S$9)),"")</f>
        <v>187.787346776167</v>
      </c>
      <c r="O16" s="18" t="n">
        <f aca="false">IF(I16&gt;=1000,"",(1000-I16))</f>
        <v>554.373</v>
      </c>
      <c r="P16" s="92" t="n">
        <f aca="false">IF($H16&gt;0,P15+(34-H16),"")</f>
        <v>64.373</v>
      </c>
      <c r="Q16" s="92"/>
      <c r="R16" s="102"/>
      <c r="S16" s="102"/>
      <c r="T16" s="102"/>
      <c r="U16" s="102"/>
      <c r="V16" s="92"/>
      <c r="W16" s="92"/>
    </row>
    <row r="17" customFormat="false" ht="15" hidden="false" customHeight="false" outlineLevel="0" collapsed="false">
      <c r="A17" s="86" t="n">
        <v>16</v>
      </c>
      <c r="B17" s="86" t="s">
        <v>97</v>
      </c>
      <c r="C17" s="86" t="n">
        <v>16</v>
      </c>
      <c r="D17" s="51" t="n">
        <v>45048</v>
      </c>
      <c r="E17" s="51" t="n">
        <v>45049.2575925926</v>
      </c>
      <c r="F17" s="2" t="n">
        <v>84440.677</v>
      </c>
      <c r="G17" s="2" t="n">
        <v>84485.912</v>
      </c>
      <c r="H17" s="108" t="n">
        <v>45.237</v>
      </c>
      <c r="I17" s="87" t="n">
        <f aca="false">IF($H17&gt;0,($I16+$H17),"")</f>
        <v>490.864</v>
      </c>
      <c r="J17" s="87" t="n">
        <f aca="false">IF(KWH&gt;0,$I17/$A17,"")</f>
        <v>30.679</v>
      </c>
      <c r="K17" s="88" t="n">
        <f aca="false">IF($H17&lt;&gt;"",(($H17*$T$7)+($A17*$T$8))*(1+$S$9),"")</f>
        <v>10.9597701897369</v>
      </c>
      <c r="L17" s="89" t="n">
        <f aca="false">IF($K17&lt;&gt;"",($K17+$L16),"")</f>
        <v>114.550066010117</v>
      </c>
      <c r="M17" s="90" t="n">
        <f aca="false">IF($H17&lt;&gt;"",$I17+($A$33-$A17)*$J17)</f>
        <v>981.728</v>
      </c>
      <c r="N17" s="90" t="n">
        <f aca="false">IF($M17&lt;&gt;"",IF($M17&gt;1000,(($M17*$T$7))*(1+$S$9)-100,($M17*$T$7)+($A17*$S$9)*(1+$S$9)),"")</f>
        <v>193.9324796944</v>
      </c>
      <c r="O17" s="18" t="n">
        <f aca="false">IF(I17&gt;=1000,"",(1000-I17))</f>
        <v>509.136</v>
      </c>
      <c r="P17" s="92" t="n">
        <f aca="false">IF($H17&gt;0,P16+(34-H17),"")</f>
        <v>53.136</v>
      </c>
      <c r="Q17" s="92"/>
      <c r="R17" s="102"/>
      <c r="S17" s="102"/>
      <c r="T17" s="102"/>
      <c r="U17" s="102"/>
      <c r="V17" s="92"/>
      <c r="W17" s="92"/>
    </row>
    <row r="18" customFormat="false" ht="15" hidden="false" customHeight="false" outlineLevel="0" collapsed="false">
      <c r="A18" s="86" t="n">
        <v>17</v>
      </c>
      <c r="B18" s="86" t="s">
        <v>98</v>
      </c>
      <c r="C18" s="86" t="n">
        <v>15</v>
      </c>
      <c r="D18" s="51" t="n">
        <v>45049</v>
      </c>
      <c r="E18" s="51" t="n">
        <v>45050.3042939815</v>
      </c>
      <c r="F18" s="2" t="n">
        <v>84485.912</v>
      </c>
      <c r="G18" s="2" t="n">
        <v>84526.482</v>
      </c>
      <c r="H18" s="108" t="n">
        <v>40.568</v>
      </c>
      <c r="I18" s="87" t="n">
        <f aca="false">IF($H18&gt;0,($I17+$H18),"")</f>
        <v>531.432</v>
      </c>
      <c r="J18" s="87" t="n">
        <f aca="false">IF(KWH&gt;0,$I18/$A18,"")</f>
        <v>31.2607058823529</v>
      </c>
      <c r="K18" s="88" t="n">
        <f aca="false">IF($H18&lt;&gt;"",(($H18*$T$7)+($A18*$T$8))*(1+$S$9),"")</f>
        <v>10.1368854331416</v>
      </c>
      <c r="L18" s="89" t="n">
        <f aca="false">IF($K18&lt;&gt;"",($K18+$L17),"")</f>
        <v>124.686951443258</v>
      </c>
      <c r="M18" s="90" t="n">
        <f aca="false">IF($H18&lt;&gt;"",$I18+($A$33-$A18)*$J18)</f>
        <v>1000.34258823529</v>
      </c>
      <c r="N18" s="90" t="n">
        <f aca="false">IF($M18&lt;&gt;"",IF($M18&gt;1000,(($M18*$T$7))*(1+$S$9)-100,($M18*$T$7)+($A18*$S$9)*(1+$S$9)),"")</f>
        <v>101.217194735545</v>
      </c>
      <c r="O18" s="18" t="n">
        <f aca="false">IF(I18&gt;=1000,"",(1000-I18))</f>
        <v>468.568</v>
      </c>
      <c r="P18" s="92" t="n">
        <f aca="false">IF($H18&gt;0,P17+(34-H18),"")</f>
        <v>46.568</v>
      </c>
      <c r="Q18" s="92"/>
      <c r="R18" s="29" t="s">
        <v>105</v>
      </c>
      <c r="S18" s="102"/>
      <c r="T18" s="103" t="n">
        <f aca="false">(1000-I19)/J19+A19</f>
        <v>31.6063950272605</v>
      </c>
      <c r="U18" s="102"/>
      <c r="V18" s="92"/>
      <c r="W18" s="92"/>
    </row>
    <row r="19" customFormat="false" ht="15" hidden="false" customHeight="false" outlineLevel="0" collapsed="false">
      <c r="A19" s="86" t="n">
        <v>18</v>
      </c>
      <c r="B19" s="86" t="s">
        <v>99</v>
      </c>
      <c r="C19" s="86" t="n">
        <v>14</v>
      </c>
      <c r="D19" s="51" t="n">
        <v>45050</v>
      </c>
      <c r="E19" s="51" t="n">
        <v>45051.2566087963</v>
      </c>
      <c r="F19" s="2" t="n">
        <v>84526.482</v>
      </c>
      <c r="G19" s="2" t="n">
        <v>84564.553</v>
      </c>
      <c r="H19" s="108" t="n">
        <v>38.073</v>
      </c>
      <c r="I19" s="87" t="n">
        <f aca="false">IF($H19&gt;0,($I18+$H19),"")</f>
        <v>569.505</v>
      </c>
      <c r="J19" s="87" t="n">
        <f aca="false">IF(KWH&gt;0,$I19/$A19,"")</f>
        <v>31.6391666666667</v>
      </c>
      <c r="K19" s="88" t="n">
        <f aca="false">IF($H19&lt;&gt;"",(($H19*$T$7)+($A19*$T$8))*(1+$S$9),"")</f>
        <v>9.7512970453101</v>
      </c>
      <c r="L19" s="89" t="n">
        <f aca="false">IF($K19&lt;&gt;"",($K19+$L18),"")</f>
        <v>134.438248488569</v>
      </c>
      <c r="M19" s="90" t="n">
        <f aca="false">IF($H19&lt;&gt;"",$I19+($A$33-$A19)*$J19)</f>
        <v>1012.45333333333</v>
      </c>
      <c r="N19" s="90" t="n">
        <f aca="false">IF($M19&lt;&gt;"",IF($M19&gt;1000,(($M19*$T$7))*(1+$S$9)-100,($M19*$T$7)+($A19*$S$9)*(1+$S$9)),"")</f>
        <v>103.653250326344</v>
      </c>
      <c r="O19" s="18" t="n">
        <f aca="false">IF(I19&gt;=1000,"",(1000-I19))</f>
        <v>430.495</v>
      </c>
      <c r="P19" s="92" t="n">
        <f aca="false">IF($H19&gt;0,P18+(34-H19),"")</f>
        <v>42.495</v>
      </c>
      <c r="Q19" s="92"/>
      <c r="R19" s="102"/>
      <c r="S19" s="102"/>
      <c r="T19" s="102"/>
      <c r="U19" s="102"/>
      <c r="V19" s="92"/>
      <c r="W19" s="92"/>
    </row>
    <row r="20" customFormat="false" ht="15" hidden="false" customHeight="false" outlineLevel="0" collapsed="false">
      <c r="A20" s="86" t="n">
        <v>19</v>
      </c>
      <c r="B20" s="86" t="s">
        <v>100</v>
      </c>
      <c r="C20" s="86" t="n">
        <v>13</v>
      </c>
      <c r="D20" s="51" t="n">
        <v>45051</v>
      </c>
      <c r="E20" s="51" t="n">
        <v>45052.3042361111</v>
      </c>
      <c r="F20" s="2" t="n">
        <v>84564.553</v>
      </c>
      <c r="G20" s="2" t="n">
        <v>84610.77</v>
      </c>
      <c r="H20" s="108" t="n">
        <v>46.216</v>
      </c>
      <c r="I20" s="87" t="n">
        <f aca="false">IF($H20&gt;0,($I19+$H20),"")</f>
        <v>615.721</v>
      </c>
      <c r="J20" s="87" t="n">
        <f aca="false">IF(KWH&gt;0,$I20/$A20,"")</f>
        <v>32.4063684210526</v>
      </c>
      <c r="K20" s="88" t="n">
        <f aca="false">IF($H20&lt;&gt;"",(($H20*$T$7)+($A20*$T$8))*(1+$S$9),"")</f>
        <v>11.5055240994792</v>
      </c>
      <c r="L20" s="89" t="n">
        <f aca="false">IF($K20&lt;&gt;"",($K20+$L19),"")</f>
        <v>145.943772588048</v>
      </c>
      <c r="M20" s="90" t="n">
        <f aca="false">IF($H20&lt;&gt;"",$I20+($A$33-$A20)*$J20)</f>
        <v>1037.00378947368</v>
      </c>
      <c r="N20" s="90" t="n">
        <f aca="false">IF($M20&lt;&gt;"",IF($M20&gt;1000,(($M20*$T$7))*(1+$S$9)-100,($M20*$T$7)+($A20*$S$9)*(1+$S$9)),"")</f>
        <v>108.591532443028</v>
      </c>
      <c r="O20" s="18" t="n">
        <f aca="false">IF(I20&gt;=1000,"",(1000-I20))</f>
        <v>384.279</v>
      </c>
      <c r="P20" s="92" t="n">
        <f aca="false">IF($H20&gt;0,P19+(34-H20),"")</f>
        <v>30.279</v>
      </c>
      <c r="Q20" s="92"/>
      <c r="R20" s="102"/>
      <c r="S20" s="102"/>
      <c r="T20" s="102"/>
      <c r="U20" s="102"/>
      <c r="V20" s="92"/>
      <c r="W20" s="92"/>
    </row>
    <row r="21" customFormat="false" ht="15" hidden="false" customHeight="false" outlineLevel="0" collapsed="false">
      <c r="A21" s="86" t="n">
        <v>20</v>
      </c>
      <c r="B21" s="86" t="s">
        <v>101</v>
      </c>
      <c r="C21" s="86" t="n">
        <v>12</v>
      </c>
      <c r="D21" s="51" t="n">
        <v>45052</v>
      </c>
      <c r="E21" s="51" t="n">
        <v>45053.3250925926</v>
      </c>
      <c r="F21" s="2" t="n">
        <v>84610.77</v>
      </c>
      <c r="G21" s="2" t="n">
        <v>84658.321</v>
      </c>
      <c r="H21" s="108" t="n">
        <v>47.547</v>
      </c>
      <c r="I21" s="87" t="n">
        <f aca="false">IF($H21&gt;0,($I20+$H21),"")</f>
        <v>663.268</v>
      </c>
      <c r="J21" s="87" t="n">
        <f aca="false">IF(KWH&gt;0,$I21/$A21,"")</f>
        <v>33.1634</v>
      </c>
      <c r="K21" s="88" t="n">
        <f aca="false">IF($H21&lt;&gt;"",(($H21*$T$7)+($A21*$T$8))*(1+$S$9),"")</f>
        <v>11.8895290450839</v>
      </c>
      <c r="L21" s="89" t="n">
        <f aca="false">IF($K21&lt;&gt;"",($K21+$L20),"")</f>
        <v>157.833301633132</v>
      </c>
      <c r="M21" s="90" t="n">
        <f aca="false">IF($H21&lt;&gt;"",$I21+($A$33-$A21)*$J21)</f>
        <v>1061.2288</v>
      </c>
      <c r="N21" s="90" t="n">
        <f aca="false">IF($M21&lt;&gt;"",IF($M21&gt;1000,(($M21*$T$7))*(1+$S$9)-100,($M21*$T$7)+($A21*$S$9)*(1+$S$9)),"")</f>
        <v>113.464351733011</v>
      </c>
      <c r="O21" s="18" t="n">
        <f aca="false">IF(I21&gt;=1000,"",(1000-I21))</f>
        <v>336.732</v>
      </c>
      <c r="P21" s="92" t="n">
        <f aca="false">IF($H21&gt;0,P20+(34-H21),"")</f>
        <v>16.732</v>
      </c>
      <c r="Q21" s="92"/>
      <c r="R21" s="102" t="s">
        <v>106</v>
      </c>
      <c r="S21" s="102"/>
      <c r="T21" s="102"/>
      <c r="U21" s="102"/>
      <c r="V21" s="92"/>
      <c r="W21" s="92"/>
    </row>
    <row r="22" customFormat="false" ht="15" hidden="false" customHeight="false" outlineLevel="0" collapsed="false">
      <c r="A22" s="86" t="n">
        <v>21</v>
      </c>
      <c r="B22" s="86" t="s">
        <v>102</v>
      </c>
      <c r="C22" s="86" t="n">
        <v>11</v>
      </c>
      <c r="D22" s="51" t="n">
        <v>45053</v>
      </c>
      <c r="E22" s="51" t="n">
        <v>45054.2562615741</v>
      </c>
      <c r="F22" s="2" t="n">
        <v>84658.321</v>
      </c>
      <c r="G22" s="2" t="n">
        <v>84706.188</v>
      </c>
      <c r="H22" s="108" t="n">
        <v>47.867</v>
      </c>
      <c r="I22" s="87" t="n">
        <f aca="false">IF($H22&gt;0,($I21+$H22),"")</f>
        <v>711.135</v>
      </c>
      <c r="J22" s="87" t="n">
        <f aca="false">IF(KWH&gt;0,$I22/$A22,"")</f>
        <v>33.8635714285714</v>
      </c>
      <c r="K22" s="88" t="n">
        <f aca="false">IF($H22&lt;&gt;"",(($H22*$T$7)+($A22*$T$8))*(1+$S$9),"")</f>
        <v>12.0701730758679</v>
      </c>
      <c r="L22" s="89" t="n">
        <f aca="false">IF($K22&lt;&gt;"",($K22+$L21),"")</f>
        <v>169.903474709</v>
      </c>
      <c r="M22" s="90" t="n">
        <f aca="false">IF($H22&lt;&gt;"",$I22+($A$33-$A22)*$J22)</f>
        <v>1083.63428571429</v>
      </c>
      <c r="N22" s="90" t="n">
        <f aca="false">IF($M22&lt;&gt;"",IF($M22&gt;1000,(($M22*$T$7))*(1+$S$9)-100,($M22*$T$7)+($A22*$S$9)*(1+$S$9)),"")</f>
        <v>117.971176729904</v>
      </c>
      <c r="O22" s="18" t="n">
        <f aca="false">IF(I22&gt;=1000,"",(1000-I22))</f>
        <v>288.865</v>
      </c>
      <c r="P22" s="92" t="n">
        <f aca="false">IF($H22&gt;0,P21+(34-H22),"")</f>
        <v>2.86500000000001</v>
      </c>
      <c r="Q22" s="92"/>
      <c r="R22" s="102"/>
      <c r="S22" s="102"/>
      <c r="T22" s="102"/>
      <c r="U22" s="102"/>
      <c r="V22" s="92"/>
      <c r="W22" s="92"/>
    </row>
    <row r="23" customFormat="false" ht="15" hidden="false" customHeight="false" outlineLevel="0" collapsed="false">
      <c r="A23" s="86" t="n">
        <v>22</v>
      </c>
      <c r="B23" s="86" t="s">
        <v>96</v>
      </c>
      <c r="C23" s="86" t="n">
        <v>10</v>
      </c>
      <c r="D23" s="51" t="n">
        <v>45054</v>
      </c>
      <c r="E23" s="51" t="n">
        <v>45055.3058796296</v>
      </c>
      <c r="F23" s="2" t="n">
        <v>84706.188</v>
      </c>
      <c r="G23" s="2" t="n">
        <v>84748.868</v>
      </c>
      <c r="H23" s="108" t="n">
        <v>42.676</v>
      </c>
      <c r="I23" s="87" t="n">
        <f aca="false">IF($H23&gt;0,($I22+$H23),"")</f>
        <v>753.811</v>
      </c>
      <c r="J23" s="87" t="n">
        <f aca="false">IF(KWH&gt;0,$I23/$A23,"")</f>
        <v>34.2641363636364</v>
      </c>
      <c r="K23" s="88" t="n">
        <f aca="false">IF($H23&lt;&gt;"",(($H23*$T$7)+($A23*$T$8))*(1+$S$9),"")</f>
        <v>11.1422889151812</v>
      </c>
      <c r="L23" s="89" t="n">
        <f aca="false">IF($K23&lt;&gt;"",($K23+$L22),"")</f>
        <v>181.045763624181</v>
      </c>
      <c r="M23" s="90" t="n">
        <f aca="false">IF($H23&lt;&gt;"",$I23+($A$33-$A23)*$J23)</f>
        <v>1096.45236363636</v>
      </c>
      <c r="N23" s="90" t="n">
        <f aca="false">IF($M23&lt;&gt;"",IF($M23&gt;1000,(($M23*$T$7))*(1+$S$9)-100,($M23*$T$7)+($A23*$S$9)*(1+$S$9)),"")</f>
        <v>120.549511104263</v>
      </c>
      <c r="O23" s="18" t="n">
        <f aca="false">IF(I23&gt;=1000,"",(1000-I23))</f>
        <v>246.189</v>
      </c>
      <c r="P23" s="92" t="n">
        <f aca="false">IF($H23&gt;0,P22+(34-H23),"")</f>
        <v>-5.81099999999999</v>
      </c>
      <c r="Q23" s="92"/>
      <c r="R23" s="102"/>
      <c r="S23" s="102"/>
      <c r="T23" s="102"/>
      <c r="U23" s="102"/>
      <c r="V23" s="92"/>
      <c r="W23" s="92"/>
    </row>
    <row r="24" customFormat="false" ht="15" hidden="false" customHeight="false" outlineLevel="0" collapsed="false">
      <c r="A24" s="86" t="n">
        <v>23</v>
      </c>
      <c r="B24" s="86" t="s">
        <v>97</v>
      </c>
      <c r="C24" s="86" t="n">
        <v>9</v>
      </c>
      <c r="D24" s="51" t="n">
        <v>45055</v>
      </c>
      <c r="E24" s="51" t="n">
        <v>45056.304537037</v>
      </c>
      <c r="F24" s="2" t="n">
        <v>84748.868</v>
      </c>
      <c r="G24" s="2" t="n">
        <v>84784.781</v>
      </c>
      <c r="H24" s="108" t="n">
        <v>35.914</v>
      </c>
      <c r="I24" s="87" t="n">
        <f aca="false">IF($H24&gt;0,($I23+$H24),"")</f>
        <v>789.725</v>
      </c>
      <c r="J24" s="87" t="n">
        <f aca="false">IF(KWH&gt;0,$I24/$A24,"")</f>
        <v>34.3358695652174</v>
      </c>
      <c r="K24" s="88" t="n">
        <f aca="false">IF($H24&lt;&gt;"",(($H24*$T$7)+($A24*$T$8))*(1+$S$9),"")</f>
        <v>9.8984008008018</v>
      </c>
      <c r="L24" s="89" t="n">
        <f aca="false">IF($K24&lt;&gt;"",($K24+$L23),"")</f>
        <v>190.944164424983</v>
      </c>
      <c r="M24" s="90" t="n">
        <f aca="false">IF($H24&lt;&gt;"",$I24+($A$33-$A24)*$J24)</f>
        <v>1098.74782608696</v>
      </c>
      <c r="N24" s="90" t="n">
        <f aca="false">IF($M24&lt;&gt;"",IF($M24&gt;1000,(($M24*$T$7))*(1+$S$9)-100,($M24*$T$7)+($A24*$S$9)*(1+$S$9)),"")</f>
        <v>121.011239436497</v>
      </c>
      <c r="O24" s="18" t="n">
        <f aca="false">IF(I24&gt;=1000,"",(1000-I24))</f>
        <v>210.275</v>
      </c>
      <c r="P24" s="92" t="n">
        <f aca="false">IF($H24&gt;0,P23+(34-H24),"")</f>
        <v>-7.72499999999999</v>
      </c>
      <c r="Q24" s="92"/>
      <c r="R24" s="102" t="s">
        <v>107</v>
      </c>
      <c r="S24" s="102"/>
      <c r="T24" s="102"/>
      <c r="U24" s="102"/>
      <c r="V24" s="92"/>
      <c r="W24" s="92"/>
    </row>
    <row r="25" customFormat="false" ht="15" hidden="false" customHeight="false" outlineLevel="0" collapsed="false">
      <c r="A25" s="86" t="n">
        <v>24</v>
      </c>
      <c r="B25" s="86" t="s">
        <v>98</v>
      </c>
      <c r="C25" s="86" t="n">
        <v>8</v>
      </c>
      <c r="D25" s="51" t="n">
        <v>45056</v>
      </c>
      <c r="E25" s="51" t="n">
        <v>45057.2560185185</v>
      </c>
      <c r="F25" s="2" t="n">
        <v>84784.781</v>
      </c>
      <c r="G25" s="2" t="n">
        <v>84813.668</v>
      </c>
      <c r="H25" s="108" t="n">
        <v>28.885</v>
      </c>
      <c r="I25" s="87" t="n">
        <f aca="false">IF($H25&gt;0,($I24+$H25),"")</f>
        <v>818.61</v>
      </c>
      <c r="J25" s="87" t="n">
        <f aca="false">IF(KWH&gt;0,$I25/$A25,"")</f>
        <v>34.10875</v>
      </c>
      <c r="K25" s="88" t="n">
        <f aca="false">IF($H25&lt;&gt;"",(($H25*$T$7)+($A25*$T$8))*(1+$S$9),"")</f>
        <v>8.6008060946745</v>
      </c>
      <c r="L25" s="89" t="n">
        <f aca="false">IF($K25&lt;&gt;"",($K25+$L24),"")</f>
        <v>199.544970519657</v>
      </c>
      <c r="M25" s="90" t="n">
        <f aca="false">IF($H25&lt;&gt;"",$I25+($A$33-$A25)*$J25)</f>
        <v>1091.48</v>
      </c>
      <c r="N25" s="90" t="n">
        <f aca="false">IF($M25&lt;&gt;"",IF($M25&gt;1000,(($M25*$T$7))*(1+$S$9)-100,($M25*$T$7)+($A25*$S$9)*(1+$S$9)),"")</f>
        <v>119.549328692876</v>
      </c>
      <c r="O25" s="18" t="n">
        <f aca="false">IF(I25&gt;=1000,"",(1000-I25))</f>
        <v>181.39</v>
      </c>
      <c r="P25" s="92" t="n">
        <f aca="false">IF($H25&gt;0,P24+(34-H25),"")</f>
        <v>-2.61</v>
      </c>
      <c r="Q25" s="92"/>
      <c r="R25" s="104"/>
      <c r="S25" s="105"/>
      <c r="T25" s="102"/>
      <c r="U25" s="102"/>
      <c r="V25" s="92"/>
      <c r="W25" s="92"/>
    </row>
    <row r="26" customFormat="false" ht="15" hidden="false" customHeight="false" outlineLevel="0" collapsed="false">
      <c r="A26" s="86" t="n">
        <v>25</v>
      </c>
      <c r="B26" s="86" t="s">
        <v>99</v>
      </c>
      <c r="C26" s="86" t="n">
        <v>7</v>
      </c>
      <c r="D26" s="51" t="n">
        <v>45057</v>
      </c>
      <c r="E26" s="51" t="n">
        <v>45058.2555324074</v>
      </c>
      <c r="F26" s="2" t="n">
        <v>84813.668</v>
      </c>
      <c r="G26" s="2" t="n">
        <v>84861.004</v>
      </c>
      <c r="H26" s="108" t="n">
        <v>47.338</v>
      </c>
      <c r="I26" s="87" t="n">
        <f aca="false">IF($H26&gt;0,($I25+$H26),"")</f>
        <v>865.948</v>
      </c>
      <c r="J26" s="87" t="n">
        <f aca="false">IF(KWH&gt;0,$I26/$A26,"")</f>
        <v>34.63792</v>
      </c>
      <c r="K26" s="88" t="n">
        <f aca="false">IF($H26&lt;&gt;"",(($H26*$T$7)+($A26*$T$8))*(1+$S$9),"")</f>
        <v>12.4288719537906</v>
      </c>
      <c r="L26" s="89" t="n">
        <f aca="false">IF($K26&lt;&gt;"",($K26+$L25),"")</f>
        <v>211.973842473448</v>
      </c>
      <c r="M26" s="90" t="n">
        <f aca="false">IF($H26&lt;&gt;"",$I26+($A$33-$A26)*$J26)</f>
        <v>1108.41344</v>
      </c>
      <c r="N26" s="90" t="n">
        <f aca="false">IF($M26&lt;&gt;"",IF($M26&gt;1000,(($M26*$T$7))*(1+$S$9)-100,($M26*$T$7)+($A26*$S$9)*(1+$S$9)),"")</f>
        <v>122.955461086013</v>
      </c>
      <c r="O26" s="18" t="n">
        <f aca="false">IF(I26&gt;=1000,"",(1000-I26))</f>
        <v>134.052</v>
      </c>
      <c r="P26" s="92" t="n">
        <f aca="false">IF($H26&gt;0,P25+(34-H26),"")</f>
        <v>-15.948</v>
      </c>
      <c r="Q26" s="92"/>
      <c r="R26" s="106"/>
      <c r="S26" s="105"/>
      <c r="T26" s="102"/>
      <c r="U26" s="102"/>
      <c r="V26" s="92"/>
      <c r="W26" s="92"/>
    </row>
    <row r="27" customFormat="false" ht="15" hidden="false" customHeight="false" outlineLevel="0" collapsed="false">
      <c r="A27" s="86" t="n">
        <v>26</v>
      </c>
      <c r="B27" s="86" t="s">
        <v>100</v>
      </c>
      <c r="C27" s="86" t="n">
        <v>6</v>
      </c>
      <c r="D27" s="51" t="n">
        <v>45058</v>
      </c>
      <c r="E27" s="51" t="n">
        <v>45059.2561342593</v>
      </c>
      <c r="F27" s="2" t="n">
        <v>84861.004</v>
      </c>
      <c r="G27" s="2" t="n">
        <v>84902.764</v>
      </c>
      <c r="H27" s="108" t="n">
        <v>41.763</v>
      </c>
      <c r="I27" s="87" t="n">
        <f aca="false">IF($H27&gt;0,($I26+$H27),"")</f>
        <v>907.711</v>
      </c>
      <c r="J27" s="87" t="n">
        <f aca="false">IF(KWH&gt;0,$I27/$A27,"")</f>
        <v>34.9119615384615</v>
      </c>
      <c r="K27" s="88" t="n">
        <f aca="false">IF($H27&lt;&gt;"",(($H27*$T$7)+($A27*$T$8))*(1+$S$9),"")</f>
        <v>11.4237468521631</v>
      </c>
      <c r="L27" s="89" t="n">
        <f aca="false">IF($K27&lt;&gt;"",($K27+$L26),"")</f>
        <v>223.397589325611</v>
      </c>
      <c r="M27" s="90" t="n">
        <f aca="false">IF($H27&lt;&gt;"",$I27+($A$33-$A27)*$J27)</f>
        <v>1117.18276923077</v>
      </c>
      <c r="N27" s="90" t="n">
        <f aca="false">IF($M27&lt;&gt;"",IF($M27&gt;1000,(($M27*$T$7))*(1+$S$9)-100,($M27*$T$7)+($A27*$S$9)*(1+$S$9)),"")</f>
        <v>124.719396609982</v>
      </c>
      <c r="O27" s="18" t="n">
        <f aca="false">IF(I27&gt;=1000,"",(1000-I27))</f>
        <v>92.289</v>
      </c>
      <c r="P27" s="92" t="n">
        <f aca="false">IF($H27&gt;0,P26+(34-H27),"")</f>
        <v>-23.711</v>
      </c>
      <c r="Q27" s="92"/>
      <c r="R27" s="106"/>
      <c r="S27" s="105"/>
      <c r="T27" s="102"/>
      <c r="U27" s="102"/>
      <c r="V27" s="92"/>
      <c r="W27" s="92"/>
    </row>
    <row r="28" customFormat="false" ht="15" hidden="false" customHeight="false" outlineLevel="0" collapsed="false">
      <c r="A28" s="86" t="n">
        <v>27</v>
      </c>
      <c r="B28" s="86" t="s">
        <v>101</v>
      </c>
      <c r="C28" s="86" t="n">
        <v>5</v>
      </c>
      <c r="D28" s="51" t="n">
        <v>45059</v>
      </c>
      <c r="E28" s="51" t="n">
        <v>45060.2766203704</v>
      </c>
      <c r="F28" s="2" t="n">
        <v>84902.764</v>
      </c>
      <c r="G28" s="2" t="n">
        <v>84934.465</v>
      </c>
      <c r="H28" s="108" t="n">
        <v>31.706</v>
      </c>
      <c r="I28" s="87" t="n">
        <f aca="false">IF($H28&gt;0,($I27+$H28),"")</f>
        <v>939.417</v>
      </c>
      <c r="J28" s="87" t="n">
        <f aca="false">IF(KWH&gt;0,$I28/$A28,"")</f>
        <v>34.7932222222222</v>
      </c>
      <c r="K28" s="88" t="n">
        <f aca="false">IF($H28&lt;&gt;"",(($H28*$T$7)+($A28*$T$8))*(1+$S$9),"")</f>
        <v>9.5170751429922</v>
      </c>
      <c r="L28" s="89" t="n">
        <f aca="false">IF($K28&lt;&gt;"",($K28+$L27),"")</f>
        <v>232.914664468603</v>
      </c>
      <c r="M28" s="90" t="n">
        <f aca="false">IF($H28&lt;&gt;"",$I28+($A$33-$A28)*$J28)</f>
        <v>1113.38311111111</v>
      </c>
      <c r="N28" s="90" t="n">
        <f aca="false">IF($M28&lt;&gt;"",IF($M28&gt;1000,(($M28*$T$7))*(1+$S$9)-100,($M28*$T$7)+($A28*$S$9)*(1+$S$9)),"")</f>
        <v>123.955101900566</v>
      </c>
      <c r="O28" s="18" t="n">
        <f aca="false">IF(I28&gt;=1000,"",(1000-I28))</f>
        <v>60.583</v>
      </c>
      <c r="P28" s="92" t="n">
        <f aca="false">IF($H28&gt;0,P27+(34-H28),"")</f>
        <v>-21.417</v>
      </c>
      <c r="Q28" s="92"/>
      <c r="R28" s="106"/>
      <c r="S28" s="105"/>
      <c r="T28" s="102"/>
      <c r="U28" s="102"/>
      <c r="V28" s="92"/>
      <c r="W28" s="92"/>
    </row>
    <row r="29" customFormat="false" ht="15" hidden="false" customHeight="false" outlineLevel="0" collapsed="false">
      <c r="A29" s="86" t="n">
        <v>28</v>
      </c>
      <c r="B29" s="86" t="s">
        <v>102</v>
      </c>
      <c r="C29" s="86" t="n">
        <v>4</v>
      </c>
      <c r="D29" s="51" t="n">
        <v>45060</v>
      </c>
      <c r="E29" s="51" t="n">
        <v>45061.2556018519</v>
      </c>
      <c r="F29" s="2" t="n">
        <v>84934.465</v>
      </c>
      <c r="G29" s="2" t="n">
        <v>84968.618</v>
      </c>
      <c r="H29" s="108" t="n">
        <v>34.149</v>
      </c>
      <c r="I29" s="87" t="n">
        <f aca="false">IF($H29&gt;0,($I28+$H29),"")</f>
        <v>973.566</v>
      </c>
      <c r="J29" s="87" t="n">
        <f aca="false">IF(KWH&gt;0,$I29/$A29,"")</f>
        <v>34.7702142857143</v>
      </c>
      <c r="K29" s="88" t="n">
        <f aca="false">IF($H29&lt;&gt;"",(($H29*$T$7)+($A29*$T$8))*(1+$S$9),"")</f>
        <v>10.1247569800713</v>
      </c>
      <c r="L29" s="89" t="n">
        <f aca="false">IF($K29&lt;&gt;"",($K29+$L28),"")</f>
        <v>243.039421448674</v>
      </c>
      <c r="M29" s="90" t="n">
        <f aca="false">IF($H29&lt;&gt;"",$I29+($A$33-$A29)*$J29)</f>
        <v>1112.64685714286</v>
      </c>
      <c r="N29" s="90" t="n">
        <f aca="false">IF($M29&lt;&gt;"",IF($M29&gt;1000,(($M29*$T$7))*(1+$S$9)-100,($M29*$T$7)+($A29*$S$9)*(1+$S$9)),"")</f>
        <v>123.807005678485</v>
      </c>
      <c r="O29" s="18" t="n">
        <f aca="false">IF(I29&gt;=1000,"",(1000-I29))</f>
        <v>26.434</v>
      </c>
      <c r="P29" s="92" t="n">
        <f aca="false">IF($H29&gt;0,P28+(34-H29),"")</f>
        <v>-21.566</v>
      </c>
      <c r="Q29" s="92"/>
      <c r="R29" s="29" t="s">
        <v>108</v>
      </c>
      <c r="S29" s="105"/>
      <c r="T29" s="102"/>
      <c r="U29" s="102"/>
      <c r="V29" s="92"/>
      <c r="W29" s="92"/>
    </row>
    <row r="30" customFormat="false" ht="15" hidden="false" customHeight="false" outlineLevel="0" collapsed="false">
      <c r="A30" s="86" t="n">
        <v>29</v>
      </c>
      <c r="B30" s="86" t="s">
        <v>96</v>
      </c>
      <c r="C30" s="86" t="n">
        <v>3</v>
      </c>
      <c r="D30" s="51" t="n">
        <v>45061</v>
      </c>
      <c r="E30" s="51" t="n">
        <v>45062.3072569444</v>
      </c>
      <c r="F30" s="2" t="n">
        <v>84968.618</v>
      </c>
      <c r="G30" s="2" t="n">
        <v>85020.312</v>
      </c>
      <c r="H30" s="108" t="n">
        <v>51.691</v>
      </c>
      <c r="I30" s="87" t="n">
        <f aca="false">IF($H30&gt;0,($I29+$H30),"")</f>
        <v>1025.257</v>
      </c>
      <c r="J30" s="87" t="n">
        <f aca="false">IF(KWH&gt;0,$I30/$A30,"")</f>
        <v>35.3536896551724</v>
      </c>
      <c r="K30" s="88" t="n">
        <f aca="false">IF($H30&lt;&gt;"",(($H30*$T$7)+($A30*$T$8))*(1+$S$9),"")</f>
        <v>13.7695767527367</v>
      </c>
      <c r="L30" s="89" t="n">
        <f aca="false">IF($K30&lt;&gt;"",($K30+$L29),"")</f>
        <v>256.808998201411</v>
      </c>
      <c r="M30" s="90" t="n">
        <f aca="false">IF($H30&lt;&gt;"",$I30+($A$33-$A30)*$J30)</f>
        <v>1131.31806896552</v>
      </c>
      <c r="N30" s="90" t="n">
        <f aca="false">IF($M30&lt;&gt;"",IF($M30&gt;1000,(($M30*$T$7))*(1+$S$9)-100,($M30*$T$7)+($A30*$S$9)*(1+$S$9)),"")</f>
        <v>127.562687891212</v>
      </c>
      <c r="O30" s="18" t="str">
        <f aca="false">IF(I30&gt;=1000,"",(1000-I30))</f>
        <v/>
      </c>
      <c r="P30" s="92" t="n">
        <f aca="false">IF($H30&gt;0,P29+(34-H30),"")</f>
        <v>-39.257</v>
      </c>
      <c r="Q30" s="92"/>
      <c r="S30" s="102"/>
      <c r="T30" s="102"/>
      <c r="U30" s="102"/>
      <c r="V30" s="92"/>
      <c r="W30" s="92"/>
    </row>
    <row r="31" customFormat="false" ht="15" hidden="false" customHeight="false" outlineLevel="0" collapsed="false">
      <c r="A31" s="86" t="n">
        <v>30</v>
      </c>
      <c r="B31" s="86" t="s">
        <v>97</v>
      </c>
      <c r="C31" s="86" t="n">
        <v>2</v>
      </c>
      <c r="D31" s="51" t="n">
        <v>45062</v>
      </c>
      <c r="E31" s="51" t="n">
        <v>45063.3048842593</v>
      </c>
      <c r="F31" s="2" t="n">
        <v>85020.312</v>
      </c>
      <c r="G31" s="2" t="n">
        <v>85058.324</v>
      </c>
      <c r="H31" s="108" t="n">
        <v>38.01</v>
      </c>
      <c r="I31" s="87" t="n">
        <f aca="false">IF($H31&gt;0,($I30+$H31),"")</f>
        <v>1063.267</v>
      </c>
      <c r="J31" s="87" t="n">
        <f aca="false">IF(KWH&gt;0,$I31/$A31,"")</f>
        <v>35.4422333333333</v>
      </c>
      <c r="K31" s="88" t="n">
        <f aca="false">IF($H31&lt;&gt;"",(($H31*$T$7)+($A31*$T$8))*(1+$S$9),"")</f>
        <v>11.133943663437</v>
      </c>
      <c r="L31" s="89" t="n">
        <f aca="false">IF($K31&lt;&gt;"",($K31+$L30),"")</f>
        <v>267.942941864848</v>
      </c>
      <c r="M31" s="90" t="n">
        <f aca="false">IF($H31&lt;&gt;"",$I31+($A$33-$A31)*$J31)</f>
        <v>1134.15146666667</v>
      </c>
      <c r="N31" s="90" t="n">
        <f aca="false">IF($M31&lt;&gt;"",IF($M31&gt;1000,(($M31*$T$7))*(1+$S$9)-100,($M31*$T$7)+($A31*$S$9)*(1+$S$9)),"")</f>
        <v>128.132620975838</v>
      </c>
      <c r="O31" s="18" t="str">
        <f aca="false">IF(I31&gt;=1000,"",(1000-I31))</f>
        <v/>
      </c>
      <c r="P31" s="92" t="n">
        <f aca="false">IF($H31&gt;0,P30+(34-H31),"")</f>
        <v>-43.267</v>
      </c>
      <c r="Q31" s="92"/>
      <c r="R31" s="29" t="s">
        <v>109</v>
      </c>
      <c r="S31" s="102"/>
      <c r="T31" s="102"/>
      <c r="U31" s="102"/>
      <c r="V31" s="92"/>
      <c r="W31" s="92"/>
    </row>
    <row r="32" customFormat="false" ht="15" hidden="false" customHeight="false" outlineLevel="0" collapsed="false">
      <c r="A32" s="86" t="n">
        <v>31</v>
      </c>
      <c r="B32" s="86" t="s">
        <v>98</v>
      </c>
      <c r="C32" s="86" t="n">
        <v>1</v>
      </c>
      <c r="D32" s="51" t="n">
        <v>45063</v>
      </c>
      <c r="E32" s="51" t="n">
        <v>45064.2581828704</v>
      </c>
      <c r="F32" s="2" t="n">
        <v>85058.324</v>
      </c>
      <c r="G32" s="2" t="n">
        <v>85100.779</v>
      </c>
      <c r="H32" s="108" t="n">
        <v>42.453</v>
      </c>
      <c r="I32" s="87" t="n">
        <f aca="false">IF($H32&gt;0,($I31+$H32),"")</f>
        <v>1105.72</v>
      </c>
      <c r="J32" s="87" t="n">
        <f aca="false">IF(KWH&gt;0,$I32/$A32,"")</f>
        <v>35.6683870967742</v>
      </c>
      <c r="K32" s="88" t="n">
        <f aca="false">IF($H32&lt;&gt;"",(($H32*$T$7)+($A32*$T$8))*(1+$S$9),"")</f>
        <v>12.1439220679161</v>
      </c>
      <c r="L32" s="89" t="n">
        <f aca="false">IF($K32&lt;&gt;"",($K32+$L31),"")</f>
        <v>280.086863932764</v>
      </c>
      <c r="M32" s="90" t="n">
        <f aca="false">IF($H32&lt;&gt;"",$I32+($A$33-$A32)*$J32)</f>
        <v>1141.38838709677</v>
      </c>
      <c r="N32" s="90" t="n">
        <f aca="false">IF($M32&lt;&gt;"",IF($M32&gt;1000,(($M32*$T$7))*(1+$S$9)-100,($M32*$T$7)+($A32*$S$9)*(1+$S$9)),"")</f>
        <v>129.588315099627</v>
      </c>
      <c r="O32" s="18" t="str">
        <f aca="false">IF(I32&gt;=1000,"",(1000-I32))</f>
        <v/>
      </c>
      <c r="P32" s="92" t="n">
        <f aca="false">IF($H32&gt;0,P31+(34-H32),"")</f>
        <v>-51.72</v>
      </c>
      <c r="Q32" s="92"/>
      <c r="S32" s="102"/>
      <c r="T32" s="102"/>
      <c r="U32" s="102"/>
      <c r="V32" s="92"/>
      <c r="W32" s="92"/>
    </row>
    <row r="33" customFormat="false" ht="15" hidden="false" customHeight="false" outlineLevel="0" collapsed="false">
      <c r="A33" s="86" t="n">
        <v>32</v>
      </c>
      <c r="B33" s="86"/>
      <c r="C33" s="86" t="n">
        <v>0</v>
      </c>
      <c r="D33" s="50" t="n">
        <v>45064</v>
      </c>
      <c r="E33" s="50" t="n">
        <v>45065.2568402778</v>
      </c>
      <c r="F33" s="0" t="n">
        <v>85100.779</v>
      </c>
      <c r="G33" s="0" t="n">
        <v>85154.388</v>
      </c>
      <c r="H33" s="108" t="n">
        <v>53.607</v>
      </c>
      <c r="I33" s="87" t="n">
        <f aca="false">IF($H33&gt;0,($I32+$H33),"")</f>
        <v>1159.327</v>
      </c>
      <c r="J33" s="87" t="n">
        <f aca="false">IF(KWH&gt;0,$I33/$A33,"")</f>
        <v>36.22896875</v>
      </c>
      <c r="K33" s="88" t="n">
        <f aca="false">IF($H33&lt;&gt;"",(($H33*$T$7)+($A33*$T$8))*(1+$S$9),"")</f>
        <v>14.5038066043059</v>
      </c>
      <c r="L33" s="89" t="n">
        <f aca="false">IF($K33&lt;&gt;"",($K33+$L32),"")</f>
        <v>294.59067053707</v>
      </c>
      <c r="M33" s="90" t="n">
        <f aca="false">IF($H33&lt;&gt;"",$I33+($A$33-$A33)*$J33)</f>
        <v>1159.327</v>
      </c>
      <c r="N33" s="90" t="n">
        <f aca="false">IF($M33&lt;&gt;"",IF($M33&gt;1000,(($M33*$T$7))*(1+$S$9)-100,($M33*$T$7)+($A33*$S$9)*(1+$S$9)),"")</f>
        <v>133.19663629707</v>
      </c>
      <c r="O33" s="18" t="str">
        <f aca="false">IF(I33&gt;=1000,"",(1000-I33))</f>
        <v/>
      </c>
      <c r="P33" s="92" t="n">
        <f aca="false">IF($H33&gt;0,P32+(34-H33),"")</f>
        <v>-71.327</v>
      </c>
      <c r="Q33" s="92"/>
      <c r="R33" s="29" t="s">
        <v>110</v>
      </c>
      <c r="S33" s="102"/>
      <c r="T33" s="102"/>
      <c r="U33" s="102"/>
      <c r="V33" s="92"/>
      <c r="W33" s="92"/>
    </row>
    <row r="34" customFormat="false" ht="15" hidden="false" customHeight="false" outlineLevel="0" collapsed="false">
      <c r="A34" s="45"/>
      <c r="B34" s="45"/>
      <c r="C34" s="45"/>
      <c r="D34" s="50" t="n">
        <v>45065</v>
      </c>
      <c r="E34" s="50" t="n">
        <v>45066.2558217593</v>
      </c>
      <c r="F34" s="66" t="n">
        <v>85154.388</v>
      </c>
      <c r="G34" s="66" t="n">
        <v>85206.706</v>
      </c>
      <c r="H34" s="108" t="n">
        <v>52.319</v>
      </c>
      <c r="I34" s="45"/>
      <c r="J34" s="45"/>
      <c r="K34" s="27"/>
      <c r="L34" s="66"/>
      <c r="M34" s="66"/>
      <c r="N34" s="45"/>
      <c r="O34" s="66"/>
      <c r="P34" s="66"/>
      <c r="Q34" s="66"/>
      <c r="S34" s="102"/>
      <c r="T34" s="102"/>
      <c r="U34" s="102"/>
      <c r="V34" s="66"/>
      <c r="W34" s="66"/>
    </row>
    <row r="35" customFormat="false" ht="15" hidden="false" customHeight="false" outlineLevel="0" collapsed="false">
      <c r="D35" s="50"/>
      <c r="E35" s="50"/>
      <c r="F35" s="2"/>
      <c r="G35" s="2"/>
      <c r="H35" s="109" t="n">
        <f aca="false">SUM(H31:H34)</f>
        <v>186.389</v>
      </c>
      <c r="I35" s="81" t="n">
        <v>1031</v>
      </c>
      <c r="J35" s="108" t="n">
        <f aca="false">SUM(H2:H30)</f>
        <v>1025.257</v>
      </c>
      <c r="K35" s="47"/>
      <c r="L35" s="2"/>
      <c r="M35" s="2"/>
      <c r="N35" s="0" t="n">
        <v>106.46</v>
      </c>
      <c r="O35" s="2"/>
      <c r="P35" s="2"/>
      <c r="Q35" s="2"/>
      <c r="R35" s="29" t="s">
        <v>111</v>
      </c>
      <c r="V35" s="2"/>
      <c r="W35" s="2"/>
    </row>
    <row r="36" customFormat="false" ht="15" hidden="false" customHeight="false" outlineLevel="0" collapsed="false">
      <c r="X36" s="108"/>
      <c r="AN36" s="108"/>
      <c r="BD36" s="108"/>
      <c r="BT36" s="108"/>
      <c r="CJ36" s="108"/>
      <c r="CZ36" s="108"/>
      <c r="DP36" s="108"/>
      <c r="EF36" s="108"/>
      <c r="EV36" s="108"/>
      <c r="FL36" s="108"/>
      <c r="GB36" s="108"/>
      <c r="GR36" s="108"/>
      <c r="HH36" s="108"/>
      <c r="HX36" s="108"/>
      <c r="IN36" s="108"/>
      <c r="JD36" s="108"/>
      <c r="JT36" s="108"/>
      <c r="KJ36" s="108"/>
      <c r="KZ36" s="108"/>
      <c r="LP36" s="108"/>
      <c r="MF36" s="108"/>
      <c r="MV36" s="108"/>
      <c r="NL36" s="108"/>
      <c r="OB36" s="108"/>
      <c r="OR36" s="108"/>
      <c r="PH36" s="108"/>
      <c r="PX36" s="108"/>
      <c r="QN36" s="108"/>
      <c r="RD36" s="108"/>
      <c r="RT36" s="108"/>
      <c r="SJ36" s="108"/>
      <c r="SZ36" s="108"/>
      <c r="TP36" s="108"/>
      <c r="UF36" s="108"/>
      <c r="UV36" s="108"/>
      <c r="VL36" s="108"/>
      <c r="WB36" s="108"/>
      <c r="WR36" s="108"/>
      <c r="XH36" s="108"/>
      <c r="XX36" s="108"/>
      <c r="YN36" s="108"/>
      <c r="ZD36" s="108"/>
      <c r="ZT36" s="108"/>
      <c r="AAJ36" s="108"/>
      <c r="AAZ36" s="108"/>
      <c r="ABP36" s="108"/>
      <c r="ACF36" s="108"/>
      <c r="ACV36" s="108"/>
      <c r="ADL36" s="108"/>
      <c r="AEB36" s="108"/>
      <c r="AER36" s="108"/>
      <c r="AFH36" s="108"/>
      <c r="AFX36" s="108"/>
      <c r="AGN36" s="108"/>
      <c r="AHD36" s="108"/>
      <c r="AHT36" s="108"/>
      <c r="AIJ36" s="108"/>
      <c r="AIZ36" s="108"/>
      <c r="AJP36" s="108"/>
      <c r="AKF36" s="108"/>
      <c r="AKV36" s="108"/>
      <c r="ALL36" s="108"/>
      <c r="AMB36" s="108"/>
      <c r="AMR36" s="108"/>
      <c r="ANH36" s="108"/>
      <c r="ANX36" s="108"/>
      <c r="AON36" s="108"/>
      <c r="APD36" s="108"/>
      <c r="APT36" s="108"/>
      <c r="AQJ36" s="108"/>
      <c r="AQZ36" s="108"/>
      <c r="ARP36" s="108"/>
      <c r="ASF36" s="108"/>
      <c r="ASV36" s="108"/>
      <c r="ATL36" s="108"/>
      <c r="AUB36" s="108"/>
      <c r="AUR36" s="108"/>
      <c r="AVH36" s="108"/>
      <c r="AVX36" s="108"/>
      <c r="AWN36" s="108"/>
      <c r="AXD36" s="108"/>
      <c r="AXT36" s="108"/>
      <c r="AYJ36" s="108"/>
      <c r="AYZ36" s="108"/>
      <c r="AZP36" s="108"/>
      <c r="BAF36" s="108"/>
      <c r="BAV36" s="108"/>
      <c r="BBL36" s="108"/>
      <c r="BCB36" s="108"/>
      <c r="BCR36" s="108"/>
      <c r="BDH36" s="108"/>
      <c r="BDX36" s="108"/>
      <c r="BEN36" s="108"/>
      <c r="BFD36" s="108"/>
      <c r="BFT36" s="108"/>
      <c r="BGJ36" s="108"/>
      <c r="BGZ36" s="108"/>
      <c r="BHP36" s="108"/>
      <c r="BIF36" s="108"/>
      <c r="BIV36" s="108"/>
      <c r="BJL36" s="108"/>
      <c r="BKB36" s="108"/>
      <c r="BKR36" s="108"/>
      <c r="BLH36" s="108"/>
      <c r="BLX36" s="108"/>
      <c r="BMN36" s="108"/>
      <c r="BND36" s="108"/>
      <c r="BNT36" s="108"/>
      <c r="BOJ36" s="108"/>
      <c r="BOZ36" s="108"/>
      <c r="BPP36" s="108"/>
      <c r="BQF36" s="108"/>
      <c r="BQV36" s="108"/>
      <c r="BRL36" s="108"/>
      <c r="BSB36" s="108"/>
      <c r="BSR36" s="108"/>
      <c r="BTH36" s="108"/>
      <c r="BTX36" s="108"/>
      <c r="BUN36" s="108"/>
      <c r="BVD36" s="108"/>
      <c r="BVT36" s="108"/>
      <c r="BWJ36" s="108"/>
      <c r="BWZ36" s="108"/>
      <c r="BXP36" s="108"/>
      <c r="BYF36" s="108"/>
      <c r="BYV36" s="108"/>
      <c r="BZL36" s="108"/>
      <c r="CAB36" s="108"/>
      <c r="CAR36" s="108"/>
      <c r="CBH36" s="108"/>
      <c r="CBX36" s="108"/>
      <c r="CCN36" s="108"/>
      <c r="CDD36" s="108"/>
      <c r="CDT36" s="108"/>
      <c r="CEJ36" s="108"/>
      <c r="CEZ36" s="108"/>
      <c r="CFP36" s="108"/>
      <c r="CGF36" s="108"/>
      <c r="CGV36" s="108"/>
      <c r="CHL36" s="108"/>
      <c r="CIB36" s="108"/>
      <c r="CIR36" s="108"/>
      <c r="CJH36" s="108"/>
      <c r="CJX36" s="108"/>
      <c r="CKN36" s="108"/>
      <c r="CLD36" s="108"/>
      <c r="CLT36" s="108"/>
      <c r="CMJ36" s="108"/>
      <c r="CMZ36" s="108"/>
      <c r="CNP36" s="108"/>
      <c r="COF36" s="108"/>
      <c r="COV36" s="108"/>
      <c r="CPL36" s="108"/>
      <c r="CQB36" s="108"/>
      <c r="CQR36" s="108"/>
      <c r="CRH36" s="108"/>
      <c r="CRX36" s="108"/>
      <c r="CSN36" s="108"/>
      <c r="CTD36" s="108"/>
      <c r="CTT36" s="108"/>
      <c r="CUJ36" s="108"/>
      <c r="CUZ36" s="108"/>
      <c r="CVP36" s="108"/>
      <c r="CWF36" s="108"/>
      <c r="CWV36" s="108"/>
      <c r="CXL36" s="108"/>
      <c r="CYB36" s="108"/>
      <c r="CYR36" s="108"/>
      <c r="CZH36" s="108"/>
      <c r="CZX36" s="108"/>
      <c r="DAN36" s="108"/>
      <c r="DBD36" s="108"/>
      <c r="DBT36" s="108"/>
      <c r="DCJ36" s="108"/>
      <c r="DCZ36" s="108"/>
      <c r="DDP36" s="108"/>
      <c r="DEF36" s="108"/>
      <c r="DEV36" s="108"/>
      <c r="DFL36" s="108"/>
      <c r="DGB36" s="108"/>
      <c r="DGR36" s="108"/>
      <c r="DHH36" s="108"/>
      <c r="DHX36" s="108"/>
      <c r="DIN36" s="108"/>
      <c r="DJD36" s="108"/>
      <c r="DJT36" s="108"/>
      <c r="DKJ36" s="108"/>
      <c r="DKZ36" s="108"/>
      <c r="DLP36" s="108"/>
      <c r="DMF36" s="108"/>
      <c r="DMV36" s="108"/>
      <c r="DNL36" s="108"/>
      <c r="DOB36" s="108"/>
      <c r="DOR36" s="108"/>
      <c r="DPH36" s="108"/>
      <c r="DPX36" s="108"/>
      <c r="DQN36" s="108"/>
      <c r="DRD36" s="108"/>
      <c r="DRT36" s="108"/>
      <c r="DSJ36" s="108"/>
      <c r="DSZ36" s="108"/>
      <c r="DTP36" s="108"/>
      <c r="DUF36" s="108"/>
      <c r="DUV36" s="108"/>
      <c r="DVL36" s="108"/>
      <c r="DWB36" s="108"/>
      <c r="DWR36" s="108"/>
      <c r="DXH36" s="108"/>
      <c r="DXX36" s="108"/>
      <c r="DYN36" s="108"/>
      <c r="DZD36" s="108"/>
      <c r="DZT36" s="108"/>
      <c r="EAJ36" s="108"/>
      <c r="EAZ36" s="108"/>
      <c r="EBP36" s="108"/>
      <c r="ECF36" s="108"/>
      <c r="ECV36" s="108"/>
      <c r="EDL36" s="108"/>
      <c r="EEB36" s="108"/>
      <c r="EER36" s="108"/>
      <c r="EFH36" s="108"/>
      <c r="EFX36" s="108"/>
      <c r="EGN36" s="108"/>
      <c r="EHD36" s="108"/>
      <c r="EHT36" s="108"/>
      <c r="EIJ36" s="108"/>
      <c r="EIZ36" s="108"/>
      <c r="EJP36" s="108"/>
      <c r="EKF36" s="108"/>
      <c r="EKV36" s="108"/>
      <c r="ELL36" s="108"/>
      <c r="EMB36" s="108"/>
      <c r="EMR36" s="108"/>
      <c r="ENH36" s="108"/>
      <c r="ENX36" s="108"/>
      <c r="EON36" s="108"/>
      <c r="EPD36" s="108"/>
      <c r="EPT36" s="108"/>
      <c r="EQJ36" s="108"/>
      <c r="EQZ36" s="108"/>
      <c r="ERP36" s="108"/>
      <c r="ESF36" s="108"/>
      <c r="ESV36" s="108"/>
      <c r="ETL36" s="108"/>
      <c r="EUB36" s="108"/>
      <c r="EUR36" s="108"/>
      <c r="EVH36" s="108"/>
      <c r="EVX36" s="108"/>
      <c r="EWN36" s="108"/>
      <c r="EXD36" s="108"/>
      <c r="EXT36" s="108"/>
      <c r="EYJ36" s="108"/>
      <c r="EYZ36" s="108"/>
      <c r="EZP36" s="108"/>
      <c r="FAF36" s="108"/>
      <c r="FAV36" s="108"/>
      <c r="FBL36" s="108"/>
      <c r="FCB36" s="108"/>
      <c r="FCR36" s="108"/>
      <c r="FDH36" s="108"/>
      <c r="FDX36" s="108"/>
      <c r="FEN36" s="108"/>
      <c r="FFD36" s="108"/>
      <c r="FFT36" s="108"/>
      <c r="FGJ36" s="108"/>
      <c r="FGZ36" s="108"/>
      <c r="FHP36" s="108"/>
      <c r="FIF36" s="108"/>
      <c r="FIV36" s="108"/>
      <c r="FJL36" s="108"/>
      <c r="FKB36" s="108"/>
      <c r="FKR36" s="108"/>
      <c r="FLH36" s="108"/>
      <c r="FLX36" s="108"/>
      <c r="FMN36" s="108"/>
      <c r="FND36" s="108"/>
      <c r="FNT36" s="108"/>
      <c r="FOJ36" s="108"/>
      <c r="FOZ36" s="108"/>
      <c r="FPP36" s="108"/>
      <c r="FQF36" s="108"/>
      <c r="FQV36" s="108"/>
      <c r="FRL36" s="108"/>
      <c r="FSB36" s="108"/>
      <c r="FSR36" s="108"/>
      <c r="FTH36" s="108"/>
      <c r="FTX36" s="108"/>
      <c r="FUN36" s="108"/>
      <c r="FVD36" s="108"/>
      <c r="FVT36" s="108"/>
      <c r="FWJ36" s="108"/>
      <c r="FWZ36" s="108"/>
      <c r="FXP36" s="108"/>
      <c r="FYF36" s="108"/>
      <c r="FYV36" s="108"/>
      <c r="FZL36" s="108"/>
      <c r="GAB36" s="108"/>
      <c r="GAR36" s="108"/>
      <c r="GBH36" s="108"/>
      <c r="GBX36" s="108"/>
      <c r="GCN36" s="108"/>
      <c r="GDD36" s="108"/>
      <c r="GDT36" s="108"/>
      <c r="GEJ36" s="108"/>
      <c r="GEZ36" s="108"/>
      <c r="GFP36" s="108"/>
      <c r="GGF36" s="108"/>
      <c r="GGV36" s="108"/>
      <c r="GHL36" s="108"/>
      <c r="GIB36" s="108"/>
      <c r="GIR36" s="108"/>
      <c r="GJH36" s="108"/>
      <c r="GJX36" s="108"/>
      <c r="GKN36" s="108"/>
      <c r="GLD36" s="108"/>
      <c r="GLT36" s="108"/>
      <c r="GMJ36" s="108"/>
      <c r="GMZ36" s="108"/>
      <c r="GNP36" s="108"/>
      <c r="GOF36" s="108"/>
      <c r="GOV36" s="108"/>
      <c r="GPL36" s="108"/>
      <c r="GQB36" s="108"/>
      <c r="GQR36" s="108"/>
      <c r="GRH36" s="108"/>
      <c r="GRX36" s="108"/>
      <c r="GSN36" s="108"/>
      <c r="GTD36" s="108"/>
      <c r="GTT36" s="108"/>
      <c r="GUJ36" s="108"/>
      <c r="GUZ36" s="108"/>
      <c r="GVP36" s="108"/>
      <c r="GWF36" s="108"/>
      <c r="GWV36" s="108"/>
      <c r="GXL36" s="108"/>
      <c r="GYB36" s="108"/>
      <c r="GYR36" s="108"/>
      <c r="GZH36" s="108"/>
      <c r="GZX36" s="108"/>
      <c r="HAN36" s="108"/>
      <c r="HBD36" s="108"/>
      <c r="HBT36" s="108"/>
      <c r="HCJ36" s="108"/>
      <c r="HCZ36" s="108"/>
      <c r="HDP36" s="108"/>
      <c r="HEF36" s="108"/>
      <c r="HEV36" s="108"/>
      <c r="HFL36" s="108"/>
      <c r="HGB36" s="108"/>
      <c r="HGR36" s="108"/>
      <c r="HHH36" s="108"/>
      <c r="HHX36" s="108"/>
      <c r="HIN36" s="108"/>
      <c r="HJD36" s="108"/>
      <c r="HJT36" s="108"/>
      <c r="HKJ36" s="108"/>
      <c r="HKZ36" s="108"/>
      <c r="HLP36" s="108"/>
      <c r="HMF36" s="108"/>
      <c r="HMV36" s="108"/>
      <c r="HNL36" s="108"/>
      <c r="HOB36" s="108"/>
      <c r="HOR36" s="108"/>
      <c r="HPH36" s="108"/>
      <c r="HPX36" s="108"/>
      <c r="HQN36" s="108"/>
      <c r="HRD36" s="108"/>
      <c r="HRT36" s="108"/>
      <c r="HSJ36" s="108"/>
      <c r="HSZ36" s="108"/>
      <c r="HTP36" s="108"/>
      <c r="HUF36" s="108"/>
      <c r="HUV36" s="108"/>
      <c r="HVL36" s="108"/>
      <c r="HWB36" s="108"/>
      <c r="HWR36" s="108"/>
      <c r="HXH36" s="108"/>
      <c r="HXX36" s="108"/>
      <c r="HYN36" s="108"/>
      <c r="HZD36" s="108"/>
      <c r="HZT36" s="108"/>
      <c r="IAJ36" s="108"/>
      <c r="IAZ36" s="108"/>
      <c r="IBP36" s="108"/>
      <c r="ICF36" s="108"/>
      <c r="ICV36" s="108"/>
      <c r="IDL36" s="108"/>
      <c r="IEB36" s="108"/>
      <c r="IER36" s="108"/>
      <c r="IFH36" s="108"/>
      <c r="IFX36" s="108"/>
      <c r="IGN36" s="108"/>
      <c r="IHD36" s="108"/>
      <c r="IHT36" s="108"/>
      <c r="IIJ36" s="108"/>
      <c r="IIZ36" s="108"/>
      <c r="IJP36" s="108"/>
      <c r="IKF36" s="108"/>
      <c r="IKV36" s="108"/>
      <c r="ILL36" s="108"/>
      <c r="IMB36" s="108"/>
      <c r="IMR36" s="108"/>
      <c r="INH36" s="108"/>
      <c r="INX36" s="108"/>
      <c r="ION36" s="108"/>
      <c r="IPD36" s="108"/>
      <c r="IPT36" s="108"/>
      <c r="IQJ36" s="108"/>
      <c r="IQZ36" s="108"/>
      <c r="IRP36" s="108"/>
      <c r="ISF36" s="108"/>
      <c r="ISV36" s="108"/>
      <c r="ITL36" s="108"/>
      <c r="IUB36" s="108"/>
      <c r="IUR36" s="108"/>
      <c r="IVH36" s="108"/>
      <c r="IVX36" s="108"/>
      <c r="IWN36" s="108"/>
      <c r="IXD36" s="108"/>
      <c r="IXT36" s="108"/>
      <c r="IYJ36" s="108"/>
      <c r="IYZ36" s="108"/>
      <c r="IZP36" s="108"/>
      <c r="JAF36" s="108"/>
      <c r="JAV36" s="108"/>
      <c r="JBL36" s="108"/>
      <c r="JCB36" s="108"/>
      <c r="JCR36" s="108"/>
      <c r="JDH36" s="108"/>
      <c r="JDX36" s="108"/>
      <c r="JEN36" s="108"/>
      <c r="JFD36" s="108"/>
      <c r="JFT36" s="108"/>
      <c r="JGJ36" s="108"/>
      <c r="JGZ36" s="108"/>
      <c r="JHP36" s="108"/>
      <c r="JIF36" s="108"/>
      <c r="JIV36" s="108"/>
      <c r="JJL36" s="108"/>
      <c r="JKB36" s="108"/>
      <c r="JKR36" s="108"/>
      <c r="JLH36" s="108"/>
      <c r="JLX36" s="108"/>
      <c r="JMN36" s="108"/>
      <c r="JND36" s="108"/>
      <c r="JNT36" s="108"/>
      <c r="JOJ36" s="108"/>
      <c r="JOZ36" s="108"/>
      <c r="JPP36" s="108"/>
      <c r="JQF36" s="108"/>
      <c r="JQV36" s="108"/>
      <c r="JRL36" s="108"/>
      <c r="JSB36" s="108"/>
      <c r="JSR36" s="108"/>
      <c r="JTH36" s="108"/>
      <c r="JTX36" s="108"/>
      <c r="JUN36" s="108"/>
      <c r="JVD36" s="108"/>
      <c r="JVT36" s="108"/>
      <c r="JWJ36" s="108"/>
      <c r="JWZ36" s="108"/>
      <c r="JXP36" s="108"/>
      <c r="JYF36" s="108"/>
      <c r="JYV36" s="108"/>
      <c r="JZL36" s="108"/>
      <c r="KAB36" s="108"/>
      <c r="KAR36" s="108"/>
      <c r="KBH36" s="108"/>
      <c r="KBX36" s="108"/>
      <c r="KCN36" s="108"/>
      <c r="KDD36" s="108"/>
      <c r="KDT36" s="108"/>
      <c r="KEJ36" s="108"/>
      <c r="KEZ36" s="108"/>
      <c r="KFP36" s="108"/>
      <c r="KGF36" s="108"/>
      <c r="KGV36" s="108"/>
      <c r="KHL36" s="108"/>
      <c r="KIB36" s="108"/>
      <c r="KIR36" s="108"/>
      <c r="KJH36" s="108"/>
      <c r="KJX36" s="108"/>
      <c r="KKN36" s="108"/>
      <c r="KLD36" s="108"/>
      <c r="KLT36" s="108"/>
      <c r="KMJ36" s="108"/>
      <c r="KMZ36" s="108"/>
      <c r="KNP36" s="108"/>
      <c r="KOF36" s="108"/>
      <c r="KOV36" s="108"/>
      <c r="KPL36" s="108"/>
      <c r="KQB36" s="108"/>
      <c r="KQR36" s="108"/>
      <c r="KRH36" s="108"/>
      <c r="KRX36" s="108"/>
      <c r="KSN36" s="108"/>
      <c r="KTD36" s="108"/>
      <c r="KTT36" s="108"/>
      <c r="KUJ36" s="108"/>
      <c r="KUZ36" s="108"/>
      <c r="KVP36" s="108"/>
      <c r="KWF36" s="108"/>
      <c r="KWV36" s="108"/>
      <c r="KXL36" s="108"/>
      <c r="KYB36" s="108"/>
      <c r="KYR36" s="108"/>
      <c r="KZH36" s="108"/>
      <c r="KZX36" s="108"/>
      <c r="LAN36" s="108"/>
      <c r="LBD36" s="108"/>
      <c r="LBT36" s="108"/>
      <c r="LCJ36" s="108"/>
      <c r="LCZ36" s="108"/>
      <c r="LDP36" s="108"/>
      <c r="LEF36" s="108"/>
      <c r="LEV36" s="108"/>
      <c r="LFL36" s="108"/>
      <c r="LGB36" s="108"/>
      <c r="LGR36" s="108"/>
      <c r="LHH36" s="108"/>
      <c r="LHX36" s="108"/>
      <c r="LIN36" s="108"/>
      <c r="LJD36" s="108"/>
      <c r="LJT36" s="108"/>
      <c r="LKJ36" s="108"/>
      <c r="LKZ36" s="108"/>
      <c r="LLP36" s="108"/>
      <c r="LMF36" s="108"/>
      <c r="LMV36" s="108"/>
      <c r="LNL36" s="108"/>
      <c r="LOB36" s="108"/>
      <c r="LOR36" s="108"/>
      <c r="LPH36" s="108"/>
      <c r="LPX36" s="108"/>
      <c r="LQN36" s="108"/>
      <c r="LRD36" s="108"/>
      <c r="LRT36" s="108"/>
      <c r="LSJ36" s="108"/>
      <c r="LSZ36" s="108"/>
      <c r="LTP36" s="108"/>
      <c r="LUF36" s="108"/>
      <c r="LUV36" s="108"/>
      <c r="LVL36" s="108"/>
      <c r="LWB36" s="108"/>
      <c r="LWR36" s="108"/>
      <c r="LXH36" s="108"/>
      <c r="LXX36" s="108"/>
      <c r="LYN36" s="108"/>
      <c r="LZD36" s="108"/>
      <c r="LZT36" s="108"/>
      <c r="MAJ36" s="108"/>
      <c r="MAZ36" s="108"/>
      <c r="MBP36" s="108"/>
      <c r="MCF36" s="108"/>
      <c r="MCV36" s="108"/>
      <c r="MDL36" s="108"/>
      <c r="MEB36" s="108"/>
      <c r="MER36" s="108"/>
      <c r="MFH36" s="108"/>
      <c r="MFX36" s="108"/>
      <c r="MGN36" s="108"/>
      <c r="MHD36" s="108"/>
      <c r="MHT36" s="108"/>
      <c r="MIJ36" s="108"/>
      <c r="MIZ36" s="108"/>
      <c r="MJP36" s="108"/>
      <c r="MKF36" s="108"/>
      <c r="MKV36" s="108"/>
      <c r="MLL36" s="108"/>
      <c r="MMB36" s="108"/>
      <c r="MMR36" s="108"/>
      <c r="MNH36" s="108"/>
      <c r="MNX36" s="108"/>
      <c r="MON36" s="108"/>
      <c r="MPD36" s="108"/>
      <c r="MPT36" s="108"/>
      <c r="MQJ36" s="108"/>
      <c r="MQZ36" s="108"/>
      <c r="MRP36" s="108"/>
      <c r="MSF36" s="108"/>
      <c r="MSV36" s="108"/>
      <c r="MTL36" s="108"/>
      <c r="MUB36" s="108"/>
      <c r="MUR36" s="108"/>
      <c r="MVH36" s="108"/>
      <c r="MVX36" s="108"/>
      <c r="MWN36" s="108"/>
      <c r="MXD36" s="108"/>
      <c r="MXT36" s="108"/>
      <c r="MYJ36" s="108"/>
      <c r="MYZ36" s="108"/>
      <c r="MZP36" s="108"/>
      <c r="NAF36" s="108"/>
      <c r="NAV36" s="108"/>
      <c r="NBL36" s="108"/>
      <c r="NCB36" s="108"/>
      <c r="NCR36" s="108"/>
      <c r="NDH36" s="108"/>
      <c r="NDX36" s="108"/>
      <c r="NEN36" s="108"/>
      <c r="NFD36" s="108"/>
      <c r="NFT36" s="108"/>
      <c r="NGJ36" s="108"/>
      <c r="NGZ36" s="108"/>
      <c r="NHP36" s="108"/>
      <c r="NIF36" s="108"/>
      <c r="NIV36" s="108"/>
      <c r="NJL36" s="108"/>
      <c r="NKB36" s="108"/>
      <c r="NKR36" s="108"/>
      <c r="NLH36" s="108"/>
      <c r="NLX36" s="108"/>
      <c r="NMN36" s="108"/>
      <c r="NND36" s="108"/>
      <c r="NNT36" s="108"/>
      <c r="NOJ36" s="108"/>
      <c r="NOZ36" s="108"/>
      <c r="NPP36" s="108"/>
      <c r="NQF36" s="108"/>
      <c r="NQV36" s="108"/>
      <c r="NRL36" s="108"/>
      <c r="NSB36" s="108"/>
      <c r="NSR36" s="108"/>
      <c r="NTH36" s="108"/>
      <c r="NTX36" s="108"/>
      <c r="NUN36" s="108"/>
      <c r="NVD36" s="108"/>
      <c r="NVT36" s="108"/>
      <c r="NWJ36" s="108"/>
      <c r="NWZ36" s="108"/>
      <c r="NXP36" s="108"/>
      <c r="NYF36" s="108"/>
      <c r="NYV36" s="108"/>
      <c r="NZL36" s="108"/>
      <c r="OAB36" s="108"/>
      <c r="OAR36" s="108"/>
      <c r="OBH36" s="108"/>
      <c r="OBX36" s="108"/>
      <c r="OCN36" s="108"/>
      <c r="ODD36" s="108"/>
      <c r="ODT36" s="108"/>
      <c r="OEJ36" s="108"/>
      <c r="OEZ36" s="108"/>
      <c r="OFP36" s="108"/>
      <c r="OGF36" s="108"/>
      <c r="OGV36" s="108"/>
      <c r="OHL36" s="108"/>
      <c r="OIB36" s="108"/>
      <c r="OIR36" s="108"/>
      <c r="OJH36" s="108"/>
      <c r="OJX36" s="108"/>
      <c r="OKN36" s="108"/>
      <c r="OLD36" s="108"/>
      <c r="OLT36" s="108"/>
      <c r="OMJ36" s="108"/>
      <c r="OMZ36" s="108"/>
      <c r="ONP36" s="108"/>
      <c r="OOF36" s="108"/>
      <c r="OOV36" s="108"/>
      <c r="OPL36" s="108"/>
      <c r="OQB36" s="108"/>
      <c r="OQR36" s="108"/>
      <c r="ORH36" s="108"/>
      <c r="ORX36" s="108"/>
      <c r="OSN36" s="108"/>
      <c r="OTD36" s="108"/>
      <c r="OTT36" s="108"/>
      <c r="OUJ36" s="108"/>
      <c r="OUZ36" s="108"/>
      <c r="OVP36" s="108"/>
      <c r="OWF36" s="108"/>
      <c r="OWV36" s="108"/>
      <c r="OXL36" s="108"/>
      <c r="OYB36" s="108"/>
      <c r="OYR36" s="108"/>
      <c r="OZH36" s="108"/>
      <c r="OZX36" s="108"/>
      <c r="PAN36" s="108"/>
      <c r="PBD36" s="108"/>
      <c r="PBT36" s="108"/>
      <c r="PCJ36" s="108"/>
      <c r="PCZ36" s="108"/>
      <c r="PDP36" s="108"/>
      <c r="PEF36" s="108"/>
      <c r="PEV36" s="108"/>
      <c r="PFL36" s="108"/>
      <c r="PGB36" s="108"/>
      <c r="PGR36" s="108"/>
      <c r="PHH36" s="108"/>
      <c r="PHX36" s="108"/>
      <c r="PIN36" s="108"/>
      <c r="PJD36" s="108"/>
      <c r="PJT36" s="108"/>
      <c r="PKJ36" s="108"/>
      <c r="PKZ36" s="108"/>
      <c r="PLP36" s="108"/>
      <c r="PMF36" s="108"/>
      <c r="PMV36" s="108"/>
      <c r="PNL36" s="108"/>
      <c r="POB36" s="108"/>
      <c r="POR36" s="108"/>
      <c r="PPH36" s="108"/>
      <c r="PPX36" s="108"/>
      <c r="PQN36" s="108"/>
      <c r="PRD36" s="108"/>
      <c r="PRT36" s="108"/>
      <c r="PSJ36" s="108"/>
      <c r="PSZ36" s="108"/>
      <c r="PTP36" s="108"/>
      <c r="PUF36" s="108"/>
      <c r="PUV36" s="108"/>
      <c r="PVL36" s="108"/>
      <c r="PWB36" s="108"/>
      <c r="PWR36" s="108"/>
      <c r="PXH36" s="108"/>
      <c r="PXX36" s="108"/>
      <c r="PYN36" s="108"/>
      <c r="PZD36" s="108"/>
      <c r="PZT36" s="108"/>
      <c r="QAJ36" s="108"/>
      <c r="QAZ36" s="108"/>
      <c r="QBP36" s="108"/>
      <c r="QCF36" s="108"/>
      <c r="QCV36" s="108"/>
      <c r="QDL36" s="108"/>
      <c r="QEB36" s="108"/>
      <c r="QER36" s="108"/>
      <c r="QFH36" s="108"/>
      <c r="QFX36" s="108"/>
      <c r="QGN36" s="108"/>
      <c r="QHD36" s="108"/>
      <c r="QHT36" s="108"/>
      <c r="QIJ36" s="108"/>
      <c r="QIZ36" s="108"/>
      <c r="QJP36" s="108"/>
      <c r="QKF36" s="108"/>
      <c r="QKV36" s="108"/>
      <c r="QLL36" s="108"/>
      <c r="QMB36" s="108"/>
      <c r="QMR36" s="108"/>
      <c r="QNH36" s="108"/>
      <c r="QNX36" s="108"/>
      <c r="QON36" s="108"/>
      <c r="QPD36" s="108"/>
      <c r="QPT36" s="108"/>
      <c r="QQJ36" s="108"/>
      <c r="QQZ36" s="108"/>
      <c r="QRP36" s="108"/>
      <c r="QSF36" s="108"/>
      <c r="QSV36" s="108"/>
      <c r="QTL36" s="108"/>
      <c r="QUB36" s="108"/>
      <c r="QUR36" s="108"/>
      <c r="QVH36" s="108"/>
      <c r="QVX36" s="108"/>
      <c r="QWN36" s="108"/>
      <c r="QXD36" s="108"/>
      <c r="QXT36" s="108"/>
      <c r="QYJ36" s="108"/>
      <c r="QYZ36" s="108"/>
      <c r="QZP36" s="108"/>
      <c r="RAF36" s="108"/>
      <c r="RAV36" s="108"/>
      <c r="RBL36" s="108"/>
      <c r="RCB36" s="108"/>
      <c r="RCR36" s="108"/>
      <c r="RDH36" s="108"/>
      <c r="RDX36" s="108"/>
      <c r="REN36" s="108"/>
      <c r="RFD36" s="108"/>
      <c r="RFT36" s="108"/>
      <c r="RGJ36" s="108"/>
      <c r="RGZ36" s="108"/>
      <c r="RHP36" s="108"/>
      <c r="RIF36" s="108"/>
      <c r="RIV36" s="108"/>
      <c r="RJL36" s="108"/>
      <c r="RKB36" s="108"/>
      <c r="RKR36" s="108"/>
      <c r="RLH36" s="108"/>
      <c r="RLX36" s="108"/>
      <c r="RMN36" s="108"/>
      <c r="RND36" s="108"/>
      <c r="RNT36" s="108"/>
      <c r="ROJ36" s="108"/>
      <c r="ROZ36" s="108"/>
      <c r="RPP36" s="108"/>
      <c r="RQF36" s="108"/>
      <c r="RQV36" s="108"/>
      <c r="RRL36" s="108"/>
      <c r="RSB36" s="108"/>
      <c r="RSR36" s="108"/>
      <c r="RTH36" s="108"/>
      <c r="RTX36" s="108"/>
      <c r="RUN36" s="108"/>
      <c r="RVD36" s="108"/>
      <c r="RVT36" s="108"/>
      <c r="RWJ36" s="108"/>
      <c r="RWZ36" s="108"/>
      <c r="RXP36" s="108"/>
      <c r="RYF36" s="108"/>
      <c r="RYV36" s="108"/>
      <c r="RZL36" s="108"/>
      <c r="SAB36" s="108"/>
      <c r="SAR36" s="108"/>
      <c r="SBH36" s="108"/>
      <c r="SBX36" s="108"/>
      <c r="SCN36" s="108"/>
      <c r="SDD36" s="108"/>
      <c r="SDT36" s="108"/>
      <c r="SEJ36" s="108"/>
      <c r="SEZ36" s="108"/>
      <c r="SFP36" s="108"/>
      <c r="SGF36" s="108"/>
      <c r="SGV36" s="108"/>
      <c r="SHL36" s="108"/>
      <c r="SIB36" s="108"/>
      <c r="SIR36" s="108"/>
      <c r="SJH36" s="108"/>
      <c r="SJX36" s="108"/>
      <c r="SKN36" s="108"/>
      <c r="SLD36" s="108"/>
      <c r="SLT36" s="108"/>
      <c r="SMJ36" s="108"/>
      <c r="SMZ36" s="108"/>
      <c r="SNP36" s="108"/>
      <c r="SOF36" s="108"/>
      <c r="SOV36" s="108"/>
      <c r="SPL36" s="108"/>
      <c r="SQB36" s="108"/>
      <c r="SQR36" s="108"/>
      <c r="SRH36" s="108"/>
      <c r="SRX36" s="108"/>
      <c r="SSN36" s="108"/>
      <c r="STD36" s="108"/>
      <c r="STT36" s="108"/>
      <c r="SUJ36" s="108"/>
      <c r="SUZ36" s="108"/>
      <c r="SVP36" s="108"/>
      <c r="SWF36" s="108"/>
      <c r="SWV36" s="108"/>
      <c r="SXL36" s="108"/>
      <c r="SYB36" s="108"/>
      <c r="SYR36" s="108"/>
      <c r="SZH36" s="108"/>
      <c r="SZX36" s="108"/>
      <c r="TAN36" s="108"/>
      <c r="TBD36" s="108"/>
      <c r="TBT36" s="108"/>
      <c r="TCJ36" s="108"/>
      <c r="TCZ36" s="108"/>
      <c r="TDP36" s="108"/>
      <c r="TEF36" s="108"/>
      <c r="TEV36" s="108"/>
      <c r="TFL36" s="108"/>
      <c r="TGB36" s="108"/>
      <c r="TGR36" s="108"/>
      <c r="THH36" s="108"/>
      <c r="THX36" s="108"/>
      <c r="TIN36" s="108"/>
      <c r="TJD36" s="108"/>
      <c r="TJT36" s="108"/>
      <c r="TKJ36" s="108"/>
      <c r="TKZ36" s="108"/>
      <c r="TLP36" s="108"/>
      <c r="TMF36" s="108"/>
      <c r="TMV36" s="108"/>
      <c r="TNL36" s="108"/>
      <c r="TOB36" s="108"/>
      <c r="TOR36" s="108"/>
      <c r="TPH36" s="108"/>
      <c r="TPX36" s="108"/>
      <c r="TQN36" s="108"/>
      <c r="TRD36" s="108"/>
      <c r="TRT36" s="108"/>
      <c r="TSJ36" s="108"/>
      <c r="TSZ36" s="108"/>
      <c r="TTP36" s="108"/>
      <c r="TUF36" s="108"/>
      <c r="TUV36" s="108"/>
      <c r="TVL36" s="108"/>
      <c r="TWB36" s="108"/>
      <c r="TWR36" s="108"/>
      <c r="TXH36" s="108"/>
      <c r="TXX36" s="108"/>
      <c r="TYN36" s="108"/>
      <c r="TZD36" s="108"/>
      <c r="TZT36" s="108"/>
      <c r="UAJ36" s="108"/>
      <c r="UAZ36" s="108"/>
      <c r="UBP36" s="108"/>
      <c r="UCF36" s="108"/>
      <c r="UCV36" s="108"/>
      <c r="UDL36" s="108"/>
      <c r="UEB36" s="108"/>
      <c r="UER36" s="108"/>
      <c r="UFH36" s="108"/>
      <c r="UFX36" s="108"/>
      <c r="UGN36" s="108"/>
      <c r="UHD36" s="108"/>
      <c r="UHT36" s="108"/>
      <c r="UIJ36" s="108"/>
      <c r="UIZ36" s="108"/>
      <c r="UJP36" s="108"/>
      <c r="UKF36" s="108"/>
      <c r="UKV36" s="108"/>
      <c r="ULL36" s="108"/>
      <c r="UMB36" s="108"/>
      <c r="UMR36" s="108"/>
      <c r="UNH36" s="108"/>
      <c r="UNX36" s="108"/>
      <c r="UON36" s="108"/>
      <c r="UPD36" s="108"/>
      <c r="UPT36" s="108"/>
      <c r="UQJ36" s="108"/>
      <c r="UQZ36" s="108"/>
      <c r="URP36" s="108"/>
      <c r="USF36" s="108"/>
      <c r="USV36" s="108"/>
      <c r="UTL36" s="108"/>
      <c r="UUB36" s="108"/>
      <c r="UUR36" s="108"/>
      <c r="UVH36" s="108"/>
      <c r="UVX36" s="108"/>
      <c r="UWN36" s="108"/>
      <c r="UXD36" s="108"/>
      <c r="UXT36" s="108"/>
      <c r="UYJ36" s="108"/>
      <c r="UYZ36" s="108"/>
      <c r="UZP36" s="108"/>
      <c r="VAF36" s="108"/>
      <c r="VAV36" s="108"/>
      <c r="VBL36" s="108"/>
      <c r="VCB36" s="108"/>
      <c r="VCR36" s="108"/>
      <c r="VDH36" s="108"/>
      <c r="VDX36" s="108"/>
      <c r="VEN36" s="108"/>
      <c r="VFD36" s="108"/>
      <c r="VFT36" s="108"/>
      <c r="VGJ36" s="108"/>
      <c r="VGZ36" s="108"/>
      <c r="VHP36" s="108"/>
      <c r="VIF36" s="108"/>
      <c r="VIV36" s="108"/>
      <c r="VJL36" s="108"/>
      <c r="VKB36" s="108"/>
      <c r="VKR36" s="108"/>
      <c r="VLH36" s="108"/>
      <c r="VLX36" s="108"/>
      <c r="VMN36" s="108"/>
      <c r="VND36" s="108"/>
      <c r="VNT36" s="108"/>
      <c r="VOJ36" s="108"/>
      <c r="VOZ36" s="108"/>
      <c r="VPP36" s="108"/>
      <c r="VQF36" s="108"/>
      <c r="VQV36" s="108"/>
      <c r="VRL36" s="108"/>
      <c r="VSB36" s="108"/>
      <c r="VSR36" s="108"/>
      <c r="VTH36" s="108"/>
      <c r="VTX36" s="108"/>
      <c r="VUN36" s="108"/>
      <c r="VVD36" s="108"/>
      <c r="VVT36" s="108"/>
      <c r="VWJ36" s="108"/>
      <c r="VWZ36" s="108"/>
      <c r="VXP36" s="108"/>
      <c r="VYF36" s="108"/>
      <c r="VYV36" s="108"/>
      <c r="VZL36" s="108"/>
      <c r="WAB36" s="108"/>
      <c r="WAR36" s="108"/>
      <c r="WBH36" s="108"/>
      <c r="WBX36" s="108"/>
      <c r="WCN36" s="108"/>
      <c r="WDD36" s="108"/>
      <c r="WDT36" s="108"/>
      <c r="WEJ36" s="108"/>
      <c r="WEZ36" s="108"/>
      <c r="WFP36" s="108"/>
      <c r="WGF36" s="108"/>
      <c r="WGV36" s="108"/>
      <c r="WHL36" s="108"/>
      <c r="WIB36" s="108"/>
      <c r="WIR36" s="108"/>
      <c r="WJH36" s="108"/>
      <c r="WJX36" s="108"/>
      <c r="WKN36" s="108"/>
      <c r="WLD36" s="108"/>
      <c r="WLT36" s="108"/>
      <c r="WMJ36" s="108"/>
      <c r="WMZ36" s="108"/>
      <c r="WNP36" s="108"/>
      <c r="WOF36" s="108"/>
      <c r="WOV36" s="108"/>
      <c r="WPL36" s="108"/>
      <c r="WQB36" s="108"/>
      <c r="WQR36" s="108"/>
      <c r="WRH36" s="108"/>
      <c r="WRX36" s="108"/>
      <c r="WSN36" s="108"/>
      <c r="WTD36" s="108"/>
      <c r="WTT36" s="108"/>
      <c r="WUJ36" s="108"/>
      <c r="WUZ36" s="108"/>
      <c r="WVP36" s="108"/>
      <c r="WWF36" s="108"/>
      <c r="WWV36" s="108"/>
      <c r="WXL36" s="108"/>
      <c r="WYB36" s="108"/>
      <c r="WYR36" s="108"/>
      <c r="WZH36" s="108"/>
      <c r="WZX36" s="108"/>
      <c r="XAN36" s="108"/>
      <c r="XBD36" s="108"/>
      <c r="XBT36" s="108"/>
      <c r="XCJ36" s="108"/>
      <c r="XCZ36" s="108"/>
      <c r="XDP36" s="108"/>
      <c r="XEF36" s="108"/>
      <c r="XEV36" s="108"/>
    </row>
    <row r="38" customFormat="false" ht="15" hidden="false" customHeight="false" outlineLevel="0" collapsed="false">
      <c r="H38" s="108" t="n">
        <f aca="false">H31-H2</f>
        <v>5.533</v>
      </c>
    </row>
    <row r="40" customFormat="false" ht="15" hidden="false" customHeight="false" outlineLevel="0" collapsed="false">
      <c r="H40" s="108" t="n">
        <f aca="false">H35-H31</f>
        <v>148.379</v>
      </c>
    </row>
    <row r="41" customFormat="false" ht="15" hidden="false" customHeight="false" outlineLevel="0" collapsed="false">
      <c r="H41" s="108" t="n">
        <f aca="false">SUM(H38:H40)</f>
        <v>153.912</v>
      </c>
    </row>
    <row r="45" customFormat="false" ht="15" hidden="false" customHeight="false" outlineLevel="0" collapsed="false">
      <c r="D45" s="34" t="n">
        <v>45063</v>
      </c>
      <c r="E45" s="48" t="n">
        <v>45064.2581828704</v>
      </c>
      <c r="F45" s="0" t="n">
        <v>85058.324</v>
      </c>
      <c r="G45" s="0" t="n">
        <v>85100.779</v>
      </c>
      <c r="H45" s="108" t="n">
        <v>42.453</v>
      </c>
    </row>
  </sheetData>
  <conditionalFormatting sqref="R2:R15">
    <cfRule type="expression" priority="2" aboveAverage="0" equalAverage="0" bottom="0" percent="0" rank="0" text="" dxfId="26">
      <formula>" =CELL(“Protect”,A1)=1"</formula>
    </cfRule>
    <cfRule type="expression" priority="3" aboveAverage="0" equalAverage="0" bottom="0" percent="0" rank="0" text="" dxfId="1">
      <formula>" =CELL(“Protect”,A1)=1"</formula>
    </cfRule>
  </conditionalFormatting>
  <conditionalFormatting sqref="A1:I1 K1:P1">
    <cfRule type="expression" priority="4" aboveAverage="0" equalAverage="0" bottom="0" percent="0" rank="0" text="" dxfId="27">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41"/>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pane xSplit="0" ySplit="1" topLeftCell="A10" activePane="bottomLeft" state="frozen"/>
      <selection pane="topLeft" activeCell="A1" activeCellId="0" sqref="A1"/>
      <selection pane="bottomLeft" activeCell="O2" activeCellId="0" sqref="O2"/>
    </sheetView>
  </sheetViews>
  <sheetFormatPr defaultColWidth="9.1484375" defaultRowHeight="15" zeroHeight="false" outlineLevelRow="0" outlineLevelCol="0"/>
  <cols>
    <col collapsed="false" customWidth="true" hidden="false" outlineLevel="0" max="1" min="1" style="0" width="6.43"/>
    <col collapsed="false" customWidth="true" hidden="false" outlineLevel="0" max="2" min="2" style="0" width="6.14"/>
    <col collapsed="false" customWidth="true" hidden="false" outlineLevel="0" max="3" min="3" style="0" width="6"/>
    <col collapsed="false" customWidth="true" hidden="false" outlineLevel="0" max="5" min="4" style="50" width="10.71"/>
    <col collapsed="false" customWidth="true" hidden="false" outlineLevel="0" max="7" min="6" style="2" width="10.71"/>
    <col collapsed="false" customWidth="true" hidden="false" outlineLevel="0" max="8" min="8" style="3" width="9.71"/>
    <col collapsed="false" customWidth="true" hidden="false" outlineLevel="0" max="13" min="11" style="0" width="9.71"/>
    <col collapsed="false" customWidth="false" hidden="false" outlineLevel="0" max="16"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3.15"/>
  </cols>
  <sheetData>
    <row r="1" customFormat="false" ht="49.5" hidden="false" customHeight="true" outlineLevel="0" collapsed="false">
      <c r="A1" s="5" t="s">
        <v>0</v>
      </c>
      <c r="B1" s="6" t="s">
        <v>1</v>
      </c>
      <c r="C1" s="6" t="s">
        <v>2</v>
      </c>
      <c r="D1" s="7" t="s">
        <v>3</v>
      </c>
      <c r="E1" s="7" t="s">
        <v>4</v>
      </c>
      <c r="F1" s="8" t="s">
        <v>5</v>
      </c>
      <c r="G1" s="8" t="s">
        <v>6</v>
      </c>
      <c r="H1" s="8" t="s">
        <v>7</v>
      </c>
      <c r="I1" s="6" t="s">
        <v>8</v>
      </c>
      <c r="J1" s="6" t="s">
        <v>9</v>
      </c>
      <c r="K1" s="6" t="s">
        <v>10</v>
      </c>
      <c r="L1" s="6" t="s">
        <v>11</v>
      </c>
      <c r="M1" s="6" t="s">
        <v>12</v>
      </c>
      <c r="N1" s="8" t="s">
        <v>13</v>
      </c>
      <c r="O1" s="9" t="s">
        <v>77</v>
      </c>
      <c r="S1" s="10"/>
      <c r="T1" s="76"/>
      <c r="U1" s="75"/>
      <c r="V1" s="75"/>
      <c r="W1" s="76"/>
      <c r="X1" s="76"/>
      <c r="Y1" s="76"/>
      <c r="Z1" s="110"/>
      <c r="AA1" s="76"/>
      <c r="AB1" s="76"/>
      <c r="AC1" s="76"/>
    </row>
    <row r="2" customFormat="false" ht="15" hidden="false" customHeight="true" outlineLevel="0" collapsed="false">
      <c r="A2" s="86" t="n">
        <v>1</v>
      </c>
      <c r="B2" s="86" t="s">
        <v>99</v>
      </c>
      <c r="C2" s="86" t="n">
        <v>31</v>
      </c>
      <c r="D2" s="51" t="n">
        <v>45001</v>
      </c>
      <c r="E2" s="51" t="n">
        <v>45002.3113310185</v>
      </c>
      <c r="F2" s="2" t="n">
        <v>82948.387</v>
      </c>
      <c r="G2" s="2" t="n">
        <v>82982.406</v>
      </c>
      <c r="H2" s="2" t="n">
        <v>34.019</v>
      </c>
      <c r="I2" s="87" t="n">
        <f aca="false">H2</f>
        <v>34.019</v>
      </c>
      <c r="J2" s="87" t="n">
        <f aca="false">(I2)</f>
        <v>34.019</v>
      </c>
      <c r="K2" s="88" t="n">
        <f aca="false">IF($H2&lt;&gt;"",(($H2*$S$7)+($A2*$S$8))*(1+$R$9),"")</f>
        <v>6.9591400431903</v>
      </c>
      <c r="L2" s="89" t="n">
        <f aca="false">(K2)</f>
        <v>6.9591400431903</v>
      </c>
      <c r="M2" s="90" t="n">
        <f aca="false">IF($J2&lt;&gt;"",$J2*($A$31-$A$2),"")</f>
        <v>986.551</v>
      </c>
      <c r="N2" s="90" t="n">
        <f aca="false">IF($M2&lt;&gt;"",IF($M2&gt;1000,(($M2*$S$7))*(1+$R$9)-100,($M2*$S$7)+($A2*$R$9)*(1+$R$9)),"")</f>
        <v>194.5780915109</v>
      </c>
      <c r="O2" s="91" t="n">
        <f aca="false">IF(I2&gt;=1000,"",(1000-I2))</f>
        <v>965.981</v>
      </c>
      <c r="P2" s="92"/>
      <c r="Q2" s="19" t="s">
        <v>18</v>
      </c>
      <c r="R2" s="20" t="s">
        <v>19</v>
      </c>
      <c r="S2" s="21"/>
      <c r="T2" s="93" t="n">
        <v>2</v>
      </c>
      <c r="U2" s="74"/>
      <c r="V2" s="74"/>
    </row>
    <row r="3" customFormat="false" ht="15" hidden="false" customHeight="true" outlineLevel="0" collapsed="false">
      <c r="A3" s="86" t="n">
        <v>2</v>
      </c>
      <c r="B3" s="86" t="s">
        <v>100</v>
      </c>
      <c r="C3" s="86" t="n">
        <v>30</v>
      </c>
      <c r="D3" s="51" t="n">
        <v>45002</v>
      </c>
      <c r="E3" s="51" t="n">
        <v>45003.2573263889</v>
      </c>
      <c r="F3" s="2" t="n">
        <v>82982.406</v>
      </c>
      <c r="G3" s="2" t="n">
        <v>83012.216</v>
      </c>
      <c r="H3" s="2" t="n">
        <v>29.805</v>
      </c>
      <c r="I3" s="87" t="n">
        <f aca="false">IF($H3&gt;0,($I2+$H3),"")</f>
        <v>63.824</v>
      </c>
      <c r="J3" s="87" t="n">
        <f aca="false">IF(KWH&gt;0,$I3/$A3,"")</f>
        <v>31.912</v>
      </c>
      <c r="K3" s="88" t="n">
        <f aca="false">IF($H3&lt;&gt;"",(($H3*$S$7)+($A3*$S$8))*(1+$R$9),"")</f>
        <v>6.2277777556785</v>
      </c>
      <c r="L3" s="89" t="n">
        <f aca="false">IF($K3&lt;&gt;"",($K3+$L2),"")</f>
        <v>13.1869177988688</v>
      </c>
      <c r="M3" s="90" t="n">
        <f aca="false">IF($H3&lt;&gt;"",$I3+($A$33-$A3)*$J3)</f>
        <v>1021.184</v>
      </c>
      <c r="N3" s="90" t="n">
        <f aca="false">IF($M3&lt;&gt;"",IF($M3&gt;1000,(($M3*$S$7))*(1+$R$9)-100,($M3*$S$7)+($A3*$R$9)*(1+$R$9)),"")</f>
        <v>105.409408941901</v>
      </c>
      <c r="O3" s="91" t="n">
        <f aca="false">IF(I3&gt;=1000,"",(1000-I3))</f>
        <v>936.176</v>
      </c>
      <c r="P3" s="92"/>
      <c r="Q3" s="22" t="s">
        <v>22</v>
      </c>
      <c r="R3" s="23" t="n">
        <f aca="false">(F2+1000)</f>
        <v>83948.387</v>
      </c>
      <c r="S3" s="24" t="n">
        <v>0</v>
      </c>
      <c r="T3" s="93" t="n">
        <v>3</v>
      </c>
      <c r="V3" s="75"/>
      <c r="W3" s="76"/>
      <c r="X3" s="76"/>
      <c r="Y3" s="77"/>
      <c r="AC3" s="78"/>
    </row>
    <row r="4" customFormat="false" ht="15" hidden="false" customHeight="true" outlineLevel="0" collapsed="false">
      <c r="A4" s="86" t="n">
        <v>3</v>
      </c>
      <c r="B4" s="86" t="s">
        <v>101</v>
      </c>
      <c r="C4" s="86" t="n">
        <v>29</v>
      </c>
      <c r="D4" s="51" t="n">
        <v>45003</v>
      </c>
      <c r="E4" s="51" t="n">
        <v>45004.2777083333</v>
      </c>
      <c r="F4" s="2" t="n">
        <v>83012.216</v>
      </c>
      <c r="G4" s="2" t="n">
        <v>83055.613</v>
      </c>
      <c r="H4" s="2" t="n">
        <v>43.398</v>
      </c>
      <c r="I4" s="87" t="n">
        <f aca="false">IF($H4&gt;0,($I3+$H4),"")</f>
        <v>107.222</v>
      </c>
      <c r="J4" s="87" t="n">
        <f aca="false">IF(KWH&gt;0,$I4/$A4,"")</f>
        <v>35.7406666666667</v>
      </c>
      <c r="K4" s="88" t="n">
        <f aca="false">IF($H4&lt;&gt;"",(($H4*$S$7)+($A4*$S$8))*(1+$R$9),"")</f>
        <v>9.0782629560126</v>
      </c>
      <c r="L4" s="89" t="n">
        <f aca="false">IF($K4&lt;&gt;"",($K4+$L3),"")</f>
        <v>22.2651807548814</v>
      </c>
      <c r="M4" s="90" t="n">
        <f aca="false">IF($H4&lt;&gt;"",$I4+($A$33-$A4)*$J4)</f>
        <v>1143.70133333333</v>
      </c>
      <c r="N4" s="90" t="n">
        <f aca="false">IF($M4&lt;&gt;"",IF($M4&gt;1000,(($M4*$S$7))*(1+$R$9)-100,($M4*$S$7)+($A4*$R$9)*(1+$R$9)),"")</f>
        <v>130.053560265402</v>
      </c>
      <c r="O4" s="91" t="n">
        <f aca="false">IF(I4&gt;=1000,"",(1000-I4))</f>
        <v>892.778</v>
      </c>
      <c r="P4" s="92"/>
      <c r="Q4" s="22" t="s">
        <v>25</v>
      </c>
      <c r="R4" s="25"/>
      <c r="S4" s="26" t="n">
        <v>0.001667</v>
      </c>
      <c r="T4" s="93" t="n">
        <v>4</v>
      </c>
      <c r="U4" s="79"/>
      <c r="V4" s="80"/>
      <c r="W4" s="81"/>
      <c r="X4" s="81"/>
      <c r="Y4" s="81"/>
      <c r="Z4" s="82"/>
      <c r="AC4" s="78"/>
    </row>
    <row r="5" s="4" customFormat="true" ht="15" hidden="false" customHeight="true" outlineLevel="0" collapsed="false">
      <c r="A5" s="86" t="n">
        <v>4</v>
      </c>
      <c r="B5" s="86" t="s">
        <v>102</v>
      </c>
      <c r="C5" s="86" t="n">
        <v>28</v>
      </c>
      <c r="D5" s="51" t="n">
        <v>45004</v>
      </c>
      <c r="E5" s="51" t="n">
        <v>45005.3352199074</v>
      </c>
      <c r="F5" s="2" t="n">
        <v>83055.613</v>
      </c>
      <c r="G5" s="2" t="n">
        <v>83097.118</v>
      </c>
      <c r="H5" s="2" t="n">
        <v>41.502</v>
      </c>
      <c r="I5" s="87" t="n">
        <f aca="false">IF($H5&gt;0,($I4+$H5),"")</f>
        <v>148.724</v>
      </c>
      <c r="J5" s="87" t="n">
        <f aca="false">IF(KWH&gt;0,$I5/$A5,"")</f>
        <v>37.181</v>
      </c>
      <c r="K5" s="88" t="n">
        <f aca="false">IF($H5&lt;&gt;"",(($H5*$S$7)+($A5*$S$8))*(1+$R$9),"")</f>
        <v>8.8131623901174</v>
      </c>
      <c r="L5" s="89" t="n">
        <f aca="false">IF($K5&lt;&gt;"",($K5+$L4),"")</f>
        <v>31.0783431449988</v>
      </c>
      <c r="M5" s="90" t="n">
        <f aca="false">IF($H5&lt;&gt;"",$I5+($A$33-$A5)*$J5)</f>
        <v>1189.792</v>
      </c>
      <c r="N5" s="90" t="n">
        <f aca="false">IF($M5&lt;&gt;"",IF($M5&gt;1000,(($M5*$S$7))*(1+$R$9)-100,($M5*$S$7)+($A5*$R$9)*(1+$R$9)),"")</f>
        <v>139.32461875999</v>
      </c>
      <c r="O5" s="91" t="n">
        <f aca="false">IF(I5&gt;=1000,"",(1000-I5))</f>
        <v>851.276</v>
      </c>
      <c r="P5" s="66"/>
      <c r="Q5" s="22" t="s">
        <v>28</v>
      </c>
      <c r="R5" s="25"/>
      <c r="S5" s="26" t="n">
        <v>0.041543</v>
      </c>
      <c r="T5" s="93" t="n">
        <v>5</v>
      </c>
    </row>
    <row r="6" customFormat="false" ht="15" hidden="false" customHeight="true" outlineLevel="0" collapsed="false">
      <c r="A6" s="86" t="n">
        <v>5</v>
      </c>
      <c r="B6" s="86" t="s">
        <v>96</v>
      </c>
      <c r="C6" s="86" t="n">
        <v>27</v>
      </c>
      <c r="D6" s="51" t="n">
        <v>45005</v>
      </c>
      <c r="E6" s="51" t="n">
        <v>45006.3160069444</v>
      </c>
      <c r="F6" s="2" t="n">
        <v>83097.118</v>
      </c>
      <c r="G6" s="2" t="n">
        <v>83137.398</v>
      </c>
      <c r="H6" s="2" t="n">
        <v>40.282</v>
      </c>
      <c r="I6" s="87" t="n">
        <f aca="false">IF($H6&gt;0,($I5+$H6),"")</f>
        <v>189.006</v>
      </c>
      <c r="J6" s="87" t="n">
        <f aca="false">IF(KWH&gt;0,$I6/$A6,"")</f>
        <v>37.8012</v>
      </c>
      <c r="K6" s="88" t="n">
        <f aca="false">IF($H6&lt;&gt;"",(($H6*$S$7)+($A6*$S$8))*(1+$R$9),"")</f>
        <v>8.6840380640034</v>
      </c>
      <c r="L6" s="89" t="n">
        <f aca="false">IF($K6&lt;&gt;"",($K6+$L5),"")</f>
        <v>39.7623812090022</v>
      </c>
      <c r="M6" s="90" t="n">
        <f aca="false">IF($H6&lt;&gt;"",$I6+($A$33-$A6)*$J6)</f>
        <v>1209.6384</v>
      </c>
      <c r="N6" s="90" t="n">
        <f aca="false">IF($M6&lt;&gt;"",IF($M6&gt;1000,(($M6*$S$7))*(1+$R$9)-100,($M6*$S$7)+($A6*$R$9)*(1+$R$9)),"")</f>
        <v>143.316688057614</v>
      </c>
      <c r="O6" s="91" t="n">
        <f aca="false">IF(I6&gt;=1000,"",(1000-I6))</f>
        <v>810.994</v>
      </c>
      <c r="P6" s="92"/>
      <c r="Q6" s="22" t="s">
        <v>31</v>
      </c>
      <c r="R6" s="25"/>
      <c r="S6" s="26" t="n">
        <v>0.154</v>
      </c>
      <c r="T6" s="93" t="n">
        <v>6</v>
      </c>
    </row>
    <row r="7" customFormat="false" ht="15" hidden="false" customHeight="true" outlineLevel="0" collapsed="false">
      <c r="A7" s="86" t="n">
        <v>6</v>
      </c>
      <c r="B7" s="86" t="s">
        <v>97</v>
      </c>
      <c r="C7" s="86" t="n">
        <v>26</v>
      </c>
      <c r="D7" s="51" t="n">
        <v>45006</v>
      </c>
      <c r="E7" s="51" t="n">
        <v>45007.2580787037</v>
      </c>
      <c r="F7" s="2" t="n">
        <v>83137.398</v>
      </c>
      <c r="G7" s="2" t="n">
        <v>83165.966</v>
      </c>
      <c r="H7" s="2" t="n">
        <v>28.57</v>
      </c>
      <c r="I7" s="87" t="n">
        <f aca="false">IF($H7&gt;0,($I6+$H7),"")</f>
        <v>217.576</v>
      </c>
      <c r="J7" s="87" t="n">
        <f aca="false">IF(KWH&gt;0,$I7/$A7,"")</f>
        <v>36.2626666666667</v>
      </c>
      <c r="K7" s="88" t="n">
        <f aca="false">IF($H7&lt;&gt;"",(($H7*$S$7)+($A7*$S$8))*(1+$R$9),"")</f>
        <v>6.444465945309</v>
      </c>
      <c r="L7" s="89" t="n">
        <f aca="false">IF($K7&lt;&gt;"",($K7+$L6),"")</f>
        <v>46.2068471543112</v>
      </c>
      <c r="M7" s="90" t="n">
        <f aca="false">IF($H7&lt;&gt;"",$I7+($A$33-$A7)*$J7)</f>
        <v>1160.40533333333</v>
      </c>
      <c r="N7" s="90" t="n">
        <f aca="false">IF($M7&lt;&gt;"",IF($M7&gt;1000,(($M7*$S$7))*(1+$R$9)-100,($M7*$S$7)+($A7*$R$9)*(1+$R$9)),"")</f>
        <v>133.413541196326</v>
      </c>
      <c r="O7" s="91" t="n">
        <f aca="false">IF(I7&gt;=1000,"",(1000-I7))</f>
        <v>782.424</v>
      </c>
      <c r="P7" s="92"/>
      <c r="Q7" s="22" t="s">
        <v>34</v>
      </c>
      <c r="R7" s="25"/>
      <c r="S7" s="28" t="n">
        <f aca="false">SUM(S4:S6)</f>
        <v>0.19721</v>
      </c>
      <c r="T7" s="93" t="n">
        <v>7</v>
      </c>
    </row>
    <row r="8" customFormat="false" ht="15" hidden="false" customHeight="false" outlineLevel="0" collapsed="false">
      <c r="A8" s="86" t="n">
        <v>7</v>
      </c>
      <c r="B8" s="86" t="s">
        <v>98</v>
      </c>
      <c r="C8" s="86" t="n">
        <v>25</v>
      </c>
      <c r="D8" s="51" t="n">
        <v>45007</v>
      </c>
      <c r="E8" s="51" t="n">
        <v>45008.2582291667</v>
      </c>
      <c r="F8" s="2" t="n">
        <v>83165.966</v>
      </c>
      <c r="G8" s="2" t="n">
        <v>83197.02</v>
      </c>
      <c r="H8" s="2" t="n">
        <v>31.052</v>
      </c>
      <c r="I8" s="87" t="n">
        <f aca="false">IF($H8&gt;0,($I7+$H8),"")</f>
        <v>248.628</v>
      </c>
      <c r="J8" s="87" t="n">
        <f aca="false">IF(KWH&gt;0,$I8/$A8,"")</f>
        <v>35.5182857142857</v>
      </c>
      <c r="K8" s="88" t="n">
        <f aca="false">IF($H8&lt;&gt;"",(($H8*$S$7)+($A8*$S$8))*(1+$R$9),"")</f>
        <v>7.0599925654524</v>
      </c>
      <c r="L8" s="89" t="n">
        <f aca="false">IF($K8&lt;&gt;"",($K8+$L7),"")</f>
        <v>53.2668397197636</v>
      </c>
      <c r="M8" s="90" t="n">
        <f aca="false">IF($H8&lt;&gt;"",$I8+($A$33-$A8)*$J8)</f>
        <v>1136.58514285714</v>
      </c>
      <c r="N8" s="90" t="n">
        <f aca="false">IF($M8&lt;&gt;"",IF($M8&gt;1000,(($M8*$S$7))*(1+$R$9)-100,($M8*$S$7)+($A8*$R$9)*(1+$R$9)),"")</f>
        <v>128.622150764634</v>
      </c>
      <c r="O8" s="91" t="n">
        <f aca="false">IF(I8&gt;=1000,"",(1000-I8))</f>
        <v>751.372</v>
      </c>
      <c r="P8" s="92"/>
      <c r="Q8" s="22" t="s">
        <v>38</v>
      </c>
      <c r="R8" s="33" t="n">
        <v>3.42</v>
      </c>
      <c r="S8" s="94" t="n">
        <f aca="false">(R8/$A$31)</f>
        <v>0.114</v>
      </c>
      <c r="T8" s="93" t="n">
        <v>8</v>
      </c>
    </row>
    <row r="9" customFormat="false" ht="15" hidden="false" customHeight="false" outlineLevel="0" collapsed="false">
      <c r="A9" s="86" t="n">
        <v>8</v>
      </c>
      <c r="B9" s="86" t="s">
        <v>99</v>
      </c>
      <c r="C9" s="86" t="n">
        <v>24</v>
      </c>
      <c r="D9" s="51" t="n">
        <v>45008</v>
      </c>
      <c r="E9" s="51" t="n">
        <v>45009.2578703704</v>
      </c>
      <c r="F9" s="2" t="n">
        <v>83197.02</v>
      </c>
      <c r="G9" s="2" t="n">
        <v>83237.615</v>
      </c>
      <c r="H9" s="2" t="n">
        <v>40.591</v>
      </c>
      <c r="I9" s="87" t="n">
        <f aca="false">IF($H9&gt;0,($I8+$H9),"")</f>
        <v>289.219</v>
      </c>
      <c r="J9" s="87" t="n">
        <f aca="false">IF(KWH&gt;0,$I9/$A9,"")</f>
        <v>36.152375</v>
      </c>
      <c r="K9" s="88" t="n">
        <f aca="false">IF($H9&lt;&gt;"",(($H9*$S$7)+($A9*$S$8))*(1+$R$9),"")</f>
        <v>9.0950226236667</v>
      </c>
      <c r="L9" s="89" t="n">
        <f aca="false">IF($K9&lt;&gt;"",($K9+$L8),"")</f>
        <v>62.3618623434303</v>
      </c>
      <c r="M9" s="90" t="n">
        <f aca="false">IF($H9&lt;&gt;"",$I9+($A$33-$A9)*$J9)</f>
        <v>1156.876</v>
      </c>
      <c r="N9" s="90" t="n">
        <f aca="false">IF($M9&lt;&gt;"",IF($M9&gt;1000,(($M9*$S$7))*(1+$R$9)-100,($M9*$S$7)+($A9*$R$9)*(1+$R$9)),"")</f>
        <v>132.703621853721</v>
      </c>
      <c r="O9" s="91" t="n">
        <f aca="false">IF(I9&gt;=1000,"",(1000-I9))</f>
        <v>710.781</v>
      </c>
      <c r="P9" s="92"/>
      <c r="Q9" s="22" t="s">
        <v>42</v>
      </c>
      <c r="R9" s="30" t="n">
        <v>0.01997</v>
      </c>
      <c r="S9" s="32"/>
      <c r="T9" s="93" t="n">
        <v>9</v>
      </c>
    </row>
    <row r="10" customFormat="false" ht="15" hidden="false" customHeight="false" outlineLevel="0" collapsed="false">
      <c r="A10" s="86" t="n">
        <v>9</v>
      </c>
      <c r="B10" s="86" t="s">
        <v>100</v>
      </c>
      <c r="C10" s="86" t="n">
        <v>23</v>
      </c>
      <c r="D10" s="51" t="n">
        <v>45009</v>
      </c>
      <c r="E10" s="51" t="n">
        <v>45010.2566550926</v>
      </c>
      <c r="F10" s="2" t="n">
        <v>83237.615</v>
      </c>
      <c r="G10" s="2" t="n">
        <v>83287.348</v>
      </c>
      <c r="H10" s="2" t="n">
        <v>49.735</v>
      </c>
      <c r="I10" s="87" t="n">
        <f aca="false">IF($H10&gt;0,($I9+$H10),"")</f>
        <v>338.954</v>
      </c>
      <c r="J10" s="87" t="n">
        <f aca="false">IF(KWH&gt;0,$I10/$A10,"")</f>
        <v>37.6615555555556</v>
      </c>
      <c r="K10" s="88" t="n">
        <f aca="false">IF($H10&lt;&gt;"",(($H10*$S$7)+($A10*$S$8))*(1+$R$9),"")</f>
        <v>11.0505991098195</v>
      </c>
      <c r="L10" s="89" t="n">
        <f aca="false">IF($K10&lt;&gt;"",($K10+$L9),"")</f>
        <v>73.4124614532498</v>
      </c>
      <c r="M10" s="90" t="n">
        <f aca="false">IF($H10&lt;&gt;"",$I10+($A$33-$A10)*$J10)</f>
        <v>1205.16977777778</v>
      </c>
      <c r="N10" s="90" t="n">
        <f aca="false">IF($M10&lt;&gt;"",IF($M10&gt;1000,(($M10*$S$7))*(1+$R$9)-100,($M10*$S$7)+($A10*$R$9)*(1+$R$9)),"")</f>
        <v>142.41783236711</v>
      </c>
      <c r="O10" s="91" t="n">
        <f aca="false">IF(I10&gt;=1000,"",(1000-I10))</f>
        <v>661.046</v>
      </c>
      <c r="P10" s="92"/>
      <c r="Q10" s="22" t="s">
        <v>46</v>
      </c>
      <c r="R10" s="25"/>
      <c r="S10" s="95" t="n">
        <v>100</v>
      </c>
      <c r="T10" s="93" t="n">
        <v>10</v>
      </c>
    </row>
    <row r="11" customFormat="false" ht="15" hidden="false" customHeight="false" outlineLevel="0" collapsed="false">
      <c r="A11" s="86" t="n">
        <v>10</v>
      </c>
      <c r="B11" s="86" t="s">
        <v>101</v>
      </c>
      <c r="C11" s="86" t="n">
        <v>22</v>
      </c>
      <c r="D11" s="51" t="n">
        <v>45010</v>
      </c>
      <c r="E11" s="51" t="n">
        <v>45011.3472106482</v>
      </c>
      <c r="F11" s="2" t="n">
        <v>83287.348</v>
      </c>
      <c r="G11" s="2" t="n">
        <v>83314.967</v>
      </c>
      <c r="H11" s="2" t="n">
        <v>27.619</v>
      </c>
      <c r="I11" s="87" t="n">
        <f aca="false">IF($H11&gt;0,($I10+$H11),"")</f>
        <v>366.573</v>
      </c>
      <c r="J11" s="87" t="n">
        <f aca="false">IF(KWH&gt;0,$I11/$A11,"")</f>
        <v>36.6573</v>
      </c>
      <c r="K11" s="88" t="n">
        <f aca="false">IF($H11&lt;&gt;"",(($H11*$S$7)+($A11*$S$8))*(1+$R$9),"")</f>
        <v>6.7182802475103</v>
      </c>
      <c r="L11" s="89" t="n">
        <f aca="false">IF($K11&lt;&gt;"",($K11+$L10),"")</f>
        <v>80.1307417007601</v>
      </c>
      <c r="M11" s="90" t="n">
        <f aca="false">IF($H11&lt;&gt;"",$I11+($A$33-$A11)*$J11)</f>
        <v>1173.0336</v>
      </c>
      <c r="N11" s="90" t="n">
        <f aca="false">IF($M11&lt;&gt;"",IF($M11&gt;1000,(($M11*$S$7))*(1+$R$9)-100,($M11*$S$7)+($A11*$R$9)*(1+$R$9)),"")</f>
        <v>135.953695362432</v>
      </c>
      <c r="O11" s="91" t="n">
        <f aca="false">IF(I11&gt;=1000,"",(1000-I11))</f>
        <v>633.427</v>
      </c>
      <c r="P11" s="92"/>
      <c r="Q11" s="22" t="s">
        <v>103</v>
      </c>
      <c r="R11" s="96" t="str">
        <f aca="false">IF(COUNTIF(O1:O500, "&lt;0")=0, "NOT YET!", INDEX(A1:A500, MIN(IF(O1:O500&lt;0, ROW(O1:O500)))))</f>
        <v>NOT YET!</v>
      </c>
      <c r="S11" s="32"/>
      <c r="T11" s="93" t="n">
        <v>11</v>
      </c>
    </row>
    <row r="12" customFormat="false" ht="15" hidden="false" customHeight="false" outlineLevel="0" collapsed="false">
      <c r="A12" s="86" t="n">
        <v>11</v>
      </c>
      <c r="B12" s="86" t="s">
        <v>102</v>
      </c>
      <c r="C12" s="86" t="n">
        <v>21</v>
      </c>
      <c r="D12" s="51" t="n">
        <v>45011</v>
      </c>
      <c r="E12" s="51" t="n">
        <v>45012.2627314815</v>
      </c>
      <c r="F12" s="2" t="n">
        <v>83314.967</v>
      </c>
      <c r="G12" s="2" t="n">
        <v>83348.508</v>
      </c>
      <c r="H12" s="2" t="n">
        <v>33.539</v>
      </c>
      <c r="I12" s="87" t="n">
        <f aca="false">IF($H12&gt;0,($I11+$H12),"")</f>
        <v>400.112</v>
      </c>
      <c r="J12" s="87" t="n">
        <f aca="false">IF(KWH&gt;0,$I12/$A12,"")</f>
        <v>36.3738181818182</v>
      </c>
      <c r="K12" s="88" t="n">
        <f aca="false">IF($H12&lt;&gt;"",(($H12*$S$7)+($A12*$S$8))*(1+$R$9),"")</f>
        <v>8.0253546670143</v>
      </c>
      <c r="L12" s="89" t="n">
        <f aca="false">IF($K12&lt;&gt;"",($K12+$L11),"")</f>
        <v>88.1560963677744</v>
      </c>
      <c r="M12" s="90" t="n">
        <f aca="false">IF($H12&lt;&gt;"",$I12+($A$33-$A12)*$J12)</f>
        <v>1163.96218181818</v>
      </c>
      <c r="N12" s="90" t="n">
        <f aca="false">IF($M12&lt;&gt;"",IF($M12&gt;1000,(($M12*$S$7))*(1+$R$9)-100,($M12*$S$7)+($A12*$R$9)*(1+$R$9)),"")</f>
        <v>134.128995164435</v>
      </c>
      <c r="O12" s="91" t="n">
        <f aca="false">IF(I12&gt;=1000,"",(1000-I12))</f>
        <v>599.888</v>
      </c>
      <c r="P12" s="92"/>
      <c r="Q12" s="22" t="s">
        <v>49</v>
      </c>
      <c r="R12" s="33" t="n">
        <v>295</v>
      </c>
      <c r="S12" s="32"/>
      <c r="T12" s="93" t="n">
        <v>12</v>
      </c>
    </row>
    <row r="13" customFormat="false" ht="15" hidden="false" customHeight="false" outlineLevel="0" collapsed="false">
      <c r="A13" s="86" t="n">
        <v>12</v>
      </c>
      <c r="B13" s="86" t="s">
        <v>96</v>
      </c>
      <c r="C13" s="86" t="n">
        <v>20</v>
      </c>
      <c r="D13" s="51" t="n">
        <v>45012</v>
      </c>
      <c r="E13" s="51" t="n">
        <v>45013.3084722222</v>
      </c>
      <c r="F13" s="2" t="n">
        <v>83348.508</v>
      </c>
      <c r="G13" s="2" t="n">
        <v>83381.306</v>
      </c>
      <c r="H13" s="2" t="n">
        <v>32.8</v>
      </c>
      <c r="I13" s="87" t="n">
        <f aca="false">IF($H13&gt;0,($I12+$H13),"")</f>
        <v>432.912</v>
      </c>
      <c r="J13" s="87" t="n">
        <f aca="false">IF(KWH&gt;0,$I13/$A13,"")</f>
        <v>36.076</v>
      </c>
      <c r="K13" s="88" t="n">
        <f aca="false">IF($H13&lt;&gt;"",(($H13*$S$7)+($A13*$S$8))*(1+$R$9),"")</f>
        <v>7.99298266536</v>
      </c>
      <c r="L13" s="89" t="n">
        <f aca="false">IF($K13&lt;&gt;"",($K13+$L12),"")</f>
        <v>96.1490790331344</v>
      </c>
      <c r="M13" s="90" t="n">
        <f aca="false">IF($H13&lt;&gt;"",$I13+($A$33-$A13)*$J13)</f>
        <v>1154.432</v>
      </c>
      <c r="N13" s="90" t="n">
        <f aca="false">IF($M13&lt;&gt;"",IF($M13&gt;1000,(($M13*$S$7))*(1+$R$9)-100,($M13*$S$7)+($A13*$R$9)*(1+$R$9)),"")</f>
        <v>132.212015448358</v>
      </c>
      <c r="O13" s="91" t="n">
        <f aca="false">IF(I13&gt;=1000,"",(1000-I13))</f>
        <v>567.088</v>
      </c>
      <c r="P13" s="92"/>
      <c r="Q13" s="22" t="s">
        <v>52</v>
      </c>
      <c r="R13" s="97" t="n">
        <f aca="false">INDEX(L2:L32,COUNT(L2:L32))</f>
        <v>260.310165827664</v>
      </c>
      <c r="S13" s="32"/>
      <c r="T13" s="98"/>
    </row>
    <row r="14" customFormat="false" ht="15" hidden="false" customHeight="false" outlineLevel="0" collapsed="false">
      <c r="A14" s="86" t="n">
        <v>13</v>
      </c>
      <c r="B14" s="86" t="s">
        <v>97</v>
      </c>
      <c r="C14" s="86" t="n">
        <v>19</v>
      </c>
      <c r="D14" s="51" t="n">
        <v>45013</v>
      </c>
      <c r="E14" s="51" t="n">
        <v>45014.3079398148</v>
      </c>
      <c r="F14" s="2" t="n">
        <v>83381.306</v>
      </c>
      <c r="G14" s="2" t="n">
        <v>83404.175</v>
      </c>
      <c r="H14" s="2" t="n">
        <v>22.871</v>
      </c>
      <c r="I14" s="87" t="n">
        <f aca="false">IF($H14&gt;0,($I13+$H14),"")</f>
        <v>455.783</v>
      </c>
      <c r="J14" s="87" t="n">
        <f aca="false">IF(KWH&gt;0,$I14/$A14,"")</f>
        <v>35.0602307692308</v>
      </c>
      <c r="K14" s="88" t="n">
        <f aca="false">IF($H14&lt;&gt;"",(($H14*$S$7)+($A14*$S$8))*(1+$R$9),"")</f>
        <v>6.1120579365027</v>
      </c>
      <c r="L14" s="89" t="n">
        <f aca="false">IF($K14&lt;&gt;"",($K14+$L13),"")</f>
        <v>102.261136969637</v>
      </c>
      <c r="M14" s="90" t="n">
        <f aca="false">IF($H14&lt;&gt;"",$I14+($A$33-$A14)*$J14)</f>
        <v>1121.92738461538</v>
      </c>
      <c r="N14" s="90" t="n">
        <f aca="false">IF($M14&lt;&gt;"",IF($M14&gt;1000,(($M14*$S$7))*(1+$R$9)-100,($M14*$S$7)+($A14*$R$9)*(1+$R$9)),"")</f>
        <v>125.673767851414</v>
      </c>
      <c r="O14" s="91" t="n">
        <f aca="false">IF(I14&gt;=1000,"",(1000-I14))</f>
        <v>544.217</v>
      </c>
      <c r="P14" s="92"/>
      <c r="Q14" s="22" t="s">
        <v>55</v>
      </c>
      <c r="R14" s="99" t="n">
        <f aca="false">INDEX(I2:I32,COUNT(I2:I32))</f>
        <v>1007.401</v>
      </c>
      <c r="S14" s="32"/>
      <c r="T14" s="98"/>
    </row>
    <row r="15" customFormat="false" ht="15" hidden="false" customHeight="false" outlineLevel="0" collapsed="false">
      <c r="A15" s="86" t="n">
        <v>14</v>
      </c>
      <c r="B15" s="86" t="s">
        <v>98</v>
      </c>
      <c r="C15" s="86" t="n">
        <v>18</v>
      </c>
      <c r="D15" s="51" t="n">
        <v>45014</v>
      </c>
      <c r="E15" s="51" t="n">
        <v>45015.3063310185</v>
      </c>
      <c r="F15" s="2" t="n">
        <v>83404.175</v>
      </c>
      <c r="G15" s="2" t="n">
        <v>83429.747</v>
      </c>
      <c r="H15" s="2" t="n">
        <v>25.572</v>
      </c>
      <c r="I15" s="87" t="n">
        <f aca="false">IF($H15&gt;0,($I14+$H15),"")</f>
        <v>481.355</v>
      </c>
      <c r="J15" s="87" t="n">
        <f aca="false">IF(KWH&gt;0,$I15/$A15,"")</f>
        <v>34.3825</v>
      </c>
      <c r="K15" s="88" t="n">
        <f aca="false">IF($H15&lt;&gt;"",(($H15*$S$7)+($A15*$S$8))*(1+$R$9),"")</f>
        <v>6.7716360307764</v>
      </c>
      <c r="L15" s="89" t="n">
        <f aca="false">IF($K15&lt;&gt;"",($K15+$L14),"")</f>
        <v>109.032773000413</v>
      </c>
      <c r="M15" s="90" t="n">
        <f aca="false">IF($H15&lt;&gt;"",$I15+($A$33-$A15)*$J15)</f>
        <v>1100.24</v>
      </c>
      <c r="N15" s="90" t="n">
        <f aca="false">IF($M15&lt;&gt;"",IF($M15&gt;1000,(($M15*$S$7))*(1+$R$9)-100,($M15*$S$7)+($A15*$R$9)*(1+$R$9)),"")</f>
        <v>121.311387658088</v>
      </c>
      <c r="O15" s="91" t="n">
        <f aca="false">IF(I15&gt;=1000,"",(1000-I15))</f>
        <v>518.645</v>
      </c>
      <c r="P15" s="92"/>
      <c r="Q15" s="40" t="s">
        <v>58</v>
      </c>
      <c r="R15" s="100" t="n">
        <f aca="false">INDEX(J2:J32,COUNT(J2:J32))</f>
        <v>32.4968064516129</v>
      </c>
      <c r="S15" s="101"/>
    </row>
    <row r="16" customFormat="false" ht="15" hidden="false" customHeight="false" outlineLevel="0" collapsed="false">
      <c r="A16" s="86" t="n">
        <v>15</v>
      </c>
      <c r="B16" s="86" t="s">
        <v>99</v>
      </c>
      <c r="C16" s="86" t="n">
        <v>17</v>
      </c>
      <c r="D16" s="51" t="n">
        <v>45015</v>
      </c>
      <c r="E16" s="51" t="n">
        <v>45016.2572685185</v>
      </c>
      <c r="F16" s="2" t="n">
        <v>83429.747</v>
      </c>
      <c r="G16" s="2" t="n">
        <v>83458.032</v>
      </c>
      <c r="H16" s="2" t="n">
        <v>28.283</v>
      </c>
      <c r="I16" s="87" t="n">
        <f aca="false">IF($H16&gt;0,($I15+$H16),"")</f>
        <v>509.638</v>
      </c>
      <c r="J16" s="87" t="n">
        <f aca="false">IF(KWH&gt;0,$I16/$A16,"")</f>
        <v>33.9758666666667</v>
      </c>
      <c r="K16" s="88" t="n">
        <f aca="false">IF($H16&lt;&gt;"",(($H16*$S$7)+($A16*$S$8))*(1+$R$9),"")</f>
        <v>7.4332256078871</v>
      </c>
      <c r="L16" s="89" t="n">
        <f aca="false">IF($K16&lt;&gt;"",($K16+$L15),"")</f>
        <v>116.465998608301</v>
      </c>
      <c r="M16" s="90" t="n">
        <f aca="false">IF($H16&lt;&gt;"",$I16+($A$33-$A16)*$J16)</f>
        <v>1087.22773333333</v>
      </c>
      <c r="N16" s="90" t="n">
        <f aca="false">IF($M16&lt;&gt;"",IF($M16&gt;1000,(($M16*$S$7))*(1+$R$9)-100,($M16*$S$7)+($A16*$R$9)*(1+$R$9)),"")</f>
        <v>118.693992551041</v>
      </c>
      <c r="O16" s="91" t="n">
        <f aca="false">IF(I16&gt;=1000,"",(1000-I16))</f>
        <v>490.362</v>
      </c>
      <c r="P16" s="92"/>
      <c r="Q16" s="102"/>
      <c r="R16" s="102"/>
      <c r="S16" s="102"/>
      <c r="T16" s="102"/>
    </row>
    <row r="17" customFormat="false" ht="15" hidden="false" customHeight="false" outlineLevel="0" collapsed="false">
      <c r="A17" s="86" t="n">
        <v>16</v>
      </c>
      <c r="B17" s="86" t="s">
        <v>100</v>
      </c>
      <c r="C17" s="86" t="n">
        <v>16</v>
      </c>
      <c r="D17" s="51" t="n">
        <v>45016</v>
      </c>
      <c r="E17" s="51" t="n">
        <v>45017.2558796296</v>
      </c>
      <c r="F17" s="2" t="n">
        <v>83458.032</v>
      </c>
      <c r="G17" s="2" t="n">
        <v>83496.588</v>
      </c>
      <c r="H17" s="2" t="n">
        <v>38.555</v>
      </c>
      <c r="I17" s="87" t="n">
        <f aca="false">IF($H17&gt;0,($I16+$H17),"")</f>
        <v>548.193</v>
      </c>
      <c r="J17" s="87" t="n">
        <f aca="false">IF(KWH&gt;0,$I17/$A17,"")</f>
        <v>34.2620625</v>
      </c>
      <c r="K17" s="88" t="n">
        <f aca="false">IF($H17&lt;&gt;"",(($H17*$S$7)+($A17*$S$8))*(1+$R$9),"")</f>
        <v>9.6156973580535</v>
      </c>
      <c r="L17" s="89" t="n">
        <f aca="false">IF($K17&lt;&gt;"",($K17+$L16),"")</f>
        <v>126.081695966354</v>
      </c>
      <c r="M17" s="90" t="n">
        <f aca="false">IF($H17&lt;&gt;"",$I17+($A$33-$A17)*$J17)</f>
        <v>1096.386</v>
      </c>
      <c r="N17" s="90" t="n">
        <f aca="false">IF($M17&lt;&gt;"",IF($M17&gt;1000,(($M17*$S$7))*(1+$R$9)-100,($M17*$S$7)+($A17*$R$9)*(1+$R$9)),"")</f>
        <v>120.536162172708</v>
      </c>
      <c r="O17" s="91" t="n">
        <f aca="false">IF(I17&gt;=1000,"",(1000-I17))</f>
        <v>451.807</v>
      </c>
      <c r="P17" s="92"/>
      <c r="Q17" s="102"/>
      <c r="R17" s="102"/>
      <c r="S17" s="102"/>
      <c r="T17" s="102"/>
    </row>
    <row r="18" customFormat="false" ht="15" hidden="false" customHeight="false" outlineLevel="0" collapsed="false">
      <c r="A18" s="86" t="n">
        <v>17</v>
      </c>
      <c r="B18" s="86" t="s">
        <v>101</v>
      </c>
      <c r="C18" s="86" t="n">
        <v>15</v>
      </c>
      <c r="D18" s="51" t="n">
        <v>45017</v>
      </c>
      <c r="E18" s="51" t="n">
        <v>45018.2755324074</v>
      </c>
      <c r="F18" s="2" t="n">
        <v>83496.588</v>
      </c>
      <c r="G18" s="2" t="n">
        <v>83521.346</v>
      </c>
      <c r="H18" s="2" t="n">
        <v>24.76</v>
      </c>
      <c r="I18" s="87" t="n">
        <f aca="false">IF($H18&gt;0,($I17+$H18),"")</f>
        <v>572.953</v>
      </c>
      <c r="J18" s="87" t="n">
        <f aca="false">IF(KWH&gt;0,$I18/$A18,"")</f>
        <v>33.7031176470588</v>
      </c>
      <c r="K18" s="88" t="n">
        <f aca="false">IF($H18&lt;&gt;"",(($H18*$S$7)+($A18*$S$8))*(1+$R$9),"")</f>
        <v>6.957133364412</v>
      </c>
      <c r="L18" s="89" t="n">
        <f aca="false">IF($K18&lt;&gt;"",($K18+$L17),"")</f>
        <v>133.038829330766</v>
      </c>
      <c r="M18" s="90" t="n">
        <f aca="false">IF($H18&lt;&gt;"",$I18+($A$33-$A18)*$J18)</f>
        <v>1078.49976470588</v>
      </c>
      <c r="N18" s="90" t="n">
        <f aca="false">IF($M18&lt;&gt;"",IF($M18&gt;1000,(($M18*$S$7))*(1+$R$9)-100,($M18*$S$7)+($A18*$R$9)*(1+$R$9)),"")</f>
        <v>116.938376641442</v>
      </c>
      <c r="O18" s="91" t="n">
        <f aca="false">IF(I18&gt;=1000,"",(1000-I18))</f>
        <v>427.047</v>
      </c>
      <c r="P18" s="92"/>
      <c r="Q18" s="29" t="s">
        <v>105</v>
      </c>
      <c r="R18" s="102"/>
      <c r="S18" s="103" t="n">
        <f aca="false">(1000-I19)/J19+A19</f>
        <v>30.0934401316086</v>
      </c>
      <c r="T18" s="102"/>
    </row>
    <row r="19" customFormat="false" ht="15" hidden="false" customHeight="false" outlineLevel="0" collapsed="false">
      <c r="A19" s="86" t="n">
        <v>18</v>
      </c>
      <c r="B19" s="86" t="s">
        <v>102</v>
      </c>
      <c r="C19" s="86" t="n">
        <v>14</v>
      </c>
      <c r="D19" s="51" t="n">
        <v>45018</v>
      </c>
      <c r="E19" s="51" t="n">
        <v>45019.2556597222</v>
      </c>
      <c r="F19" s="2" t="n">
        <v>83521.346</v>
      </c>
      <c r="G19" s="2" t="n">
        <v>83546.528</v>
      </c>
      <c r="H19" s="2" t="n">
        <v>25.184</v>
      </c>
      <c r="I19" s="87" t="n">
        <f aca="false">IF($H19&gt;0,($I18+$H19),"")</f>
        <v>598.137</v>
      </c>
      <c r="J19" s="87" t="n">
        <f aca="false">IF(KWH&gt;0,$I19/$A19,"")</f>
        <v>33.2298333333333</v>
      </c>
      <c r="K19" s="88" t="n">
        <f aca="false">IF($H19&lt;&gt;"",(($H19*$S$7)+($A19*$S$8))*(1+$R$9),"")</f>
        <v>7.1586968167008</v>
      </c>
      <c r="L19" s="89" t="n">
        <f aca="false">IF($K19&lt;&gt;"",($K19+$L18),"")</f>
        <v>140.197526147467</v>
      </c>
      <c r="M19" s="90" t="n">
        <f aca="false">IF($H19&lt;&gt;"",$I19+($A$33-$A19)*$J19)</f>
        <v>1063.35466666667</v>
      </c>
      <c r="N19" s="90" t="n">
        <f aca="false">IF($M19&lt;&gt;"",IF($M19&gt;1000,(($M19*$S$7))*(1+$R$9)-100,($M19*$S$7)+($A19*$R$9)*(1+$R$9)),"")</f>
        <v>113.891966164386</v>
      </c>
      <c r="O19" s="91" t="n">
        <f aca="false">IF(I19&gt;=1000,"",(1000-I19))</f>
        <v>401.863</v>
      </c>
      <c r="P19" s="92"/>
      <c r="Q19" s="102"/>
      <c r="R19" s="102"/>
      <c r="S19" s="102"/>
      <c r="T19" s="102"/>
    </row>
    <row r="20" customFormat="false" ht="15" hidden="false" customHeight="false" outlineLevel="0" collapsed="false">
      <c r="A20" s="86" t="n">
        <v>19</v>
      </c>
      <c r="B20" s="86" t="s">
        <v>96</v>
      </c>
      <c r="C20" s="86" t="n">
        <v>13</v>
      </c>
      <c r="D20" s="51" t="n">
        <v>45019</v>
      </c>
      <c r="E20" s="51" t="n">
        <v>45020.3039814815</v>
      </c>
      <c r="F20" s="2" t="n">
        <v>83546.528</v>
      </c>
      <c r="G20" s="2" t="n">
        <v>83590.075</v>
      </c>
      <c r="H20" s="2" t="n">
        <v>43.547</v>
      </c>
      <c r="I20" s="87" t="n">
        <f aca="false">IF($H20&gt;0,($I19+$H20),"")</f>
        <v>641.684</v>
      </c>
      <c r="J20" s="87" t="n">
        <f aca="false">IF(KWH&gt;0,$I20/$A20,"")</f>
        <v>33.7728421052632</v>
      </c>
      <c r="K20" s="88" t="n">
        <f aca="false">IF($H20&lt;&gt;"",(($H20*$S$7)+($A20*$S$8))*(1+$R$9),"")</f>
        <v>10.9686593302839</v>
      </c>
      <c r="L20" s="89" t="n">
        <f aca="false">IF($K20&lt;&gt;"",($K20+$L19),"")</f>
        <v>151.166185477751</v>
      </c>
      <c r="M20" s="90" t="n">
        <f aca="false">IF($H20&lt;&gt;"",$I20+($A$33-$A20)*$J20)</f>
        <v>1080.73094736842</v>
      </c>
      <c r="N20" s="90" t="n">
        <f aca="false">IF($M20&lt;&gt;"",IF($M20&gt;1000,(($M20*$S$7))*(1+$R$9)-100,($M20*$S$7)+($A20*$R$9)*(1+$R$9)),"")</f>
        <v>117.387175204633</v>
      </c>
      <c r="O20" s="91" t="n">
        <f aca="false">IF(I20&gt;=1000,"",(1000-I20))</f>
        <v>358.316</v>
      </c>
      <c r="P20" s="92"/>
      <c r="Q20" s="102"/>
      <c r="R20" s="102"/>
      <c r="S20" s="102"/>
      <c r="T20" s="102"/>
    </row>
    <row r="21" customFormat="false" ht="15" hidden="false" customHeight="false" outlineLevel="0" collapsed="false">
      <c r="A21" s="86" t="n">
        <v>20</v>
      </c>
      <c r="B21" s="86" t="s">
        <v>97</v>
      </c>
      <c r="C21" s="86" t="n">
        <v>12</v>
      </c>
      <c r="D21" s="51" t="n">
        <v>45020</v>
      </c>
      <c r="E21" s="51" t="n">
        <v>45021.3066782407</v>
      </c>
      <c r="F21" s="2" t="n">
        <v>83590.075</v>
      </c>
      <c r="G21" s="2" t="n">
        <v>83625.672</v>
      </c>
      <c r="H21" s="2" t="n">
        <v>35.599</v>
      </c>
      <c r="I21" s="87" t="n">
        <f aca="false">IF($H21&gt;0,($I20+$H21),"")</f>
        <v>677.283</v>
      </c>
      <c r="J21" s="87" t="n">
        <f aca="false">IF(KWH&gt;0,$I21/$A21,"")</f>
        <v>33.86415</v>
      </c>
      <c r="K21" s="88" t="n">
        <f aca="false">IF($H21&lt;&gt;"",(($H21*$S$7)+($A21*$S$8))*(1+$R$9),"")</f>
        <v>9.4862093514363</v>
      </c>
      <c r="L21" s="89" t="n">
        <f aca="false">IF($K21&lt;&gt;"",($K21+$L20),"")</f>
        <v>160.652394829187</v>
      </c>
      <c r="M21" s="90" t="n">
        <f aca="false">IF($H21&lt;&gt;"",$I21+($A$33-$A21)*$J21)</f>
        <v>1083.6528</v>
      </c>
      <c r="N21" s="90" t="n">
        <f aca="false">IF($M21&lt;&gt;"",IF($M21&gt;1000,(($M21*$S$7))*(1+$R$9)-100,($M21*$S$7)+($A21*$R$9)*(1+$R$9)),"")</f>
        <v>117.974900846699</v>
      </c>
      <c r="O21" s="91" t="n">
        <f aca="false">IF(I21&gt;=1000,"",(1000-I21))</f>
        <v>322.717</v>
      </c>
      <c r="P21" s="92"/>
      <c r="Q21" s="102" t="s">
        <v>106</v>
      </c>
      <c r="R21" s="102"/>
      <c r="S21" s="102"/>
      <c r="T21" s="102"/>
    </row>
    <row r="22" customFormat="false" ht="15" hidden="false" customHeight="false" outlineLevel="0" collapsed="false">
      <c r="A22" s="86" t="n">
        <v>21</v>
      </c>
      <c r="B22" s="86" t="s">
        <v>98</v>
      </c>
      <c r="C22" s="86" t="n">
        <v>11</v>
      </c>
      <c r="D22" s="51" t="n">
        <v>45021</v>
      </c>
      <c r="E22" s="51" t="n">
        <v>45022.2565509259</v>
      </c>
      <c r="F22" s="2" t="n">
        <v>83625.672</v>
      </c>
      <c r="G22" s="2" t="n">
        <v>83654.308</v>
      </c>
      <c r="H22" s="2" t="n">
        <v>28.636</v>
      </c>
      <c r="I22" s="87" t="n">
        <f aca="false">IF($H22&gt;0,($I21+$H22),"")</f>
        <v>705.919</v>
      </c>
      <c r="J22" s="87" t="n">
        <f aca="false">IF(KWH&gt;0,$I22/$A22,"")</f>
        <v>33.6151904761905</v>
      </c>
      <c r="K22" s="88" t="n">
        <f aca="false">IF($H22&lt;&gt;"",(($H22*$S$7)+($A22*$S$8))*(1+$R$9),"")</f>
        <v>8.2018904320332</v>
      </c>
      <c r="L22" s="89" t="n">
        <f aca="false">IF($K22&lt;&gt;"",($K22+$L21),"")</f>
        <v>168.85428526122</v>
      </c>
      <c r="M22" s="90" t="n">
        <f aca="false">IF($H22&lt;&gt;"",$I22+($A$33-$A22)*$J22)</f>
        <v>1075.6860952381</v>
      </c>
      <c r="N22" s="90" t="n">
        <f aca="false">IF($M22&lt;&gt;"",IF($M22&gt;1000,(($M22*$S$7))*(1+$R$9)-100,($M22*$S$7)+($A22*$R$9)*(1+$R$9)),"")</f>
        <v>116.372411857098</v>
      </c>
      <c r="O22" s="91" t="n">
        <f aca="false">IF(I22&gt;=1000,"",(1000-I22))</f>
        <v>294.081</v>
      </c>
      <c r="P22" s="92"/>
      <c r="Q22" s="102"/>
      <c r="R22" s="102"/>
      <c r="S22" s="102"/>
      <c r="T22" s="102"/>
    </row>
    <row r="23" customFormat="false" ht="15" hidden="false" customHeight="false" outlineLevel="0" collapsed="false">
      <c r="A23" s="86" t="n">
        <v>22</v>
      </c>
      <c r="B23" s="86" t="s">
        <v>99</v>
      </c>
      <c r="C23" s="86" t="n">
        <v>10</v>
      </c>
      <c r="D23" s="51" t="n">
        <v>45022</v>
      </c>
      <c r="E23" s="51" t="n">
        <v>45023.2557175926</v>
      </c>
      <c r="F23" s="2" t="n">
        <v>83654.308</v>
      </c>
      <c r="G23" s="2" t="n">
        <v>83678.201</v>
      </c>
      <c r="H23" s="2" t="n">
        <v>23.891</v>
      </c>
      <c r="I23" s="87" t="n">
        <f aca="false">IF($H23&gt;0,($I22+$H23),"")</f>
        <v>729.81</v>
      </c>
      <c r="J23" s="87" t="n">
        <f aca="false">IF(KWH&gt;0,$I23/$A23,"")</f>
        <v>33.1731818181818</v>
      </c>
      <c r="K23" s="88" t="n">
        <f aca="false">IF($H23&lt;&gt;"",(($H23*$S$7)+($A23*$S$8))*(1+$R$9),"")</f>
        <v>7.3637184058767</v>
      </c>
      <c r="L23" s="89" t="n">
        <f aca="false">IF($K23&lt;&gt;"",($K23+$L22),"")</f>
        <v>176.218003667097</v>
      </c>
      <c r="M23" s="90" t="n">
        <f aca="false">IF($H23&lt;&gt;"",$I23+($A$33-$A23)*$J23)</f>
        <v>1061.54181818182</v>
      </c>
      <c r="N23" s="90" t="n">
        <f aca="false">IF($M23&lt;&gt;"",IF($M23&gt;1000,(($M23*$S$7))*(1+$R$9)-100,($M23*$S$7)+($A23*$R$9)*(1+$R$9)),"")</f>
        <v>113.52731480305</v>
      </c>
      <c r="O23" s="91" t="n">
        <f aca="false">IF(I23&gt;=1000,"",(1000-I23))</f>
        <v>270.19</v>
      </c>
      <c r="P23" s="92"/>
      <c r="Q23" s="102"/>
      <c r="R23" s="102"/>
      <c r="S23" s="102"/>
      <c r="T23" s="102"/>
    </row>
    <row r="24" customFormat="false" ht="15" hidden="false" customHeight="false" outlineLevel="0" collapsed="false">
      <c r="A24" s="86" t="n">
        <v>23</v>
      </c>
      <c r="B24" s="86" t="s">
        <v>100</v>
      </c>
      <c r="C24" s="86" t="n">
        <v>9</v>
      </c>
      <c r="D24" s="51" t="n">
        <v>45023</v>
      </c>
      <c r="E24" s="51" t="n">
        <v>45024.2563078704</v>
      </c>
      <c r="F24" s="2" t="n">
        <v>83678.201</v>
      </c>
      <c r="G24" s="2" t="n">
        <v>83704.152</v>
      </c>
      <c r="H24" s="2" t="n">
        <v>25.951</v>
      </c>
      <c r="I24" s="87" t="n">
        <f aca="false">IF($H24&gt;0,($I23+$H24),"")</f>
        <v>755.761</v>
      </c>
      <c r="J24" s="87" t="n">
        <f aca="false">IF(KWH&gt;0,$I24/$A24,"")</f>
        <v>32.8591739130435</v>
      </c>
      <c r="K24" s="88" t="n">
        <f aca="false">IF($H24&lt;&gt;"",(($H24*$S$7)+($A24*$S$8))*(1+$R$9),"")</f>
        <v>7.8943604502987</v>
      </c>
      <c r="L24" s="89" t="n">
        <f aca="false">IF($K24&lt;&gt;"",($K24+$L23),"")</f>
        <v>184.112364117396</v>
      </c>
      <c r="M24" s="90" t="n">
        <f aca="false">IF($H24&lt;&gt;"",$I24+($A$33-$A24)*$J24)</f>
        <v>1051.49356521739</v>
      </c>
      <c r="N24" s="90" t="n">
        <f aca="false">IF($M24&lt;&gt;"",IF($M24&gt;1000,(($M24*$S$7))*(1+$R$9)-100,($M24*$S$7)+($A24*$R$9)*(1+$R$9)),"")</f>
        <v>111.506125965072</v>
      </c>
      <c r="O24" s="91" t="n">
        <f aca="false">IF(I24&gt;=1000,"",(1000-I24))</f>
        <v>244.239</v>
      </c>
      <c r="P24" s="92"/>
      <c r="Q24" s="102" t="s">
        <v>107</v>
      </c>
      <c r="R24" s="102"/>
      <c r="S24" s="102"/>
      <c r="T24" s="102"/>
    </row>
    <row r="25" customFormat="false" ht="15" hidden="false" customHeight="false" outlineLevel="0" collapsed="false">
      <c r="A25" s="86" t="n">
        <v>24</v>
      </c>
      <c r="B25" s="86" t="s">
        <v>101</v>
      </c>
      <c r="C25" s="86" t="n">
        <v>8</v>
      </c>
      <c r="D25" s="51" t="n">
        <v>45024</v>
      </c>
      <c r="E25" s="51" t="n">
        <v>45025.2779976852</v>
      </c>
      <c r="F25" s="2" t="n">
        <v>83704.152</v>
      </c>
      <c r="G25" s="2" t="n">
        <v>83731.603</v>
      </c>
      <c r="H25" s="2" t="n">
        <v>27.453</v>
      </c>
      <c r="I25" s="87" t="n">
        <f aca="false">IF($H25&gt;0,($I24+$H25),"")</f>
        <v>783.214</v>
      </c>
      <c r="J25" s="87" t="n">
        <f aca="false">IF(KWH&gt;0,$I25/$A25,"")</f>
        <v>32.6339166666667</v>
      </c>
      <c r="K25" s="88" t="n">
        <f aca="false">IF($H25&lt;&gt;"",(($H25*$S$7)+($A25*$S$8))*(1+$R$9),"")</f>
        <v>8.3127617524161</v>
      </c>
      <c r="L25" s="89" t="n">
        <f aca="false">IF($K25&lt;&gt;"",($K25+$L24),"")</f>
        <v>192.425125869812</v>
      </c>
      <c r="M25" s="90" t="n">
        <f aca="false">IF($H25&lt;&gt;"",$I25+($A$33-$A25)*$J25)</f>
        <v>1044.28533333333</v>
      </c>
      <c r="N25" s="90" t="n">
        <f aca="false">IF($M25&lt;&gt;"",IF($M25&gt;1000,(($M25*$S$7))*(1+$R$9)-100,($M25*$S$7)+($A25*$R$9)*(1+$R$9)),"")</f>
        <v>110.056202493082</v>
      </c>
      <c r="O25" s="91" t="n">
        <f aca="false">IF(I25&gt;=1000,"",(1000-I25))</f>
        <v>216.786</v>
      </c>
      <c r="P25" s="92"/>
      <c r="Q25" s="104"/>
      <c r="R25" s="105"/>
      <c r="S25" s="102"/>
      <c r="T25" s="102"/>
    </row>
    <row r="26" customFormat="false" ht="15" hidden="false" customHeight="false" outlineLevel="0" collapsed="false">
      <c r="A26" s="86" t="n">
        <v>25</v>
      </c>
      <c r="B26" s="86" t="s">
        <v>102</v>
      </c>
      <c r="C26" s="86" t="n">
        <v>7</v>
      </c>
      <c r="D26" s="51" t="n">
        <v>45025</v>
      </c>
      <c r="E26" s="51" t="n">
        <v>45026.2560300926</v>
      </c>
      <c r="F26" s="2" t="n">
        <v>83731.603</v>
      </c>
      <c r="G26" s="2" t="n">
        <v>83757.802</v>
      </c>
      <c r="H26" s="2" t="n">
        <v>26.203</v>
      </c>
      <c r="I26" s="87" t="n">
        <f aca="false">IF($H26&gt;0,($I25+$H26),"")</f>
        <v>809.417</v>
      </c>
      <c r="J26" s="87" t="n">
        <f aca="false">IF(KWH&gt;0,$I26/$A26,"")</f>
        <v>32.37668</v>
      </c>
      <c r="K26" s="88" t="n">
        <f aca="false">IF($H26&lt;&gt;"",(($H26*$S$7)+($A26*$S$8))*(1+$R$9),"")</f>
        <v>8.1776029777911</v>
      </c>
      <c r="L26" s="89" t="n">
        <f aca="false">IF($K26&lt;&gt;"",($K26+$L25),"")</f>
        <v>200.602728847603</v>
      </c>
      <c r="M26" s="90" t="n">
        <f aca="false">IF($H26&lt;&gt;"",$I26+($A$33-$A26)*$J26)</f>
        <v>1036.05376</v>
      </c>
      <c r="N26" s="90" t="n">
        <f aca="false">IF($M26&lt;&gt;"",IF($M26&gt;1000,(($M26*$S$7))*(1+$R$9)-100,($M26*$S$7)+($A26*$R$9)*(1+$R$9)),"")</f>
        <v>108.400435644932</v>
      </c>
      <c r="O26" s="91" t="n">
        <f aca="false">IF(I26&gt;=1000,"",(1000-I26))</f>
        <v>190.583</v>
      </c>
      <c r="P26" s="92"/>
      <c r="Q26" s="106"/>
      <c r="R26" s="105"/>
      <c r="S26" s="102"/>
      <c r="T26" s="102"/>
    </row>
    <row r="27" customFormat="false" ht="15" hidden="false" customHeight="false" outlineLevel="0" collapsed="false">
      <c r="A27" s="86" t="n">
        <v>26</v>
      </c>
      <c r="B27" s="86" t="s">
        <v>96</v>
      </c>
      <c r="C27" s="86" t="n">
        <v>6</v>
      </c>
      <c r="D27" s="51" t="n">
        <v>45026</v>
      </c>
      <c r="E27" s="51" t="n">
        <v>45027.256412037</v>
      </c>
      <c r="F27" s="2" t="n">
        <v>83757.802</v>
      </c>
      <c r="G27" s="2" t="n">
        <v>83786.353</v>
      </c>
      <c r="H27" s="2" t="n">
        <v>28.553</v>
      </c>
      <c r="I27" s="87" t="n">
        <f aca="false">IF($H27&gt;0,($I26+$H27),"")</f>
        <v>837.97</v>
      </c>
      <c r="J27" s="87" t="n">
        <f aca="false">IF(KWH&gt;0,$I27/$A27,"")</f>
        <v>32.2296153846154</v>
      </c>
      <c r="K27" s="88" t="n">
        <f aca="false">IF($H27&lt;&gt;"",(($H27*$S$7)+($A27*$S$8))*(1+$R$9),"")</f>
        <v>8.7665780244861</v>
      </c>
      <c r="L27" s="89" t="n">
        <f aca="false">IF($K27&lt;&gt;"",($K27+$L26),"")</f>
        <v>209.369306872089</v>
      </c>
      <c r="M27" s="90" t="n">
        <f aca="false">IF($H27&lt;&gt;"",$I27+($A$33-$A27)*$J27)</f>
        <v>1031.34769230769</v>
      </c>
      <c r="N27" s="90" t="n">
        <f aca="false">IF($M27&lt;&gt;"",IF($M27&gt;1000,(($M27*$S$7))*(1+$R$9)-100,($M27*$S$7)+($A27*$R$9)*(1+$R$9)),"")</f>
        <v>107.453818205648</v>
      </c>
      <c r="O27" s="91" t="n">
        <f aca="false">IF(I27&gt;=1000,"",(1000-I27))</f>
        <v>162.03</v>
      </c>
      <c r="P27" s="92"/>
      <c r="Q27" s="106"/>
      <c r="R27" s="105"/>
      <c r="S27" s="102"/>
      <c r="T27" s="102"/>
    </row>
    <row r="28" customFormat="false" ht="15" hidden="false" customHeight="false" outlineLevel="0" collapsed="false">
      <c r="A28" s="86" t="n">
        <v>27</v>
      </c>
      <c r="B28" s="86" t="s">
        <v>97</v>
      </c>
      <c r="C28" s="86" t="n">
        <v>5</v>
      </c>
      <c r="D28" s="51" t="n">
        <v>45027</v>
      </c>
      <c r="E28" s="51" t="n">
        <v>45028.2566782407</v>
      </c>
      <c r="F28" s="2" t="n">
        <v>83786.353</v>
      </c>
      <c r="G28" s="2" t="n">
        <v>83816.782</v>
      </c>
      <c r="H28" s="2" t="n">
        <v>30.43</v>
      </c>
      <c r="I28" s="87" t="n">
        <f aca="false">IF($H28&gt;0,($I27+$H28),"")</f>
        <v>868.4</v>
      </c>
      <c r="J28" s="87" t="n">
        <f aca="false">IF(KWH&gt;0,$I28/$A28,"")</f>
        <v>32.162962962963</v>
      </c>
      <c r="K28" s="88" t="n">
        <f aca="false">IF($H28&lt;&gt;"",(($H28*$S$7)+($A28*$S$8))*(1+$R$9),"")</f>
        <v>9.260409932991</v>
      </c>
      <c r="L28" s="89" t="n">
        <f aca="false">IF($K28&lt;&gt;"",($K28+$L27),"")</f>
        <v>218.62971680508</v>
      </c>
      <c r="M28" s="90" t="n">
        <f aca="false">IF($H28&lt;&gt;"",$I28+($A$33-$A28)*$J28)</f>
        <v>1029.21481481481</v>
      </c>
      <c r="N28" s="90" t="n">
        <f aca="false">IF($M28&lt;&gt;"",IF($M28&gt;1000,(($M28*$S$7))*(1+$R$9)-100,($M28*$S$7)+($A28*$R$9)*(1+$R$9)),"")</f>
        <v>107.024793558613</v>
      </c>
      <c r="O28" s="91" t="n">
        <f aca="false">IF(I28&gt;=1000,"",(1000-I28))</f>
        <v>131.6</v>
      </c>
      <c r="P28" s="92"/>
      <c r="Q28" s="106"/>
      <c r="R28" s="105"/>
      <c r="S28" s="102"/>
      <c r="T28" s="102"/>
    </row>
    <row r="29" customFormat="false" ht="15" hidden="false" customHeight="false" outlineLevel="0" collapsed="false">
      <c r="A29" s="86" t="n">
        <v>28</v>
      </c>
      <c r="B29" s="86" t="s">
        <v>98</v>
      </c>
      <c r="C29" s="86" t="n">
        <v>4</v>
      </c>
      <c r="D29" s="51" t="n">
        <v>45028</v>
      </c>
      <c r="E29" s="51" t="n">
        <v>45029.2563310185</v>
      </c>
      <c r="F29" s="2" t="n">
        <v>83816.782</v>
      </c>
      <c r="G29" s="2" t="n">
        <v>83848.858</v>
      </c>
      <c r="H29" s="2" t="n">
        <v>32.078</v>
      </c>
      <c r="I29" s="87" t="n">
        <f aca="false">IF($H29&gt;0,($I28+$H29),"")</f>
        <v>900.478</v>
      </c>
      <c r="J29" s="87" t="n">
        <f aca="false">IF(KWH&gt;0,$I29/$A29,"")</f>
        <v>32.1599285714286</v>
      </c>
      <c r="K29" s="88" t="n">
        <f aca="false">IF($H29&lt;&gt;"",(($H29*$S$7)+($A29*$S$8))*(1+$R$9),"")</f>
        <v>9.7081788845286</v>
      </c>
      <c r="L29" s="89" t="n">
        <f aca="false">IF($K29&lt;&gt;"",($K29+$L28),"")</f>
        <v>228.337895689609</v>
      </c>
      <c r="M29" s="90" t="n">
        <f aca="false">IF($H29&lt;&gt;"",$I29+($A$33-$A29)*$J29)</f>
        <v>1029.11771428571</v>
      </c>
      <c r="N29" s="90" t="n">
        <f aca="false">IF($M29&lt;&gt;"",IF($M29&gt;1000,(($M29*$S$7))*(1+$R$9)-100,($M29*$S$7)+($A29*$R$9)*(1+$R$9)),"")</f>
        <v>107.005261953838</v>
      </c>
      <c r="O29" s="91" t="n">
        <f aca="false">IF(I29&gt;=1000,"",(1000-I29))</f>
        <v>99.5220000000002</v>
      </c>
      <c r="P29" s="92"/>
      <c r="Q29" s="29" t="s">
        <v>108</v>
      </c>
      <c r="R29" s="105"/>
      <c r="S29" s="102"/>
      <c r="T29" s="102"/>
    </row>
    <row r="30" customFormat="false" ht="15" hidden="false" customHeight="false" outlineLevel="0" collapsed="false">
      <c r="A30" s="86" t="n">
        <v>29</v>
      </c>
      <c r="B30" s="86" t="s">
        <v>99</v>
      </c>
      <c r="C30" s="86" t="n">
        <v>3</v>
      </c>
      <c r="D30" s="51" t="n">
        <v>45029</v>
      </c>
      <c r="E30" s="51" t="n">
        <v>45030.2566666667</v>
      </c>
      <c r="F30" s="2" t="n">
        <v>83848.858</v>
      </c>
      <c r="G30" s="2" t="n">
        <v>83882.129</v>
      </c>
      <c r="H30" s="2" t="n">
        <v>33.27</v>
      </c>
      <c r="I30" s="87" t="n">
        <f aca="false">IF($H30&gt;0,($I29+$H30),"")</f>
        <v>933.748</v>
      </c>
      <c r="J30" s="87" t="n">
        <f aca="false">IF(KWH&gt;0,$I30/$A30,"")</f>
        <v>32.1982068965517</v>
      </c>
      <c r="K30" s="88" t="n">
        <f aca="false">IF($H30&lt;&gt;"",(($H30*$S$7)+($A30*$S$8))*(1+$R$9),"")</f>
        <v>10.064224218699</v>
      </c>
      <c r="L30" s="89" t="n">
        <f aca="false">IF($K30&lt;&gt;"",($K30+$L29),"")</f>
        <v>238.402119908308</v>
      </c>
      <c r="M30" s="90" t="n">
        <f aca="false">IF($H30&lt;&gt;"",$I30+($A$33-$A30)*$J30)</f>
        <v>1030.34262068966</v>
      </c>
      <c r="N30" s="90" t="n">
        <f aca="false">IF($M30&lt;&gt;"",IF($M30&gt;1000,(($M30*$S$7))*(1+$R$9)-100,($M30*$S$7)+($A30*$R$9)*(1+$R$9)),"")</f>
        <v>107.251649774684</v>
      </c>
      <c r="O30" s="91" t="n">
        <f aca="false">IF(I30&gt;=1000,"",(1000-I30))</f>
        <v>66.2520000000002</v>
      </c>
      <c r="P30" s="92"/>
      <c r="R30" s="102"/>
      <c r="S30" s="102"/>
      <c r="T30" s="102"/>
    </row>
    <row r="31" customFormat="false" ht="15" hidden="false" customHeight="false" outlineLevel="0" collapsed="false">
      <c r="A31" s="86" t="n">
        <v>30</v>
      </c>
      <c r="B31" s="86" t="s">
        <v>100</v>
      </c>
      <c r="C31" s="86" t="n">
        <v>2</v>
      </c>
      <c r="D31" s="51" t="n">
        <v>45030</v>
      </c>
      <c r="E31" s="51" t="n">
        <v>45031.2555439815</v>
      </c>
      <c r="F31" s="2" t="n">
        <v>83882.129</v>
      </c>
      <c r="G31" s="2" t="n">
        <v>83915.212</v>
      </c>
      <c r="H31" s="2" t="n">
        <v>33.086</v>
      </c>
      <c r="I31" s="87" t="n">
        <f aca="false">IF($H31&gt;0,($I30+$H31),"")</f>
        <v>966.834</v>
      </c>
      <c r="J31" s="87" t="n">
        <f aca="false">IF(KWH&gt;0,$I31/$A31,"")</f>
        <v>32.2278</v>
      </c>
      <c r="K31" s="88" t="n">
        <f aca="false">IF($H31&lt;&gt;"",(($H31*$S$7)+($A31*$S$8))*(1+$R$9),"")</f>
        <v>10.1434895144982</v>
      </c>
      <c r="L31" s="89" t="n">
        <f aca="false">IF($K31&lt;&gt;"",($K31+$L30),"")</f>
        <v>248.545609422806</v>
      </c>
      <c r="M31" s="90" t="n">
        <f aca="false">IF($H31&lt;&gt;"",$I31+($A$33-$A31)*$J31)</f>
        <v>1031.2896</v>
      </c>
      <c r="N31" s="90" t="n">
        <f aca="false">IF($M31&lt;&gt;"",IF($M31&gt;1000,(($M31*$S$7))*(1+$R$9)-100,($M31*$S$7)+($A31*$R$9)*(1+$R$9)),"")</f>
        <v>107.442133037659</v>
      </c>
      <c r="O31" s="91" t="n">
        <f aca="false">IF(I31&gt;=1000,"",(1000-I31))</f>
        <v>33.1660000000002</v>
      </c>
      <c r="P31" s="92"/>
      <c r="Q31" s="29" t="s">
        <v>109</v>
      </c>
      <c r="R31" s="102"/>
      <c r="S31" s="102"/>
      <c r="T31" s="102"/>
    </row>
    <row r="32" customFormat="false" ht="15" hidden="false" customHeight="false" outlineLevel="0" collapsed="false">
      <c r="A32" s="86" t="n">
        <v>31</v>
      </c>
      <c r="B32" s="86" t="s">
        <v>101</v>
      </c>
      <c r="C32" s="86" t="n">
        <v>1</v>
      </c>
      <c r="D32" s="51" t="n">
        <v>45031</v>
      </c>
      <c r="E32" s="51" t="n">
        <v>45032.2772800926</v>
      </c>
      <c r="F32" s="2" t="n">
        <v>83915.212</v>
      </c>
      <c r="G32" s="2" t="n">
        <v>83955.774</v>
      </c>
      <c r="H32" s="2" t="n">
        <v>40.567</v>
      </c>
      <c r="I32" s="87" t="n">
        <f aca="false">IF($H32&gt;0,($I31+$H32),"")</f>
        <v>1007.401</v>
      </c>
      <c r="J32" s="87" t="n">
        <f aca="false">IF(KWH&gt;0,$I32/$A32,"")</f>
        <v>32.4968064516129</v>
      </c>
      <c r="K32" s="88" t="n">
        <f aca="false">IF($H32&lt;&gt;"",(($H32*$S$7)+($A32*$S$8))*(1+$R$9),"")</f>
        <v>11.7645564048579</v>
      </c>
      <c r="L32" s="89" t="n">
        <f aca="false">IF($K32&lt;&gt;"",($K32+$L31),"")</f>
        <v>260.310165827664</v>
      </c>
      <c r="M32" s="90" t="n">
        <f aca="false">IF($H32&lt;&gt;"",$I32+($A$33-$A32)*$J32)</f>
        <v>1039.89780645161</v>
      </c>
      <c r="N32" s="90" t="n">
        <f aca="false">IF($M32&lt;&gt;"",IF($M32&gt;1000,(($M32*$S$7))*(1+$R$9)-100,($M32*$S$7)+($A32*$R$9)*(1+$R$9)),"")</f>
        <v>109.173658991137</v>
      </c>
      <c r="O32" s="91" t="str">
        <f aca="false">IF(I32&gt;=1000,"",(1000-I32))</f>
        <v/>
      </c>
      <c r="P32" s="92"/>
      <c r="R32" s="102"/>
      <c r="S32" s="102"/>
      <c r="T32" s="102"/>
    </row>
    <row r="33" customFormat="false" ht="15" hidden="false" customHeight="false" outlineLevel="0" collapsed="false">
      <c r="A33" s="86" t="n">
        <v>32</v>
      </c>
      <c r="B33" s="86" t="s">
        <v>102</v>
      </c>
      <c r="C33" s="86" t="n">
        <v>0</v>
      </c>
      <c r="D33" s="50" t="n">
        <v>45033</v>
      </c>
      <c r="E33" s="50" t="n">
        <v>45034</v>
      </c>
      <c r="F33" s="2" t="n">
        <v>83955.774</v>
      </c>
      <c r="G33" s="2" t="n">
        <v>83995.045</v>
      </c>
      <c r="H33" s="2" t="n">
        <v>39.273</v>
      </c>
      <c r="I33" s="87" t="n">
        <f aca="false">IF($H33&gt;0,($I32+$H33),"")</f>
        <v>1046.674</v>
      </c>
      <c r="J33" s="87" t="n">
        <f aca="false">IF(KWH&gt;0,$I33/$A33,"")</f>
        <v>32.7085625</v>
      </c>
      <c r="K33" s="88" t="n">
        <f aca="false">IF($H33&lt;&gt;"",(($H33*$S$7)+($A33*$S$8))*(1+$R$9),"")</f>
        <v>11.6205471057501</v>
      </c>
      <c r="L33" s="89" t="n">
        <f aca="false">IF($K33&lt;&gt;"",($K33+$L32),"")</f>
        <v>271.930712933414</v>
      </c>
      <c r="M33" s="90" t="n">
        <f aca="false">IF($H33&lt;&gt;"",$I33+($A$33-$A33)*$J33)</f>
        <v>1046.674</v>
      </c>
      <c r="N33" s="90" t="n">
        <f aca="false">IF($M33&lt;&gt;"",IF($M33&gt;1000,(($M33*$S$7))*(1+$R$9)-100,($M33*$S$7)+($A33*$R$9)*(1+$R$9)),"")</f>
        <v>110.536678693414</v>
      </c>
      <c r="O33" s="91" t="str">
        <f aca="false">IF(I33&gt;=1000,"",(1000-I33))</f>
        <v/>
      </c>
      <c r="P33" s="92"/>
      <c r="Q33" s="29" t="s">
        <v>110</v>
      </c>
      <c r="R33" s="102"/>
      <c r="S33" s="102"/>
      <c r="T33" s="102"/>
    </row>
    <row r="34" customFormat="false" ht="15.75" hidden="false" customHeight="true" outlineLevel="0" collapsed="false">
      <c r="A34" s="45"/>
      <c r="B34" s="45"/>
      <c r="C34" s="45"/>
      <c r="F34" s="66"/>
      <c r="G34" s="66"/>
      <c r="H34" s="66"/>
      <c r="I34" s="45"/>
      <c r="J34" s="45"/>
      <c r="K34" s="27"/>
      <c r="L34" s="66"/>
      <c r="M34" s="66"/>
      <c r="N34" s="45"/>
      <c r="O34" s="66"/>
      <c r="P34" s="66"/>
      <c r="R34" s="102"/>
      <c r="S34" s="102"/>
      <c r="T34" s="102"/>
    </row>
    <row r="35" customFormat="false" ht="15" hidden="false" customHeight="false" outlineLevel="0" collapsed="false">
      <c r="H35" s="111" t="n">
        <f aca="false">SUM(H2:H33)</f>
        <v>1046.674</v>
      </c>
      <c r="I35" s="81"/>
      <c r="K35" s="47"/>
      <c r="L35" s="2"/>
      <c r="M35" s="2"/>
      <c r="N35" s="2" t="n">
        <v>105.6</v>
      </c>
      <c r="Q35" s="29" t="s">
        <v>111</v>
      </c>
    </row>
    <row r="36" customFormat="false" ht="15" hidden="false" customHeight="false" outlineLevel="0" collapsed="false">
      <c r="L36" s="2"/>
      <c r="M36" s="2"/>
      <c r="N36" s="2" t="n">
        <f aca="false">(N33-N35)</f>
        <v>4.93667869341377</v>
      </c>
    </row>
    <row r="37" customFormat="false" ht="15" hidden="false" customHeight="false" outlineLevel="0" collapsed="false">
      <c r="F37" s="112"/>
      <c r="K37" s="34"/>
      <c r="L37" s="48"/>
    </row>
    <row r="38" customFormat="false" ht="15" hidden="false" customHeight="false" outlineLevel="0" collapsed="false">
      <c r="F38" s="112"/>
    </row>
    <row r="39" customFormat="false" ht="15" hidden="false" customHeight="false" outlineLevel="0" collapsed="false">
      <c r="F39" s="112"/>
    </row>
    <row r="40" customFormat="false" ht="15" hidden="false" customHeight="false" outlineLevel="0" collapsed="false">
      <c r="F40" s="112"/>
    </row>
    <row r="41" customFormat="false" ht="15" hidden="false" customHeight="false" outlineLevel="0" collapsed="false">
      <c r="F41" s="113"/>
    </row>
  </sheetData>
  <conditionalFormatting sqref="Q2:Q15">
    <cfRule type="expression" priority="2" aboveAverage="0" equalAverage="0" bottom="0" percent="0" rank="0" text="" dxfId="28">
      <formula>" =CELL(“Protect”,A1)=1"</formula>
    </cfRule>
    <cfRule type="expression" priority="3" aboveAverage="0" equalAverage="0" bottom="0" percent="0" rank="0" text="" dxfId="1">
      <formula>" =CELL(“Protect”,A1)=1"</formula>
    </cfRule>
  </conditionalFormatting>
  <conditionalFormatting sqref="A1:I1 K1:O1">
    <cfRule type="expression" priority="4" aboveAverage="0" equalAverage="0" bottom="0" percent="0" rank="0" text="" dxfId="29">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1" width="9.71"/>
    <col collapsed="false" customWidth="true" hidden="false" outlineLevel="0" max="8" min="6" style="2" width="8.71"/>
    <col collapsed="false" customWidth="true" hidden="false" outlineLevel="0" max="9" min="9" style="0" width="8.71"/>
    <col collapsed="false" customWidth="true" hidden="false" outlineLevel="0" max="13" min="11" style="0" width="9.71"/>
    <col collapsed="false" customWidth="true" hidden="false" outlineLevel="0" max="15" min="15" style="2" width="9.14"/>
    <col collapsed="false" customWidth="true" hidden="false" outlineLevel="0" max="17" min="17" style="0" width="28.71"/>
    <col collapsed="false" customWidth="true" hidden="false" outlineLevel="0" max="18" min="18" style="0" width="9.86"/>
    <col collapsed="false" customWidth="true" hidden="false" outlineLevel="0" max="19" min="19" style="0" width="10.71"/>
    <col collapsed="false" customWidth="true" hidden="false" outlineLevel="0" max="23" min="23" style="0" width="10.57"/>
    <col collapsed="false" customWidth="true" hidden="false" outlineLevel="0" max="25" min="25" style="47" width="10.29"/>
  </cols>
  <sheetData>
    <row r="1" customFormat="false" ht="49.5" hidden="false" customHeight="true" outlineLevel="0" collapsed="false">
      <c r="A1" s="5" t="s">
        <v>0</v>
      </c>
      <c r="B1" s="6" t="s">
        <v>1</v>
      </c>
      <c r="C1" s="6" t="s">
        <v>2</v>
      </c>
      <c r="D1" s="7" t="s">
        <v>3</v>
      </c>
      <c r="E1" s="7" t="s">
        <v>4</v>
      </c>
      <c r="F1" s="114" t="s">
        <v>5</v>
      </c>
      <c r="G1" s="114" t="s">
        <v>6</v>
      </c>
      <c r="H1" s="8" t="s">
        <v>7</v>
      </c>
      <c r="I1" s="6" t="s">
        <v>8</v>
      </c>
      <c r="J1" s="6" t="s">
        <v>9</v>
      </c>
      <c r="K1" s="6" t="s">
        <v>10</v>
      </c>
      <c r="L1" s="6" t="s">
        <v>11</v>
      </c>
      <c r="M1" s="6" t="s">
        <v>12</v>
      </c>
      <c r="N1" s="8" t="s">
        <v>13</v>
      </c>
      <c r="O1" s="9" t="s">
        <v>77</v>
      </c>
      <c r="S1" s="10"/>
      <c r="T1" s="71"/>
      <c r="U1" s="72"/>
      <c r="V1" s="72"/>
      <c r="W1" s="71"/>
      <c r="X1" s="71"/>
      <c r="Y1" s="71"/>
      <c r="Z1" s="73"/>
      <c r="AA1" s="71"/>
      <c r="AB1" s="71"/>
      <c r="AC1" s="71"/>
    </row>
    <row r="2" customFormat="false" ht="15" hidden="false" customHeight="true" outlineLevel="0" collapsed="false">
      <c r="A2" s="11" t="n">
        <v>1</v>
      </c>
      <c r="B2" s="11" t="str">
        <f aca="false">TEXT(D3,"ddd")</f>
        <v>Thu</v>
      </c>
      <c r="C2" s="11" t="n">
        <f aca="false">$A$32-$A2</f>
        <v>30</v>
      </c>
      <c r="D2" s="1" t="n">
        <v>44972</v>
      </c>
      <c r="E2" s="1" t="n">
        <v>44973.2562962963</v>
      </c>
      <c r="F2" s="2" t="n">
        <v>81951.263</v>
      </c>
      <c r="G2" s="2" t="n">
        <v>81975.594</v>
      </c>
      <c r="H2" s="2" t="n">
        <v>24.329</v>
      </c>
      <c r="I2" s="13" t="n">
        <f aca="false">H2</f>
        <v>24.329</v>
      </c>
      <c r="J2" s="13" t="n">
        <f aca="false">(I2)</f>
        <v>24.329</v>
      </c>
      <c r="K2" s="15" t="n">
        <f aca="false">IF($H2&lt;&gt;"",(($H2*$S$7)+($A2*$S$8))*(1+$R$9),"")</f>
        <v>5.0100131741373</v>
      </c>
      <c r="L2" s="16" t="n">
        <f aca="false">(K2)</f>
        <v>5.0100131741373</v>
      </c>
      <c r="M2" s="17" t="n">
        <f aca="false">IF($J2&lt;&gt;"",$J2*($A$32-$A$2),"")</f>
        <v>729.87</v>
      </c>
      <c r="N2" s="17" t="n">
        <f aca="false">IF($M2&lt;&gt;"",IF($M2&gt;1000,(($M2*$S$7)+($A2*$S$8))*(1+$R$9)-100,($M2*$S$7)+($A2*$R$9)*(1+$R$9)),"")</f>
        <v>143.9580315009</v>
      </c>
      <c r="O2" s="18" t="n">
        <f aca="false">IF(I2&gt;=1000,"",(1000-I2))</f>
        <v>975.671</v>
      </c>
      <c r="P2" s="0" t="n">
        <v>2</v>
      </c>
      <c r="Q2" s="19" t="s">
        <v>18</v>
      </c>
      <c r="R2" s="20" t="s">
        <v>19</v>
      </c>
      <c r="S2" s="21"/>
      <c r="T2" s="93" t="n">
        <v>2</v>
      </c>
      <c r="U2" s="74"/>
      <c r="V2" s="74"/>
      <c r="Z2" s="115"/>
      <c r="AA2" s="47"/>
      <c r="AB2" s="2"/>
      <c r="AC2" s="115"/>
      <c r="AD2" s="115"/>
      <c r="AE2" s="2"/>
    </row>
    <row r="3" customFormat="false" ht="15" hidden="false" customHeight="true" outlineLevel="0" collapsed="false">
      <c r="A3" s="11" t="n">
        <v>2</v>
      </c>
      <c r="B3" s="11" t="str">
        <f aca="false">TEXT(D3,"ddd")</f>
        <v>Thu</v>
      </c>
      <c r="C3" s="11" t="n">
        <f aca="false">$A$32-$A3</f>
        <v>29</v>
      </c>
      <c r="D3" s="1" t="n">
        <v>44973</v>
      </c>
      <c r="E3" s="1" t="n">
        <v>44974.2568055556</v>
      </c>
      <c r="F3" s="2" t="n">
        <v>81975.594</v>
      </c>
      <c r="G3" s="2" t="n">
        <v>82003.229</v>
      </c>
      <c r="H3" s="2" t="n">
        <v>27.629</v>
      </c>
      <c r="I3" s="13" t="n">
        <f aca="false">IF($H3&gt;0,($I2+$H3),"")</f>
        <v>51.958</v>
      </c>
      <c r="J3" s="13" t="n">
        <f aca="false">IF(KWH&gt;0,$I3/$A3,"")</f>
        <v>25.979</v>
      </c>
      <c r="K3" s="15" t="n">
        <f aca="false">IF($H3&lt;&gt;"",(($H3*$S$7)+($A3*$S$8))*(1+$R$9),"")</f>
        <v>5.7900790903473</v>
      </c>
      <c r="L3" s="16" t="n">
        <f aca="false">IF($K3&lt;&gt;"",($K3+$L2),"")</f>
        <v>10.8000922644846</v>
      </c>
      <c r="M3" s="17" t="n">
        <f aca="false">IF($J3&lt;&gt;"",$J3*($A$32-$A$2),"")</f>
        <v>779.37</v>
      </c>
      <c r="N3" s="17" t="n">
        <f aca="false">IF($M3&lt;&gt;"",IF($M3&gt;1000,(($M3*$S$7)+($A3*$S$8))*(1+$R$9)-100,(($M3*$S$7)+($A3*$S$8))*(1+$R$9)),"")</f>
        <v>157.001491027269</v>
      </c>
      <c r="O3" s="18" t="n">
        <f aca="false">IF(I3&gt;=1000,"",(1000-I3))</f>
        <v>948.042</v>
      </c>
      <c r="P3" s="0" t="n">
        <v>3</v>
      </c>
      <c r="Q3" s="22" t="s">
        <v>22</v>
      </c>
      <c r="R3" s="23" t="n">
        <f aca="false">(F2+1000)</f>
        <v>82951.263</v>
      </c>
      <c r="S3" s="24" t="n">
        <v>0</v>
      </c>
      <c r="T3" s="93" t="n">
        <v>3</v>
      </c>
      <c r="Z3" s="115"/>
      <c r="AA3" s="47"/>
      <c r="AB3" s="2"/>
      <c r="AC3" s="115"/>
      <c r="AD3" s="115"/>
      <c r="AE3" s="2"/>
    </row>
    <row r="4" customFormat="false" ht="15" hidden="false" customHeight="true" outlineLevel="0" collapsed="false">
      <c r="A4" s="11" t="n">
        <v>3</v>
      </c>
      <c r="B4" s="11" t="str">
        <f aca="false">TEXT(D4,"ddd")</f>
        <v>Fri</v>
      </c>
      <c r="C4" s="11" t="n">
        <f aca="false">$A$32-$A4</f>
        <v>28</v>
      </c>
      <c r="D4" s="1" t="n">
        <v>44974</v>
      </c>
      <c r="E4" s="1" t="n">
        <v>44975.2564236111</v>
      </c>
      <c r="F4" s="2" t="n">
        <v>82003.229</v>
      </c>
      <c r="G4" s="2" t="n">
        <v>82059.578</v>
      </c>
      <c r="H4" s="2" t="n">
        <v>56.354</v>
      </c>
      <c r="I4" s="13" t="n">
        <f aca="false">IF($H4&gt;0,($I3+$H4),"")</f>
        <v>108.312</v>
      </c>
      <c r="J4" s="13" t="n">
        <f aca="false">IF(KWH&gt;0,$I4/$A4,"")</f>
        <v>36.104</v>
      </c>
      <c r="K4" s="15" t="n">
        <f aca="false">IF($H4&lt;&gt;"",(($H4*$S$7)+($A4*$S$8))*(1+$R$9),"")</f>
        <v>11.6843401196298</v>
      </c>
      <c r="L4" s="16" t="n">
        <f aca="false">IF($K4&lt;&gt;"",($K4+$L3),"")</f>
        <v>22.4844323841144</v>
      </c>
      <c r="M4" s="17" t="n">
        <f aca="false">IF($J4&lt;&gt;"",$J4*($A$32-$A$2),"")</f>
        <v>1083.12</v>
      </c>
      <c r="N4" s="17" t="n">
        <f aca="false">IF($M4&lt;&gt;"",IF($M4&gt;1000,(($M4*$S$7)+($A4*$S$8))*(1+$R$9)-100,(($M4*$S$7)+($A4*$S$8))*(1+$R$9)),"")</f>
        <v>118.216558781144</v>
      </c>
      <c r="O4" s="18" t="n">
        <f aca="false">IF(I4&gt;=1000,"",(1000-I4))</f>
        <v>891.688</v>
      </c>
      <c r="P4" s="0" t="n">
        <v>4</v>
      </c>
      <c r="Q4" s="22" t="s">
        <v>25</v>
      </c>
      <c r="R4" s="25"/>
      <c r="S4" s="26" t="n">
        <v>0.001667</v>
      </c>
      <c r="T4" s="93" t="n">
        <v>4</v>
      </c>
      <c r="U4" s="79"/>
      <c r="Z4" s="115"/>
      <c r="AA4" s="47"/>
      <c r="AB4" s="2"/>
      <c r="AC4" s="115"/>
      <c r="AD4" s="115"/>
      <c r="AE4" s="2"/>
    </row>
    <row r="5" s="45" customFormat="true" ht="15" hidden="false" customHeight="true" outlineLevel="0" collapsed="false">
      <c r="A5" s="11" t="n">
        <v>4</v>
      </c>
      <c r="B5" s="11" t="str">
        <f aca="false">TEXT(D5,"ddd")</f>
        <v>Sat</v>
      </c>
      <c r="C5" s="11" t="n">
        <f aca="false">$A$32-$A5</f>
        <v>27</v>
      </c>
      <c r="D5" s="1" t="n">
        <v>44975</v>
      </c>
      <c r="E5" s="1" t="n">
        <v>44976.2752662037</v>
      </c>
      <c r="F5" s="2" t="n">
        <v>82059.578</v>
      </c>
      <c r="G5" s="2" t="n">
        <v>82102.919</v>
      </c>
      <c r="H5" s="2" t="n">
        <v>43.341</v>
      </c>
      <c r="I5" s="13" t="n">
        <f aca="false">IF($H5&gt;0,($I4+$H5),"")</f>
        <v>151.653</v>
      </c>
      <c r="J5" s="13" t="n">
        <f aca="false">IF(KWH&gt;0,$I5/$A5,"")</f>
        <v>37.91325</v>
      </c>
      <c r="K5" s="15" t="n">
        <f aca="false">IF($H5&lt;&gt;"",(($H5*$S$7)+($A5*$S$8))*(1+$R$9),"")</f>
        <v>9.1830740838417</v>
      </c>
      <c r="L5" s="16" t="n">
        <f aca="false">IF($K5&lt;&gt;"",($K5+$L4),"")</f>
        <v>31.6675064679561</v>
      </c>
      <c r="M5" s="17" t="n">
        <f aca="false">IF($J5&lt;&gt;"",$J5*($A$32-$A$2),"")</f>
        <v>1137.3975</v>
      </c>
      <c r="N5" s="17" t="n">
        <f aca="false">IF($M5&lt;&gt;"",IF($M5&gt;1000,(($M5*$S$7)+($A5*$S$8))*(1+$R$9)-100,(($M5*$S$7)+($A5*$S$8))*(1+$R$9)),"")</f>
        <v>129.250661329671</v>
      </c>
      <c r="O5" s="18" t="n">
        <f aca="false">IF(I5&gt;=1000,"",(1000-I5))</f>
        <v>848.347</v>
      </c>
      <c r="P5" s="45" t="n">
        <v>5</v>
      </c>
      <c r="Q5" s="22" t="s">
        <v>28</v>
      </c>
      <c r="R5" s="25"/>
      <c r="S5" s="26" t="n">
        <v>0.041543</v>
      </c>
      <c r="T5" s="93" t="n">
        <v>5</v>
      </c>
      <c r="Z5" s="115"/>
      <c r="AA5" s="47"/>
      <c r="AB5" s="2"/>
      <c r="AC5" s="115"/>
      <c r="AD5" s="115"/>
      <c r="AE5" s="2"/>
    </row>
    <row r="6" customFormat="false" ht="15" hidden="false" customHeight="true" outlineLevel="0" collapsed="false">
      <c r="A6" s="11" t="n">
        <v>5</v>
      </c>
      <c r="B6" s="11" t="str">
        <f aca="false">TEXT(D6,"ddd")</f>
        <v>Sun</v>
      </c>
      <c r="C6" s="11" t="n">
        <f aca="false">$A$32-$A6</f>
        <v>26</v>
      </c>
      <c r="D6" s="1" t="n">
        <v>44976</v>
      </c>
      <c r="E6" s="1" t="n">
        <v>44977.3057060185</v>
      </c>
      <c r="F6" s="2" t="n">
        <v>82102.919</v>
      </c>
      <c r="G6" s="2" t="n">
        <v>82132.12</v>
      </c>
      <c r="H6" s="2" t="n">
        <v>29.202</v>
      </c>
      <c r="I6" s="13" t="n">
        <f aca="false">IF($H6&gt;0,($I5+$H6),"")</f>
        <v>180.855</v>
      </c>
      <c r="J6" s="13" t="n">
        <f aca="false">IF(KWH&gt;0,$I6/$A6,"")</f>
        <v>36.171</v>
      </c>
      <c r="K6" s="15" t="n">
        <f aca="false">IF($H6&lt;&gt;"",(($H6*$S$7)+($A6*$S$8))*(1+$R$9),"")</f>
        <v>6.4553150806074</v>
      </c>
      <c r="L6" s="16" t="n">
        <f aca="false">IF($K6&lt;&gt;"",($K6+$L5),"")</f>
        <v>38.1228215485635</v>
      </c>
      <c r="M6" s="17" t="n">
        <f aca="false">IF($J6&lt;&gt;"",$J6*($A$32-$A$2),"")</f>
        <v>1085.13</v>
      </c>
      <c r="N6" s="17" t="n">
        <f aca="false">IF($M6&lt;&gt;"",IF($M6&gt;1000,(($M6*$S$7)+($A6*$S$8))*(1+$R$9)-100,(($M6*$S$7)+($A6*$S$8))*(1+$R$9)),"")</f>
        <v>118.853419991381</v>
      </c>
      <c r="O6" s="18" t="n">
        <f aca="false">IF(I6&gt;=1000,"",(1000-I6))</f>
        <v>819.145</v>
      </c>
      <c r="P6" s="0" t="n">
        <v>6</v>
      </c>
      <c r="Q6" s="22" t="s">
        <v>31</v>
      </c>
      <c r="R6" s="25"/>
      <c r="S6" s="26" t="n">
        <v>0.154</v>
      </c>
      <c r="T6" s="93" t="n">
        <v>6</v>
      </c>
      <c r="Z6" s="115"/>
      <c r="AA6" s="47"/>
      <c r="AB6" s="2"/>
      <c r="AC6" s="115"/>
      <c r="AD6" s="115"/>
      <c r="AE6" s="2"/>
    </row>
    <row r="7" customFormat="false" ht="15" hidden="false" customHeight="true" outlineLevel="0" collapsed="false">
      <c r="A7" s="11" t="n">
        <v>6</v>
      </c>
      <c r="B7" s="11" t="str">
        <f aca="false">TEXT(D7,"ddd")</f>
        <v>Mon</v>
      </c>
      <c r="C7" s="11" t="n">
        <f aca="false">$A$32-$A7</f>
        <v>25</v>
      </c>
      <c r="D7" s="1" t="n">
        <v>44977</v>
      </c>
      <c r="E7" s="1" t="n">
        <v>44978.3075694444</v>
      </c>
      <c r="F7" s="2" t="n">
        <v>82132.12</v>
      </c>
      <c r="G7" s="2" t="n">
        <v>82160.567</v>
      </c>
      <c r="H7" s="2" t="n">
        <v>28.442</v>
      </c>
      <c r="I7" s="13" t="n">
        <f aca="false">IF($H7&gt;0,($I6+$H7),"")</f>
        <v>209.297</v>
      </c>
      <c r="J7" s="13" t="n">
        <f aca="false">IF(KWH&gt;0,$I7/$A7,"")</f>
        <v>34.8828333333333</v>
      </c>
      <c r="K7" s="15" t="n">
        <f aca="false">IF($H7&lt;&gt;"",(($H7*$S$7)+($A7*$S$8))*(1+$R$9),"")</f>
        <v>6.4187189649954</v>
      </c>
      <c r="L7" s="16" t="n">
        <f aca="false">IF($K7&lt;&gt;"",($K7+$L6),"")</f>
        <v>44.5415405135589</v>
      </c>
      <c r="M7" s="17" t="n">
        <f aca="false">IF($J7&lt;&gt;"",$J7*($A$32-$A$2),"")</f>
        <v>1046.485</v>
      </c>
      <c r="N7" s="17" t="n">
        <f aca="false">IF($M7&lt;&gt;"",IF($M7&gt;1000,(($M7*$S$7)+($A7*$S$8))*(1+$R$9)-100,(($M7*$S$7)+($A7*$S$8))*(1+$R$9)),"")</f>
        <v>111.196321147794</v>
      </c>
      <c r="O7" s="18" t="n">
        <f aca="false">IF(I7&gt;=1000,"",(1000-I7))</f>
        <v>790.703</v>
      </c>
      <c r="P7" s="0" t="n">
        <v>7</v>
      </c>
      <c r="Q7" s="22" t="s">
        <v>34</v>
      </c>
      <c r="R7" s="25"/>
      <c r="S7" s="28" t="n">
        <f aca="false">SUM(S4:S6)</f>
        <v>0.19721</v>
      </c>
      <c r="T7" s="93" t="n">
        <v>7</v>
      </c>
      <c r="Z7" s="115"/>
      <c r="AA7" s="47"/>
      <c r="AB7" s="2"/>
      <c r="AC7" s="115"/>
      <c r="AD7" s="115"/>
      <c r="AE7" s="2"/>
    </row>
    <row r="8" customFormat="false" ht="15.1" hidden="false" customHeight="false" outlineLevel="0" collapsed="false">
      <c r="A8" s="11" t="n">
        <v>7</v>
      </c>
      <c r="B8" s="11" t="str">
        <f aca="false">TEXT(D8,"ddd")</f>
        <v>Tue</v>
      </c>
      <c r="C8" s="11" t="n">
        <f aca="false">$A$32-$A8</f>
        <v>24</v>
      </c>
      <c r="D8" s="1" t="n">
        <v>44978</v>
      </c>
      <c r="E8" s="1" t="n">
        <v>44979.3039467593</v>
      </c>
      <c r="F8" s="2" t="n">
        <v>82160.567</v>
      </c>
      <c r="G8" s="2" t="n">
        <v>82193.371</v>
      </c>
      <c r="H8" s="2" t="n">
        <v>32.804</v>
      </c>
      <c r="I8" s="13" t="n">
        <f aca="false">IF($H8&gt;0,($I7+$H8),"")</f>
        <v>242.101</v>
      </c>
      <c r="J8" s="13" t="n">
        <f aca="false">IF(KWH&gt;0,$I8/$A8,"")</f>
        <v>34.5858571428571</v>
      </c>
      <c r="K8" s="15" t="n">
        <f aca="false">IF($H8&lt;&gt;"",(($H8*$S$7)+($A8*$S$8))*(1+$R$9),"")</f>
        <v>7.4124043584948</v>
      </c>
      <c r="L8" s="16" t="n">
        <f aca="false">IF($K8&lt;&gt;"",($K8+$L7),"")</f>
        <v>51.9539448720537</v>
      </c>
      <c r="M8" s="17" t="n">
        <f aca="false">IF($J8&lt;&gt;"",$J8*($A$32-$A$2),"")</f>
        <v>1037.57571428571</v>
      </c>
      <c r="N8" s="17" t="n">
        <f aca="false">IF($M8&lt;&gt;"",IF($M8&gt;1000,(($M8*$S$7)+($A8*$S$8))*(1+$R$9)-100,(($M8*$S$7)+($A8*$S$8))*(1+$R$9)),"")</f>
        <v>109.520510197373</v>
      </c>
      <c r="O8" s="18" t="n">
        <f aca="false">IF(I8&gt;=1000,"",(1000-I8))</f>
        <v>757.899</v>
      </c>
      <c r="P8" s="0" t="n">
        <v>8</v>
      </c>
      <c r="Q8" s="22" t="s">
        <v>38</v>
      </c>
      <c r="R8" s="33" t="n">
        <v>3.42</v>
      </c>
      <c r="S8" s="94" t="n">
        <f aca="false">(R8/$A$31)</f>
        <v>0.114</v>
      </c>
      <c r="T8" s="93" t="n">
        <v>8</v>
      </c>
      <c r="X8" s="116"/>
      <c r="Y8" s="47" t="s">
        <v>112</v>
      </c>
      <c r="Z8" s="115"/>
      <c r="AA8" s="47"/>
      <c r="AB8" s="2"/>
      <c r="AC8" s="115"/>
      <c r="AD8" s="115"/>
      <c r="AE8" s="2"/>
    </row>
    <row r="9" customFormat="false" ht="15" hidden="false" customHeight="false" outlineLevel="0" collapsed="false">
      <c r="A9" s="11" t="n">
        <v>8</v>
      </c>
      <c r="B9" s="11" t="str">
        <f aca="false">TEXT(D9,"ddd")</f>
        <v>Wed</v>
      </c>
      <c r="C9" s="11" t="n">
        <f aca="false">$A$32-$A9</f>
        <v>23</v>
      </c>
      <c r="D9" s="1" t="n">
        <v>44979</v>
      </c>
      <c r="E9" s="1" t="n">
        <v>44980.2572106481</v>
      </c>
      <c r="F9" s="2" t="n">
        <v>82193.371</v>
      </c>
      <c r="G9" s="2" t="n">
        <v>82223.122</v>
      </c>
      <c r="H9" s="2" t="n">
        <v>29.752</v>
      </c>
      <c r="I9" s="13" t="n">
        <f aca="false">IF($H9&gt;0,($I8+$H9),"")</f>
        <v>271.853</v>
      </c>
      <c r="J9" s="13" t="n">
        <f aca="false">IF(KWH&gt;0,$I9/$A9,"")</f>
        <v>33.981625</v>
      </c>
      <c r="K9" s="15" t="n">
        <f aca="false">IF($H9&lt;&gt;"",(($H9*$S$7)+($A9*$S$8))*(1+$R$9),"")</f>
        <v>6.9147763766424</v>
      </c>
      <c r="L9" s="16" t="n">
        <f aca="false">IF($K9&lt;&gt;"",($K9+$L8),"")</f>
        <v>58.8687212486961</v>
      </c>
      <c r="M9" s="17" t="n">
        <f aca="false">IF($J9&lt;&gt;"",$J9*($A$32-$A$2),"")</f>
        <v>1019.44875</v>
      </c>
      <c r="N9" s="17" t="n">
        <f aca="false">IF($M9&lt;&gt;"",IF($M9&gt;1000,(($M9*$S$7)+($A9*$S$8))*(1+$R$9)-100,(($M9*$S$7)+($A9*$S$8))*(1+$R$9)),"")</f>
        <v>105.99057902261</v>
      </c>
      <c r="O9" s="18" t="n">
        <f aca="false">IF(I9&gt;=1000,"",(1000-I9))</f>
        <v>728.147</v>
      </c>
      <c r="P9" s="0" t="n">
        <v>9</v>
      </c>
      <c r="Q9" s="22" t="s">
        <v>42</v>
      </c>
      <c r="R9" s="30" t="n">
        <v>0.01997</v>
      </c>
      <c r="S9" s="32"/>
      <c r="T9" s="93" t="n">
        <v>9</v>
      </c>
      <c r="Z9" s="115"/>
      <c r="AA9" s="47"/>
      <c r="AB9" s="2"/>
      <c r="AC9" s="115"/>
      <c r="AD9" s="115"/>
      <c r="AE9" s="2"/>
    </row>
    <row r="10" customFormat="false" ht="15" hidden="false" customHeight="false" outlineLevel="0" collapsed="false">
      <c r="A10" s="11" t="n">
        <v>9</v>
      </c>
      <c r="B10" s="11" t="str">
        <f aca="false">TEXT(D10,"ddd")</f>
        <v>Thu</v>
      </c>
      <c r="C10" s="11" t="n">
        <f aca="false">$A$32-$A10</f>
        <v>22</v>
      </c>
      <c r="D10" s="1" t="n">
        <v>44980</v>
      </c>
      <c r="E10" s="1" t="n">
        <v>44981.2566435185</v>
      </c>
      <c r="F10" s="2" t="n">
        <v>82223.122</v>
      </c>
      <c r="G10" s="2" t="n">
        <v>82245.638</v>
      </c>
      <c r="H10" s="2" t="n">
        <v>22.519</v>
      </c>
      <c r="I10" s="13" t="n">
        <f aca="false">IF($H10&gt;0,($I9+$H10),"")</f>
        <v>294.372</v>
      </c>
      <c r="J10" s="13" t="n">
        <f aca="false">IF(KWH&gt;0,$I10/$A10,"")</f>
        <v>32.708</v>
      </c>
      <c r="K10" s="15" t="n">
        <f aca="false">IF($H10&lt;&gt;"",(($H10*$S$7)+($A10*$S$8))*(1+$R$9),"")</f>
        <v>5.5761474206403</v>
      </c>
      <c r="L10" s="16" t="n">
        <f aca="false">IF($K10&lt;&gt;"",($K10+$L9),"")</f>
        <v>64.4448686693364</v>
      </c>
      <c r="M10" s="17" t="n">
        <f aca="false">IF($J10&lt;&gt;"",$J10*($A$32-$A$2),"")</f>
        <v>981.24</v>
      </c>
      <c r="N10" s="17" t="n">
        <f aca="false">IF($M10&lt;&gt;"",IF($M10&gt;1000,(($M10*$S$7)+($A10*$S$8))*(1+$R$9)-100,(($M10*$S$7)+($A10*$S$8))*(1+$R$9)),"")</f>
        <v>198.421231117788</v>
      </c>
      <c r="O10" s="18" t="n">
        <f aca="false">IF(I10&gt;=1000,"",(1000-I10))</f>
        <v>705.628</v>
      </c>
      <c r="P10" s="0" t="n">
        <v>10</v>
      </c>
      <c r="Q10" s="22" t="s">
        <v>46</v>
      </c>
      <c r="R10" s="25"/>
      <c r="S10" s="95" t="n">
        <v>100</v>
      </c>
      <c r="T10" s="93" t="n">
        <v>10</v>
      </c>
      <c r="Z10" s="115"/>
      <c r="AA10" s="47"/>
      <c r="AB10" s="2"/>
      <c r="AC10" s="115"/>
      <c r="AD10" s="115"/>
      <c r="AE10" s="2"/>
    </row>
    <row r="11" customFormat="false" ht="15" hidden="false" customHeight="false" outlineLevel="0" collapsed="false">
      <c r="A11" s="11" t="n">
        <v>10</v>
      </c>
      <c r="B11" s="11" t="str">
        <f aca="false">TEXT(D11,"ddd")</f>
        <v>Fri</v>
      </c>
      <c r="C11" s="11" t="n">
        <f aca="false">$A$32-$A11</f>
        <v>21</v>
      </c>
      <c r="D11" s="1" t="n">
        <v>44981</v>
      </c>
      <c r="E11" s="1" t="n">
        <v>44982.2555324074</v>
      </c>
      <c r="F11" s="2" t="n">
        <v>82245.638</v>
      </c>
      <c r="G11" s="2" t="n">
        <v>82277.632</v>
      </c>
      <c r="H11" s="2" t="n">
        <v>31.992</v>
      </c>
      <c r="I11" s="13" t="n">
        <f aca="false">IF($H11&gt;0,($I10+$H11),"")</f>
        <v>326.364</v>
      </c>
      <c r="J11" s="13" t="n">
        <f aca="false">IF(KWH&gt;0,$I11/$A11,"")</f>
        <v>32.6364</v>
      </c>
      <c r="K11" s="15" t="n">
        <f aca="false">IF($H11&lt;&gt;"",(($H11*$S$7)+($A11*$S$8))*(1+$R$9),"")</f>
        <v>7.5979016921304</v>
      </c>
      <c r="L11" s="16" t="n">
        <f aca="false">IF($K11&lt;&gt;"",($K11+$L10),"")</f>
        <v>72.0427703614668</v>
      </c>
      <c r="M11" s="17" t="n">
        <f aca="false">IF($J11&lt;&gt;"",$J11*($A$32-$A$2),"")</f>
        <v>979.092</v>
      </c>
      <c r="N11" s="17" t="n">
        <f aca="false">IF($M11&lt;&gt;"",IF($M11&gt;1000,(($M11*$S$7)+($A11*$S$8))*(1+$R$9)-100,(($M11*$S$7)+($A11*$S$8))*(1+$R$9)),"")</f>
        <v>198.1054411844</v>
      </c>
      <c r="O11" s="18" t="n">
        <f aca="false">IF(I11&gt;=1000,"",(1000-I11))</f>
        <v>673.636</v>
      </c>
      <c r="P11" s="0" t="n">
        <v>11</v>
      </c>
      <c r="Q11" s="22" t="s">
        <v>103</v>
      </c>
      <c r="R11" s="96" t="str">
        <f aca="false">IF(COUNTIF(O1:O500, "&lt;0")=0, "NOT YET!", INDEX(A1:A500, MIN(IF(O1:O500&lt;0, ROW(O1:O500)))))</f>
        <v>NOT YET!</v>
      </c>
      <c r="S11" s="32"/>
      <c r="T11" s="93" t="n">
        <v>11</v>
      </c>
      <c r="Z11" s="115"/>
      <c r="AA11" s="47"/>
      <c r="AB11" s="2"/>
      <c r="AC11" s="115"/>
      <c r="AD11" s="115"/>
      <c r="AE11" s="2"/>
    </row>
    <row r="12" customFormat="false" ht="15" hidden="false" customHeight="false" outlineLevel="0" collapsed="false">
      <c r="A12" s="11" t="n">
        <v>11</v>
      </c>
      <c r="B12" s="11" t="str">
        <f aca="false">TEXT(D12,"ddd")</f>
        <v>Sat</v>
      </c>
      <c r="C12" s="11" t="n">
        <f aca="false">$A$32-$A12</f>
        <v>20</v>
      </c>
      <c r="D12" s="1" t="n">
        <v>44982</v>
      </c>
      <c r="E12" s="1" t="n">
        <v>44983.2758680556</v>
      </c>
      <c r="F12" s="2" t="n">
        <v>82277.632</v>
      </c>
      <c r="G12" s="2" t="n">
        <v>82304.963</v>
      </c>
      <c r="H12" s="2" t="n">
        <v>27.329</v>
      </c>
      <c r="I12" s="13" t="n">
        <f aca="false">IF($H12&gt;0,($I11+$H12),"")</f>
        <v>353.693</v>
      </c>
      <c r="J12" s="13" t="n">
        <f aca="false">IF(KWH&gt;0,$I12/$A12,"")</f>
        <v>32.1539090909091</v>
      </c>
      <c r="K12" s="15" t="n">
        <f aca="false">IF($H12&lt;&gt;"",(($H12*$S$7)+($A12*$S$8))*(1+$R$9),"")</f>
        <v>6.7762238252373</v>
      </c>
      <c r="L12" s="16" t="n">
        <f aca="false">IF($K12&lt;&gt;"",($K12+$L11),"")</f>
        <v>78.8189941867041</v>
      </c>
      <c r="M12" s="17" t="n">
        <f aca="false">IF($J12&lt;&gt;"",$J12*($A$32-$A$2),"")</f>
        <v>964.617272727273</v>
      </c>
      <c r="N12" s="17" t="n">
        <f aca="false">IF($M12&lt;&gt;"",IF($M12&gt;1000,(($M12*$S$7)+($A12*$S$8))*(1+$R$9)-100,(($M12*$S$7)+($A12*$S$8))*(1+$R$9)),"")</f>
        <v>195.310151216466</v>
      </c>
      <c r="O12" s="18" t="n">
        <f aca="false">IF(I12&gt;=1000,"",(1000-I12))</f>
        <v>646.307</v>
      </c>
      <c r="P12" s="0" t="n">
        <v>12</v>
      </c>
      <c r="Q12" s="22" t="s">
        <v>49</v>
      </c>
      <c r="R12" s="33" t="n">
        <v>295</v>
      </c>
      <c r="S12" s="32"/>
      <c r="T12" s="93" t="n">
        <v>12</v>
      </c>
      <c r="Z12" s="115"/>
      <c r="AA12" s="47"/>
      <c r="AB12" s="2"/>
      <c r="AC12" s="115"/>
      <c r="AD12" s="115"/>
      <c r="AE12" s="2"/>
    </row>
    <row r="13" customFormat="false" ht="15" hidden="false" customHeight="false" outlineLevel="0" collapsed="false">
      <c r="A13" s="11" t="n">
        <v>12</v>
      </c>
      <c r="B13" s="11" t="str">
        <f aca="false">TEXT(D13,"ddd")</f>
        <v>Sun</v>
      </c>
      <c r="C13" s="11" t="n">
        <f aca="false">$A$32-$A13</f>
        <v>19</v>
      </c>
      <c r="D13" s="1" t="n">
        <v>44983</v>
      </c>
      <c r="E13" s="1" t="n">
        <v>44984.262337963</v>
      </c>
      <c r="F13" s="2" t="n">
        <v>82304.963</v>
      </c>
      <c r="G13" s="2" t="n">
        <v>82335.487</v>
      </c>
      <c r="H13" s="2" t="n">
        <v>30.52</v>
      </c>
      <c r="I13" s="13" t="n">
        <f aca="false">IF($H13&gt;0,($I12+$H13),"")</f>
        <v>384.213</v>
      </c>
      <c r="J13" s="13" t="n">
        <f aca="false">IF(KWH&gt;0,$I13/$A13,"")</f>
        <v>32.01775</v>
      </c>
      <c r="K13" s="15" t="n">
        <f aca="false">IF($H13&lt;&gt;"",(($H13*$S$7)+($A13*$S$8))*(1+$R$9),"")</f>
        <v>7.534364578524</v>
      </c>
      <c r="L13" s="16" t="n">
        <f aca="false">IF($K13&lt;&gt;"",($K13+$L12),"")</f>
        <v>86.3533587652281</v>
      </c>
      <c r="M13" s="17" t="n">
        <f aca="false">IF($J13&lt;&gt;"",$J13*($A$32-$A$2),"")</f>
        <v>960.5325</v>
      </c>
      <c r="N13" s="17" t="n">
        <f aca="false">IF($M13&lt;&gt;"",IF($M13&gt;1000,(($M13*$S$7)+($A13*$S$8))*(1+$R$9)-100,(($M13*$S$7)+($A13*$S$8))*(1+$R$9)),"")</f>
        <v>194.60478277307</v>
      </c>
      <c r="O13" s="18" t="n">
        <f aca="false">IF(I13&gt;=1000,"",(1000-I13))</f>
        <v>615.787</v>
      </c>
      <c r="Q13" s="22" t="s">
        <v>52</v>
      </c>
      <c r="R13" s="97" t="n">
        <f aca="false">INDEX(L2:L32,COUNT(L2:L32))</f>
        <v>261.481053250985</v>
      </c>
      <c r="S13" s="32"/>
      <c r="T13" s="98"/>
      <c r="U13" s="29"/>
      <c r="Z13" s="115"/>
      <c r="AA13" s="47"/>
      <c r="AB13" s="2"/>
      <c r="AC13" s="115"/>
      <c r="AD13" s="115"/>
      <c r="AE13" s="2"/>
    </row>
    <row r="14" customFormat="false" ht="15" hidden="false" customHeight="false" outlineLevel="0" collapsed="false">
      <c r="A14" s="11" t="n">
        <v>13</v>
      </c>
      <c r="B14" s="11" t="str">
        <f aca="false">TEXT(D14,"ddd")</f>
        <v>Mon</v>
      </c>
      <c r="C14" s="11" t="n">
        <f aca="false">$A$32-$A14</f>
        <v>18</v>
      </c>
      <c r="D14" s="1" t="n">
        <v>44984</v>
      </c>
      <c r="E14" s="1" t="n">
        <v>44985.2571180556</v>
      </c>
      <c r="F14" s="2" t="n">
        <v>82335.487</v>
      </c>
      <c r="G14" s="2" t="n">
        <v>82361.741</v>
      </c>
      <c r="H14" s="2" t="n">
        <v>26.258</v>
      </c>
      <c r="I14" s="13" t="n">
        <f aca="false">IF($H14&gt;0,($I13+$H14),"")</f>
        <v>410.471</v>
      </c>
      <c r="J14" s="13" t="n">
        <f aca="false">IF(KWH&gt;0,$I14/$A14,"")</f>
        <v>31.5746923076923</v>
      </c>
      <c r="K14" s="15" t="n">
        <f aca="false">IF($H14&lt;&gt;"",(($H14*$S$7)+($A14*$S$8))*(1+$R$9),"")</f>
        <v>6.7933471733946</v>
      </c>
      <c r="L14" s="16" t="n">
        <f aca="false">IF($K14&lt;&gt;"",($K14+$L13),"")</f>
        <v>93.1467059386227</v>
      </c>
      <c r="M14" s="17" t="n">
        <f aca="false">IF($J14&lt;&gt;"",$J14*($A$32-$A$2),"")</f>
        <v>947.240769230769</v>
      </c>
      <c r="N14" s="17" t="n">
        <f aca="false">IF($M14&lt;&gt;"",IF($M14&gt;1000,(($M14*$S$7)+($A14*$S$8))*(1+$R$9)-100,(($M14*$S$7)+($A14*$R$9))*(1+$R$9)),"")</f>
        <v>190.800649393137</v>
      </c>
      <c r="O14" s="18" t="n">
        <f aca="false">IF(I14&gt;=1000,"",(1000-I14))</f>
        <v>589.529</v>
      </c>
      <c r="Q14" s="22" t="s">
        <v>55</v>
      </c>
      <c r="R14" s="99" t="n">
        <f aca="false">INDEX(I2:I32,COUNT(I2:I32))</f>
        <v>1031.142</v>
      </c>
      <c r="S14" s="32"/>
      <c r="T14" s="98"/>
      <c r="U14" s="29"/>
      <c r="Z14" s="115"/>
      <c r="AA14" s="47"/>
      <c r="AB14" s="2"/>
      <c r="AC14" s="115"/>
      <c r="AD14" s="115"/>
      <c r="AE14" s="2"/>
    </row>
    <row r="15" customFormat="false" ht="15" hidden="false" customHeight="false" outlineLevel="0" collapsed="false">
      <c r="A15" s="11" t="n">
        <v>14</v>
      </c>
      <c r="B15" s="11" t="str">
        <f aca="false">TEXT(D15,"ddd")</f>
        <v>Tue</v>
      </c>
      <c r="C15" s="11" t="n">
        <f aca="false">$A$32-$A15</f>
        <v>17</v>
      </c>
      <c r="D15" s="1" t="n">
        <v>44985</v>
      </c>
      <c r="E15" s="1" t="n">
        <v>44986.2563194444</v>
      </c>
      <c r="F15" s="2" t="n">
        <v>82361.741</v>
      </c>
      <c r="G15" s="2" t="n">
        <v>82386.992</v>
      </c>
      <c r="H15" s="2" t="n">
        <v>25.253</v>
      </c>
      <c r="I15" s="13" t="n">
        <f aca="false">IF($H15&gt;0,($I14+$H15),"")</f>
        <v>435.724</v>
      </c>
      <c r="J15" s="13" t="n">
        <f aca="false">IF(KWH&gt;0,$I15/$A15,"")</f>
        <v>31.1231428571429</v>
      </c>
      <c r="K15" s="15" t="n">
        <f aca="false">IF($H15&lt;&gt;"",(($H15*$S$7)+($A15*$S$8))*(1+$R$9),"")</f>
        <v>6.7074697282761</v>
      </c>
      <c r="L15" s="16" t="n">
        <f aca="false">IF($K15&lt;&gt;"",($K15+$L14),"")</f>
        <v>99.8541756668988</v>
      </c>
      <c r="M15" s="17" t="n">
        <f aca="false">IF($J15&lt;&gt;"",$J15*($A$32-$A$2),"")</f>
        <v>933.694285714286</v>
      </c>
      <c r="N15" s="17" t="n">
        <f aca="false">IF($M15&lt;&gt;"",IF($M15&gt;1000,(($M15*$S$7)+($A15*$S$8))*(1+$R$9)-100,(($M15*$S$7)+($A15*$R$9))*(1+$R$9)),"")</f>
        <v>188.096166284526</v>
      </c>
      <c r="O15" s="18" t="n">
        <f aca="false">IF(I15&gt;=1000,"",(1000-I15))</f>
        <v>564.276</v>
      </c>
      <c r="Q15" s="40" t="s">
        <v>58</v>
      </c>
      <c r="R15" s="100" t="n">
        <f aca="false">INDEX(J2:J32,COUNT(J2:J32))</f>
        <v>34.3714</v>
      </c>
      <c r="S15" s="101"/>
      <c r="Z15" s="115"/>
      <c r="AA15" s="47"/>
      <c r="AB15" s="2"/>
      <c r="AC15" s="115"/>
      <c r="AD15" s="115"/>
      <c r="AE15" s="2"/>
    </row>
    <row r="16" customFormat="false" ht="15" hidden="false" customHeight="false" outlineLevel="0" collapsed="false">
      <c r="A16" s="11" t="n">
        <v>15</v>
      </c>
      <c r="B16" s="11" t="str">
        <f aca="false">TEXT(D16,"ddd")</f>
        <v>Wed</v>
      </c>
      <c r="C16" s="11" t="n">
        <f aca="false">$A$32-$A16</f>
        <v>16</v>
      </c>
      <c r="D16" s="1" t="n">
        <v>44986</v>
      </c>
      <c r="E16" s="1" t="n">
        <v>44987.256412037</v>
      </c>
      <c r="F16" s="2" t="n">
        <v>82386.992</v>
      </c>
      <c r="G16" s="2" t="n">
        <v>82418.126</v>
      </c>
      <c r="H16" s="2" t="n">
        <v>31.134</v>
      </c>
      <c r="I16" s="13" t="n">
        <f aca="false">IF($H16&gt;0,($I15+$H16),"")</f>
        <v>466.858</v>
      </c>
      <c r="J16" s="13" t="n">
        <f aca="false">IF(KWH&gt;0,$I16/$A16,"")</f>
        <v>31.1238666666667</v>
      </c>
      <c r="K16" s="15" t="n">
        <f aca="false">IF($H16&lt;&gt;"",(($H16*$S$7)+($A16*$S$8))*(1+$R$9),"")</f>
        <v>8.0066993647158</v>
      </c>
      <c r="L16" s="16" t="n">
        <f aca="false">IF($K16&lt;&gt;"",($K16+$L15),"")</f>
        <v>107.860875031615</v>
      </c>
      <c r="M16" s="17" t="n">
        <f aca="false">IF($J16&lt;&gt;"",$J16*($A$32-$A$2),"")</f>
        <v>933.716</v>
      </c>
      <c r="N16" s="17" t="n">
        <f aca="false">IF($M16&lt;&gt;"",IF($M16&gt;1000,(($M16*$S$7)+($A16*$S$8))*(1+$R$9)-100,(($M16*$S$7)+($A16*$R$9))*(1+$R$9)),"")</f>
        <v>188.120902876729</v>
      </c>
      <c r="O16" s="18" t="n">
        <f aca="false">IF(I16&gt;=1000,"",(1000-I16))</f>
        <v>533.142</v>
      </c>
      <c r="Z16" s="115"/>
      <c r="AA16" s="47"/>
      <c r="AB16" s="2"/>
      <c r="AC16" s="115"/>
      <c r="AD16" s="115"/>
      <c r="AE16" s="2"/>
    </row>
    <row r="17" customFormat="false" ht="15" hidden="false" customHeight="false" outlineLevel="0" collapsed="false">
      <c r="A17" s="11" t="n">
        <v>16</v>
      </c>
      <c r="B17" s="11" t="str">
        <f aca="false">TEXT(D17,"ddd")</f>
        <v>Thu</v>
      </c>
      <c r="C17" s="11" t="n">
        <f aca="false">$A$32-$A17</f>
        <v>15</v>
      </c>
      <c r="D17" s="1" t="n">
        <v>44987</v>
      </c>
      <c r="E17" s="1" t="n">
        <v>44988.3130208333</v>
      </c>
      <c r="F17" s="2" t="n">
        <v>82418.126</v>
      </c>
      <c r="G17" s="2" t="n">
        <v>82449.78</v>
      </c>
      <c r="H17" s="2" t="n">
        <v>31.652</v>
      </c>
      <c r="I17" s="13" t="n">
        <f aca="false">IF($H17&gt;0,($I16+$H17),"")</f>
        <v>498.51</v>
      </c>
      <c r="J17" s="13" t="n">
        <f aca="false">IF(KWH&gt;0,$I17/$A17,"")</f>
        <v>31.156875</v>
      </c>
      <c r="K17" s="15" t="n">
        <f aca="false">IF($H17&lt;&gt;"",(($H17*$S$7)+($A17*$S$8))*(1+$R$9),"")</f>
        <v>8.2271707556724</v>
      </c>
      <c r="L17" s="16" t="n">
        <f aca="false">IF($K17&lt;&gt;"",($K17+$L16),"")</f>
        <v>116.088045787287</v>
      </c>
      <c r="M17" s="17" t="n">
        <f aca="false">IF($J17&lt;&gt;"",$J17*($A$32-$A$2),"")</f>
        <v>934.70625</v>
      </c>
      <c r="N17" s="17" t="n">
        <f aca="false">IF($M17&lt;&gt;"",IF($M17&gt;1000,(($M17*$S$7)+($A17*$S$8))*(1+$R$9)-100,(($M17*$S$7)+($A17*$R$9))*(1+$R$9)),"")</f>
        <v>188.340458765563</v>
      </c>
      <c r="O17" s="18" t="n">
        <f aca="false">IF(I17&gt;=1000,"",(1000-I17))</f>
        <v>501.49</v>
      </c>
      <c r="Z17" s="115"/>
      <c r="AA17" s="47"/>
      <c r="AB17" s="2"/>
      <c r="AC17" s="115"/>
      <c r="AD17" s="115"/>
      <c r="AE17" s="2"/>
    </row>
    <row r="18" customFormat="false" ht="15" hidden="false" customHeight="false" outlineLevel="0" collapsed="false">
      <c r="A18" s="11" t="n">
        <v>17</v>
      </c>
      <c r="B18" s="11" t="str">
        <f aca="false">TEXT(D18,"ddd")</f>
        <v>Fri</v>
      </c>
      <c r="C18" s="11" t="n">
        <f aca="false">$A$32-$A18</f>
        <v>14</v>
      </c>
      <c r="D18" s="1" t="n">
        <v>44988</v>
      </c>
      <c r="E18" s="1" t="n">
        <v>44989.308287037</v>
      </c>
      <c r="F18" s="2" t="n">
        <v>82449.78</v>
      </c>
      <c r="G18" s="2" t="n">
        <v>82468.8</v>
      </c>
      <c r="H18" s="2" t="n">
        <v>19.022</v>
      </c>
      <c r="I18" s="13" t="n">
        <f aca="false">IF($H18&gt;0,($I17+$H18),"")</f>
        <v>517.532</v>
      </c>
      <c r="J18" s="13" t="n">
        <f aca="false">IF(KWH&gt;0,$I18/$A18,"")</f>
        <v>30.4430588235294</v>
      </c>
      <c r="K18" s="15" t="n">
        <f aca="false">IF($H18&lt;&gt;"",(($H18*$S$7)+($A18*$S$8))*(1+$R$9),"")</f>
        <v>5.8029445125414</v>
      </c>
      <c r="L18" s="16" t="n">
        <f aca="false">IF($K18&lt;&gt;"",($K18+$L17),"")</f>
        <v>121.890990299828</v>
      </c>
      <c r="M18" s="17" t="n">
        <f aca="false">IF($J18&lt;&gt;"",$J18*($A$32-$A$2),"")</f>
        <v>913.291764705882</v>
      </c>
      <c r="N18" s="17" t="n">
        <f aca="false">IF($M18&lt;&gt;"",IF($M18&gt;1000,(($M18*$S$7)+($A18*$S$8))*(1+$R$9)-100,(($M18*$S$7)+($A18*$R$9))*(1+$R$9)),"")</f>
        <v>184.053340603233</v>
      </c>
      <c r="O18" s="18" t="n">
        <f aca="false">IF(I18&gt;=1000,"",(1000-I18))</f>
        <v>482.468</v>
      </c>
      <c r="Z18" s="115"/>
      <c r="AA18" s="47"/>
      <c r="AB18" s="2"/>
      <c r="AC18" s="115"/>
      <c r="AD18" s="115"/>
      <c r="AE18" s="2"/>
    </row>
    <row r="19" customFormat="false" ht="15" hidden="false" customHeight="false" outlineLevel="0" collapsed="false">
      <c r="A19" s="11" t="n">
        <v>18</v>
      </c>
      <c r="B19" s="11" t="str">
        <f aca="false">TEXT(D19,"ddd")</f>
        <v>Sat</v>
      </c>
      <c r="C19" s="11" t="n">
        <f aca="false">$A$32-$A19</f>
        <v>13</v>
      </c>
      <c r="D19" s="1" t="n">
        <v>44989</v>
      </c>
      <c r="E19" s="1" t="n">
        <v>44990.2786805556</v>
      </c>
      <c r="F19" s="2" t="n">
        <v>82468.8</v>
      </c>
      <c r="G19" s="2" t="n">
        <v>82492.285</v>
      </c>
      <c r="H19" s="2" t="n">
        <v>23.488</v>
      </c>
      <c r="I19" s="13" t="n">
        <f aca="false">IF($H19&gt;0,($I18+$H19),"")</f>
        <v>541.02</v>
      </c>
      <c r="J19" s="13" t="n">
        <f aca="false">IF(KWH&gt;0,$I19/$A19,"")</f>
        <v>30.0566666666667</v>
      </c>
      <c r="K19" s="15" t="n">
        <f aca="false">IF($H19&lt;&gt;"",(($H19*$S$7)+($A19*$S$8))*(1+$R$9),"")</f>
        <v>6.8175493275456</v>
      </c>
      <c r="L19" s="16" t="n">
        <f aca="false">IF($K19&lt;&gt;"",($K19+$L18),"")</f>
        <v>128.708539627374</v>
      </c>
      <c r="M19" s="17" t="n">
        <f aca="false">IF($J19&lt;&gt;"",$J19*($A$32-$A$2),"")</f>
        <v>901.7</v>
      </c>
      <c r="N19" s="17" t="n">
        <f aca="false">IF($M19&lt;&gt;"",IF($M19&gt;1000,(($M19*$S$7)+($A19*$S$8))*(1+$R$9)-100,(($M19*$S$7)+($A19*$R$9))*(1+$R$9)),"")</f>
        <v>181.74204582849</v>
      </c>
      <c r="O19" s="18" t="n">
        <f aca="false">IF(I19&gt;=1000,"",(1000-I19))</f>
        <v>458.98</v>
      </c>
      <c r="Q19" s="29"/>
      <c r="Z19" s="115"/>
      <c r="AA19" s="47"/>
      <c r="AB19" s="2"/>
      <c r="AC19" s="115"/>
      <c r="AD19" s="115"/>
      <c r="AE19" s="2"/>
    </row>
    <row r="20" customFormat="false" ht="15" hidden="false" customHeight="false" outlineLevel="0" collapsed="false">
      <c r="A20" s="11" t="n">
        <v>19</v>
      </c>
      <c r="B20" s="11" t="str">
        <f aca="false">TEXT(D20,"ddd")</f>
        <v>Sun</v>
      </c>
      <c r="C20" s="11" t="n">
        <f aca="false">$A$32-$A20</f>
        <v>12</v>
      </c>
      <c r="D20" s="1" t="n">
        <v>44990</v>
      </c>
      <c r="E20" s="1" t="n">
        <v>44991.3192592593</v>
      </c>
      <c r="F20" s="2" t="n">
        <v>82492.285</v>
      </c>
      <c r="G20" s="2" t="n">
        <v>82518.952</v>
      </c>
      <c r="H20" s="2" t="n">
        <v>26.67</v>
      </c>
      <c r="I20" s="13" t="n">
        <f aca="false">IF($H20&gt;0,($I19+$H20),"")</f>
        <v>567.69</v>
      </c>
      <c r="J20" s="13" t="n">
        <f aca="false">IF(KWH&gt;0,$I20/$A20,"")</f>
        <v>29.8784210526316</v>
      </c>
      <c r="K20" s="15" t="n">
        <f aca="false">IF($H20&lt;&gt;"",(($H20*$S$7)+($A20*$S$8))*(1+$R$9),"")</f>
        <v>7.573879746279</v>
      </c>
      <c r="L20" s="16" t="n">
        <f aca="false">IF($K20&lt;&gt;"",($K20+$L19),"")</f>
        <v>136.282419373653</v>
      </c>
      <c r="M20" s="17" t="n">
        <f aca="false">IF($J20&lt;&gt;"",$J20*($A$32-$A$2),"")</f>
        <v>896.352631578947</v>
      </c>
      <c r="N20" s="17" t="n">
        <f aca="false">IF($M20&lt;&gt;"",IF($M20&gt;1000,(($M20*$S$7)+($A20*$S$8))*(1+$R$9)-100,(($M20*$S$7)+($A20*$R$9))*(1+$R$9)),"")</f>
        <v>180.686800649184</v>
      </c>
      <c r="O20" s="18" t="n">
        <f aca="false">IF(I20&gt;=1000,"",(1000-I20))</f>
        <v>432.31</v>
      </c>
      <c r="P20" s="29" t="s">
        <v>90</v>
      </c>
      <c r="Q20" s="2" t="s">
        <v>113</v>
      </c>
      <c r="Z20" s="115"/>
      <c r="AA20" s="47"/>
      <c r="AB20" s="2"/>
      <c r="AC20" s="115"/>
      <c r="AD20" s="115"/>
      <c r="AE20" s="2"/>
    </row>
    <row r="21" customFormat="false" ht="15" hidden="false" customHeight="false" outlineLevel="0" collapsed="false">
      <c r="A21" s="11" t="n">
        <v>20</v>
      </c>
      <c r="B21" s="11" t="str">
        <f aca="false">TEXT(D21,"ddd")</f>
        <v>Mon</v>
      </c>
      <c r="C21" s="11" t="n">
        <f aca="false">$A$32-$A21</f>
        <v>11</v>
      </c>
      <c r="D21" s="1" t="n">
        <v>44991</v>
      </c>
      <c r="E21" s="1" t="n">
        <v>44992.2565509259</v>
      </c>
      <c r="F21" s="2" t="n">
        <v>82518.952</v>
      </c>
      <c r="G21" s="2" t="n">
        <v>82555.076</v>
      </c>
      <c r="H21" s="2" t="n">
        <v>36.123</v>
      </c>
      <c r="I21" s="13" t="n">
        <f aca="false">IF($H21&gt;0,($I20+$H21),"")</f>
        <v>603.813</v>
      </c>
      <c r="J21" s="13" t="n">
        <f aca="false">IF(KWH&gt;0,$I21/$A21,"")</f>
        <v>30.19065</v>
      </c>
      <c r="K21" s="15" t="n">
        <f aca="false">IF($H21&lt;&gt;"",(($H21*$S$7)+($A21*$S$8))*(1+$R$9),"")</f>
        <v>9.5916110520951</v>
      </c>
      <c r="L21" s="16" t="n">
        <f aca="false">IF($K21&lt;&gt;"",($K21+$L20),"")</f>
        <v>145.874030425748</v>
      </c>
      <c r="M21" s="17" t="n">
        <f aca="false">IF($J21&lt;&gt;"",$J21*($A$32-$A$2),"")</f>
        <v>905.7195</v>
      </c>
      <c r="N21" s="17" t="n">
        <f aca="false">IF($M21&lt;&gt;"",IF($M21&gt;1000,(($M21*$S$7)+($A21*$S$8))*(1+$R$9)-100,(($M21*$S$7)+($A21*$R$9))*(1+$R$9)),"")</f>
        <v>182.591298956622</v>
      </c>
      <c r="O21" s="18" t="n">
        <f aca="false">IF(I21&gt;=1000,"",(1000-I21))</f>
        <v>396.187</v>
      </c>
      <c r="Q21" s="29"/>
      <c r="Z21" s="115"/>
      <c r="AA21" s="47"/>
      <c r="AB21" s="2"/>
      <c r="AC21" s="115"/>
      <c r="AD21" s="115"/>
      <c r="AE21" s="2"/>
    </row>
    <row r="22" customFormat="false" ht="15" hidden="false" customHeight="false" outlineLevel="0" collapsed="false">
      <c r="A22" s="11" t="n">
        <v>21</v>
      </c>
      <c r="B22" s="11" t="str">
        <f aca="false">TEXT(D22,"ddd")</f>
        <v>Tue</v>
      </c>
      <c r="C22" s="11" t="n">
        <f aca="false">$A$32-$A22</f>
        <v>10</v>
      </c>
      <c r="D22" s="1" t="n">
        <v>44992</v>
      </c>
      <c r="E22" s="1" t="n">
        <v>44993.2577777778</v>
      </c>
      <c r="F22" s="2" t="n">
        <v>82555.076</v>
      </c>
      <c r="G22" s="2" t="n">
        <v>82598.91</v>
      </c>
      <c r="H22" s="2" t="n">
        <v>43.835</v>
      </c>
      <c r="I22" s="13" t="n">
        <f aca="false">IF($H22&gt;0,($I21+$H22),"")</f>
        <v>647.648</v>
      </c>
      <c r="J22" s="13" t="n">
        <f aca="false">IF(KWH&gt;0,$I22/$A22,"")</f>
        <v>30.840380952381</v>
      </c>
      <c r="K22" s="15" t="n">
        <f aca="false">IF($H22&lt;&gt;"",(($H22*$S$7)+($A22*$S$8))*(1+$R$9),"")</f>
        <v>11.2591431959895</v>
      </c>
      <c r="L22" s="16" t="n">
        <f aca="false">IF($K22&lt;&gt;"",($K22+$L21),"")</f>
        <v>157.133173621738</v>
      </c>
      <c r="M22" s="17" t="n">
        <f aca="false">IF($J22&lt;&gt;"",$J22*($A$32-$A$2),"")</f>
        <v>925.211428571429</v>
      </c>
      <c r="N22" s="17" t="n">
        <f aca="false">IF($M22&lt;&gt;"",IF($M22&gt;1000,(($M22*$S$7)+($A22*$S$8))*(1+$R$9)-100,(($M22*$S$7)+($A22*$R$9))*(1+$R$9)),"")</f>
        <v>186.532435735668</v>
      </c>
      <c r="O22" s="18" t="n">
        <f aca="false">IF(I22&gt;=1000,"",(1000-I22))</f>
        <v>352.352</v>
      </c>
      <c r="Q22" s="29" t="s">
        <v>106</v>
      </c>
      <c r="Z22" s="115"/>
      <c r="AA22" s="47"/>
      <c r="AB22" s="2"/>
      <c r="AC22" s="115"/>
      <c r="AD22" s="115"/>
      <c r="AE22" s="2"/>
    </row>
    <row r="23" customFormat="false" ht="15" hidden="false" customHeight="false" outlineLevel="0" collapsed="false">
      <c r="A23" s="11" t="n">
        <v>22</v>
      </c>
      <c r="B23" s="11" t="str">
        <f aca="false">TEXT(D23,"ddd")</f>
        <v>Wed</v>
      </c>
      <c r="C23" s="11" t="n">
        <f aca="false">$A$32-$A23</f>
        <v>9</v>
      </c>
      <c r="D23" s="1" t="n">
        <v>44993</v>
      </c>
      <c r="E23" s="1" t="n">
        <v>44994.310625</v>
      </c>
      <c r="F23" s="2" t="n">
        <v>82598.91</v>
      </c>
      <c r="G23" s="2" t="n">
        <v>82628.273</v>
      </c>
      <c r="H23" s="2" t="n">
        <v>29.367</v>
      </c>
      <c r="I23" s="13" t="n">
        <f aca="false">IF($H23&gt;0,($I22+$H23),"")</f>
        <v>677.015</v>
      </c>
      <c r="J23" s="13" t="n">
        <f aca="false">IF(KWH&gt;0,$I23/$A23,"")</f>
        <v>30.7734090909091</v>
      </c>
      <c r="K23" s="15" t="n">
        <f aca="false">IF($H23&lt;&gt;"",(($H23*$S$7)+($A23*$S$8))*(1+$R$9),"")</f>
        <v>8.4652064074179</v>
      </c>
      <c r="L23" s="16" t="n">
        <f aca="false">IF($K23&lt;&gt;"",($K23+$L22),"")</f>
        <v>165.598380029156</v>
      </c>
      <c r="M23" s="17" t="n">
        <f aca="false">IF($J23&lt;&gt;"",$J23*($A$32-$A$2),"")</f>
        <v>923.202272727273</v>
      </c>
      <c r="N23" s="17" t="n">
        <f aca="false">IF($M23&lt;&gt;"",IF($M23&gt;1000,(($M23*$S$7)+($A23*$S$8))*(1+$R$9)-100,(($M23*$S$7)+($A23*$R$9))*(1+$R$9)),"")</f>
        <v>186.14866628683</v>
      </c>
      <c r="O23" s="18" t="n">
        <f aca="false">IF(I23&gt;=1000,"",(1000-I23))</f>
        <v>322.985</v>
      </c>
      <c r="Q23" s="29"/>
      <c r="Z23" s="115"/>
      <c r="AA23" s="47"/>
      <c r="AB23" s="2"/>
      <c r="AC23" s="115"/>
      <c r="AD23" s="115"/>
      <c r="AE23" s="2"/>
    </row>
    <row r="24" customFormat="false" ht="15" hidden="false" customHeight="false" outlineLevel="0" collapsed="false">
      <c r="A24" s="11" t="n">
        <v>23</v>
      </c>
      <c r="B24" s="11" t="str">
        <f aca="false">TEXT(D24,"ddd")</f>
        <v>Thu</v>
      </c>
      <c r="C24" s="11" t="n">
        <f aca="false">$A$32-$A24</f>
        <v>8</v>
      </c>
      <c r="D24" s="1" t="n">
        <v>44994</v>
      </c>
      <c r="E24" s="1" t="n">
        <v>44995.2579050926</v>
      </c>
      <c r="F24" s="2" t="n">
        <v>82628.273</v>
      </c>
      <c r="G24" s="2" t="n">
        <v>82661.434</v>
      </c>
      <c r="H24" s="2" t="n">
        <v>33.163</v>
      </c>
      <c r="I24" s="13" t="n">
        <f aca="false">IF($H24&gt;0,($I23+$H24),"")</f>
        <v>710.178</v>
      </c>
      <c r="J24" s="13" t="n">
        <f aca="false">IF(KWH&gt;0,$I24/$A24,"")</f>
        <v>30.8773043478261</v>
      </c>
      <c r="K24" s="15" t="n">
        <f aca="false">IF($H24&lt;&gt;"",(($H24*$S$7)+($A24*$S$8))*(1+$R$9),"")</f>
        <v>9.3450418723431</v>
      </c>
      <c r="L24" s="16" t="n">
        <f aca="false">IF($K24&lt;&gt;"",($K24+$L23),"")</f>
        <v>174.943421901499</v>
      </c>
      <c r="M24" s="17" t="n">
        <f aca="false">IF($J24&lt;&gt;"",$J24*($A$32-$A$2),"")</f>
        <v>926.319130434783</v>
      </c>
      <c r="N24" s="17" t="n">
        <f aca="false">IF($M24&lt;&gt;"",IF($M24&gt;1000,(($M24*$S$7)+($A24*$S$8))*(1+$R$9)-100,(($M24*$S$7)+($A24*$R$9))*(1+$R$9)),"")</f>
        <v>186.795985666133</v>
      </c>
      <c r="O24" s="18" t="n">
        <f aca="false">IF(I24&gt;=1000,"",(1000-I24))</f>
        <v>289.822</v>
      </c>
      <c r="Z24" s="115"/>
      <c r="AA24" s="47"/>
      <c r="AB24" s="2"/>
      <c r="AC24" s="115"/>
      <c r="AD24" s="115"/>
      <c r="AE24" s="2"/>
    </row>
    <row r="25" customFormat="false" ht="15" hidden="false" customHeight="false" outlineLevel="0" collapsed="false">
      <c r="A25" s="11" t="n">
        <v>24</v>
      </c>
      <c r="B25" s="11" t="str">
        <f aca="false">TEXT(D25,"ddd")</f>
        <v>Fri</v>
      </c>
      <c r="C25" s="11" t="n">
        <f aca="false">$A$32-$A25</f>
        <v>7</v>
      </c>
      <c r="D25" s="1" t="n">
        <v>44995</v>
      </c>
      <c r="E25" s="1" t="n">
        <v>44996.2559143519</v>
      </c>
      <c r="F25" s="2" t="n">
        <v>82661.434</v>
      </c>
      <c r="G25" s="2" t="n">
        <v>82699.769</v>
      </c>
      <c r="H25" s="2" t="n">
        <v>38.334</v>
      </c>
      <c r="I25" s="13" t="n">
        <f aca="false">IF($H25&gt;0,($I24+$H25),"")</f>
        <v>748.512</v>
      </c>
      <c r="J25" s="13" t="n">
        <f aca="false">IF(KWH&gt;0,$I25/$A25,"")</f>
        <v>31.188</v>
      </c>
      <c r="K25" s="15" t="n">
        <f aca="false">IF($H25&lt;&gt;"",(($H25*$S$7)+($A25*$S$8))*(1+$R$9),"")</f>
        <v>10.5014562273558</v>
      </c>
      <c r="L25" s="16" t="n">
        <f aca="false">IF($K25&lt;&gt;"",($K25+$L24),"")</f>
        <v>185.444878128854</v>
      </c>
      <c r="M25" s="17" t="n">
        <f aca="false">IF($J25&lt;&gt;"",$J25*($A$32-$A$2),"")</f>
        <v>935.64</v>
      </c>
      <c r="N25" s="17" t="n">
        <f aca="false">IF($M25&lt;&gt;"",IF($M25&gt;1000,(($M25*$S$7)+($A25*$S$8))*(1+$R$9)-100,(($M25*$S$7)+($A25*$R$9))*(1+$R$9)),"")</f>
        <v>188.691231382668</v>
      </c>
      <c r="O25" s="18" t="n">
        <f aca="false">IF(I25&gt;=1000,"",(1000-I25))</f>
        <v>251.488</v>
      </c>
      <c r="Q25" s="29" t="s">
        <v>114</v>
      </c>
      <c r="R25" s="29" t="s">
        <v>115</v>
      </c>
      <c r="Z25" s="115"/>
      <c r="AA25" s="47"/>
      <c r="AB25" s="2"/>
      <c r="AC25" s="115"/>
      <c r="AD25" s="115"/>
      <c r="AE25" s="2"/>
    </row>
    <row r="26" customFormat="false" ht="15" hidden="false" customHeight="false" outlineLevel="0" collapsed="false">
      <c r="A26" s="11" t="n">
        <v>25</v>
      </c>
      <c r="B26" s="11" t="str">
        <f aca="false">TEXT(D26,"ddd")</f>
        <v>Sat</v>
      </c>
      <c r="C26" s="11" t="n">
        <f aca="false">$A$32-$A26</f>
        <v>6</v>
      </c>
      <c r="D26" s="1" t="n">
        <v>44996</v>
      </c>
      <c r="E26" s="1" t="n">
        <v>44997.3597569445</v>
      </c>
      <c r="F26" s="2" t="n">
        <v>82699.769</v>
      </c>
      <c r="G26" s="2" t="n">
        <v>82732.595</v>
      </c>
      <c r="H26" s="2" t="n">
        <v>32.825</v>
      </c>
      <c r="I26" s="13" t="n">
        <f aca="false">IF($H26&gt;0,($I25+$H26),"")</f>
        <v>781.337</v>
      </c>
      <c r="J26" s="13" t="n">
        <f aca="false">IF(KWH&gt;0,$I26/$A26,"")</f>
        <v>31.25348</v>
      </c>
      <c r="K26" s="15" t="n">
        <f aca="false">IF($H26&lt;&gt;"",(($H26*$S$7)+($A26*$S$8))*(1+$R$9),"")</f>
        <v>9.5096069124525</v>
      </c>
      <c r="L26" s="16" t="n">
        <f aca="false">IF($K26&lt;&gt;"",($K26+$L25),"")</f>
        <v>194.954485041307</v>
      </c>
      <c r="M26" s="17" t="n">
        <f aca="false">IF($J26&lt;&gt;"",$J26*($A$32-$A$2),"")</f>
        <v>937.6044</v>
      </c>
      <c r="N26" s="17" t="n">
        <f aca="false">IF($M26&lt;&gt;"",IF($M26&gt;1000,(($M26*$S$7)+($A26*$S$8))*(1+$R$9)-100,(($M26*$S$7)+($A26*$R$9))*(1+$R$9)),"")</f>
        <v>189.106735872068</v>
      </c>
      <c r="O26" s="18" t="n">
        <f aca="false">IF(I26&gt;=1000,"",(1000-I26))</f>
        <v>218.663</v>
      </c>
      <c r="Q26" s="29" t="s">
        <v>116</v>
      </c>
      <c r="R26" s="29" t="s">
        <v>117</v>
      </c>
      <c r="Z26" s="115"/>
      <c r="AA26" s="47"/>
      <c r="AB26" s="2"/>
      <c r="AC26" s="115"/>
      <c r="AD26" s="115"/>
      <c r="AE26" s="2"/>
    </row>
    <row r="27" customFormat="false" ht="15" hidden="false" customHeight="false" outlineLevel="0" collapsed="false">
      <c r="A27" s="11" t="n">
        <v>26</v>
      </c>
      <c r="B27" s="11" t="str">
        <f aca="false">TEXT(D27,"ddd")</f>
        <v>Sun</v>
      </c>
      <c r="C27" s="11" t="n">
        <f aca="false">$A$32-$A27</f>
        <v>5</v>
      </c>
      <c r="D27" s="1" t="n">
        <v>44997</v>
      </c>
      <c r="E27" s="1" t="n">
        <v>44998.3926736111</v>
      </c>
      <c r="F27" s="2" t="n">
        <v>82732.595</v>
      </c>
      <c r="G27" s="2" t="n">
        <v>82768.444</v>
      </c>
      <c r="H27" s="2" t="n">
        <v>35.848</v>
      </c>
      <c r="I27" s="13" t="n">
        <f aca="false">IF($H27&gt;0,($I26+$H27),"")</f>
        <v>817.185</v>
      </c>
      <c r="J27" s="13" t="n">
        <f aca="false">IF(KWH&gt;0,$I27/$A27,"")</f>
        <v>31.4301923076923</v>
      </c>
      <c r="K27" s="15" t="n">
        <f aca="false">IF($H27&lt;&gt;"",(($H27*$S$7)+($A27*$S$8))*(1+$R$9),"")</f>
        <v>10.2339547540776</v>
      </c>
      <c r="L27" s="16" t="n">
        <f aca="false">IF($K27&lt;&gt;"",($K27+$L26),"")</f>
        <v>205.188439795384</v>
      </c>
      <c r="M27" s="17" t="n">
        <f aca="false">IF($J27&lt;&gt;"",$J27*($A$32-$A$2),"")</f>
        <v>942.905769230769</v>
      </c>
      <c r="N27" s="17" t="n">
        <f aca="false">IF($M27&lt;&gt;"",IF($M27&gt;1000,(($M27*$S$7)+($A27*$S$8))*(1+$R$9)-100,(($M27*$S$7)+($A27*$R$9))*(1+$R$9)),"")</f>
        <v>190.193465994997</v>
      </c>
      <c r="O27" s="18" t="n">
        <f aca="false">IF(I27&gt;=1000,"",(1000-I27))</f>
        <v>182.815</v>
      </c>
      <c r="Q27" s="29" t="s">
        <v>118</v>
      </c>
      <c r="R27" s="29" t="s">
        <v>119</v>
      </c>
      <c r="Z27" s="115"/>
      <c r="AA27" s="47"/>
      <c r="AB27" s="2"/>
      <c r="AC27" s="115"/>
      <c r="AD27" s="115"/>
      <c r="AE27" s="2"/>
    </row>
    <row r="28" customFormat="false" ht="15" hidden="false" customHeight="false" outlineLevel="0" collapsed="false">
      <c r="A28" s="11" t="n">
        <v>27</v>
      </c>
      <c r="B28" s="11" t="str">
        <f aca="false">TEXT(D28,"ddd")</f>
        <v>Mon</v>
      </c>
      <c r="C28" s="11" t="n">
        <f aca="false">$A$32-$A28</f>
        <v>4</v>
      </c>
      <c r="D28" s="1" t="n">
        <v>44998</v>
      </c>
      <c r="E28" s="1" t="n">
        <v>44999.3232523148</v>
      </c>
      <c r="F28" s="2" t="n">
        <v>82768.444</v>
      </c>
      <c r="G28" s="2" t="n">
        <v>82838.738</v>
      </c>
      <c r="H28" s="2" t="n">
        <v>70.291</v>
      </c>
      <c r="I28" s="13" t="n">
        <f aca="false">IF($H28&gt;0,($I27+$H28),"")</f>
        <v>887.476</v>
      </c>
      <c r="J28" s="13" t="n">
        <f aca="false">IF(KWH&gt;0,$I28/$A28,"")</f>
        <v>32.8694814814815</v>
      </c>
      <c r="K28" s="15" t="n">
        <f aca="false">IF($H28&lt;&gt;"",(($H28*$S$7)+($A28*$S$8))*(1+$R$9),"")</f>
        <v>17.2783816695567</v>
      </c>
      <c r="L28" s="16" t="n">
        <f aca="false">IF($K28&lt;&gt;"",($K28+$L27),"")</f>
        <v>222.466821464941</v>
      </c>
      <c r="M28" s="17" t="n">
        <f aca="false">IF($J28&lt;&gt;"",$J28*($A$32-$A$2),"")</f>
        <v>986.084444444444</v>
      </c>
      <c r="N28" s="17" t="n">
        <f aca="false">IF($M28&lt;&gt;"",IF($M28&gt;1000,(($M28*$S$7)+($A28*$S$8))*(1+$R$9)-100,(($M28*$S$7)+($A28*$R$9))*(1+$R$9)),"")</f>
        <v>198.899151207568</v>
      </c>
      <c r="O28" s="18" t="n">
        <f aca="false">IF(I28&gt;=1000,"",(1000-I28))</f>
        <v>112.524</v>
      </c>
      <c r="Z28" s="115"/>
      <c r="AA28" s="47"/>
      <c r="AB28" s="2"/>
      <c r="AC28" s="115"/>
      <c r="AD28" s="115"/>
      <c r="AE28" s="2"/>
    </row>
    <row r="29" customFormat="false" ht="15" hidden="false" customHeight="false" outlineLevel="0" collapsed="false">
      <c r="A29" s="11" t="n">
        <v>28</v>
      </c>
      <c r="B29" s="11" t="str">
        <f aca="false">TEXT(D29,"ddd")</f>
        <v>Tue</v>
      </c>
      <c r="C29" s="11" t="n">
        <f aca="false">$A$32-$A29</f>
        <v>3</v>
      </c>
      <c r="D29" s="1" t="n">
        <v>44999</v>
      </c>
      <c r="E29" s="1" t="n">
        <v>45000.3056712963</v>
      </c>
      <c r="F29" s="2" t="n">
        <v>82838.738</v>
      </c>
      <c r="G29" s="2" t="n">
        <v>82898.844</v>
      </c>
      <c r="H29" s="2" t="n">
        <v>60.106</v>
      </c>
      <c r="I29" s="13" t="n">
        <f aca="false">IF($H29&gt;0,($I28+$H29),"")</f>
        <v>947.582</v>
      </c>
      <c r="J29" s="13" t="n">
        <f aca="false">IF(KWH&gt;0,$I29/$A29,"")</f>
        <v>33.8422142857143</v>
      </c>
      <c r="K29" s="15" t="n">
        <f aca="false">IF($H29&lt;&gt;"",(($H29*$S$7)+($A29*$S$8))*(1+$R$9),"")</f>
        <v>15.3459629800722</v>
      </c>
      <c r="L29" s="16" t="n">
        <f aca="false">IF($K29&lt;&gt;"",($K29+$L28),"")</f>
        <v>237.812784445013</v>
      </c>
      <c r="M29" s="17" t="n">
        <f aca="false">IF($J29&lt;&gt;"",$J29*($A$32-$A$2),"")</f>
        <v>1015.26642857143</v>
      </c>
      <c r="N29" s="17" t="n">
        <f aca="false">IF($M29&lt;&gt;"",IF($M29&gt;1000,(($M29*$S$7)+($A29*$S$8))*(1+$R$9)-100,(($M29*$S$7)+($A29*$R$9))*(1+$R$9)),"")</f>
        <v>107.474843845372</v>
      </c>
      <c r="O29" s="18" t="n">
        <f aca="false">IF(I29&gt;=1000,"",(1000-I29))</f>
        <v>52.4180000000001</v>
      </c>
      <c r="Q29" s="29"/>
      <c r="Z29" s="115"/>
      <c r="AA29" s="47"/>
      <c r="AB29" s="2"/>
      <c r="AC29" s="115"/>
      <c r="AD29" s="115"/>
      <c r="AE29" s="2"/>
    </row>
    <row r="30" customFormat="false" ht="15" hidden="false" customHeight="false" outlineLevel="0" collapsed="false">
      <c r="A30" s="11" t="n">
        <v>29</v>
      </c>
      <c r="B30" s="11" t="str">
        <f aca="false">TEXT(D30,"ddd")</f>
        <v>Wed</v>
      </c>
      <c r="C30" s="11" t="n">
        <f aca="false">$A$32-$A30</f>
        <v>2</v>
      </c>
      <c r="D30" s="1" t="n">
        <v>45000</v>
      </c>
      <c r="E30" s="1" t="n">
        <v>45002.3118634259</v>
      </c>
      <c r="F30" s="2" t="n">
        <v>82898.844</v>
      </c>
      <c r="G30" s="2" t="n">
        <v>82948.387</v>
      </c>
      <c r="H30" s="2" t="n">
        <v>49.541</v>
      </c>
      <c r="I30" s="13" t="n">
        <f aca="false">IF($H30&gt;0,($I29+$H30),"")</f>
        <v>997.123</v>
      </c>
      <c r="J30" s="13" t="n">
        <f aca="false">IF(KWH&gt;0,$I30/$A30,"")</f>
        <v>34.3835517241379</v>
      </c>
      <c r="K30" s="15" t="n">
        <f aca="false">IF($H30&lt;&gt;"",(($H30*$S$7)+($A30*$S$8))*(1+$R$9),"")</f>
        <v>13.3371079427817</v>
      </c>
      <c r="L30" s="16" t="n">
        <f aca="false">IF($K30&lt;&gt;"",($K30+$L29),"")</f>
        <v>251.149892387795</v>
      </c>
      <c r="M30" s="17" t="n">
        <f aca="false">IF($J30&lt;&gt;"",$J30*($A$32-$A$2),"")</f>
        <v>1031.50655172414</v>
      </c>
      <c r="N30" s="17" t="n">
        <f aca="false">IF($M30&lt;&gt;"",IF($M30&gt;1000,(($M30*$S$7)+($A30*$S$8))*(1+$R$9)-100,(($M30*$S$7)+($A30*$R$9))*(1+$R$9)),"")</f>
        <v>110.857793324616</v>
      </c>
      <c r="O30" s="18" t="n">
        <f aca="false">IF(I30&gt;=1000,"",(1000-I30))</f>
        <v>2.87700000000018</v>
      </c>
      <c r="Q30" s="102" t="str">
        <f aca="false">IF(COUNTIF(O1:O500, "&lt;0")=0, "No negative values!", INDEX(A1:A500, MIN(IF(O1:O500&lt;0, ROW(O1:O500)))))</f>
        <v>No negative values!</v>
      </c>
      <c r="Z30" s="115"/>
      <c r="AA30" s="47"/>
      <c r="AB30" s="2"/>
      <c r="AC30" s="115"/>
      <c r="AD30" s="115"/>
      <c r="AE30" s="2"/>
    </row>
    <row r="31" customFormat="false" ht="15" hidden="false" customHeight="false" outlineLevel="0" collapsed="false">
      <c r="A31" s="11" t="n">
        <v>30</v>
      </c>
      <c r="B31" s="11" t="str">
        <f aca="false">TEXT(D31,"ddd")</f>
        <v>Thu</v>
      </c>
      <c r="C31" s="11" t="n">
        <f aca="false">$A$32-$A31</f>
        <v>1</v>
      </c>
      <c r="D31" s="1" t="n">
        <v>45001</v>
      </c>
      <c r="E31" s="1" t="n">
        <v>45002.3113310185</v>
      </c>
      <c r="F31" s="2" t="n">
        <v>82948.387</v>
      </c>
      <c r="G31" s="2" t="n">
        <v>82982.406</v>
      </c>
      <c r="H31" s="2" t="n">
        <v>34.019</v>
      </c>
      <c r="I31" s="13" t="n">
        <f aca="false">IF($H31&gt;0,($I30+$H31),"")</f>
        <v>1031.142</v>
      </c>
      <c r="J31" s="13" t="n">
        <f aca="false">IF(KWH&gt;0,$I31/$A31,"")</f>
        <v>34.3714</v>
      </c>
      <c r="K31" s="15" t="n">
        <f aca="false">IF($H31&lt;&gt;"",(($H31*$S$7)+($A31*$S$8))*(1+$R$9),"")</f>
        <v>10.3311608631903</v>
      </c>
      <c r="L31" s="16" t="n">
        <f aca="false">IF($K31&lt;&gt;"",($K31+$L30),"")</f>
        <v>261.481053250985</v>
      </c>
      <c r="M31" s="17" t="n">
        <f aca="false">IF($J31&lt;&gt;"",$J31*($A$32-$A$2),"")</f>
        <v>1031.142</v>
      </c>
      <c r="N31" s="17" t="n">
        <f aca="false">IF($M31&lt;&gt;"",IF($M31&gt;1000,(($M31*$S$7)+($A31*$S$8))*(1+$R$9)-100,(($M31*$S$7)+($A31*$R$9))*(1+$R$9)),"")</f>
        <v>110.900740950985</v>
      </c>
      <c r="O31" s="18" t="str">
        <f aca="false">IF(I31&gt;=1000,"",(1000-I31))</f>
        <v/>
      </c>
      <c r="Q31" s="117" t="s">
        <v>120</v>
      </c>
      <c r="Z31" s="115"/>
      <c r="AA31" s="47"/>
      <c r="AB31" s="2"/>
      <c r="AC31" s="115"/>
      <c r="AD31" s="115"/>
      <c r="AE31" s="2"/>
    </row>
    <row r="32" customFormat="false" ht="15" hidden="false" customHeight="false" outlineLevel="0" collapsed="false">
      <c r="A32" s="11" t="n">
        <v>31</v>
      </c>
      <c r="B32" s="11" t="str">
        <f aca="false">TEXT(D32,"ddd")</f>
        <v>Fri</v>
      </c>
      <c r="C32" s="11" t="n">
        <f aca="false">$A$32-$A32</f>
        <v>0</v>
      </c>
      <c r="D32" s="1" t="n">
        <v>45002</v>
      </c>
      <c r="E32" s="1" t="n">
        <v>45003</v>
      </c>
      <c r="I32" s="13"/>
      <c r="J32" s="13"/>
      <c r="K32" s="15"/>
      <c r="L32" s="16"/>
      <c r="M32" s="17" t="str">
        <f aca="false">IF($J32&lt;&gt;"",$J32*($A$32-$A$2),"")</f>
        <v/>
      </c>
      <c r="N32" s="17"/>
      <c r="O32" s="18"/>
    </row>
    <row r="33" customFormat="false" ht="15" hidden="false" customHeight="false" outlineLevel="0" collapsed="false">
      <c r="A33" s="4"/>
      <c r="B33" s="11"/>
      <c r="C33" s="4"/>
      <c r="H33" s="118" t="n">
        <f aca="false">SUM(H2:H32)</f>
        <v>1031.142</v>
      </c>
      <c r="I33" s="13"/>
      <c r="J33" s="13"/>
      <c r="K33" s="15"/>
      <c r="L33" s="16"/>
      <c r="M33" s="17" t="str">
        <f aca="false">IF($J33&lt;&gt;"",$J33*($A$32-$A33),"")</f>
        <v/>
      </c>
      <c r="N33" s="17"/>
      <c r="O33" s="18"/>
    </row>
    <row r="34" customFormat="false" ht="15" hidden="false" customHeight="false" outlineLevel="0" collapsed="false">
      <c r="I34" s="81"/>
      <c r="K34" s="47"/>
      <c r="L34" s="2"/>
      <c r="M34" s="2"/>
      <c r="R34" s="0" t="n">
        <v>127.19</v>
      </c>
      <c r="T34" s="29" t="n">
        <f aca="false">(R34/H33)</f>
        <v>0.123348675546142</v>
      </c>
    </row>
    <row r="35" customFormat="false" ht="15" hidden="false" customHeight="false" outlineLevel="0" collapsed="false">
      <c r="I35" s="81"/>
      <c r="K35" s="47"/>
      <c r="L35" s="2"/>
      <c r="M35" s="2"/>
    </row>
    <row r="36" customFormat="false" ht="15" hidden="false" customHeight="false" outlineLevel="0" collapsed="false">
      <c r="L36" s="2"/>
      <c r="M36" s="2"/>
    </row>
  </sheetData>
  <conditionalFormatting sqref="A1:I1 K1:O1">
    <cfRule type="expression" priority="2" aboveAverage="0" equalAverage="0" bottom="0" percent="0" rank="0" text="" dxfId="30">
      <formula>" =CELL(“Protect”,A1)=1"</formula>
    </cfRule>
    <cfRule type="expression" priority="3" aboveAverage="0" equalAverage="0" bottom="0" percent="0" rank="0" text="" dxfId="1">
      <formula>" =CELL(“Protect”,A1)=1"</formula>
    </cfRule>
  </conditionalFormatting>
  <conditionalFormatting sqref="Q2:Q15">
    <cfRule type="expression" priority="4" aboveAverage="0" equalAverage="0" bottom="0" percent="0" rank="0" text="" dxfId="31">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E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1" width="9.71"/>
    <col collapsed="false" customWidth="true" hidden="false" outlineLevel="0" max="7" min="6" style="2" width="10.71"/>
    <col collapsed="false" customWidth="true" hidden="false" outlineLevel="0" max="8" min="8" style="2" width="9.71"/>
    <col collapsed="false" customWidth="true" hidden="false" outlineLevel="0" max="13" min="11" style="0" width="9.71"/>
    <col collapsed="false" customWidth="true" hidden="false" outlineLevel="0" max="15" min="15" style="2" width="9.14"/>
    <col collapsed="false" customWidth="true" hidden="false" outlineLevel="0" max="17" min="17" style="0" width="28.71"/>
    <col collapsed="false" customWidth="true" hidden="false" outlineLevel="0" max="18" min="18" style="0" width="9.86"/>
    <col collapsed="false" customWidth="true" hidden="false" outlineLevel="0" max="19" min="19" style="0" width="10.71"/>
    <col collapsed="false" customWidth="true" hidden="false" outlineLevel="0" max="22" min="20" style="0" width="9.14"/>
    <col collapsed="false" customWidth="true" hidden="false" outlineLevel="0" max="23" min="23" style="0" width="10.57"/>
    <col collapsed="false" customWidth="true" hidden="false" outlineLevel="0" max="24" min="24" style="0" width="9.14"/>
    <col collapsed="false" customWidth="true" hidden="false" outlineLevel="0" max="25" min="25" style="47" width="10.29"/>
  </cols>
  <sheetData>
    <row r="1" customFormat="false" ht="49.5" hidden="false" customHeight="true" outlineLevel="0" collapsed="false">
      <c r="A1" s="5" t="s">
        <v>0</v>
      </c>
      <c r="B1" s="6" t="s">
        <v>1</v>
      </c>
      <c r="C1" s="6" t="s">
        <v>2</v>
      </c>
      <c r="D1" s="7" t="s">
        <v>3</v>
      </c>
      <c r="E1" s="7" t="s">
        <v>4</v>
      </c>
      <c r="F1" s="114" t="s">
        <v>5</v>
      </c>
      <c r="G1" s="114" t="s">
        <v>6</v>
      </c>
      <c r="H1" s="8" t="s">
        <v>7</v>
      </c>
      <c r="I1" s="6" t="s">
        <v>8</v>
      </c>
      <c r="J1" s="6" t="s">
        <v>9</v>
      </c>
      <c r="K1" s="6" t="s">
        <v>10</v>
      </c>
      <c r="L1" s="6" t="s">
        <v>11</v>
      </c>
      <c r="M1" s="6" t="s">
        <v>12</v>
      </c>
      <c r="N1" s="8" t="s">
        <v>13</v>
      </c>
      <c r="O1" s="9" t="s">
        <v>77</v>
      </c>
      <c r="S1" s="10"/>
      <c r="T1" s="71"/>
      <c r="U1" s="72"/>
      <c r="V1" s="72"/>
      <c r="W1" s="71"/>
      <c r="X1" s="71"/>
      <c r="Y1" s="71"/>
      <c r="Z1" s="73"/>
      <c r="AA1" s="71"/>
      <c r="AB1" s="71"/>
      <c r="AC1" s="71"/>
    </row>
    <row r="2" customFormat="false" ht="15" hidden="false" customHeight="true" outlineLevel="0" collapsed="false">
      <c r="A2" s="11" t="n">
        <v>1</v>
      </c>
      <c r="B2" s="11" t="str">
        <f aca="false">TEXT(D2,"ddd")</f>
        <v>Tue</v>
      </c>
      <c r="C2" s="11" t="n">
        <f aca="false">$A$31-$A2</f>
        <v>29</v>
      </c>
      <c r="D2" s="1" t="n">
        <v>44943</v>
      </c>
      <c r="E2" s="1" t="n">
        <v>44944.2584606482</v>
      </c>
      <c r="F2" s="2" t="n">
        <v>80844.204</v>
      </c>
      <c r="G2" s="2" t="n">
        <v>80880.881</v>
      </c>
      <c r="H2" s="2" t="n">
        <v>36.674</v>
      </c>
      <c r="I2" s="13" t="n">
        <f aca="false">H2</f>
        <v>36.674</v>
      </c>
      <c r="J2" s="13" t="n">
        <f aca="false">(I2)</f>
        <v>36.674</v>
      </c>
      <c r="K2" s="15" t="n">
        <f aca="false">IF($H2&lt;&gt;"",(($H2*$S$7)+($A2*$S$8))*(1+$R$9),"")</f>
        <v>5.85165618753068</v>
      </c>
      <c r="L2" s="16" t="n">
        <f aca="false">(K2)</f>
        <v>5.85165618753068</v>
      </c>
      <c r="M2" s="17" t="n">
        <f aca="false">IF($J2&lt;&gt;"",$J2*($A$31-$A2),"")</f>
        <v>1063.546</v>
      </c>
      <c r="N2" s="17" t="n">
        <f aca="false">IF($M2&lt;&gt;"",IF($M2&gt;1000,(($M2*$S$7)+($A2*$S$8))*(1+$R$9)-100,($M2*$S$7)+($A2*$R$9)*(1+$R$9)),"")</f>
        <v>66.4613246383898</v>
      </c>
      <c r="O2" s="18" t="n">
        <f aca="false">IF(I2&gt;=1000,"",(1000-I2))</f>
        <v>963.326</v>
      </c>
      <c r="P2" s="0" t="n">
        <v>2</v>
      </c>
      <c r="Q2" s="19" t="s">
        <v>18</v>
      </c>
      <c r="R2" s="20" t="s">
        <v>19</v>
      </c>
      <c r="S2" s="21"/>
      <c r="T2" s="93" t="n">
        <v>2</v>
      </c>
      <c r="U2" s="74"/>
      <c r="V2" s="74"/>
      <c r="Z2" s="115"/>
      <c r="AA2" s="47"/>
      <c r="AB2" s="2"/>
      <c r="AC2" s="115"/>
      <c r="AD2" s="115"/>
      <c r="AE2" s="2"/>
    </row>
    <row r="3" customFormat="false" ht="15" hidden="false" customHeight="true" outlineLevel="0" collapsed="false">
      <c r="A3" s="11" t="n">
        <v>2</v>
      </c>
      <c r="B3" s="11" t="str">
        <f aca="false">TEXT(D3,"ddd")</f>
        <v>Wed</v>
      </c>
      <c r="C3" s="11" t="n">
        <f aca="false">$A$31-$A3</f>
        <v>28</v>
      </c>
      <c r="D3" s="1" t="n">
        <v>44944</v>
      </c>
      <c r="E3" s="1" t="n">
        <v>44945.2580439815</v>
      </c>
      <c r="F3" s="2" t="n">
        <v>80880.881</v>
      </c>
      <c r="G3" s="2" t="n">
        <v>80905.511</v>
      </c>
      <c r="H3" s="2" t="n">
        <v>24.624</v>
      </c>
      <c r="I3" s="13" t="n">
        <f aca="false">IF($H3&gt;0,($I2+$H3),"")</f>
        <v>61.298</v>
      </c>
      <c r="J3" s="13" t="n">
        <f aca="false">IF(KWH&gt;0,$I3/$A3,"")</f>
        <v>30.649</v>
      </c>
      <c r="K3" s="15" t="n">
        <f aca="false">IF($H3&lt;&gt;"",(($H3*$S$7)+($A3*$S$8))*(1+$R$9),"")</f>
        <v>4.08255196324795</v>
      </c>
      <c r="L3" s="16" t="n">
        <f aca="false">IF($K3&lt;&gt;"",($K3+$L2),"")</f>
        <v>9.93420815077863</v>
      </c>
      <c r="M3" s="17" t="n">
        <f aca="false">IF($J3&lt;&gt;"",$J3*($A$31),"")</f>
        <v>919.47</v>
      </c>
      <c r="N3" s="17" t="n">
        <f aca="false">IF($M3&lt;&gt;"",IF($M3&gt;1000,(($M3*$S$7)+($A3*$S$8))*(1+$R$9)-100,(($M3*$S$7)+($A3*$S$8))*(1+$R$9)),"")</f>
        <v>144.04246846168</v>
      </c>
      <c r="O3" s="18" t="n">
        <f aca="false">IF(I3&gt;=1000,"",(1000-I3))</f>
        <v>938.702</v>
      </c>
      <c r="P3" s="0" t="n">
        <v>3</v>
      </c>
      <c r="Q3" s="22" t="s">
        <v>22</v>
      </c>
      <c r="R3" s="23" t="n">
        <f aca="false">(F2+1000)</f>
        <v>81844.204</v>
      </c>
      <c r="S3" s="24" t="n">
        <v>0</v>
      </c>
      <c r="T3" s="93" t="n">
        <v>3</v>
      </c>
      <c r="Z3" s="115"/>
      <c r="AA3" s="47"/>
      <c r="AB3" s="2"/>
      <c r="AC3" s="115"/>
      <c r="AD3" s="115"/>
      <c r="AE3" s="2"/>
    </row>
    <row r="4" customFormat="false" ht="15" hidden="false" customHeight="true" outlineLevel="0" collapsed="false">
      <c r="A4" s="11" t="n">
        <v>3</v>
      </c>
      <c r="B4" s="11" t="str">
        <f aca="false">TEXT(D4,"ddd")</f>
        <v>Thu</v>
      </c>
      <c r="C4" s="11" t="n">
        <f aca="false">$A$31-$A4</f>
        <v>27</v>
      </c>
      <c r="D4" s="1" t="n">
        <v>44945</v>
      </c>
      <c r="E4" s="1" t="n">
        <v>44946.2590625</v>
      </c>
      <c r="F4" s="2" t="n">
        <v>80905.511</v>
      </c>
      <c r="G4" s="2" t="n">
        <v>80931.546</v>
      </c>
      <c r="H4" s="2" t="n">
        <v>26.034</v>
      </c>
      <c r="I4" s="13" t="n">
        <f aca="false">IF($H4&gt;0,($I3+$H4),"")</f>
        <v>87.332</v>
      </c>
      <c r="J4" s="13" t="n">
        <f aca="false">IF(KWH&gt;0,$I4/$A4,"")</f>
        <v>29.1106666666667</v>
      </c>
      <c r="K4" s="15" t="n">
        <f aca="false">IF($H4&lt;&gt;"",(($H4*$S$7)+($A4*$S$8))*(1+$R$9),"")</f>
        <v>4.41868202069514</v>
      </c>
      <c r="L4" s="16" t="n">
        <f aca="false">IF($K4&lt;&gt;"",($K4+$L3),"")</f>
        <v>14.3528901714738</v>
      </c>
      <c r="M4" s="17" t="n">
        <f aca="false">IF($J4&lt;&gt;"",$J4*($A$31),"")</f>
        <v>873.32</v>
      </c>
      <c r="N4" s="17" t="n">
        <f aca="false">IF($M4&lt;&gt;"",IF($M4&gt;1000,(($M4*$S$7)+($A4*$S$8))*(1+$R$9)-100,(($M4*$S$7)+($A4*$S$8))*(1+$R$9)),"")</f>
        <v>136.939895514738</v>
      </c>
      <c r="O4" s="18" t="n">
        <f aca="false">IF(I4&gt;=1000,"",(1000-I4))</f>
        <v>912.668</v>
      </c>
      <c r="P4" s="0" t="n">
        <v>4</v>
      </c>
      <c r="Q4" s="22" t="s">
        <v>25</v>
      </c>
      <c r="R4" s="25"/>
      <c r="S4" s="26" t="n">
        <v>0.001667</v>
      </c>
      <c r="T4" s="93" t="n">
        <v>4</v>
      </c>
      <c r="U4" s="79"/>
      <c r="Z4" s="115"/>
      <c r="AA4" s="47"/>
      <c r="AB4" s="2"/>
      <c r="AC4" s="115"/>
      <c r="AD4" s="115"/>
      <c r="AE4" s="2"/>
    </row>
    <row r="5" s="45" customFormat="true" ht="15" hidden="false" customHeight="true" outlineLevel="0" collapsed="false">
      <c r="A5" s="11" t="n">
        <v>4</v>
      </c>
      <c r="B5" s="11" t="str">
        <f aca="false">TEXT(D5,"ddd")</f>
        <v>Fri</v>
      </c>
      <c r="C5" s="11" t="n">
        <f aca="false">$A$31-$A5</f>
        <v>26</v>
      </c>
      <c r="D5" s="1" t="n">
        <v>44946</v>
      </c>
      <c r="E5" s="1" t="n">
        <v>44947.2582175926</v>
      </c>
      <c r="F5" s="2" t="n">
        <v>80931.546</v>
      </c>
      <c r="G5" s="2" t="n">
        <v>80955.83</v>
      </c>
      <c r="H5" s="2" t="n">
        <v>24.281</v>
      </c>
      <c r="I5" s="13" t="n">
        <f aca="false">IF($H5&gt;0,($I4+$H5),"")</f>
        <v>111.613</v>
      </c>
      <c r="J5" s="13" t="n">
        <f aca="false">IF(KWH&gt;0,$I5/$A5,"")</f>
        <v>27.90325</v>
      </c>
      <c r="K5" s="15" t="n">
        <f aca="false">IF($H5&lt;&gt;"",(($H5*$S$7)+($A5*$S$8))*(1+$R$9),"")</f>
        <v>4.26009766260655</v>
      </c>
      <c r="L5" s="16" t="n">
        <f aca="false">IF($K5&lt;&gt;"",($K5+$L4),"")</f>
        <v>18.6129878340803</v>
      </c>
      <c r="M5" s="17" t="n">
        <f aca="false">IF($J5&lt;&gt;"",$J5*($A$31),"")</f>
        <v>837.0975</v>
      </c>
      <c r="N5" s="17" t="n">
        <f aca="false">IF($M5&lt;&gt;"",IF($M5&gt;1000,(($M5*$S$7)+($A5*$S$8))*(1+$R$9)-100,(($M5*$S$7)+($A5*$S$8))*(1+$R$9)),"")</f>
        <v>131.390050155602</v>
      </c>
      <c r="O5" s="18" t="n">
        <f aca="false">IF(I5&gt;=1000,"",(1000-I5))</f>
        <v>888.387</v>
      </c>
      <c r="P5" s="45" t="n">
        <v>5</v>
      </c>
      <c r="Q5" s="22" t="s">
        <v>28</v>
      </c>
      <c r="R5" s="25"/>
      <c r="S5" s="26" t="n">
        <v>0.042</v>
      </c>
      <c r="T5" s="93" t="n">
        <v>5</v>
      </c>
      <c r="Z5" s="115"/>
      <c r="AA5" s="47"/>
      <c r="AB5" s="2"/>
      <c r="AC5" s="115"/>
      <c r="AD5" s="115"/>
      <c r="AE5" s="2"/>
    </row>
    <row r="6" customFormat="false" ht="15" hidden="false" customHeight="true" outlineLevel="0" collapsed="false">
      <c r="A6" s="11" t="n">
        <v>5</v>
      </c>
      <c r="B6" s="11" t="str">
        <f aca="false">TEXT(D6,"ddd")</f>
        <v>Sat</v>
      </c>
      <c r="C6" s="11" t="n">
        <f aca="false">$A$31-$A6</f>
        <v>25</v>
      </c>
      <c r="D6" s="1" t="n">
        <v>44947</v>
      </c>
      <c r="E6" s="1" t="n">
        <v>44948.3956828704</v>
      </c>
      <c r="F6" s="2" t="n">
        <v>80955.83</v>
      </c>
      <c r="G6" s="2" t="n">
        <v>80986.876</v>
      </c>
      <c r="H6" s="2" t="n">
        <v>31.045</v>
      </c>
      <c r="I6" s="13" t="n">
        <f aca="false">IF($H6&gt;0,($I5+$H6),"")</f>
        <v>142.658</v>
      </c>
      <c r="J6" s="13" t="n">
        <f aca="false">IF(KWH&gt;0,$I6/$A6,"")</f>
        <v>28.5316</v>
      </c>
      <c r="K6" s="15" t="n">
        <f aca="false">IF($H6&lt;&gt;"",(($H6*$S$7)+($A6*$S$8))*(1+$R$9),"")</f>
        <v>5.43362923152342</v>
      </c>
      <c r="L6" s="16" t="n">
        <f aca="false">IF($K6&lt;&gt;"",($K6+$L5),"")</f>
        <v>24.0466170656037</v>
      </c>
      <c r="M6" s="17" t="n">
        <f aca="false">IF($J6&lt;&gt;"",$J6*($A$31),"")</f>
        <v>855.948</v>
      </c>
      <c r="N6" s="17" t="n">
        <f aca="false">IF($M6&lt;&gt;"",IF($M6&gt;1000,(($M6*$S$7)+($A6*$S$8))*(1+$R$9)-100,(($M6*$S$7)+($A6*$S$8))*(1+$R$9)),"")</f>
        <v>134.453991393623</v>
      </c>
      <c r="O6" s="18" t="n">
        <f aca="false">IF(I6&gt;=1000,"",(1000-I6))</f>
        <v>857.342</v>
      </c>
      <c r="P6" s="0" t="n">
        <v>6</v>
      </c>
      <c r="Q6" s="22" t="s">
        <v>31</v>
      </c>
      <c r="R6" s="25"/>
      <c r="S6" s="26" t="n">
        <v>0.109677419354839</v>
      </c>
      <c r="T6" s="93" t="n">
        <v>6</v>
      </c>
      <c r="Z6" s="115"/>
      <c r="AA6" s="47"/>
      <c r="AB6" s="2"/>
      <c r="AC6" s="115"/>
      <c r="AD6" s="115"/>
      <c r="AE6" s="2"/>
    </row>
    <row r="7" customFormat="false" ht="15" hidden="false" customHeight="true" outlineLevel="0" collapsed="false">
      <c r="A7" s="11" t="n">
        <v>6</v>
      </c>
      <c r="B7" s="11" t="str">
        <f aca="false">TEXT(D7,"ddd")</f>
        <v>Sun</v>
      </c>
      <c r="C7" s="11" t="n">
        <f aca="false">$A$31-$A7</f>
        <v>24</v>
      </c>
      <c r="D7" s="1" t="n">
        <v>44948</v>
      </c>
      <c r="E7" s="1" t="n">
        <v>44949.257337963</v>
      </c>
      <c r="F7" s="2" t="n">
        <v>80986.876</v>
      </c>
      <c r="G7" s="2" t="n">
        <v>81021.214</v>
      </c>
      <c r="H7" s="2" t="n">
        <v>34.335</v>
      </c>
      <c r="I7" s="13" t="n">
        <f aca="false">IF($H7&gt;0,($I6+$H7),"")</f>
        <v>176.993</v>
      </c>
      <c r="J7" s="13" t="n">
        <f aca="false">IF(KWH&gt;0,$I7/$A7,"")</f>
        <v>29.4988333333333</v>
      </c>
      <c r="K7" s="15" t="n">
        <f aca="false">IF($H7&lt;&gt;"",(($H7*$S$7)+($A7*$S$8))*(1+$R$9),"")</f>
        <v>6.0638038989002</v>
      </c>
      <c r="L7" s="16" t="n">
        <f aca="false">IF($K7&lt;&gt;"",($K7+$L6),"")</f>
        <v>30.1104209645039</v>
      </c>
      <c r="M7" s="17" t="n">
        <f aca="false">IF($J7&lt;&gt;"",$J7*($A$31),"")</f>
        <v>884.965</v>
      </c>
      <c r="N7" s="17" t="n">
        <f aca="false">IF($M7&lt;&gt;"",IF($M7&gt;1000,(($M7*$S$7)+($A7*$S$8))*(1+$R$9)-100,(($M7*$S$7)+($A7*$S$8))*(1+$R$9)),"")</f>
        <v>139.10804142252</v>
      </c>
      <c r="O7" s="18" t="n">
        <f aca="false">IF(I7&gt;=1000,"",(1000-I7))</f>
        <v>823.007</v>
      </c>
      <c r="P7" s="0" t="n">
        <v>7</v>
      </c>
      <c r="Q7" s="22" t="s">
        <v>34</v>
      </c>
      <c r="R7" s="25"/>
      <c r="S7" s="28" t="n">
        <f aca="false">SUM(S4:S6)</f>
        <v>0.153344419354839</v>
      </c>
      <c r="T7" s="93" t="n">
        <v>7</v>
      </c>
      <c r="Z7" s="115"/>
      <c r="AA7" s="47"/>
      <c r="AB7" s="2"/>
      <c r="AC7" s="115"/>
      <c r="AD7" s="115"/>
      <c r="AE7" s="2"/>
    </row>
    <row r="8" customFormat="false" ht="15.1" hidden="false" customHeight="false" outlineLevel="0" collapsed="false">
      <c r="A8" s="11" t="n">
        <v>7</v>
      </c>
      <c r="B8" s="11" t="str">
        <f aca="false">TEXT(D8,"ddd")</f>
        <v>Mon</v>
      </c>
      <c r="C8" s="11" t="n">
        <f aca="false">$A$31-$A8</f>
        <v>23</v>
      </c>
      <c r="D8" s="1" t="n">
        <v>44949</v>
      </c>
      <c r="E8" s="1" t="n">
        <v>44950.2570486111</v>
      </c>
      <c r="F8" s="2" t="n">
        <v>81021.214</v>
      </c>
      <c r="G8" s="2" t="n">
        <v>81061.558</v>
      </c>
      <c r="H8" s="2" t="n">
        <v>40.346</v>
      </c>
      <c r="I8" s="13" t="n">
        <f aca="false">IF($H8&gt;0,($I7+$H8),"")</f>
        <v>217.339</v>
      </c>
      <c r="J8" s="13" t="n">
        <f aca="false">IF(KWH&gt;0,$I8/$A8,"")</f>
        <v>31.0484285714286</v>
      </c>
      <c r="K8" s="15" t="n">
        <f aca="false">IF($H8&lt;&gt;"",(($H8*$S$7)+($A8*$S$8))*(1+$R$9),"")</f>
        <v>7.11956121713783</v>
      </c>
      <c r="L8" s="16" t="n">
        <f aca="false">IF($K8&lt;&gt;"",($K8+$L7),"")</f>
        <v>37.2299821816418</v>
      </c>
      <c r="M8" s="17" t="n">
        <f aca="false">IF($J8&lt;&gt;"",$J8*($A$31),"")</f>
        <v>931.452857142857</v>
      </c>
      <c r="N8" s="17" t="n">
        <f aca="false">IF($M8&lt;&gt;"",IF($M8&gt;1000,(($M8*$S$7)+($A8*$S$8))*(1+$R$9)-100,(($M8*$S$7)+($A8*$S$8))*(1+$R$9)),"")</f>
        <v>146.49465069275</v>
      </c>
      <c r="O8" s="18" t="n">
        <f aca="false">IF(I8&gt;=1000,"",(1000-I8))</f>
        <v>782.661</v>
      </c>
      <c r="P8" s="0" t="n">
        <v>8</v>
      </c>
      <c r="Q8" s="22" t="s">
        <v>38</v>
      </c>
      <c r="R8" s="33" t="n">
        <v>3.4</v>
      </c>
      <c r="S8" s="94" t="n">
        <f aca="false">(R8/$A$31)</f>
        <v>0.113333333333333</v>
      </c>
      <c r="T8" s="93" t="n">
        <v>8</v>
      </c>
      <c r="X8" s="116"/>
      <c r="Y8" s="47" t="s">
        <v>112</v>
      </c>
      <c r="Z8" s="115"/>
      <c r="AA8" s="47"/>
      <c r="AB8" s="2"/>
      <c r="AC8" s="115"/>
      <c r="AD8" s="115"/>
      <c r="AE8" s="2"/>
    </row>
    <row r="9" customFormat="false" ht="15" hidden="false" customHeight="false" outlineLevel="0" collapsed="false">
      <c r="A9" s="11" t="n">
        <v>8</v>
      </c>
      <c r="B9" s="11" t="str">
        <f aca="false">TEXT(D9,"ddd")</f>
        <v>Tue</v>
      </c>
      <c r="C9" s="11" t="n">
        <f aca="false">$A$31-$A9</f>
        <v>22</v>
      </c>
      <c r="D9" s="1" t="n">
        <v>44950</v>
      </c>
      <c r="E9" s="1" t="n">
        <v>44951.2562847222</v>
      </c>
      <c r="F9" s="2" t="n">
        <v>81061.558</v>
      </c>
      <c r="G9" s="2" t="n">
        <v>81096.65</v>
      </c>
      <c r="H9" s="2" t="n">
        <v>35.09</v>
      </c>
      <c r="I9" s="13" t="n">
        <f aca="false">IF($H9&gt;0,($I8+$H9),"")</f>
        <v>252.429</v>
      </c>
      <c r="J9" s="13" t="n">
        <f aca="false">IF(KWH&gt;0,$I9/$A9,"")</f>
        <v>31.553625</v>
      </c>
      <c r="K9" s="15" t="n">
        <f aca="false">IF($H9&lt;&gt;"",(($H9*$S$7)+($A9*$S$8))*(1+$R$9),"")</f>
        <v>6.41308416299426</v>
      </c>
      <c r="L9" s="16" t="n">
        <f aca="false">IF($K9&lt;&gt;"",($K9+$L8),"")</f>
        <v>43.643066344636</v>
      </c>
      <c r="M9" s="17" t="n">
        <f aca="false">IF($J9&lt;&gt;"",$J9*($A$31),"")</f>
        <v>946.60875</v>
      </c>
      <c r="N9" s="17" t="n">
        <f aca="false">IF($M9&lt;&gt;"",IF($M9&gt;1000,(($M9*$S$7)+($A9*$S$8))*(1+$R$9)-100,(($M9*$S$7)+($A9*$S$8))*(1+$R$9)),"")</f>
        <v>148.980730592385</v>
      </c>
      <c r="O9" s="18" t="n">
        <f aca="false">IF(I9&gt;=1000,"",(1000-I9))</f>
        <v>747.571</v>
      </c>
      <c r="P9" s="0" t="n">
        <v>9</v>
      </c>
      <c r="Q9" s="22" t="s">
        <v>42</v>
      </c>
      <c r="R9" s="30" t="n">
        <v>0.01997</v>
      </c>
      <c r="S9" s="32"/>
      <c r="T9" s="93" t="n">
        <v>9</v>
      </c>
      <c r="Z9" s="115"/>
      <c r="AA9" s="47"/>
      <c r="AB9" s="2"/>
      <c r="AC9" s="115"/>
      <c r="AD9" s="115"/>
      <c r="AE9" s="2"/>
    </row>
    <row r="10" customFormat="false" ht="15" hidden="false" customHeight="false" outlineLevel="0" collapsed="false">
      <c r="A10" s="11" t="n">
        <v>9</v>
      </c>
      <c r="B10" s="11" t="str">
        <f aca="false">TEXT(D10,"ddd")</f>
        <v>Wed</v>
      </c>
      <c r="C10" s="11" t="n">
        <f aca="false">$A$31-$A10</f>
        <v>21</v>
      </c>
      <c r="D10" s="1" t="n">
        <v>44951</v>
      </c>
      <c r="E10" s="1" t="n">
        <v>44952.2564930556</v>
      </c>
      <c r="F10" s="2" t="n">
        <v>81096.65</v>
      </c>
      <c r="G10" s="2" t="n">
        <v>81138.642</v>
      </c>
      <c r="H10" s="2" t="n">
        <v>41.993</v>
      </c>
      <c r="I10" s="13" t="n">
        <f aca="false">IF($H10&gt;0,($I9+$H10),"")</f>
        <v>294.422</v>
      </c>
      <c r="J10" s="13" t="n">
        <f aca="false">IF(KWH&gt;0,$I10/$A10,"")</f>
        <v>32.7135555555556</v>
      </c>
      <c r="K10" s="15" t="n">
        <f aca="false">IF($H10&lt;&gt;"",(($H10*$S$7)+($A10*$S$8))*(1+$R$9),"")</f>
        <v>7.60835626424104</v>
      </c>
      <c r="L10" s="16" t="n">
        <f aca="false">IF($K10&lt;&gt;"",($K10+$L9),"")</f>
        <v>51.2514226088771</v>
      </c>
      <c r="M10" s="17" t="n">
        <f aca="false">IF($J10&lt;&gt;"",$J10*($A$31),"")</f>
        <v>981.406666666667</v>
      </c>
      <c r="N10" s="17" t="n">
        <f aca="false">IF($M10&lt;&gt;"",IF($M10&gt;1000,(($M10*$S$7)+($A10*$S$8))*(1+$R$9)-100,(($M10*$S$7)+($A10*$S$8))*(1+$R$9)),"")</f>
        <v>154.538954762924</v>
      </c>
      <c r="O10" s="18" t="n">
        <f aca="false">IF(I10&gt;=1000,"",(1000-I10))</f>
        <v>705.578</v>
      </c>
      <c r="P10" s="0" t="n">
        <v>10</v>
      </c>
      <c r="Q10" s="22" t="s">
        <v>46</v>
      </c>
      <c r="R10" s="25"/>
      <c r="S10" s="95" t="n">
        <v>100</v>
      </c>
      <c r="T10" s="93" t="n">
        <v>10</v>
      </c>
      <c r="Z10" s="115"/>
      <c r="AA10" s="47"/>
      <c r="AB10" s="2"/>
      <c r="AC10" s="115"/>
      <c r="AD10" s="115"/>
      <c r="AE10" s="2"/>
    </row>
    <row r="11" customFormat="false" ht="15" hidden="false" customHeight="false" outlineLevel="0" collapsed="false">
      <c r="A11" s="11" t="n">
        <v>10</v>
      </c>
      <c r="B11" s="11" t="str">
        <f aca="false">TEXT(D11,"ddd")</f>
        <v>Thu</v>
      </c>
      <c r="C11" s="11" t="n">
        <f aca="false">$A$31-$A11</f>
        <v>20</v>
      </c>
      <c r="D11" s="1" t="n">
        <v>44952</v>
      </c>
      <c r="E11" s="1" t="n">
        <v>44953.2561689815</v>
      </c>
      <c r="F11" s="2" t="n">
        <v>81138.642</v>
      </c>
      <c r="G11" s="2" t="n">
        <v>81181.994</v>
      </c>
      <c r="H11" s="2" t="n">
        <v>43.355</v>
      </c>
      <c r="I11" s="13" t="n">
        <f aca="false">IF($H11&gt;0,($I10+$H11),"")</f>
        <v>337.777</v>
      </c>
      <c r="J11" s="13" t="n">
        <f aca="false">IF(KWH&gt;0,$I11/$A11,"")</f>
        <v>33.7777</v>
      </c>
      <c r="K11" s="15" t="n">
        <f aca="false">IF($H11&lt;&gt;"",(($H11*$S$7)+($A11*$S$8))*(1+$R$9),"")</f>
        <v>7.93697879973258</v>
      </c>
      <c r="L11" s="16" t="n">
        <f aca="false">IF($K11&lt;&gt;"",($K11+$L10),"")</f>
        <v>59.1884014086097</v>
      </c>
      <c r="M11" s="17" t="n">
        <f aca="false">IF($J11&lt;&gt;"",$J11*($A$31),"")</f>
        <v>1013.331</v>
      </c>
      <c r="N11" s="17" t="n">
        <f aca="false">IF($M11&lt;&gt;"",IF($M11&gt;1000,(($M11*$S$7)+($A11*$S$8))*(1+$R$9)-100,(($M11*$S$7)+($A11*$S$8))*(1+$R$9)),"")</f>
        <v>59.647731225829</v>
      </c>
      <c r="O11" s="18" t="n">
        <f aca="false">IF(I11&gt;=1000,"",(1000-I11))</f>
        <v>662.223</v>
      </c>
      <c r="P11" s="0" t="n">
        <v>11</v>
      </c>
      <c r="Q11" s="22" t="s">
        <v>103</v>
      </c>
      <c r="R11" s="96" t="str">
        <f aca="false">IF(COUNTIF(O1:O35, "&lt;0")=0, "NOT YET!", INDEX(A1:A35, MIN(IF(O1:O35&lt;0, ROW(O1:O35)))))</f>
        <v>NOT YET!</v>
      </c>
      <c r="S11" s="32"/>
      <c r="T11" s="93" t="n">
        <v>11</v>
      </c>
      <c r="Z11" s="115"/>
      <c r="AA11" s="47"/>
      <c r="AB11" s="2"/>
      <c r="AC11" s="115"/>
      <c r="AD11" s="115"/>
      <c r="AE11" s="2"/>
    </row>
    <row r="12" customFormat="false" ht="15" hidden="false" customHeight="false" outlineLevel="0" collapsed="false">
      <c r="A12" s="11" t="n">
        <v>11</v>
      </c>
      <c r="B12" s="11" t="str">
        <f aca="false">TEXT(D12,"ddd")</f>
        <v>Fri</v>
      </c>
      <c r="C12" s="11" t="n">
        <f aca="false">$A$31-$A12</f>
        <v>19</v>
      </c>
      <c r="D12" s="1" t="n">
        <v>44953</v>
      </c>
      <c r="E12" s="1" t="n">
        <v>44954.2557291667</v>
      </c>
      <c r="F12" s="2" t="n">
        <v>81181.994</v>
      </c>
      <c r="G12" s="2" t="n">
        <v>81226.177</v>
      </c>
      <c r="H12" s="2" t="n">
        <v>44.186</v>
      </c>
      <c r="I12" s="13" t="n">
        <f aca="false">IF($H12&gt;0,($I11+$H12),"")</f>
        <v>381.963</v>
      </c>
      <c r="J12" s="13" t="n">
        <f aca="false">IF(KWH&gt;0,$I12/$A12,"")</f>
        <v>34.7239090909091</v>
      </c>
      <c r="K12" s="15" t="n">
        <f aca="false">IF($H12&lt;&gt;"",(($H12*$S$7)+($A12*$S$8))*(1+$R$9),"")</f>
        <v>8.18254937358975</v>
      </c>
      <c r="L12" s="16" t="n">
        <f aca="false">IF($K12&lt;&gt;"",($K12+$L11),"")</f>
        <v>67.3709507821994</v>
      </c>
      <c r="M12" s="17" t="n">
        <f aca="false">IF($J12&lt;&gt;"",$J12*($A$31),"")</f>
        <v>1041.71727272727</v>
      </c>
      <c r="N12" s="17" t="n">
        <f aca="false">IF($M12&lt;&gt;"",IF($M12&gt;1000,(($M12*$S$7)+($A12*$S$8))*(1+$R$9)-100,(($M12*$S$7)+($A12*$S$8))*(1+$R$9)),"")</f>
        <v>64.2031312787257</v>
      </c>
      <c r="O12" s="18" t="n">
        <f aca="false">IF(I12&gt;=1000,"",(1000-I12))</f>
        <v>618.037</v>
      </c>
      <c r="P12" s="0" t="n">
        <v>12</v>
      </c>
      <c r="Q12" s="22" t="s">
        <v>49</v>
      </c>
      <c r="R12" s="33" t="n">
        <v>295</v>
      </c>
      <c r="S12" s="32"/>
      <c r="T12" s="93" t="n">
        <v>12</v>
      </c>
      <c r="Z12" s="115"/>
      <c r="AA12" s="47"/>
      <c r="AB12" s="2"/>
      <c r="AC12" s="115"/>
      <c r="AD12" s="115"/>
      <c r="AE12" s="2"/>
    </row>
    <row r="13" customFormat="false" ht="15" hidden="false" customHeight="false" outlineLevel="0" collapsed="false">
      <c r="A13" s="11" t="n">
        <v>12</v>
      </c>
      <c r="B13" s="11" t="str">
        <f aca="false">TEXT(D13,"ddd")</f>
        <v>Sat</v>
      </c>
      <c r="C13" s="11" t="n">
        <f aca="false">$A$31-$A13</f>
        <v>18</v>
      </c>
      <c r="D13" s="1" t="n">
        <v>44954</v>
      </c>
      <c r="E13" s="1" t="n">
        <v>44955.2747569445</v>
      </c>
      <c r="F13" s="2" t="n">
        <v>81226.177</v>
      </c>
      <c r="G13" s="2" t="n">
        <v>81259.319</v>
      </c>
      <c r="H13" s="2" t="n">
        <v>33.141</v>
      </c>
      <c r="I13" s="13" t="n">
        <f aca="false">IF($H13&gt;0,($I12+$H13),"")</f>
        <v>415.104</v>
      </c>
      <c r="J13" s="13" t="n">
        <f aca="false">IF(KWH&gt;0,$I13/$A13,"")</f>
        <v>34.592</v>
      </c>
      <c r="K13" s="15" t="n">
        <f aca="false">IF($H13&lt;&gt;"",(($H13*$S$7)+($A13*$S$8))*(1+$R$9),"")</f>
        <v>6.57063389025343</v>
      </c>
      <c r="L13" s="16" t="n">
        <f aca="false">IF($K13&lt;&gt;"",($K13+$L12),"")</f>
        <v>73.9415846724529</v>
      </c>
      <c r="M13" s="17" t="n">
        <f aca="false">IF($J13&lt;&gt;"",$J13*($A$31),"")</f>
        <v>1037.76</v>
      </c>
      <c r="N13" s="17" t="n">
        <f aca="false">IF($M13&lt;&gt;"",IF($M13&gt;1000,(($M13*$S$7)+($A13*$S$8))*(1+$R$9)-100,(($M13*$S$7)+($A13*$S$8))*(1+$R$9)),"")</f>
        <v>63.6997838811321</v>
      </c>
      <c r="O13" s="18" t="n">
        <f aca="false">IF(I13&gt;=1000,"",(1000-I13))</f>
        <v>584.896</v>
      </c>
      <c r="Q13" s="22" t="s">
        <v>52</v>
      </c>
      <c r="R13" s="97" t="n">
        <f aca="false">INDEX(L2:L32,COUNT(L2:L32))</f>
        <v>223.43253315033</v>
      </c>
      <c r="S13" s="32"/>
      <c r="T13" s="98"/>
      <c r="U13" s="29"/>
      <c r="Z13" s="115"/>
      <c r="AA13" s="47"/>
      <c r="AB13" s="2"/>
      <c r="AC13" s="115"/>
      <c r="AD13" s="115"/>
      <c r="AE13" s="2"/>
    </row>
    <row r="14" customFormat="false" ht="15" hidden="false" customHeight="false" outlineLevel="0" collapsed="false">
      <c r="A14" s="11" t="n">
        <v>13</v>
      </c>
      <c r="B14" s="11" t="str">
        <f aca="false">TEXT(D14,"ddd")</f>
        <v>Sun</v>
      </c>
      <c r="C14" s="11" t="n">
        <f aca="false">$A$31-$A14</f>
        <v>17</v>
      </c>
      <c r="D14" s="1" t="n">
        <v>44955</v>
      </c>
      <c r="E14" s="1" t="n">
        <v>44956.256087963</v>
      </c>
      <c r="F14" s="2" t="n">
        <v>81259.319</v>
      </c>
      <c r="G14" s="2" t="n">
        <v>81280.078</v>
      </c>
      <c r="H14" s="2" t="n">
        <v>20.757</v>
      </c>
      <c r="I14" s="13" t="n">
        <f aca="false">IF($H14&gt;0,($I13+$H14),"")</f>
        <v>435.861</v>
      </c>
      <c r="J14" s="13" t="n">
        <f aca="false">IF(KWH&gt;0,$I14/$A14,"")</f>
        <v>33.5277692307692</v>
      </c>
      <c r="K14" s="15" t="n">
        <f aca="false">IF($H14&lt;&gt;"",(($H14*$S$7)+($A14*$S$8))*(1+$R$9),"")</f>
        <v>4.74928982569598</v>
      </c>
      <c r="L14" s="16" t="n">
        <f aca="false">IF($K14&lt;&gt;"",($K14+$L13),"")</f>
        <v>78.6908744981488</v>
      </c>
      <c r="M14" s="17" t="n">
        <f aca="false">IF($J14&lt;&gt;"",$J14*($A$31),"")</f>
        <v>1005.83307692308</v>
      </c>
      <c r="N14" s="17" t="n">
        <f aca="false">IF($M14&lt;&gt;"",IF($M14&gt;1000,(($M14*$S$7)+($A14*$S$8))*(1+$R$9)-100,(($M14*$S$7)+($A14*$R$9))*(1+$R$9)),"")</f>
        <v>58.8217955649589</v>
      </c>
      <c r="O14" s="18" t="n">
        <f aca="false">IF(I14&gt;=1000,"",(1000-I14))</f>
        <v>564.139</v>
      </c>
      <c r="Q14" s="22" t="s">
        <v>55</v>
      </c>
      <c r="R14" s="99" t="n">
        <f aca="false">INDEX(I2:I32,COUNT(I2:I32))</f>
        <v>1107.037</v>
      </c>
      <c r="S14" s="32"/>
      <c r="T14" s="98"/>
      <c r="U14" s="29"/>
      <c r="Z14" s="115"/>
      <c r="AA14" s="47"/>
      <c r="AB14" s="2"/>
      <c r="AC14" s="115"/>
      <c r="AD14" s="115"/>
      <c r="AE14" s="2"/>
    </row>
    <row r="15" customFormat="false" ht="15" hidden="false" customHeight="false" outlineLevel="0" collapsed="false">
      <c r="A15" s="11" t="n">
        <v>14</v>
      </c>
      <c r="B15" s="11" t="str">
        <f aca="false">TEXT(D15,"ddd")</f>
        <v>Mon</v>
      </c>
      <c r="C15" s="11" t="n">
        <f aca="false">$A$31-$A15</f>
        <v>16</v>
      </c>
      <c r="D15" s="1" t="n">
        <v>44956</v>
      </c>
      <c r="E15" s="1" t="n">
        <v>44957.2692013889</v>
      </c>
      <c r="F15" s="2" t="n">
        <v>81280.078</v>
      </c>
      <c r="G15" s="2" t="n">
        <v>81339.498</v>
      </c>
      <c r="H15" s="2" t="n">
        <v>59.416</v>
      </c>
      <c r="I15" s="13" t="n">
        <f aca="false">IF($H15&gt;0,($I14+$H15),"")</f>
        <v>495.277</v>
      </c>
      <c r="J15" s="13" t="n">
        <f aca="false">IF(KWH&gt;0,$I15/$A15,"")</f>
        <v>35.3769285714286</v>
      </c>
      <c r="K15" s="15" t="n">
        <f aca="false">IF($H15&lt;&gt;"",(($H15*$S$7)+($A15*$S$8))*(1+$R$9),"")</f>
        <v>10.9114133274342</v>
      </c>
      <c r="L15" s="16" t="n">
        <f aca="false">IF($K15&lt;&gt;"",($K15+$L14),"")</f>
        <v>89.6022878255831</v>
      </c>
      <c r="M15" s="17" t="n">
        <f aca="false">IF($J15&lt;&gt;"",$J15*($A$31),"")</f>
        <v>1061.30785714286</v>
      </c>
      <c r="N15" s="17" t="n">
        <f aca="false">IF($M15&lt;&gt;"",IF($M15&gt;1000,(($M15*$S$7)+($A15*$S$8))*(1+$R$9)-100,(($M15*$S$7)+($A15*$R$9))*(1+$R$9)),"")</f>
        <v>67.6140198833923</v>
      </c>
      <c r="O15" s="18" t="n">
        <f aca="false">IF(I15&gt;=1000,"",(1000-I15))</f>
        <v>504.723</v>
      </c>
      <c r="Q15" s="40" t="s">
        <v>58</v>
      </c>
      <c r="R15" s="100" t="n">
        <f aca="false">INDEX(J2:J32,COUNT(J2:J32))</f>
        <v>38.1736896551724</v>
      </c>
      <c r="S15" s="101"/>
      <c r="Z15" s="115"/>
      <c r="AA15" s="47"/>
      <c r="AB15" s="2"/>
      <c r="AC15" s="115"/>
      <c r="AD15" s="115"/>
      <c r="AE15" s="2"/>
    </row>
    <row r="16" customFormat="false" ht="15" hidden="false" customHeight="false" outlineLevel="0" collapsed="false">
      <c r="A16" s="11" t="n">
        <v>15</v>
      </c>
      <c r="B16" s="11" t="str">
        <f aca="false">TEXT(D16,"ddd")</f>
        <v>Tue</v>
      </c>
      <c r="C16" s="11" t="n">
        <f aca="false">$A$31-$A16</f>
        <v>15</v>
      </c>
      <c r="D16" s="1" t="n">
        <v>44957</v>
      </c>
      <c r="E16" s="1" t="n">
        <v>44958.2566782407</v>
      </c>
      <c r="F16" s="2" t="n">
        <v>81339.498</v>
      </c>
      <c r="G16" s="2" t="n">
        <v>81408.085</v>
      </c>
      <c r="H16" s="2" t="n">
        <v>68.585</v>
      </c>
      <c r="I16" s="13" t="n">
        <f aca="false">IF($H16&gt;0,($I15+$H16),"")</f>
        <v>563.862</v>
      </c>
      <c r="J16" s="13" t="n">
        <f aca="false">IF(KWH&gt;0,$I16/$A16,"")</f>
        <v>37.5908</v>
      </c>
      <c r="K16" s="15" t="n">
        <f aca="false">IF($H16&lt;&gt;"",(($H16*$S$7)+($A16*$S$8))*(1+$R$9),"")</f>
        <v>12.4611030276706</v>
      </c>
      <c r="L16" s="16" t="n">
        <f aca="false">IF($K16&lt;&gt;"",($K16+$L15),"")</f>
        <v>102.063390853254</v>
      </c>
      <c r="M16" s="17" t="n">
        <f aca="false">IF($J16&lt;&gt;"",$J16*($A$31),"")</f>
        <v>1127.724</v>
      </c>
      <c r="N16" s="17" t="n">
        <f aca="false">IF($M16&lt;&gt;"",IF($M16&gt;1000,(($M16*$S$7)+($A16*$S$8))*(1+$R$9)-100,(($M16*$S$7)+($A16*$R$9))*(1+$R$9)),"")</f>
        <v>78.1175467065073</v>
      </c>
      <c r="O16" s="18" t="n">
        <f aca="false">IF(I16&gt;=1000,"",(1000-I16))</f>
        <v>436.138</v>
      </c>
      <c r="Z16" s="115"/>
      <c r="AA16" s="47"/>
      <c r="AB16" s="2"/>
      <c r="AC16" s="115"/>
      <c r="AD16" s="115"/>
      <c r="AE16" s="2"/>
    </row>
    <row r="17" customFormat="false" ht="15" hidden="false" customHeight="false" outlineLevel="0" collapsed="false">
      <c r="A17" s="11" t="n">
        <v>16</v>
      </c>
      <c r="B17" s="11" t="str">
        <f aca="false">TEXT(D17,"ddd")</f>
        <v>Wed</v>
      </c>
      <c r="C17" s="11" t="n">
        <f aca="false">$A$31-$A17</f>
        <v>14</v>
      </c>
      <c r="D17" s="1" t="n">
        <v>44958</v>
      </c>
      <c r="E17" s="1" t="n">
        <v>44959.3110185185</v>
      </c>
      <c r="F17" s="2" t="n">
        <v>81408.085</v>
      </c>
      <c r="G17" s="2" t="n">
        <v>81476.644</v>
      </c>
      <c r="H17" s="2" t="n">
        <v>68.553</v>
      </c>
      <c r="I17" s="13" t="n">
        <f aca="false">IF($H17&gt;0,($I16+$H17),"")</f>
        <v>632.415</v>
      </c>
      <c r="J17" s="13" t="n">
        <f aca="false">IF(KWH&gt;0,$I17/$A17,"")</f>
        <v>39.5259375</v>
      </c>
      <c r="K17" s="15" t="n">
        <f aca="false">IF($H17&lt;&gt;"",(($H17*$S$7)+($A17*$S$8))*(1+$R$9),"")</f>
        <v>12.5716946130335</v>
      </c>
      <c r="L17" s="16" t="n">
        <f aca="false">IF($K17&lt;&gt;"",($K17+$L16),"")</f>
        <v>114.635085466287</v>
      </c>
      <c r="M17" s="17" t="n">
        <f aca="false">IF($J17&lt;&gt;"",$J17*($A$31),"")</f>
        <v>1185.778125</v>
      </c>
      <c r="N17" s="17" t="n">
        <f aca="false">IF($M17&lt;&gt;"",IF($M17&gt;1000,(($M17*$S$7)+($A17*$S$8))*(1+$R$9)-100,(($M17*$S$7)+($A17*$R$9))*(1+$R$9)),"")</f>
        <v>87.3131978492884</v>
      </c>
      <c r="O17" s="18" t="n">
        <f aca="false">IF(I17&gt;=1000,"",(1000-I17))</f>
        <v>367.585</v>
      </c>
      <c r="Z17" s="115"/>
      <c r="AA17" s="47"/>
      <c r="AB17" s="2"/>
      <c r="AC17" s="115"/>
      <c r="AD17" s="115"/>
      <c r="AE17" s="2"/>
    </row>
    <row r="18" customFormat="false" ht="15" hidden="false" customHeight="false" outlineLevel="0" collapsed="false">
      <c r="A18" s="11" t="n">
        <v>17</v>
      </c>
      <c r="B18" s="11" t="str">
        <f aca="false">TEXT(D18,"ddd")</f>
        <v>Thu</v>
      </c>
      <c r="C18" s="11" t="n">
        <f aca="false">$A$31-$A18</f>
        <v>13</v>
      </c>
      <c r="D18" s="1" t="n">
        <v>44959</v>
      </c>
      <c r="E18" s="1" t="n">
        <v>44960.3078356482</v>
      </c>
      <c r="F18" s="2" t="n">
        <v>81476.644</v>
      </c>
      <c r="G18" s="2" t="n">
        <v>81538.584</v>
      </c>
      <c r="H18" s="2" t="n">
        <v>61.939</v>
      </c>
      <c r="I18" s="13" t="n">
        <f aca="false">IF($H18&gt;0,($I17+$H18),"")</f>
        <v>694.354</v>
      </c>
      <c r="J18" s="13" t="n">
        <f aca="false">IF(KWH&gt;0,$I18/$A18,"")</f>
        <v>40.8443529411765</v>
      </c>
      <c r="K18" s="15" t="n">
        <f aca="false">IF($H18&lt;&gt;"",(($H18*$S$7)+($A18*$S$8))*(1+$R$9),"")</f>
        <v>11.652817250228</v>
      </c>
      <c r="L18" s="16" t="n">
        <f aca="false">IF($K18&lt;&gt;"",($K18+$L17),"")</f>
        <v>126.287902716515</v>
      </c>
      <c r="M18" s="17" t="n">
        <f aca="false">IF($J18&lt;&gt;"",$J18*($A$31),"")</f>
        <v>1225.33058823529</v>
      </c>
      <c r="N18" s="17" t="n">
        <f aca="false">IF($M18&lt;&gt;"",IF($M18&gt;1000,(($M18*$S$7)+($A18*$S$8))*(1+$R$9)-100,(($M18*$S$7)+($A18*$R$9))*(1+$R$9)),"")</f>
        <v>93.6150649938504</v>
      </c>
      <c r="O18" s="18" t="n">
        <f aca="false">IF(I18&gt;=1000,"",(1000-I18))</f>
        <v>305.646</v>
      </c>
      <c r="Z18" s="115"/>
      <c r="AA18" s="47"/>
      <c r="AB18" s="2"/>
      <c r="AC18" s="115"/>
      <c r="AD18" s="115"/>
      <c r="AE18" s="2"/>
    </row>
    <row r="19" customFormat="false" ht="15" hidden="false" customHeight="false" outlineLevel="0" collapsed="false">
      <c r="A19" s="11" t="n">
        <v>18</v>
      </c>
      <c r="B19" s="11" t="str">
        <f aca="false">TEXT(D19,"ddd")</f>
        <v>Fri</v>
      </c>
      <c r="C19" s="11" t="n">
        <f aca="false">$A$31-$A19</f>
        <v>12</v>
      </c>
      <c r="D19" s="1" t="n">
        <v>44960</v>
      </c>
      <c r="E19" s="1" t="n">
        <v>44961.2565625</v>
      </c>
      <c r="F19" s="2" t="n">
        <v>81538.584</v>
      </c>
      <c r="G19" s="2" t="n">
        <v>81591.694</v>
      </c>
      <c r="H19" s="2" t="n">
        <v>53.109</v>
      </c>
      <c r="I19" s="13" t="n">
        <f aca="false">IF($H19&gt;0,($I18+$H19),"")</f>
        <v>747.463</v>
      </c>
      <c r="J19" s="13" t="n">
        <f aca="false">IF(KWH&gt;0,$I19/$A19,"")</f>
        <v>41.5257222222222</v>
      </c>
      <c r="K19" s="15" t="n">
        <f aca="false">IF($H19&lt;&gt;"",(($H19*$S$7)+($A19*$S$8))*(1+$R$9),"")</f>
        <v>10.3873426238034</v>
      </c>
      <c r="L19" s="16" t="n">
        <f aca="false">IF($K19&lt;&gt;"",($K19+$L18),"")</f>
        <v>136.675245340319</v>
      </c>
      <c r="M19" s="17" t="n">
        <f aca="false">IF($J19&lt;&gt;"",$J19*($A$31),"")</f>
        <v>1245.77166666667</v>
      </c>
      <c r="N19" s="17" t="n">
        <f aca="false">IF($M19&lt;&gt;"",IF($M19&gt;1000,(($M19*$S$7)+($A19*$S$8))*(1+$R$9)-100,(($M19*$S$7)+($A19*$R$9))*(1+$R$9)),"")</f>
        <v>96.9277833671977</v>
      </c>
      <c r="O19" s="18" t="n">
        <f aca="false">IF(I19&gt;=1000,"",(1000-I19))</f>
        <v>252.537</v>
      </c>
      <c r="Q19" s="29"/>
      <c r="Z19" s="115"/>
      <c r="AA19" s="47"/>
      <c r="AB19" s="2"/>
      <c r="AC19" s="115"/>
      <c r="AD19" s="115"/>
      <c r="AE19" s="2"/>
    </row>
    <row r="20" customFormat="false" ht="15" hidden="false" customHeight="false" outlineLevel="0" collapsed="false">
      <c r="A20" s="11" t="n">
        <v>19</v>
      </c>
      <c r="B20" s="11" t="str">
        <f aca="false">TEXT(D20,"ddd")</f>
        <v>Sat</v>
      </c>
      <c r="C20" s="11" t="n">
        <f aca="false">$A$31-$A20</f>
        <v>11</v>
      </c>
      <c r="D20" s="1" t="n">
        <v>44961</v>
      </c>
      <c r="E20" s="1" t="n">
        <v>44962.277962963</v>
      </c>
      <c r="F20" s="2" t="n">
        <v>81591.694</v>
      </c>
      <c r="G20" s="2" t="n">
        <v>81634.231</v>
      </c>
      <c r="H20" s="2" t="n">
        <v>42.537</v>
      </c>
      <c r="I20" s="13" t="n">
        <f aca="false">IF($H20&gt;0,($I19+$H20),"")</f>
        <v>790</v>
      </c>
      <c r="J20" s="13" t="n">
        <f aca="false">IF(KWH&gt;0,$I20/$A20,"")</f>
        <v>41.5789473684211</v>
      </c>
      <c r="K20" s="15" t="n">
        <f aca="false">IF($H20&lt;&gt;"",(($H20*$S$7)+($A20*$S$8))*(1+$R$9),"")</f>
        <v>8.84940751307173</v>
      </c>
      <c r="L20" s="16" t="n">
        <f aca="false">IF($K20&lt;&gt;"",($K20+$L19),"")</f>
        <v>145.52465285339</v>
      </c>
      <c r="M20" s="17" t="n">
        <f aca="false">IF($J20&lt;&gt;"",$J20*($A$31),"")</f>
        <v>1247.36842105263</v>
      </c>
      <c r="N20" s="17" t="n">
        <f aca="false">IF($M20&lt;&gt;"",IF($M20&gt;1000,(($M20*$S$7)+($A20*$S$8))*(1+$R$9)-100,(($M20*$S$7)+($A20*$R$9))*(1+$R$9)),"")</f>
        <v>97.293123063248</v>
      </c>
      <c r="O20" s="18" t="n">
        <f aca="false">IF(I20&gt;=1000,"",(1000-I20))</f>
        <v>210</v>
      </c>
      <c r="P20" s="29" t="s">
        <v>90</v>
      </c>
      <c r="Q20" s="2" t="s">
        <v>113</v>
      </c>
      <c r="Z20" s="115"/>
      <c r="AA20" s="47"/>
      <c r="AB20" s="2"/>
      <c r="AC20" s="115"/>
      <c r="AD20" s="115"/>
      <c r="AE20" s="2"/>
    </row>
    <row r="21" customFormat="false" ht="15" hidden="false" customHeight="false" outlineLevel="0" collapsed="false">
      <c r="A21" s="11" t="n">
        <v>20</v>
      </c>
      <c r="B21" s="11" t="str">
        <f aca="false">TEXT(D21,"ddd")</f>
        <v>Sun</v>
      </c>
      <c r="C21" s="11" t="n">
        <f aca="false">$A$31-$A21</f>
        <v>10</v>
      </c>
      <c r="D21" s="1" t="n">
        <v>44962</v>
      </c>
      <c r="E21" s="1" t="n">
        <v>44963.257037037</v>
      </c>
      <c r="F21" s="2" t="n">
        <v>81634.231</v>
      </c>
      <c r="G21" s="2" t="n">
        <v>81668.921</v>
      </c>
      <c r="H21" s="2" t="n">
        <v>34.691</v>
      </c>
      <c r="I21" s="13" t="n">
        <f aca="false">IF($H21&gt;0,($I20+$H21),"")</f>
        <v>824.691</v>
      </c>
      <c r="J21" s="13" t="n">
        <f aca="false">IF(KWH&gt;0,$I21/$A21,"")</f>
        <v>41.23455</v>
      </c>
      <c r="K21" s="15" t="n">
        <f aca="false">IF($H21&lt;&gt;"",(($H21*$S$7)+($A21*$S$8))*(1+$R$9),"")</f>
        <v>7.73783708673793</v>
      </c>
      <c r="L21" s="16" t="n">
        <f aca="false">IF($K21&lt;&gt;"",($K21+$L20),"")</f>
        <v>153.262489940128</v>
      </c>
      <c r="M21" s="17" t="n">
        <f aca="false">IF($J21&lt;&gt;"",$J21*($A$31),"")</f>
        <v>1237.0365</v>
      </c>
      <c r="N21" s="17" t="n">
        <f aca="false">IF($M21&lt;&gt;"",IF($M21&gt;1000,(($M21*$S$7)+($A21*$S$8))*(1+$R$9)-100,(($M21*$S$7)+($A21*$R$9))*(1+$R$9)),"")</f>
        <v>95.7927379101924</v>
      </c>
      <c r="O21" s="18" t="n">
        <f aca="false">IF(I21&gt;=1000,"",(1000-I21))</f>
        <v>175.309</v>
      </c>
      <c r="Q21" s="29"/>
      <c r="Z21" s="115"/>
      <c r="AA21" s="47"/>
      <c r="AB21" s="2"/>
      <c r="AC21" s="115"/>
      <c r="AD21" s="115"/>
      <c r="AE21" s="2"/>
    </row>
    <row r="22" customFormat="false" ht="15" hidden="false" customHeight="false" outlineLevel="0" collapsed="false">
      <c r="A22" s="11" t="n">
        <v>21</v>
      </c>
      <c r="B22" s="11" t="str">
        <f aca="false">TEXT(D22,"ddd")</f>
        <v>Mon</v>
      </c>
      <c r="C22" s="11" t="n">
        <f aca="false">$A$31-$A22</f>
        <v>9</v>
      </c>
      <c r="D22" s="1" t="n">
        <v>44963</v>
      </c>
      <c r="E22" s="1" t="n">
        <v>44964.2567592593</v>
      </c>
      <c r="F22" s="2" t="n">
        <v>81668.921</v>
      </c>
      <c r="G22" s="2" t="n">
        <v>81692.608</v>
      </c>
      <c r="H22" s="2" t="n">
        <v>23.688</v>
      </c>
      <c r="I22" s="13" t="n">
        <f aca="false">IF($H22&gt;0,($I21+$H22),"")</f>
        <v>848.379</v>
      </c>
      <c r="J22" s="13" t="n">
        <f aca="false">IF(KWH&gt;0,$I22/$A22,"")</f>
        <v>40.399</v>
      </c>
      <c r="K22" s="15" t="n">
        <f aca="false">IF($H22&lt;&gt;"",(($H22*$S$7)+($A22*$S$8))*(1+$R$9),"")</f>
        <v>6.1324906851128</v>
      </c>
      <c r="L22" s="16" t="n">
        <f aca="false">IF($K22&lt;&gt;"",($K22+$L21),"")</f>
        <v>159.394980625241</v>
      </c>
      <c r="M22" s="17" t="n">
        <f aca="false">IF($J22&lt;&gt;"",$J22*($A$31),"")</f>
        <v>1211.97</v>
      </c>
      <c r="N22" s="17" t="n">
        <f aca="false">IF($M22&lt;&gt;"",IF($M22&gt;1000,(($M22*$S$7)+($A22*$S$8))*(1+$R$9)-100,(($M22*$S$7)+($A22*$R$9))*(1+$R$9)),"")</f>
        <v>91.9877657789158</v>
      </c>
      <c r="O22" s="18" t="n">
        <f aca="false">IF(I22&gt;=1000,"",(1000-I22))</f>
        <v>151.621</v>
      </c>
      <c r="Q22" s="29" t="s">
        <v>106</v>
      </c>
      <c r="Z22" s="115"/>
      <c r="AA22" s="47"/>
      <c r="AB22" s="2"/>
      <c r="AC22" s="115"/>
      <c r="AD22" s="115"/>
      <c r="AE22" s="2"/>
    </row>
    <row r="23" customFormat="false" ht="15" hidden="false" customHeight="false" outlineLevel="0" collapsed="false">
      <c r="A23" s="11" t="n">
        <v>22</v>
      </c>
      <c r="B23" s="11" t="str">
        <f aca="false">TEXT(D23,"ddd")</f>
        <v>Tue</v>
      </c>
      <c r="C23" s="11" t="n">
        <f aca="false">$A$31-$A23</f>
        <v>8</v>
      </c>
      <c r="D23" s="1" t="n">
        <v>44964</v>
      </c>
      <c r="E23" s="1" t="n">
        <v>44965.3132638889</v>
      </c>
      <c r="F23" s="2" t="n">
        <v>81692.608</v>
      </c>
      <c r="G23" s="2" t="n">
        <v>81715.594</v>
      </c>
      <c r="H23" s="2" t="n">
        <v>22.988</v>
      </c>
      <c r="I23" s="13" t="n">
        <f aca="false">IF($H23&gt;0,($I22+$H23),"")</f>
        <v>871.367</v>
      </c>
      <c r="J23" s="13" t="n">
        <f aca="false">IF(KWH&gt;0,$I23/$A23,"")</f>
        <v>39.6075909090909</v>
      </c>
      <c r="K23" s="15" t="n">
        <f aca="false">IF($H23&lt;&gt;"",(($H23*$S$7)+($A23*$S$8))*(1+$R$9),"")</f>
        <v>6.13860258992625</v>
      </c>
      <c r="L23" s="16" t="n">
        <f aca="false">IF($K23&lt;&gt;"",($K23+$L22),"")</f>
        <v>165.533583215167</v>
      </c>
      <c r="M23" s="17" t="n">
        <f aca="false">IF($J23&lt;&gt;"",$J23*($A$31),"")</f>
        <v>1188.22772727273</v>
      </c>
      <c r="N23" s="17" t="n">
        <f aca="false">IF($M23&lt;&gt;"",IF($M23&gt;1000,(($M23*$S$7)+($A23*$S$8))*(1+$R$9)-100,(($M23*$S$7)+($A23*$R$9))*(1+$R$9)),"")</f>
        <v>88.3899116752282</v>
      </c>
      <c r="O23" s="18" t="n">
        <f aca="false">IF(I23&gt;=1000,"",(1000-I23))</f>
        <v>128.633</v>
      </c>
      <c r="Q23" s="29"/>
      <c r="Z23" s="115"/>
      <c r="AA23" s="47"/>
      <c r="AB23" s="2"/>
      <c r="AC23" s="115"/>
      <c r="AD23" s="115"/>
      <c r="AE23" s="2"/>
    </row>
    <row r="24" customFormat="false" ht="15" hidden="false" customHeight="false" outlineLevel="0" collapsed="false">
      <c r="A24" s="11" t="n">
        <v>23</v>
      </c>
      <c r="B24" s="11" t="str">
        <f aca="false">TEXT(D24,"ddd")</f>
        <v>Wed</v>
      </c>
      <c r="C24" s="11" t="n">
        <f aca="false">$A$31-$A24</f>
        <v>7</v>
      </c>
      <c r="D24" s="1" t="n">
        <v>44965</v>
      </c>
      <c r="E24" s="1" t="n">
        <v>44966.256087963</v>
      </c>
      <c r="F24" s="2" t="n">
        <v>81715.594</v>
      </c>
      <c r="G24" s="2" t="n">
        <v>81748.14</v>
      </c>
      <c r="H24" s="2" t="n">
        <v>32.546</v>
      </c>
      <c r="I24" s="13" t="n">
        <f aca="false">IF($H24&gt;0,($I23+$H24),"")</f>
        <v>903.913</v>
      </c>
      <c r="J24" s="13" t="n">
        <f aca="false">IF(KWH&gt;0,$I24/$A24,"")</f>
        <v>39.3005652173913</v>
      </c>
      <c r="K24" s="15" t="n">
        <f aca="false">IF($H24&lt;&gt;"",(($H24*$S$7)+($A24*$S$8))*(1+$R$9),"")</f>
        <v>7.74913449934486</v>
      </c>
      <c r="L24" s="16" t="n">
        <f aca="false">IF($K24&lt;&gt;"",($K24+$L23),"")</f>
        <v>173.282717714512</v>
      </c>
      <c r="M24" s="17" t="n">
        <f aca="false">IF($J24&lt;&gt;"",$J24*($A$31),"")</f>
        <v>1179.01695652174</v>
      </c>
      <c r="N24" s="17" t="n">
        <f aca="false">IF($M24&lt;&gt;"",IF($M24&gt;1000,(($M24*$S$7)+($A24*$S$8))*(1+$R$9)-100,(($M24*$S$7)+($A24*$R$9))*(1+$R$9)),"")</f>
        <v>87.0648819493638</v>
      </c>
      <c r="O24" s="18" t="n">
        <f aca="false">IF(I24&gt;=1000,"",(1000-I24))</f>
        <v>96.0869999999998</v>
      </c>
      <c r="Z24" s="115"/>
      <c r="AA24" s="47"/>
      <c r="AB24" s="2"/>
      <c r="AC24" s="115"/>
      <c r="AD24" s="115"/>
      <c r="AE24" s="2"/>
    </row>
    <row r="25" customFormat="false" ht="15" hidden="false" customHeight="false" outlineLevel="0" collapsed="false">
      <c r="A25" s="11" t="n">
        <v>24</v>
      </c>
      <c r="B25" s="11" t="str">
        <f aca="false">TEXT(D25,"ddd")</f>
        <v>Thu</v>
      </c>
      <c r="C25" s="11" t="n">
        <f aca="false">$A$31-$A25</f>
        <v>6</v>
      </c>
      <c r="D25" s="1" t="n">
        <v>44966</v>
      </c>
      <c r="E25" s="1" t="n">
        <v>44967.3061111111</v>
      </c>
      <c r="F25" s="2" t="n">
        <v>81748.14</v>
      </c>
      <c r="G25" s="2" t="n">
        <v>81784.376</v>
      </c>
      <c r="H25" s="2" t="n">
        <v>36.239</v>
      </c>
      <c r="I25" s="13" t="n">
        <f aca="false">IF($H25&gt;0,($I24+$H25),"")</f>
        <v>940.152</v>
      </c>
      <c r="J25" s="13" t="n">
        <f aca="false">IF(KWH&gt;0,$I25/$A25,"")</f>
        <v>39.173</v>
      </c>
      <c r="K25" s="15" t="n">
        <f aca="false">IF($H25&lt;&gt;"",(($H25*$S$7)+($A25*$S$8))*(1+$R$9),"")</f>
        <v>8.44234106980761</v>
      </c>
      <c r="L25" s="16" t="n">
        <f aca="false">IF($K25&lt;&gt;"",($K25+$L24),"")</f>
        <v>181.72505878432</v>
      </c>
      <c r="M25" s="17" t="n">
        <f aca="false">IF($J25&lt;&gt;"",$J25*($A$31),"")</f>
        <v>1175.19</v>
      </c>
      <c r="N25" s="17" t="n">
        <f aca="false">IF($M25&lt;&gt;"",IF($M25&gt;1000,(($M25*$S$7)+($A25*$S$8))*(1+$R$9)-100,(($M25*$S$7)+($A25*$R$9))*(1+$R$9)),"")</f>
        <v>86.5819168803998</v>
      </c>
      <c r="O25" s="18" t="n">
        <f aca="false">IF(I25&gt;=1000,"",(1000-I25))</f>
        <v>59.8479999999997</v>
      </c>
      <c r="Q25" s="29" t="s">
        <v>114</v>
      </c>
      <c r="R25" s="29" t="s">
        <v>115</v>
      </c>
      <c r="Z25" s="115"/>
      <c r="AA25" s="47"/>
      <c r="AB25" s="2"/>
      <c r="AC25" s="115"/>
      <c r="AD25" s="115"/>
      <c r="AE25" s="2"/>
    </row>
    <row r="26" customFormat="false" ht="15" hidden="false" customHeight="false" outlineLevel="0" collapsed="false">
      <c r="A26" s="11" t="n">
        <v>25</v>
      </c>
      <c r="B26" s="11" t="str">
        <f aca="false">TEXT(D26,"ddd")</f>
        <v>Fri</v>
      </c>
      <c r="C26" s="11" t="n">
        <f aca="false">$A$31-$A26</f>
        <v>5</v>
      </c>
      <c r="D26" s="1" t="n">
        <v>44967</v>
      </c>
      <c r="E26" s="1" t="n">
        <v>44968.2557638889</v>
      </c>
      <c r="F26" s="2" t="n">
        <v>81784.376</v>
      </c>
      <c r="G26" s="2" t="n">
        <v>81816.077</v>
      </c>
      <c r="H26" s="2" t="n">
        <v>31.698</v>
      </c>
      <c r="I26" s="13" t="n">
        <f aca="false">IF($H26&gt;0,($I25+$H26),"")</f>
        <v>971.85</v>
      </c>
      <c r="J26" s="13" t="n">
        <f aca="false">IF(KWH&gt;0,$I26/$A26,"")</f>
        <v>38.874</v>
      </c>
      <c r="K26" s="15" t="n">
        <f aca="false">IF($H26&lt;&gt;"",(($H26*$S$7)+($A26*$S$8))*(1+$R$9),"")</f>
        <v>7.84769481146173</v>
      </c>
      <c r="L26" s="16" t="n">
        <f aca="false">IF($K26&lt;&gt;"",($K26+$L25),"")</f>
        <v>189.572753595782</v>
      </c>
      <c r="M26" s="17" t="n">
        <f aca="false">IF($J26&lt;&gt;"",$J26*($A$31),"")</f>
        <v>1166.22</v>
      </c>
      <c r="N26" s="17" t="n">
        <f aca="false">IF($M26&lt;&gt;"",IF($M26&gt;1000,(($M26*$S$7)+($A26*$S$8))*(1+$R$9)-100,(($M26*$S$7)+($A26*$R$9))*(1+$R$9)),"")</f>
        <v>85.2945453149379</v>
      </c>
      <c r="O26" s="18" t="n">
        <f aca="false">IF(I26&gt;=1000,"",(1000-I26))</f>
        <v>28.1499999999998</v>
      </c>
      <c r="Q26" s="29" t="s">
        <v>116</v>
      </c>
      <c r="R26" s="29" t="s">
        <v>117</v>
      </c>
      <c r="Z26" s="115"/>
      <c r="AA26" s="47"/>
      <c r="AB26" s="2"/>
      <c r="AC26" s="115"/>
      <c r="AD26" s="115"/>
      <c r="AE26" s="2"/>
    </row>
    <row r="27" customFormat="false" ht="15" hidden="false" customHeight="false" outlineLevel="0" collapsed="false">
      <c r="A27" s="11" t="n">
        <v>26</v>
      </c>
      <c r="B27" s="11" t="str">
        <f aca="false">TEXT(D27,"ddd")</f>
        <v>Sat</v>
      </c>
      <c r="C27" s="11" t="n">
        <f aca="false">$A$31-$A27</f>
        <v>4</v>
      </c>
      <c r="D27" s="1" t="n">
        <v>44968</v>
      </c>
      <c r="E27" s="1" t="n">
        <v>44969.2740393519</v>
      </c>
      <c r="F27" s="2" t="n">
        <v>81816.077</v>
      </c>
      <c r="G27" s="2" t="n">
        <v>81856.555</v>
      </c>
      <c r="H27" s="2" t="n">
        <v>40.48</v>
      </c>
      <c r="I27" s="13" t="n">
        <f aca="false">IF($H27&gt;0,($I26+$H27),"")</f>
        <v>1012.33</v>
      </c>
      <c r="J27" s="13" t="n">
        <f aca="false">IF(KWH&gt;0,$I27/$A27,"")</f>
        <v>38.9357692307692</v>
      </c>
      <c r="K27" s="15" t="n">
        <f aca="false">IF($H27&lt;&gt;"",(($H27*$S$7)+($A27*$S$8))*(1+$R$9),"")</f>
        <v>9.33685511593068</v>
      </c>
      <c r="L27" s="16" t="n">
        <f aca="false">IF($K27&lt;&gt;"",($K27+$L26),"")</f>
        <v>198.909608711712</v>
      </c>
      <c r="M27" s="17" t="n">
        <f aca="false">IF($J27&lt;&gt;"",$J27*($A$31),"")</f>
        <v>1168.07307692308</v>
      </c>
      <c r="N27" s="17" t="n">
        <f aca="false">IF($M27&lt;&gt;"",IF($M27&gt;1000,(($M27*$S$7)+($A27*$S$8))*(1+$R$9)-100,(($M27*$S$7)+($A27*$R$9))*(1+$R$9)),"")</f>
        <v>85.6999755750526</v>
      </c>
      <c r="O27" s="18" t="str">
        <f aca="false">IF(I27&gt;=1000,"",(1000-I27))</f>
        <v/>
      </c>
      <c r="Q27" s="29" t="s">
        <v>121</v>
      </c>
      <c r="R27" s="29" t="s">
        <v>119</v>
      </c>
      <c r="Z27" s="115"/>
      <c r="AA27" s="47"/>
      <c r="AB27" s="2"/>
      <c r="AC27" s="115"/>
      <c r="AD27" s="115"/>
      <c r="AE27" s="2"/>
    </row>
    <row r="28" customFormat="false" ht="15" hidden="false" customHeight="false" outlineLevel="0" collapsed="false">
      <c r="A28" s="11" t="n">
        <v>27</v>
      </c>
      <c r="B28" s="11" t="str">
        <f aca="false">TEXT(D28,"ddd")</f>
        <v>Sun</v>
      </c>
      <c r="C28" s="11" t="n">
        <f aca="false">$A$31-$A28</f>
        <v>3</v>
      </c>
      <c r="D28" s="1" t="n">
        <v>44969</v>
      </c>
      <c r="E28" s="1" t="n">
        <v>44970.2562268519</v>
      </c>
      <c r="F28" s="2" t="n">
        <v>81856.555</v>
      </c>
      <c r="G28" s="2" t="n">
        <v>81895.213</v>
      </c>
      <c r="H28" s="2" t="n">
        <v>38.657</v>
      </c>
      <c r="I28" s="13" t="n">
        <f aca="false">IF($H28&gt;0,($I27+$H28),"")</f>
        <v>1050.987</v>
      </c>
      <c r="J28" s="13" t="n">
        <f aca="false">IF(KWH&gt;0,$I28/$A28,"")</f>
        <v>38.9254444444445</v>
      </c>
      <c r="K28" s="15" t="n">
        <f aca="false">IF($H28&lt;&gt;"",(($H28*$S$7)+($A28*$S$8))*(1+$R$9),"")</f>
        <v>9.16732228832343</v>
      </c>
      <c r="L28" s="16" t="n">
        <f aca="false">IF($K28&lt;&gt;"",($K28+$L27),"")</f>
        <v>208.076931000036</v>
      </c>
      <c r="M28" s="17" t="n">
        <f aca="false">IF($J28&lt;&gt;"",$J28*($A$31),"")</f>
        <v>1167.76333333333</v>
      </c>
      <c r="N28" s="17" t="n">
        <f aca="false">IF($M28&lt;&gt;"",IF($M28&gt;1000,(($M28*$S$7)+($A28*$S$8))*(1+$R$9)-100,(($M28*$S$7)+($A28*$R$9))*(1+$R$9)),"")</f>
        <v>85.7671262000397</v>
      </c>
      <c r="O28" s="18" t="str">
        <f aca="false">IF(I28&gt;=1000,"",(1000-I28))</f>
        <v/>
      </c>
      <c r="Z28" s="115"/>
      <c r="AA28" s="47"/>
      <c r="AB28" s="2"/>
      <c r="AC28" s="115"/>
      <c r="AD28" s="115"/>
      <c r="AE28" s="2"/>
    </row>
    <row r="29" customFormat="false" ht="15" hidden="false" customHeight="false" outlineLevel="0" collapsed="false">
      <c r="A29" s="11" t="n">
        <v>28</v>
      </c>
      <c r="B29" s="11" t="str">
        <f aca="false">TEXT(D29,"ddd")</f>
        <v>Mon</v>
      </c>
      <c r="C29" s="11" t="n">
        <f aca="false">$A$31-$A29</f>
        <v>2</v>
      </c>
      <c r="D29" s="1" t="n">
        <v>44970</v>
      </c>
      <c r="E29" s="1" t="n">
        <v>44971.2563078704</v>
      </c>
      <c r="F29" s="2" t="n">
        <v>81895.213</v>
      </c>
      <c r="G29" s="2" t="n">
        <v>81925.01</v>
      </c>
      <c r="H29" s="2" t="n">
        <v>29.802</v>
      </c>
      <c r="I29" s="13" t="n">
        <f aca="false">IF($H29&gt;0,($I28+$H29),"")</f>
        <v>1080.789</v>
      </c>
      <c r="J29" s="13" t="n">
        <f aca="false">IF(KWH&gt;0,$I29/$A29,"")</f>
        <v>38.5996071428572</v>
      </c>
      <c r="K29" s="15" t="n">
        <f aca="false">IF($H29&lt;&gt;"",(($H29*$S$7)+($A29*$S$8))*(1+$R$9),"")</f>
        <v>7.89793749421359</v>
      </c>
      <c r="L29" s="16" t="n">
        <f aca="false">IF($K29&lt;&gt;"",($K29+$L28),"")</f>
        <v>215.974868494249</v>
      </c>
      <c r="M29" s="17" t="n">
        <f aca="false">IF($J29&lt;&gt;"",$J29*($A$31),"")</f>
        <v>1157.98821428571</v>
      </c>
      <c r="N29" s="17" t="n">
        <f aca="false">IF($M29&lt;&gt;"",IF($M29&gt;1000,(($M29*$S$7)+($A29*$S$8))*(1+$R$9)-100,(($M29*$S$7)+($A29*$R$9))*(1+$R$9)),"")</f>
        <v>84.3538286152671</v>
      </c>
      <c r="O29" s="18" t="str">
        <f aca="false">IF(I29&gt;=1000,"",(1000-I29))</f>
        <v/>
      </c>
      <c r="Q29" s="29"/>
      <c r="Z29" s="115"/>
      <c r="AA29" s="47"/>
      <c r="AB29" s="2"/>
      <c r="AC29" s="115"/>
      <c r="AD29" s="115"/>
      <c r="AE29" s="2"/>
    </row>
    <row r="30" customFormat="false" ht="15" hidden="false" customHeight="false" outlineLevel="0" collapsed="false">
      <c r="A30" s="11" t="n">
        <v>29</v>
      </c>
      <c r="B30" s="11" t="str">
        <f aca="false">TEXT(D30,"ddd")</f>
        <v>Tue</v>
      </c>
      <c r="C30" s="11" t="n">
        <f aca="false">$A$31-$A30</f>
        <v>1</v>
      </c>
      <c r="D30" s="1" t="n">
        <v>44971</v>
      </c>
      <c r="E30" s="1" t="n">
        <v>44972.2556944444</v>
      </c>
      <c r="F30" s="2" t="n">
        <v>81925.01</v>
      </c>
      <c r="G30" s="2" t="n">
        <v>81951.263</v>
      </c>
      <c r="H30" s="2" t="n">
        <v>26.248</v>
      </c>
      <c r="I30" s="13" t="n">
        <f aca="false">IF($H30&gt;0,($I29+$H30),"")</f>
        <v>1107.037</v>
      </c>
      <c r="J30" s="13" t="n">
        <f aca="false">IF(KWH&gt;0,$I30/$A30,"")</f>
        <v>38.1736896551724</v>
      </c>
      <c r="K30" s="15" t="n">
        <f aca="false">IF($H30&lt;&gt;"",(($H30*$S$7)+($A30*$S$8))*(1+$R$9),"")</f>
        <v>7.45766465608075</v>
      </c>
      <c r="L30" s="16" t="n">
        <f aca="false">IF($K30&lt;&gt;"",($K30+$L29),"")</f>
        <v>223.43253315033</v>
      </c>
      <c r="M30" s="17" t="n">
        <f aca="false">IF($J30&lt;&gt;"",$J30*($A$31),"")</f>
        <v>1145.21068965517</v>
      </c>
      <c r="N30" s="17" t="n">
        <f aca="false">IF($M30&lt;&gt;"",IF($M30&gt;1000,(($M30*$S$7)+($A30*$S$8))*(1+$R$9)-100,(($M30*$S$7)+($A30*$R$9))*(1+$R$9)),"")</f>
        <v>82.4709346589621</v>
      </c>
      <c r="O30" s="18" t="str">
        <f aca="false">IF(I30&gt;=1000,"",(1000-I30))</f>
        <v/>
      </c>
      <c r="Q30" s="102" t="str">
        <f aca="false">IF(COUNTIF(O1:O500, "&lt;0")=0, "No negative values!", INDEX(A1:A500, MIN(IF(O1:O500&lt;0, ROW(O1:O500)))))</f>
        <v>No negative values!</v>
      </c>
      <c r="Z30" s="115"/>
      <c r="AA30" s="47"/>
      <c r="AB30" s="2"/>
      <c r="AC30" s="115"/>
      <c r="AD30" s="115"/>
      <c r="AE30" s="2"/>
    </row>
    <row r="31" customFormat="false" ht="15" hidden="false" customHeight="false" outlineLevel="0" collapsed="false">
      <c r="A31" s="11" t="n">
        <v>30</v>
      </c>
      <c r="B31" s="11" t="str">
        <f aca="false">TEXT(D31,"ddd")</f>
        <v>Wed</v>
      </c>
      <c r="C31" s="11" t="n">
        <f aca="false">$A$31-$A31</f>
        <v>0</v>
      </c>
      <c r="D31" s="1" t="n">
        <v>44972</v>
      </c>
      <c r="E31" s="1" t="n">
        <v>44973</v>
      </c>
      <c r="I31" s="13" t="str">
        <f aca="false">IF($H31&gt;0,($I30+$H31),"")</f>
        <v/>
      </c>
      <c r="J31" s="13" t="str">
        <f aca="false">IF(KWH&gt;0,$I31/$A31,"")</f>
        <v/>
      </c>
      <c r="K31" s="15" t="str">
        <f aca="false">IF($H31&lt;&gt;"",(($H31*$S$7)+($A31*$S$8))*(1+$R$9),"")</f>
        <v/>
      </c>
      <c r="L31" s="16" t="str">
        <f aca="false">IF($K31&lt;&gt;"",($K31+$L30),"")</f>
        <v/>
      </c>
      <c r="M31" s="17" t="str">
        <f aca="false">IF($J31&lt;&gt;"",$J31*($A$31),"")</f>
        <v/>
      </c>
      <c r="N31" s="17" t="str">
        <f aca="false">IF($M31&lt;&gt;"",IF($M31&gt;1000,(($M31*$S$7)+($A31*$S$8))*(1+$R$9)-100,(($M31*$S$7)+($A31*$R$9))*(1+$R$9)),"")</f>
        <v/>
      </c>
      <c r="O31" s="18" t="str">
        <f aca="false">IF(KWH&lt;&gt;"",IF((BREAK-CUM_KWH)&gt;0,BREAK-CUM_KWH,0),"")</f>
        <v/>
      </c>
      <c r="Q31" s="117" t="s">
        <v>120</v>
      </c>
      <c r="Z31" s="115"/>
      <c r="AA31" s="47"/>
      <c r="AB31" s="2"/>
      <c r="AC31" s="115"/>
      <c r="AD31" s="115"/>
      <c r="AE31" s="2"/>
    </row>
    <row r="32" customFormat="false" ht="15" hidden="false" customHeight="false" outlineLevel="0" collapsed="false">
      <c r="A32" s="4"/>
      <c r="B32" s="11"/>
      <c r="C32" s="4"/>
      <c r="I32" s="13"/>
      <c r="J32" s="13" t="str">
        <f aca="false">IF(KWH&gt;0,$I32/$A32,"")</f>
        <v/>
      </c>
      <c r="K32" s="15" t="str">
        <f aca="false">IF($H32&lt;&gt;"",(($H32*$S$7)+($A32*$S$8))*(1+$R$9),"")</f>
        <v/>
      </c>
      <c r="L32" s="16"/>
      <c r="M32" s="17" t="str">
        <f aca="false">IF($J32&lt;&gt;"",$J32*($A$31-$A32),"")</f>
        <v/>
      </c>
      <c r="N32" s="17" t="str">
        <f aca="false">IF($M32&lt;&gt;"",IF($M32&gt;1000,(($M32*$S$7)+($A32*$S$8))*(1+$R$9)-100,(($M32*$S$7)+($A32*$R$9))*(1+$R$9)),"")</f>
        <v/>
      </c>
      <c r="O32" s="18"/>
    </row>
    <row r="33" customFormat="false" ht="15" hidden="false" customHeight="false" outlineLevel="0" collapsed="false">
      <c r="A33" s="4"/>
      <c r="B33" s="11"/>
      <c r="C33" s="4"/>
      <c r="H33" s="118" t="n">
        <f aca="false">SUM(H2:H32)</f>
        <v>1107.037</v>
      </c>
      <c r="I33" s="13"/>
      <c r="J33" s="13"/>
      <c r="K33" s="15"/>
      <c r="L33" s="16"/>
      <c r="M33" s="17" t="str">
        <f aca="false">IF($I33&gt;0,$J33*($A55-$A33),"")</f>
        <v/>
      </c>
      <c r="N33" s="17"/>
      <c r="O33" s="18"/>
    </row>
    <row r="34" customFormat="false" ht="15" hidden="false" customHeight="false" outlineLevel="0" collapsed="false">
      <c r="I34" s="81"/>
      <c r="K34" s="47"/>
      <c r="L34" s="2"/>
      <c r="M34" s="2"/>
      <c r="R34" s="0" t="n">
        <v>127.19</v>
      </c>
      <c r="T34" s="29" t="n">
        <f aca="false">(R34/H33)</f>
        <v>0.1148922755066</v>
      </c>
    </row>
    <row r="35" customFormat="false" ht="15" hidden="false" customHeight="false" outlineLevel="0" collapsed="false">
      <c r="I35" s="81"/>
      <c r="K35" s="47"/>
      <c r="L35" s="2"/>
      <c r="M35" s="2"/>
    </row>
    <row r="36" customFormat="false" ht="15" hidden="false" customHeight="false" outlineLevel="0" collapsed="false">
      <c r="L36" s="2"/>
      <c r="M36" s="2"/>
    </row>
  </sheetData>
  <conditionalFormatting sqref="A1:I1 K1:O1">
    <cfRule type="expression" priority="2" aboveAverage="0" equalAverage="0" bottom="0" percent="0" rank="0" text="" dxfId="32">
      <formula>" =CELL(“Protect”,A1)=1"</formula>
    </cfRule>
    <cfRule type="expression" priority="3" aboveAverage="0" equalAverage="0" bottom="0" percent="0" rank="0" text="" dxfId="1">
      <formula>" =CELL(“Protect”,A1)=1"</formula>
    </cfRule>
  </conditionalFormatting>
  <conditionalFormatting sqref="Q2:Q15">
    <cfRule type="expression" priority="4" aboveAverage="0" equalAverage="0" bottom="0" percent="0" rank="0" text="" dxfId="33">
      <formula>" =CELL(“Protect”,A1)=1"</formula>
    </cfRule>
    <cfRule type="expression" priority="5" aboveAverage="0" equalAverage="0" bottom="0" percent="0" rank="0" text="" dxfId="1">
      <formula>" =CELL(“Protect”,A1)=1"</formula>
    </cfRule>
  </conditionalFormatting>
  <hyperlinks>
    <hyperlink ref="Q31" r:id="rId2" display="Post a reply"/>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7"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29"/>
    <col collapsed="false" customWidth="true" hidden="false" outlineLevel="0" max="2" min="2" style="0" width="5.86"/>
    <col collapsed="false" customWidth="true" hidden="false" outlineLevel="0" max="3" min="3" style="45" width="6"/>
    <col collapsed="false" customWidth="true" hidden="false" outlineLevel="0" max="4" min="4" style="119" width="10.57"/>
    <col collapsed="false" customWidth="true" hidden="false" outlineLevel="0" max="5" min="5" style="119" width="10.71"/>
    <col collapsed="false" customWidth="true" hidden="false" outlineLevel="0" max="7" min="6" style="2" width="8.86"/>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6" t="s">
        <v>7</v>
      </c>
      <c r="I1" s="6" t="s">
        <v>8</v>
      </c>
      <c r="J1" s="6" t="s">
        <v>9</v>
      </c>
      <c r="K1" s="6" t="s">
        <v>10</v>
      </c>
      <c r="L1" s="6" t="s">
        <v>122</v>
      </c>
      <c r="M1" s="6" t="s">
        <v>12</v>
      </c>
      <c r="N1" s="8" t="s">
        <v>13</v>
      </c>
      <c r="O1" s="9" t="s">
        <v>77</v>
      </c>
      <c r="T1" s="10"/>
      <c r="U1" s="71"/>
      <c r="W1" s="120"/>
    </row>
    <row r="2" s="102" customFormat="true" ht="15" hidden="false" customHeight="true" outlineLevel="0" collapsed="false">
      <c r="A2" s="86" t="n">
        <v>1</v>
      </c>
      <c r="B2" s="86" t="str">
        <f aca="false">TEXT(E2,"ddd")</f>
        <v>Fri</v>
      </c>
      <c r="C2" s="45" t="n">
        <f aca="false">($A$31-$A2)</f>
        <v>29</v>
      </c>
      <c r="D2" s="34" t="n">
        <v>44910</v>
      </c>
      <c r="E2" s="34" t="n">
        <v>44911.2588310185</v>
      </c>
      <c r="F2" s="2" t="n">
        <v>79559.185</v>
      </c>
      <c r="G2" s="2" t="n">
        <v>79591.004</v>
      </c>
      <c r="H2" s="2" t="n">
        <v>31.819</v>
      </c>
      <c r="I2" s="92" t="n">
        <f aca="false">H2</f>
        <v>31.819</v>
      </c>
      <c r="J2" s="87" t="n">
        <f aca="false">IF(H2&gt;0,(I2/A2),"")</f>
        <v>31.819</v>
      </c>
      <c r="K2" s="88" t="n">
        <f aca="false">IF($H2&gt;0,(($H2*$S$7)+$S$8)*(1+$R$9),"")</f>
        <v>5.08857270047762</v>
      </c>
      <c r="L2" s="89" t="n">
        <f aca="false">(K2)</f>
        <v>5.08857270047762</v>
      </c>
      <c r="M2" s="121" t="n">
        <f aca="false">IF($G2&gt;0,($J2*$A$31),"")</f>
        <v>954.57</v>
      </c>
      <c r="N2" s="121" t="n">
        <f aca="false">IF($M2&lt;&gt;"",IF($M2&gt;1000,(($M2*$S$7)+($A2*$S$8))*(1+$R$9)-100,($M2*$S$7)+($A2*$R$9)*(1+$R$9)),"")</f>
        <v>146.398351184448</v>
      </c>
      <c r="O2" s="13" t="n">
        <f aca="false">IF(I2&gt;=1000,"",(1000-I2))</f>
        <v>968.181</v>
      </c>
      <c r="Q2" s="122" t="s">
        <v>18</v>
      </c>
      <c r="R2" s="123" t="s">
        <v>19</v>
      </c>
      <c r="S2" s="124"/>
      <c r="T2" s="125" t="n">
        <v>2</v>
      </c>
      <c r="U2" s="126"/>
      <c r="V2" s="29" t="n">
        <f aca="false">IF(AND($I2&gt;0,$I2&lt;1000),(($I2*$S$7)+$S$8)*(1+$R$9),($I2*$S$7*(+$S$8)*(1+$R$9)-100))</f>
        <v>5.08857270047762</v>
      </c>
    </row>
    <row r="3" s="102" customFormat="true" ht="15" hidden="false" customHeight="true" outlineLevel="0" collapsed="false">
      <c r="A3" s="86" t="n">
        <v>2</v>
      </c>
      <c r="B3" s="86" t="str">
        <f aca="false">TEXT(E3,"ddd")</f>
        <v>Sat</v>
      </c>
      <c r="C3" s="45" t="n">
        <f aca="false">($A$31-$A3)</f>
        <v>28</v>
      </c>
      <c r="D3" s="34" t="n">
        <v>44911</v>
      </c>
      <c r="E3" s="34" t="n">
        <v>44912.2606597222</v>
      </c>
      <c r="F3" s="2" t="n">
        <v>79591.004</v>
      </c>
      <c r="G3" s="2" t="n">
        <v>79630.832</v>
      </c>
      <c r="H3" s="2" t="n">
        <v>39.823</v>
      </c>
      <c r="I3" s="92" t="n">
        <f aca="false">IF(H3&gt;0,(H3+I2),"")</f>
        <v>71.642</v>
      </c>
      <c r="J3" s="87" t="n">
        <f aca="false">IF(H3&gt;0,(I3/A3),"")</f>
        <v>35.821</v>
      </c>
      <c r="K3" s="88" t="n">
        <f aca="false">IF($H3&gt;0,(($H3*$S$7)+$S$8)*(1+$R$9),"")</f>
        <v>6.34045198658209</v>
      </c>
      <c r="L3" s="89" t="n">
        <f aca="false">IF(AND($I3&gt;0,$I3&lt;1000),(($I3*$S$7)+$S$8)*(1+$R$9),($I3*$S$7*(+$S$8)*(1+$R$9)-100))/A3</f>
        <v>5.65857850482018</v>
      </c>
      <c r="M3" s="121" t="n">
        <f aca="false">IF($G3&gt;0,($J3*$A$31),"")</f>
        <v>1074.63</v>
      </c>
      <c r="N3" s="121" t="n">
        <f aca="false">IF($M3&lt;&gt;"",IF($M3&gt;1000,(($M3*$S$7)+($A3*$S$8))*(1+$R$9)-100,($M3*$S$7)+($A3*$R$9)*(1+$R$9)),"")</f>
        <v>68.3030753381537</v>
      </c>
      <c r="O3" s="13" t="n">
        <f aca="false">IF(I3&gt;=1000,"",(1000-I3))</f>
        <v>928.358</v>
      </c>
      <c r="Q3" s="127" t="s">
        <v>22</v>
      </c>
      <c r="R3" s="128" t="n">
        <f aca="false">($F$2)+1000</f>
        <v>80559.185</v>
      </c>
      <c r="S3" s="129"/>
      <c r="T3" s="125" t="n">
        <v>3</v>
      </c>
      <c r="V3" s="29" t="s">
        <v>123</v>
      </c>
      <c r="W3" s="71"/>
      <c r="X3" s="71"/>
      <c r="Y3" s="130"/>
      <c r="AC3" s="131"/>
    </row>
    <row r="4" s="102" customFormat="true" ht="15" hidden="false" customHeight="true" outlineLevel="0" collapsed="false">
      <c r="A4" s="86" t="n">
        <v>3</v>
      </c>
      <c r="B4" s="86" t="str">
        <f aca="false">TEXT(E4,"ddd")</f>
        <v>Sun</v>
      </c>
      <c r="C4" s="45" t="n">
        <f aca="false">($A$31-$A4)</f>
        <v>27</v>
      </c>
      <c r="D4" s="34" t="n">
        <v>44912</v>
      </c>
      <c r="E4" s="34" t="n">
        <v>44913.2818518519</v>
      </c>
      <c r="F4" s="2" t="n">
        <v>79630.832</v>
      </c>
      <c r="G4" s="2" t="n">
        <v>79676.124</v>
      </c>
      <c r="H4" s="2" t="n">
        <v>45.297</v>
      </c>
      <c r="I4" s="92" t="n">
        <f aca="false">IF(H4&gt;0,(H4+I3),"")</f>
        <v>116.939</v>
      </c>
      <c r="J4" s="87" t="n">
        <f aca="false">IF(H4&gt;0,(I4/A4),"")</f>
        <v>38.9796666666667</v>
      </c>
      <c r="K4" s="88" t="n">
        <f aca="false">IF($H4&gt;0,(($H4*$S$7)+$S$8)*(1+$R$9),"")</f>
        <v>7.1966223029409</v>
      </c>
      <c r="L4" s="89" t="n">
        <f aca="false">IF(AND($I4&gt;0,$I4&lt;1000),(($I4*$S$7)+$S$8)*(1+$R$9),($I4*$S$7*(+$S$8)*(1+$R$9)-100))/A4</f>
        <v>6.13397054505397</v>
      </c>
      <c r="M4" s="121" t="n">
        <f aca="false">IF($G4&gt;0,($J4*$A$31),"")</f>
        <v>1169.39</v>
      </c>
      <c r="N4" s="121" t="n">
        <f aca="false">IF($M4&lt;&gt;"",IF($M4&gt;1000,(($M4*$S$7)+($A4*$S$8))*(1+$R$9)-100,($M4*$S$7)+($A4*$R$9)*(1+$R$9)),"")</f>
        <v>83.2360426096836</v>
      </c>
      <c r="O4" s="13" t="n">
        <f aca="false">IF(I4&gt;=1000,"",(1000-I4))</f>
        <v>883.061</v>
      </c>
      <c r="Q4" s="127" t="s">
        <v>25</v>
      </c>
      <c r="R4" s="132"/>
      <c r="S4" s="133" t="n">
        <v>0.001667</v>
      </c>
      <c r="T4" s="125" t="n">
        <v>4</v>
      </c>
      <c r="U4" s="134"/>
      <c r="V4" s="29" t="s">
        <v>124</v>
      </c>
      <c r="W4" s="135"/>
      <c r="X4" s="135"/>
      <c r="Y4" s="135"/>
      <c r="Z4" s="136"/>
      <c r="AC4" s="131"/>
    </row>
    <row r="5" s="45" customFormat="true" ht="15" hidden="false" customHeight="true" outlineLevel="0" collapsed="false">
      <c r="A5" s="86" t="n">
        <v>4</v>
      </c>
      <c r="B5" s="86" t="str">
        <f aca="false">TEXT(E5,"ddd")</f>
        <v>Mon</v>
      </c>
      <c r="C5" s="45" t="n">
        <f aca="false">($A$31-$A5)</f>
        <v>26</v>
      </c>
      <c r="D5" s="34" t="n">
        <v>44913</v>
      </c>
      <c r="E5" s="34" t="n">
        <v>44914.258287037</v>
      </c>
      <c r="F5" s="2" t="n">
        <v>79676.124</v>
      </c>
      <c r="G5" s="2" t="n">
        <v>79728.043</v>
      </c>
      <c r="H5" s="2" t="n">
        <v>51.92</v>
      </c>
      <c r="I5" s="92" t="n">
        <f aca="false">IF(H5&gt;0,(H5+I4),"")</f>
        <v>168.859</v>
      </c>
      <c r="J5" s="87" t="n">
        <f aca="false">IF(H5&gt;0,(I5/A5),"")</f>
        <v>42.21475</v>
      </c>
      <c r="K5" s="88" t="n">
        <f aca="false">IF($H5&gt;0,(($H5*$S$7)+$S$8)*(1+$R$9),"")</f>
        <v>8.23250392611306</v>
      </c>
      <c r="L5" s="89" t="n">
        <f aca="false">IF(AND($I5&gt;0,$I5&lt;1000),(($I5*$S$7)+$S$8)*(1+$R$9),($I5*$S$7*(+$S$8)*(1+$R$9)-100))/A5</f>
        <v>6.6306369709639</v>
      </c>
      <c r="M5" s="121" t="n">
        <f aca="false">IF($G5&gt;0,($J5*$A$31),"")</f>
        <v>1266.4425</v>
      </c>
      <c r="N5" s="121" t="n">
        <f aca="false">IF($M5&lt;&gt;"",IF($M5&gt;1000,(($M5*$S$7)+($A5*$S$8))*(1+$R$9)-100,($M5*$S$7)+($A5*$R$9)*(1+$R$9)),"")</f>
        <v>98.5275722579493</v>
      </c>
      <c r="O5" s="13" t="n">
        <f aca="false">IF(I5&gt;=1000,"",(1000-I5))</f>
        <v>831.141</v>
      </c>
      <c r="Q5" s="127" t="s">
        <v>28</v>
      </c>
      <c r="R5" s="132"/>
      <c r="S5" s="133" t="n">
        <v>0.042</v>
      </c>
      <c r="T5" s="125" t="n">
        <v>5</v>
      </c>
      <c r="V5" s="29" t="s">
        <v>125</v>
      </c>
    </row>
    <row r="6" s="102" customFormat="true" ht="15" hidden="false" customHeight="true" outlineLevel="0" collapsed="false">
      <c r="A6" s="86" t="n">
        <v>5</v>
      </c>
      <c r="B6" s="86" t="str">
        <f aca="false">TEXT(E6,"ddd")</f>
        <v>Tue</v>
      </c>
      <c r="C6" s="45" t="n">
        <f aca="false">($A$31-$A6)</f>
        <v>25</v>
      </c>
      <c r="D6" s="34" t="n">
        <v>44914</v>
      </c>
      <c r="E6" s="34" t="n">
        <v>44915.2578935185</v>
      </c>
      <c r="F6" s="2" t="n">
        <v>79728.043</v>
      </c>
      <c r="G6" s="2" t="n">
        <v>79771.634</v>
      </c>
      <c r="H6" s="2" t="n">
        <v>43.595</v>
      </c>
      <c r="I6" s="92" t="n">
        <f aca="false">IF(H6&gt;0,(H6+I5),"")</f>
        <v>212.454</v>
      </c>
      <c r="J6" s="87" t="n">
        <f aca="false">IF(H6&gt;0,(I6/A6),"")</f>
        <v>42.4908</v>
      </c>
      <c r="K6" s="88" t="n">
        <f aca="false">IF($H6&gt;0,(($H6*$S$7)+$S$8)*(1+$R$9),"")</f>
        <v>6.93041808693018</v>
      </c>
      <c r="L6" s="89" t="n">
        <f aca="false">IF(AND($I6&gt;0,$I6&lt;1000),(($I6*$S$7)+$S$8)*(1+$R$9),($I6*$S$7*(+$S$8)*(1+$R$9)-100))/A6</f>
        <v>6.66821965867329</v>
      </c>
      <c r="M6" s="121" t="n">
        <f aca="false">IF($G6&gt;0,($J6*$A$31),"")</f>
        <v>1274.724</v>
      </c>
      <c r="N6" s="121" t="n">
        <f aca="false">IF($M6&lt;&gt;"",IF($M6&gt;1000,(($M6*$S$7)+($A6*$S$8))*(1+$R$9)-100,($M6*$S$7)+($A6*$R$9)*(1+$R$9)),"")</f>
        <v>99.9347220827792</v>
      </c>
      <c r="O6" s="13" t="n">
        <f aca="false">IF(I6&gt;=1000,"",(1000-I6))</f>
        <v>787.546</v>
      </c>
      <c r="Q6" s="127" t="s">
        <v>31</v>
      </c>
      <c r="R6" s="137"/>
      <c r="S6" s="133" t="n">
        <v>0.109677419354839</v>
      </c>
      <c r="T6" s="125" t="n">
        <v>6</v>
      </c>
    </row>
    <row r="7" customFormat="false" ht="15" hidden="false" customHeight="true" outlineLevel="0" collapsed="false">
      <c r="A7" s="11" t="n">
        <v>6</v>
      </c>
      <c r="B7" s="11" t="str">
        <f aca="false">TEXT(E7,"ddd")</f>
        <v>Wed</v>
      </c>
      <c r="C7" s="45" t="n">
        <f aca="false">($A$31-$A7)</f>
        <v>24</v>
      </c>
      <c r="D7" s="34" t="n">
        <v>44915</v>
      </c>
      <c r="E7" s="34" t="n">
        <v>44916.2590046296</v>
      </c>
      <c r="F7" s="2" t="n">
        <v>79771.634</v>
      </c>
      <c r="G7" s="2" t="n">
        <v>79811.51</v>
      </c>
      <c r="H7" s="2" t="n">
        <v>39.874</v>
      </c>
      <c r="I7" s="2" t="n">
        <f aca="false">IF(H7&gt;0,(H7+I6),"")</f>
        <v>252.328</v>
      </c>
      <c r="J7" s="13" t="n">
        <f aca="false">IF(H7&gt;0,(I7/A7),"")</f>
        <v>42.0546666666667</v>
      </c>
      <c r="K7" s="15" t="n">
        <f aca="false">IF($H7&gt;0,(($H7*$S$7)+$S$8)*(1+$R$9),"")</f>
        <v>6.34842872865997</v>
      </c>
      <c r="L7" s="16" t="n">
        <f aca="false">IF(AND($I7&gt;0,$I7&lt;1000),(($I7*$S$7)+$S$8)*(1+$R$9),($I7*$S$7*(+$S$8)*(1+$R$9)-100))/A7</f>
        <v>6.59627655743451</v>
      </c>
      <c r="M7" s="138" t="n">
        <f aca="false">IF($G7&gt;0,($J7*$A$31),"")</f>
        <v>1261.64</v>
      </c>
      <c r="N7" s="138" t="n">
        <f aca="false">IF($M7&lt;&gt;"",IF($M7&gt;1000,(($M7*$S$7)+($A7*$S$8))*(1+$R$9)-100,($M7*$S$7)+($A7*$R$9)*(1+$R$9)),"")</f>
        <v>98.0001644004546</v>
      </c>
      <c r="O7" s="13" t="n">
        <f aca="false">IF(I7&gt;=1000,"",(1000-I7))</f>
        <v>747.672</v>
      </c>
      <c r="Q7" s="22" t="s">
        <v>34</v>
      </c>
      <c r="R7" s="25"/>
      <c r="S7" s="139" t="n">
        <f aca="false">SUM(S4:S6)</f>
        <v>0.153344419354839</v>
      </c>
      <c r="T7" s="125" t="n">
        <v>7</v>
      </c>
      <c r="V7" s="29" t="s">
        <v>126</v>
      </c>
    </row>
    <row r="8" customFormat="false" ht="15" hidden="false" customHeight="false" outlineLevel="0" collapsed="false">
      <c r="A8" s="11" t="n">
        <v>7</v>
      </c>
      <c r="B8" s="11" t="str">
        <f aca="false">TEXT(E8,"ddd")</f>
        <v>Thu</v>
      </c>
      <c r="C8" s="45" t="n">
        <f aca="false">($A$31-$A8)</f>
        <v>23</v>
      </c>
      <c r="D8" s="34" t="n">
        <v>44916</v>
      </c>
      <c r="E8" s="34" t="n">
        <v>44917.2609027778</v>
      </c>
      <c r="F8" s="2" t="n">
        <v>79811.51</v>
      </c>
      <c r="G8" s="2" t="n">
        <v>79862.356</v>
      </c>
      <c r="H8" s="2" t="n">
        <v>50.847</v>
      </c>
      <c r="I8" s="2" t="n">
        <f aca="false">IF(H8&gt;0,(H8+I7),"")</f>
        <v>303.175</v>
      </c>
      <c r="J8" s="13" t="n">
        <f aca="false">IF(H8&gt;0,(I8/A8),"")</f>
        <v>43.3107142857143</v>
      </c>
      <c r="K8" s="15" t="n">
        <f aca="false">IF($H8&gt;0,(($H8*$S$7)+$S$8)*(1+$R$9),"")</f>
        <v>8.06467952906282</v>
      </c>
      <c r="L8" s="16" t="n">
        <f aca="false">IF(AND($I8&gt;0,$I8&lt;1000),(($I8*$S$7)+$S$8)*(1+$R$9),($I8*$S$7*(+$S$8)*(1+$R$9)-100))/A8</f>
        <v>6.79006731375007</v>
      </c>
      <c r="M8" s="138" t="n">
        <f aca="false">IF($G8&gt;0,($J8*$A$31),"")</f>
        <v>1299.32142857143</v>
      </c>
      <c r="N8" s="138" t="n">
        <f aca="false">IF($M8&lt;&gt;"",IF($M8&gt;1000,(($M8*$S$7)+($A8*$S$8))*(1+$R$9)-100,($M8*$S$7)+($A8*$R$9)*(1+$R$9)),"")</f>
        <v>104.005660251212</v>
      </c>
      <c r="O8" s="13" t="n">
        <f aca="false">IF(I8&gt;=1000,"",(1000-I8))</f>
        <v>696.825</v>
      </c>
      <c r="Q8" s="22" t="s">
        <v>127</v>
      </c>
      <c r="R8" s="33" t="n">
        <v>3.4</v>
      </c>
      <c r="S8" s="140" t="n">
        <v>0.109677419354839</v>
      </c>
      <c r="T8" s="93" t="n">
        <v>8</v>
      </c>
      <c r="V8" s="29"/>
    </row>
    <row r="9" customFormat="false" ht="15" hidden="false" customHeight="false" outlineLevel="0" collapsed="false">
      <c r="A9" s="11" t="n">
        <v>8</v>
      </c>
      <c r="B9" s="11" t="str">
        <f aca="false">TEXT(E9,"ddd")</f>
        <v>Fri</v>
      </c>
      <c r="C9" s="45" t="n">
        <f aca="false">($A$31-$A9)</f>
        <v>22</v>
      </c>
      <c r="D9" s="34" t="n">
        <v>44917</v>
      </c>
      <c r="E9" s="34" t="n">
        <v>44918.2582523148</v>
      </c>
      <c r="F9" s="2" t="n">
        <v>79862.356</v>
      </c>
      <c r="G9" s="2" t="n">
        <v>79925.356</v>
      </c>
      <c r="H9" s="2" t="n">
        <v>62.591</v>
      </c>
      <c r="I9" s="2" t="n">
        <f aca="false">IF(H9&gt;0,(H9+I8),"")</f>
        <v>365.766</v>
      </c>
      <c r="J9" s="13" t="n">
        <f aca="false">IF(H9&gt;0,(I9/A9),"")</f>
        <v>45.72075</v>
      </c>
      <c r="K9" s="15" t="n">
        <f aca="false">IF($H9&gt;0,(($H9*$S$7)+$S$8)*(1+$R$9),"")</f>
        <v>9.90151990087829</v>
      </c>
      <c r="L9" s="16" t="n">
        <f aca="false">IF(AND($I9&gt;0,$I9&lt;1000),(($I9*$S$7)+$S$8)*(1+$R$9),($I9*$S$7*(+$S$8)*(1+$R$9)-100))/A9</f>
        <v>7.16501542746368</v>
      </c>
      <c r="M9" s="138" t="n">
        <f aca="false">IF($G9&gt;0,($J9*$A$31),"")</f>
        <v>1371.6225</v>
      </c>
      <c r="N9" s="138" t="n">
        <f aca="false">IF($M9&lt;&gt;"",IF($M9&gt;1000,(($M9*$S$7)+($A9*$S$8))*(1+$R$9)-100,($M9*$S$7)+($A9*$R$9)*(1+$R$9)),"")</f>
        <v>115.425900452943</v>
      </c>
      <c r="O9" s="13" t="n">
        <f aca="false">IF(I9&gt;=1000,"",(1000-I9))</f>
        <v>634.234</v>
      </c>
      <c r="Q9" s="22" t="s">
        <v>42</v>
      </c>
      <c r="R9" s="30" t="n">
        <v>0.01997</v>
      </c>
      <c r="S9" s="32"/>
      <c r="T9" s="93" t="n">
        <v>9</v>
      </c>
      <c r="V9" s="44" t="s">
        <v>128</v>
      </c>
    </row>
    <row r="10" customFormat="false" ht="15" hidden="false" customHeight="false" outlineLevel="0" collapsed="false">
      <c r="A10" s="11" t="n">
        <v>9</v>
      </c>
      <c r="B10" s="11" t="str">
        <f aca="false">TEXT(E10,"ddd")</f>
        <v>Sat</v>
      </c>
      <c r="C10" s="45" t="n">
        <f aca="false">($A$31-$A10)</f>
        <v>21</v>
      </c>
      <c r="D10" s="34" t="n">
        <v>44918</v>
      </c>
      <c r="E10" s="34" t="n">
        <v>44919.2591087963</v>
      </c>
      <c r="F10" s="2" t="n">
        <v>79925.356</v>
      </c>
      <c r="G10" s="2" t="n">
        <v>80015.236</v>
      </c>
      <c r="H10" s="2" t="n">
        <v>90.286</v>
      </c>
      <c r="I10" s="2" t="n">
        <f aca="false">IF(H10&gt;0,(H10+I9),"")</f>
        <v>456.052</v>
      </c>
      <c r="J10" s="13" t="n">
        <f aca="false">IF(H10&gt;0,(I10/A10),"")</f>
        <v>50.6724444444444</v>
      </c>
      <c r="K10" s="15" t="n">
        <f aca="false">IF($H10&gt;0,(($H10*$S$7)+$S$8)*(1+$R$9),"")</f>
        <v>14.2332036625804</v>
      </c>
      <c r="L10" s="16" t="n">
        <f aca="false">IF(AND($I10&gt;0,$I10&lt;1000),(($I10*$S$7)+$S$8)*(1+$R$9),($I10*$S$7*(+$S$8)*(1+$R$9)-100))/A10</f>
        <v>7.93793993387449</v>
      </c>
      <c r="M10" s="138" t="n">
        <f aca="false">IF($G10&gt;0,($J10*$A$31),"")</f>
        <v>1520.17333333333</v>
      </c>
      <c r="N10" s="138" t="n">
        <f aca="false">IF($M10&lt;&gt;"",IF($M10&gt;1000,(($M10*$S$7)+($A10*$S$8))*(1+$R$9)-100,($M10*$S$7)+($A10*$R$9)*(1+$R$9)),"")</f>
        <v>138.772114854945</v>
      </c>
      <c r="O10" s="13" t="n">
        <f aca="false">IF(I10&gt;=1000,"",(1000-I10))</f>
        <v>543.948</v>
      </c>
      <c r="Q10" s="22" t="s">
        <v>46</v>
      </c>
      <c r="R10" s="33" t="n">
        <v>100</v>
      </c>
      <c r="S10" s="24" t="n">
        <v>1000</v>
      </c>
      <c r="T10" s="125" t="n">
        <v>10</v>
      </c>
    </row>
    <row r="11" customFormat="false" ht="15" hidden="false" customHeight="false" outlineLevel="0" collapsed="false">
      <c r="A11" s="11" t="n">
        <v>10</v>
      </c>
      <c r="B11" s="11" t="str">
        <f aca="false">TEXT(E11,"ddd")</f>
        <v>Sun</v>
      </c>
      <c r="C11" s="45" t="n">
        <f aca="false">($A$31-$A11)</f>
        <v>20</v>
      </c>
      <c r="D11" s="34" t="n">
        <v>44919</v>
      </c>
      <c r="E11" s="34" t="n">
        <v>44920.2818981482</v>
      </c>
      <c r="F11" s="2" t="n">
        <v>80015.236</v>
      </c>
      <c r="G11" s="2" t="n">
        <v>80088.938</v>
      </c>
      <c r="H11" s="2" t="n">
        <v>73.704</v>
      </c>
      <c r="I11" s="2" t="n">
        <f aca="false">IF(H11&gt;0,(H11+I10),"")</f>
        <v>529.756</v>
      </c>
      <c r="J11" s="13" t="n">
        <f aca="false">IF(H11&gt;0,(I11/A11),"")</f>
        <v>52.9756</v>
      </c>
      <c r="K11" s="15" t="n">
        <f aca="false">IF($H11&gt;0,(($H11*$S$7)+$S$8)*(1+$R$9),"")</f>
        <v>11.6396676403184</v>
      </c>
      <c r="L11" s="16" t="n">
        <f aca="false">IF(AND($I11&gt;0,$I11&lt;1000),(($I11*$S$7)+$S$8)*(1+$R$9),($I11*$S$7*(+$S$8)*(1+$R$9)-100))/A11</f>
        <v>8.29692593677696</v>
      </c>
      <c r="M11" s="138" t="n">
        <f aca="false">IF($G11&gt;0,($J11*$A$31),"")</f>
        <v>1589.268</v>
      </c>
      <c r="N11" s="138" t="n">
        <f aca="false">IF($M11&lt;&gt;"",IF($M11&gt;1000,(($M11*$S$7)+($A11*$S$8))*(1+$R$9)-100,($M11*$S$7)+($A11*$R$9)*(1+$R$9)),"")</f>
        <v>149.690851845244</v>
      </c>
      <c r="O11" s="13" t="n">
        <f aca="false">IF(I11&gt;=1000,"",(1000-I11))</f>
        <v>470.244</v>
      </c>
      <c r="Q11" s="22" t="s">
        <v>49</v>
      </c>
      <c r="R11" s="33" t="n">
        <v>295</v>
      </c>
      <c r="S11" s="32"/>
      <c r="T11" s="93" t="n">
        <v>11</v>
      </c>
      <c r="V11" s="29" t="s">
        <v>129</v>
      </c>
    </row>
    <row r="12" customFormat="false" ht="15" hidden="false" customHeight="false" outlineLevel="0" collapsed="false">
      <c r="A12" s="11" t="n">
        <v>11</v>
      </c>
      <c r="B12" s="11" t="str">
        <f aca="false">TEXT(E12,"ddd")</f>
        <v>Mon</v>
      </c>
      <c r="C12" s="45" t="n">
        <f aca="false">($A$31-$A12)</f>
        <v>19</v>
      </c>
      <c r="D12" s="34" t="n">
        <v>44920</v>
      </c>
      <c r="E12" s="34" t="n">
        <v>44921.2606018519</v>
      </c>
      <c r="F12" s="2" t="n">
        <v>80088.938</v>
      </c>
      <c r="G12" s="2" t="n">
        <v>80156.948</v>
      </c>
      <c r="H12" s="2" t="n">
        <v>68.007</v>
      </c>
      <c r="I12" s="2" t="n">
        <f aca="false">IF(H12&gt;0,(H12+I11),"")</f>
        <v>597.763</v>
      </c>
      <c r="J12" s="13" t="n">
        <f aca="false">IF(H12&gt;0,(I12/A12),"")</f>
        <v>54.3420909090909</v>
      </c>
      <c r="K12" s="15" t="n">
        <f aca="false">IF($H12&gt;0,(($H12*$S$7)+$S$8)*(1+$R$9),"")</f>
        <v>10.7486186282074</v>
      </c>
      <c r="L12" s="16" t="n">
        <f aca="false">IF(AND($I12&gt;0,$I12&lt;1000),(($I12*$S$7)+$S$8)*(1+$R$9),($I12*$S$7*(+$S$8)*(1+$R$9)-100))/A12</f>
        <v>8.50963730168705</v>
      </c>
      <c r="M12" s="138" t="n">
        <f aca="false">IF($G12&gt;0,($J12*$A$31),"")</f>
        <v>1630.26272727273</v>
      </c>
      <c r="N12" s="138" t="n">
        <f aca="false">IF($M12&lt;&gt;"",IF($M12&gt;1000,(($M12*$S$7)+($A12*$S$8))*(1+$R$9)-100,($M12*$S$7)+($A12*$R$9)*(1+$R$9)),"")</f>
        <v>156.214569836535</v>
      </c>
      <c r="O12" s="13" t="n">
        <f aca="false">IF(I12&gt;=1000,"",(1000-I12))</f>
        <v>402.237</v>
      </c>
      <c r="Q12" s="22" t="s">
        <v>122</v>
      </c>
      <c r="R12" s="141" t="n">
        <f aca="false">INDEX(L2:L32,COUNT(L2:L32))</f>
        <v>-2.5513315449693</v>
      </c>
      <c r="S12" s="32"/>
      <c r="T12" s="93" t="n">
        <v>12</v>
      </c>
    </row>
    <row r="13" customFormat="false" ht="15" hidden="false" customHeight="false" outlineLevel="0" collapsed="false">
      <c r="A13" s="11" t="n">
        <v>12</v>
      </c>
      <c r="B13" s="11" t="str">
        <f aca="false">TEXT(E13,"ddd")</f>
        <v>Tue</v>
      </c>
      <c r="C13" s="45" t="n">
        <f aca="false">($A$31-$A13)</f>
        <v>18</v>
      </c>
      <c r="D13" s="34" t="n">
        <v>44921</v>
      </c>
      <c r="E13" s="34" t="n">
        <v>44922.2585648148</v>
      </c>
      <c r="F13" s="2" t="n">
        <v>80156.948</v>
      </c>
      <c r="G13" s="2" t="n">
        <v>80207.25</v>
      </c>
      <c r="H13" s="2" t="n">
        <v>50.301</v>
      </c>
      <c r="I13" s="2" t="n">
        <f aca="false">IF(H13&gt;0,(H13+I12),"")</f>
        <v>648.064</v>
      </c>
      <c r="J13" s="13" t="n">
        <f aca="false">IF(H13&gt;0,(I13/A13),"")</f>
        <v>54.0053333333333</v>
      </c>
      <c r="K13" s="15" t="n">
        <f aca="false">IF($H13&gt;0,(($H13*$S$7)+$S$8)*(1+$R$9),"")</f>
        <v>7.97928146681731</v>
      </c>
      <c r="L13" s="16" t="n">
        <f aca="false">IF(AND($I13&gt;0,$I13&lt;1000),(($I13*$S$7)+$S$8)*(1+$R$9),($I13*$S$7*(+$S$8)*(1+$R$9)-100))/A13</f>
        <v>8.45611867566296</v>
      </c>
      <c r="M13" s="138" t="n">
        <f aca="false">IF($G13&gt;0,($J13*$A$31),"")</f>
        <v>1620.16</v>
      </c>
      <c r="N13" s="138" t="n">
        <f aca="false">IF($M13&lt;&gt;"",IF($M13&gt;1000,(($M13*$S$7)+($A13*$S$8))*(1+$R$9)-100,($M13*$S$7)+($A13*$R$9)*(1+$R$9)),"")</f>
        <v>154.746303205373</v>
      </c>
      <c r="O13" s="13" t="n">
        <f aca="false">IF(I13&gt;=1000,"",(1000-I13))</f>
        <v>351.936</v>
      </c>
      <c r="Q13" s="22" t="s">
        <v>130</v>
      </c>
      <c r="R13" s="141" t="n">
        <f aca="false">INDEX(N3:N33,COUNT(N3:N33))</f>
        <v>87.3570114811624</v>
      </c>
      <c r="S13" s="32"/>
      <c r="T13" s="93"/>
    </row>
    <row r="14" customFormat="false" ht="15" hidden="false" customHeight="false" outlineLevel="0" collapsed="false">
      <c r="A14" s="11" t="n">
        <v>13</v>
      </c>
      <c r="B14" s="11" t="str">
        <f aca="false">TEXT(E14,"ddd")</f>
        <v>Wed</v>
      </c>
      <c r="C14" s="45" t="n">
        <f aca="false">($A$31-$A14)</f>
        <v>17</v>
      </c>
      <c r="D14" s="34" t="n">
        <v>44922</v>
      </c>
      <c r="E14" s="34" t="n">
        <v>44923.2597106482</v>
      </c>
      <c r="F14" s="2" t="n">
        <v>80207.25</v>
      </c>
      <c r="G14" s="2" t="n">
        <v>80259.354</v>
      </c>
      <c r="H14" s="2" t="n">
        <v>52.106</v>
      </c>
      <c r="I14" s="2" t="n">
        <f aca="false">IF(H14&gt;0,(H14+I13),"")</f>
        <v>700.17</v>
      </c>
      <c r="J14" s="13" t="n">
        <f aca="false">IF(H14&gt;0,(I14/A14),"")</f>
        <v>53.8592307692308</v>
      </c>
      <c r="K14" s="15" t="n">
        <f aca="false">IF($H14&gt;0,(($H14*$S$7)+$S$8)*(1+$R$9),"")</f>
        <v>8.2615955736912</v>
      </c>
      <c r="L14" s="16" t="n">
        <f aca="false">IF(AND($I14&gt;0,$I14&lt;1000),(($I14*$S$7)+$S$8)*(1+$R$9),($I14*$S$7*(+$S$8)*(1+$R$9)-100))/A14</f>
        <v>8.43255015417133</v>
      </c>
      <c r="M14" s="138" t="n">
        <f aca="false">IF($G14&gt;0,($J14*$A$31),"")</f>
        <v>1615.77692307692</v>
      </c>
      <c r="N14" s="138" t="n">
        <f aca="false">IF($M14&lt;&gt;"",IF($M14&gt;1000,(($M14*$S$7)+($A14*$S$8))*(1+$R$9)-100,($M14*$S$7)+($A14*$R$9)*(1+$R$9)),"")</f>
        <v>154.172628252932</v>
      </c>
      <c r="O14" s="13" t="n">
        <f aca="false">IF(I14&gt;=1000,"",(1000-I14))</f>
        <v>299.83</v>
      </c>
      <c r="Q14" s="22" t="s">
        <v>55</v>
      </c>
      <c r="R14" s="97" t="n">
        <f aca="false">INDEX(I3:I33,COUNT(I3:I33))</f>
        <v>1253.329</v>
      </c>
      <c r="S14" s="32"/>
      <c r="T14" s="125" t="n">
        <v>13</v>
      </c>
    </row>
    <row r="15" customFormat="false" ht="15" hidden="false" customHeight="false" outlineLevel="0" collapsed="false">
      <c r="A15" s="11" t="n">
        <v>14</v>
      </c>
      <c r="B15" s="11" t="str">
        <f aca="false">TEXT(E15,"ddd")</f>
        <v>Thu</v>
      </c>
      <c r="C15" s="45" t="n">
        <f aca="false">($A$31-$A15)</f>
        <v>16</v>
      </c>
      <c r="D15" s="34" t="n">
        <v>44923</v>
      </c>
      <c r="E15" s="34" t="n">
        <v>44924.2631944444</v>
      </c>
      <c r="F15" s="2" t="n">
        <v>80259.354</v>
      </c>
      <c r="G15" s="2" t="n">
        <v>80298.216</v>
      </c>
      <c r="H15" s="2" t="n">
        <v>38.863</v>
      </c>
      <c r="I15" s="2" t="n">
        <f aca="false">IF(H15&gt;0,(H15+I14),"")</f>
        <v>739.033</v>
      </c>
      <c r="J15" s="13" t="n">
        <f aca="false">IF(H15&gt;0,(I15/A15),"")</f>
        <v>52.7880714285714</v>
      </c>
      <c r="K15" s="15" t="n">
        <f aca="false">IF($H15&gt;0,(($H15*$S$7)+$S$8)*(1+$R$9),"")</f>
        <v>6.19030154746911</v>
      </c>
      <c r="L15" s="16" t="n">
        <f aca="false">IF(AND($I15&gt;0,$I15&lt;1000),(($I15*$S$7)+$S$8)*(1+$R$9),($I15*$S$7*(+$S$8)*(1+$R$9)-100))/A15</f>
        <v>8.26439899101979</v>
      </c>
      <c r="M15" s="138" t="n">
        <f aca="false">IF($G15&gt;0,($J15*$A$31),"")</f>
        <v>1583.64214285714</v>
      </c>
      <c r="N15" s="138" t="n">
        <f aca="false">IF($M15&lt;&gt;"",IF($M15&gt;1000,(($M15*$S$7)+($A15*$S$8))*(1+$R$9)-100,($M15*$S$7)+($A15*$R$9)*(1+$R$9)),"")</f>
        <v>149.258400762852</v>
      </c>
      <c r="O15" s="13" t="n">
        <f aca="false">IF(I15&gt;=1000,"",(1000-I15))</f>
        <v>260.967</v>
      </c>
      <c r="Q15" s="22" t="s">
        <v>131</v>
      </c>
      <c r="R15" s="99" t="n">
        <f aca="false">MAX(H2:H31)</f>
        <v>90.286</v>
      </c>
      <c r="S15" s="32"/>
      <c r="T15" s="93" t="n">
        <v>14</v>
      </c>
    </row>
    <row r="16" customFormat="false" ht="15" hidden="false" customHeight="false" outlineLevel="0" collapsed="false">
      <c r="A16" s="11" t="n">
        <v>15</v>
      </c>
      <c r="B16" s="11" t="str">
        <f aca="false">TEXT(E16,"ddd")</f>
        <v>Fri</v>
      </c>
      <c r="C16" s="45" t="n">
        <f aca="false">($A$31-$A16)</f>
        <v>15</v>
      </c>
      <c r="D16" s="34" t="n">
        <v>44924</v>
      </c>
      <c r="E16" s="34" t="n">
        <v>44925.2594560185</v>
      </c>
      <c r="F16" s="2" t="n">
        <v>80298.216</v>
      </c>
      <c r="G16" s="2" t="n">
        <v>80318.964</v>
      </c>
      <c r="H16" s="2" t="n">
        <v>20.747</v>
      </c>
      <c r="I16" s="2" t="n">
        <f aca="false">IF(H16&gt;0,(H16+I15),"")</f>
        <v>759.78</v>
      </c>
      <c r="J16" s="13" t="n">
        <f aca="false">IF(H16&gt;0,(I16/A16),"")</f>
        <v>50.652</v>
      </c>
      <c r="K16" s="15" t="n">
        <f aca="false">IF($H16&gt;0,(($H16*$S$7)+$S$8)*(1+$R$9),"")</f>
        <v>3.35683763604124</v>
      </c>
      <c r="L16" s="16" t="n">
        <f aca="false">IF(AND($I16&gt;0,$I16&lt;1000),(($I16*$S$7)+$S$8)*(1+$R$9),($I16*$S$7*(+$S$8)*(1+$R$9)-100))/A16</f>
        <v>7.92977038885993</v>
      </c>
      <c r="M16" s="138" t="n">
        <f aca="false">IF($G16&gt;0,($J16*$A$31),"")</f>
        <v>1519.56</v>
      </c>
      <c r="N16" s="138" t="n">
        <f aca="false">IF($M16&lt;&gt;"",IF($M16&gt;1000,(($M16*$S$7)+($A16*$S$8))*(1+$R$9)-100,($M16*$S$7)+($A16*$R$9)*(1+$R$9)),"")</f>
        <v>139.34739147225</v>
      </c>
      <c r="O16" s="13" t="n">
        <f aca="false">IF(I16&gt;=1000,"",(1000-I16))</f>
        <v>240.22</v>
      </c>
      <c r="Q16" s="22" t="s">
        <v>132</v>
      </c>
      <c r="R16" s="99" t="n">
        <f aca="false">MIN(H2:H31)</f>
        <v>20.747</v>
      </c>
      <c r="S16" s="32"/>
      <c r="T16" s="93" t="n">
        <v>15</v>
      </c>
    </row>
    <row r="17" customFormat="false" ht="15" hidden="false" customHeight="false" outlineLevel="0" collapsed="false">
      <c r="A17" s="11" t="n">
        <v>16</v>
      </c>
      <c r="B17" s="11" t="str">
        <f aca="false">TEXT(E17,"ddd")</f>
        <v>Sat</v>
      </c>
      <c r="C17" s="45" t="n">
        <f aca="false">($A$31-$A17)</f>
        <v>14</v>
      </c>
      <c r="D17" s="34" t="n">
        <v>44925</v>
      </c>
      <c r="E17" s="34" t="n">
        <v>44926.2580555556</v>
      </c>
      <c r="F17" s="2" t="n">
        <v>80318.964</v>
      </c>
      <c r="G17" s="2" t="n">
        <v>80339.996</v>
      </c>
      <c r="H17" s="2" t="n">
        <v>21.035</v>
      </c>
      <c r="I17" s="2" t="n">
        <f aca="false">IF(H17&gt;0,(H17+I16),"")</f>
        <v>780.815</v>
      </c>
      <c r="J17" s="13" t="n">
        <f aca="false">IF(H17&gt;0,(I17/A17),"")</f>
        <v>48.8009375</v>
      </c>
      <c r="K17" s="15" t="n">
        <f aca="false">IF($H17&gt;0,(($H17*$S$7)+$S$8)*(1+$R$9),"")</f>
        <v>3.40188276777513</v>
      </c>
      <c r="L17" s="16" t="n">
        <f aca="false">IF(AND($I17&gt;0,$I17&lt;1000),(($I17*$S$7)+$S$8)*(1+$R$9),($I17*$S$7*(+$S$8)*(1+$R$9)-100))/A17</f>
        <v>7.63978568270342</v>
      </c>
      <c r="M17" s="138" t="n">
        <f aca="false">IF($G17&gt;0,($J17*$A$31),"")</f>
        <v>1464.028125</v>
      </c>
      <c r="N17" s="138" t="n">
        <f aca="false">IF($M17&lt;&gt;"",IF($M17&gt;1000,(($M17*$S$7)+($A17*$S$8))*(1+$R$9)-100,($M17*$S$7)+($A17*$R$9)*(1+$R$9)),"")</f>
        <v>130.773701424651</v>
      </c>
      <c r="O17" s="13" t="n">
        <f aca="false">IF(I17&gt;=1000,"",(1000-I17))</f>
        <v>219.185</v>
      </c>
      <c r="Q17" s="40" t="s">
        <v>58</v>
      </c>
      <c r="R17" s="100" t="n">
        <f aca="false">INDEX(J2:J32,COUNT(J2:J32))</f>
        <v>39.3181612903226</v>
      </c>
      <c r="S17" s="101"/>
      <c r="T17" s="125" t="n">
        <v>16</v>
      </c>
    </row>
    <row r="18" customFormat="false" ht="15" hidden="false" customHeight="false" outlineLevel="0" collapsed="false">
      <c r="A18" s="11" t="n">
        <v>17</v>
      </c>
      <c r="B18" s="11" t="str">
        <f aca="false">TEXT(E18,"ddd")</f>
        <v>Sun</v>
      </c>
      <c r="C18" s="45" t="n">
        <f aca="false">($A$31-$A18)</f>
        <v>13</v>
      </c>
      <c r="D18" s="34" t="n">
        <v>44926</v>
      </c>
      <c r="E18" s="34" t="n">
        <v>44927.2791435185</v>
      </c>
      <c r="F18" s="2" t="n">
        <v>80339.996</v>
      </c>
      <c r="G18" s="2" t="n">
        <v>80375.947</v>
      </c>
      <c r="H18" s="2" t="n">
        <v>35.949</v>
      </c>
      <c r="I18" s="2" t="n">
        <f aca="false">IF(H18&gt;0,(H18+I17),"")</f>
        <v>816.764</v>
      </c>
      <c r="J18" s="13" t="n">
        <f aca="false">IF(H18&gt;0,(I18/A18),"")</f>
        <v>48.0449411764706</v>
      </c>
      <c r="K18" s="15" t="n">
        <f aca="false">IF($H18&gt;0,(($H18*$S$7)+$S$8)*(1+$R$9),"")</f>
        <v>5.73453240207825</v>
      </c>
      <c r="L18" s="16" t="n">
        <f aca="false">IF(AND($I18&gt;0,$I18&lt;1000),(($I18*$S$7)+$S$8)*(1+$R$9),($I18*$S$7*(+$S$8)*(1+$R$9)-100))/A18</f>
        <v>7.5211315087008</v>
      </c>
      <c r="M18" s="138" t="n">
        <f aca="false">IF($G18&gt;0,($J18*$A$31),"")</f>
        <v>1441.34823529412</v>
      </c>
      <c r="N18" s="138" t="n">
        <f aca="false">IF($M18&lt;&gt;"",IF($M18&gt;1000,(($M18*$S$7)+($A18*$S$8))*(1+$R$9)-100,($M18*$S$7)+($A18*$R$9)*(1+$R$9)),"")</f>
        <v>127.338282228766</v>
      </c>
      <c r="O18" s="13" t="n">
        <f aca="false">IF(I18&gt;=1000,"",(1000-I18))</f>
        <v>183.236</v>
      </c>
    </row>
    <row r="19" customFormat="false" ht="15" hidden="false" customHeight="false" outlineLevel="0" collapsed="false">
      <c r="A19" s="11" t="n">
        <v>18</v>
      </c>
      <c r="B19" s="11" t="str">
        <f aca="false">TEXT(E19,"ddd")</f>
        <v>Mon</v>
      </c>
      <c r="C19" s="45" t="n">
        <f aca="false">($A$31-$A19)</f>
        <v>12</v>
      </c>
      <c r="D19" s="34" t="n">
        <v>44927</v>
      </c>
      <c r="E19" s="34" t="n">
        <v>44928.2579050926</v>
      </c>
      <c r="F19" s="2" t="n">
        <v>80375.947</v>
      </c>
      <c r="G19" s="2" t="n">
        <v>80406.157</v>
      </c>
      <c r="H19" s="2" t="n">
        <v>30.208</v>
      </c>
      <c r="I19" s="2" t="n">
        <f aca="false">IF(H19&gt;0,(H19+I18),"")</f>
        <v>846.972</v>
      </c>
      <c r="J19" s="13" t="n">
        <f aca="false">IF(H19&gt;0,(I19/A19),"")</f>
        <v>47.054</v>
      </c>
      <c r="K19" s="15" t="n">
        <f aca="false">IF($H19&gt;0,(($H19*$S$7)+$S$8)*(1+$R$9),"")</f>
        <v>4.83660149484115</v>
      </c>
      <c r="L19" s="16" t="n">
        <f aca="false">IF(AND($I19&gt;0,$I19&lt;1000),(($I19*$S$7)+$S$8)*(1+$R$9),($I19*$S$7*(+$S$8)*(1+$R$9)-100))/A19</f>
        <v>7.36577608140752</v>
      </c>
      <c r="M19" s="138" t="n">
        <f aca="false">IF($G19&gt;0,($J19*$A$31),"")</f>
        <v>1411.62</v>
      </c>
      <c r="N19" s="138" t="n">
        <f aca="false">IF($M19&lt;&gt;"",IF($M19&gt;1000,(($M19*$S$7)+($A19*$S$8))*(1+$R$9)-100,($M19*$S$7)+($A19*$R$9)*(1+$R$9)),"")</f>
        <v>122.800454506742</v>
      </c>
      <c r="O19" s="13" t="n">
        <f aca="false">IF(I19&gt;=1000,"",(1000-I19))</f>
        <v>153.028</v>
      </c>
    </row>
    <row r="20" customFormat="false" ht="15" hidden="false" customHeight="false" outlineLevel="0" collapsed="false">
      <c r="A20" s="11" t="n">
        <v>19</v>
      </c>
      <c r="B20" s="11" t="str">
        <f aca="false">TEXT(E20,"ddd")</f>
        <v>Tue</v>
      </c>
      <c r="C20" s="45" t="n">
        <f aca="false">($A$31-$A20)</f>
        <v>11</v>
      </c>
      <c r="D20" s="34" t="n">
        <v>44928</v>
      </c>
      <c r="E20" s="34" t="n">
        <v>44929.259224537</v>
      </c>
      <c r="F20" s="2" t="n">
        <v>80406.157</v>
      </c>
      <c r="G20" s="2" t="n">
        <v>80430.236</v>
      </c>
      <c r="H20" s="2" t="n">
        <v>24.075</v>
      </c>
      <c r="I20" s="2" t="n">
        <f aca="false">IF(H20&gt;0,(H20+I19),"")</f>
        <v>871.047</v>
      </c>
      <c r="J20" s="13" t="n">
        <f aca="false">IF(H20&gt;0,(I20/A20),"")</f>
        <v>45.8445789473684</v>
      </c>
      <c r="K20" s="15" t="n">
        <f aca="false">IF($H20&gt;0,(($H20*$S$7)+$S$8)*(1+$R$9),"")</f>
        <v>3.87735915829957</v>
      </c>
      <c r="L20" s="16" t="n">
        <f aca="false">IF(AND($I20&gt;0,$I20&lt;1000),(($I20*$S$7)+$S$8)*(1+$R$9),($I20*$S$7*(+$S$8)*(1+$R$9)-100))/A20</f>
        <v>7.17628741822188</v>
      </c>
      <c r="M20" s="138" t="n">
        <f aca="false">IF($G20&gt;0,($J20*$A$31),"")</f>
        <v>1375.33736842105</v>
      </c>
      <c r="N20" s="138" t="n">
        <f aca="false">IF($M20&lt;&gt;"",IF($M20&gt;1000,(($M20*$S$7)+($A20*$S$8))*(1+$R$9)-100,($M20*$S$7)+($A20*$R$9)*(1+$R$9)),"")</f>
        <v>117.237475242751</v>
      </c>
      <c r="O20" s="13" t="n">
        <f aca="false">IF(I20&gt;=1000,"",(1000-I20))</f>
        <v>128.953</v>
      </c>
    </row>
    <row r="21" customFormat="false" ht="15" hidden="false" customHeight="false" outlineLevel="0" collapsed="false">
      <c r="A21" s="11" t="n">
        <v>20</v>
      </c>
      <c r="B21" s="11" t="str">
        <f aca="false">TEXT(E21,"ddd")</f>
        <v>Wed</v>
      </c>
      <c r="C21" s="45" t="n">
        <f aca="false">($A$31-$A21)</f>
        <v>10</v>
      </c>
      <c r="D21" s="34" t="n">
        <v>44929</v>
      </c>
      <c r="E21" s="34" t="n">
        <v>44930.2595138889</v>
      </c>
      <c r="F21" s="2" t="n">
        <v>80430.236</v>
      </c>
      <c r="G21" s="2" t="n">
        <v>80454.28</v>
      </c>
      <c r="H21" s="2" t="n">
        <v>24.041</v>
      </c>
      <c r="I21" s="2" t="n">
        <f aca="false">IF(H21&gt;0,(H21+I20),"")</f>
        <v>895.088</v>
      </c>
      <c r="J21" s="13" t="n">
        <f aca="false">IF(H21&gt;0,(I21/A21),"")</f>
        <v>44.7544</v>
      </c>
      <c r="K21" s="15" t="n">
        <f aca="false">IF($H21&gt;0,(($H21*$S$7)+$S$8)*(1+$R$9),"")</f>
        <v>3.87204133024766</v>
      </c>
      <c r="L21" s="16" t="n">
        <f aca="false">IF(AND($I21&gt;0,$I21&lt;1000),(($I21*$S$7)+$S$8)*(1+$R$9),($I21*$S$7*(+$S$8)*(1+$R$9)-100))/A21</f>
        <v>7.0054817299522</v>
      </c>
      <c r="M21" s="138" t="n">
        <f aca="false">IF($G21&gt;0,($J21*$A$31),"")</f>
        <v>1342.632</v>
      </c>
      <c r="N21" s="138" t="n">
        <f aca="false">IF($M21&lt;&gt;"",IF($M21&gt;1000,(($M21*$S$7)+($A21*$S$8))*(1+$R$9)-100,($M21*$S$7)+($A21*$R$9)*(1+$R$9)),"")</f>
        <v>112.234003930824</v>
      </c>
      <c r="O21" s="13" t="n">
        <f aca="false">IF(I21&gt;=1000,"",(1000-I21))</f>
        <v>104.912</v>
      </c>
    </row>
    <row r="22" customFormat="false" ht="15" hidden="false" customHeight="false" outlineLevel="0" collapsed="false">
      <c r="A22" s="11" t="n">
        <v>21</v>
      </c>
      <c r="B22" s="11" t="str">
        <f aca="false">TEXT(E22,"ddd")</f>
        <v>Thu</v>
      </c>
      <c r="C22" s="45" t="n">
        <f aca="false">($A$31-$A22)</f>
        <v>9</v>
      </c>
      <c r="D22" s="34" t="n">
        <v>44930</v>
      </c>
      <c r="E22" s="34" t="n">
        <v>44931.2593402778</v>
      </c>
      <c r="F22" s="2" t="n">
        <v>80454.28</v>
      </c>
      <c r="G22" s="2" t="n">
        <v>80477.27</v>
      </c>
      <c r="H22" s="2" t="n">
        <v>22.992</v>
      </c>
      <c r="I22" s="2" t="n">
        <f aca="false">IF(H22&gt;0,(H22+I21),"")</f>
        <v>918.08</v>
      </c>
      <c r="J22" s="13" t="n">
        <f aca="false">IF(H22&gt;0,(I22/A22),"")</f>
        <v>43.7180952380952</v>
      </c>
      <c r="K22" s="15" t="n">
        <f aca="false">IF($H22&gt;0,(($H22*$S$7)+$S$8)*(1+$R$9),"")</f>
        <v>3.70797069417524</v>
      </c>
      <c r="L22" s="16" t="n">
        <f aca="false">IF(AND($I22&gt;0,$I22&lt;1000),(($I22*$S$7)+$S$8)*(1+$R$9),($I22*$S$7*(+$S$8)*(1+$R$9)-100))/A22</f>
        <v>6.84313036265714</v>
      </c>
      <c r="M22" s="138" t="n">
        <f aca="false">IF($G22&gt;0,($J22*$A$31),"")</f>
        <v>1311.54285714286</v>
      </c>
      <c r="N22" s="138" t="n">
        <f aca="false">IF($M22&lt;&gt;"",IF($M22&gt;1000,(($M22*$S$7)+($A22*$S$8))*(1+$R$9)-100,($M22*$S$7)+($A22*$R$9)*(1+$R$9)),"")</f>
        <v>107.483321137779</v>
      </c>
      <c r="O22" s="13" t="n">
        <f aca="false">IF(I22&gt;=1000,"",(1000-I22))</f>
        <v>81.9200000000002</v>
      </c>
    </row>
    <row r="23" customFormat="false" ht="15" hidden="false" customHeight="false" outlineLevel="0" collapsed="false">
      <c r="A23" s="11" t="n">
        <v>22</v>
      </c>
      <c r="B23" s="11" t="str">
        <f aca="false">TEXT(E23,"ddd")</f>
        <v>Fri</v>
      </c>
      <c r="C23" s="45" t="n">
        <f aca="false">($A$31-$A23)</f>
        <v>8</v>
      </c>
      <c r="D23" s="34" t="n">
        <v>44931</v>
      </c>
      <c r="E23" s="34" t="n">
        <v>44932.2587152778</v>
      </c>
      <c r="F23" s="2" t="n">
        <v>80477.27</v>
      </c>
      <c r="G23" s="2" t="n">
        <v>80508.994</v>
      </c>
      <c r="H23" s="2" t="n">
        <v>31.722</v>
      </c>
      <c r="I23" s="2" t="n">
        <f aca="false">IF(H23&gt;0,(H23+I22),"")</f>
        <v>949.802</v>
      </c>
      <c r="J23" s="13" t="n">
        <f aca="false">IF(H23&gt;0,(I23/A23),"")</f>
        <v>43.1728181818182</v>
      </c>
      <c r="K23" s="15" t="n">
        <f aca="false">IF($H23&gt;0,(($H23*$S$7)+$S$8)*(1+$R$9),"")</f>
        <v>5.07340124985891</v>
      </c>
      <c r="L23" s="16" t="n">
        <f aca="false">IF(AND($I23&gt;0,$I23&lt;1000),(($I23*$S$7)+$S$8)*(1+$R$9),($I23*$S$7*(+$S$8)*(1+$R$9)-100))/A23</f>
        <v>6.75760323582906</v>
      </c>
      <c r="M23" s="138" t="n">
        <f aca="false">IF($G23&gt;0,($J23*$A$31),"")</f>
        <v>1295.18454545455</v>
      </c>
      <c r="N23" s="138" t="n">
        <f aca="false">IF($M23&lt;&gt;"",IF($M23&gt;1000,(($M23*$S$7)+($A23*$S$8))*(1+$R$9)-100,($M23*$S$7)+($A23*$R$9)*(1+$R$9)),"")</f>
        <v>105.036639145253</v>
      </c>
      <c r="O23" s="13" t="n">
        <f aca="false">IF(I23&gt;=1000,"",(1000-I23))</f>
        <v>50.1980000000002</v>
      </c>
    </row>
    <row r="24" customFormat="false" ht="15" hidden="false" customHeight="false" outlineLevel="0" collapsed="false">
      <c r="A24" s="11" t="n">
        <v>23</v>
      </c>
      <c r="B24" s="11" t="str">
        <f aca="false">TEXT(E24,"ddd")</f>
        <v>Sat</v>
      </c>
      <c r="C24" s="45" t="n">
        <f aca="false">($A$31-$A24)</f>
        <v>7</v>
      </c>
      <c r="D24" s="34" t="n">
        <v>44932</v>
      </c>
      <c r="E24" s="34" t="n">
        <v>44933.2588425926</v>
      </c>
      <c r="F24" s="2" t="n">
        <v>80508.994</v>
      </c>
      <c r="G24" s="2" t="n">
        <v>80543.394</v>
      </c>
      <c r="H24" s="2" t="n">
        <v>34.397</v>
      </c>
      <c r="I24" s="2" t="n">
        <f aca="false">IF(H24&gt;0,(H24+I23),"")</f>
        <v>984.199</v>
      </c>
      <c r="J24" s="13" t="n">
        <f aca="false">IF(H24&gt;0,(I24/A24),"")</f>
        <v>42.7912608695652</v>
      </c>
      <c r="K24" s="15" t="n">
        <f aca="false">IF($H24&gt;0,(($H24*$S$7)+$S$8)*(1+$R$9),"")</f>
        <v>5.49178919217893</v>
      </c>
      <c r="L24" s="16" t="n">
        <f aca="false">IF(AND($I24&gt;0,$I24&lt;1000),(($I24*$S$7)+$S$8)*(1+$R$9),($I24*$S$7*(+$S$8)*(1+$R$9)-100))/A24</f>
        <v>6.69770403056517</v>
      </c>
      <c r="M24" s="138" t="n">
        <f aca="false">IF($G24&gt;0,($J24*$A$31),"")</f>
        <v>1283.73782608696</v>
      </c>
      <c r="N24" s="138" t="n">
        <f aca="false">IF($M24&lt;&gt;"",IF($M24&gt;1000,(($M24*$S$7)+($A24*$S$8))*(1+$R$9)-100,($M24*$S$7)+($A24*$R$9)*(1+$R$9)),"")</f>
        <v>103.358163135749</v>
      </c>
      <c r="O24" s="13" t="n">
        <f aca="false">IF(I24&gt;=1000,"",(1000-I24))</f>
        <v>15.8010000000002</v>
      </c>
      <c r="R24" s="2" t="n">
        <f aca="false">(N24+K25)</f>
        <v>107.163888022055</v>
      </c>
    </row>
    <row r="25" customFormat="false" ht="15" hidden="false" customHeight="false" outlineLevel="0" collapsed="false">
      <c r="A25" s="11" t="n">
        <v>24</v>
      </c>
      <c r="B25" s="11" t="str">
        <f aca="false">TEXT(E25,"ddd")</f>
        <v>Sun</v>
      </c>
      <c r="C25" s="45" t="n">
        <f aca="false">($A$31-$A25)</f>
        <v>6</v>
      </c>
      <c r="D25" s="34" t="n">
        <v>44933</v>
      </c>
      <c r="E25" s="34" t="n">
        <v>44934.2805208333</v>
      </c>
      <c r="F25" s="2" t="n">
        <v>80543.394</v>
      </c>
      <c r="G25" s="2" t="n">
        <v>80567.012</v>
      </c>
      <c r="H25" s="2" t="n">
        <v>23.617</v>
      </c>
      <c r="I25" s="142" t="n">
        <f aca="false">IF(H25&gt;0,(H25+I24),"")</f>
        <v>1007.816</v>
      </c>
      <c r="J25" s="13" t="n">
        <f aca="false">IF(H25&gt;0,(I25/A25),"")</f>
        <v>41.9923333333333</v>
      </c>
      <c r="K25" s="15" t="n">
        <f aca="false">IF($H25&gt;0,(($H25*$S$7)+$S$8)*(1+$R$9),"")</f>
        <v>3.80572488630609</v>
      </c>
      <c r="L25" s="16" t="n">
        <f aca="false">IF(AND($I25&gt;0,$I25&lt;1000),(($I25*$S$7)+$S$8)*(1+$R$9),($I25*$S$7*(+$S$8)*(1+$R$9)-100))/A25</f>
        <v>-3.44631825322959</v>
      </c>
      <c r="M25" s="138" t="n">
        <f aca="false">IF($G25&gt;0,($J25*$A$31),"")</f>
        <v>1259.77</v>
      </c>
      <c r="N25" s="138" t="n">
        <f aca="false">IF($M25&lt;&gt;"",IF($M25&gt;1000,(($M25*$S$7)+($A25*$S$8))*(1+$R$9)-100,($M25*$S$7)+($A25*$R$9)*(1+$R$9)),"")</f>
        <v>99.7213020511474</v>
      </c>
      <c r="O25" s="13" t="str">
        <f aca="false">IF(I25&gt;=1000,"",(1000-I25))</f>
        <v/>
      </c>
      <c r="R25" s="2" t="n">
        <f aca="false">(R24+K26)</f>
        <v>111.536430816013</v>
      </c>
      <c r="T25" s="15" t="n">
        <f aca="false">IF($H25&gt;0,(($H25*$S$7)+$S$8)*(1+$R$9),"")</f>
        <v>3.80572488630609</v>
      </c>
    </row>
    <row r="26" customFormat="false" ht="15" hidden="false" customHeight="false" outlineLevel="0" collapsed="false">
      <c r="A26" s="11" t="n">
        <v>25</v>
      </c>
      <c r="B26" s="11" t="str">
        <f aca="false">TEXT(E26,"ddd")</f>
        <v>Mon</v>
      </c>
      <c r="C26" s="45" t="n">
        <f aca="false">($A$31-$A26)</f>
        <v>5</v>
      </c>
      <c r="D26" s="34" t="n">
        <v>44934</v>
      </c>
      <c r="E26" s="34" t="n">
        <v>44935.258912037</v>
      </c>
      <c r="F26" s="2" t="n">
        <v>80567.012</v>
      </c>
      <c r="G26" s="2" t="n">
        <v>80594.256</v>
      </c>
      <c r="H26" s="2" t="n">
        <v>27.241</v>
      </c>
      <c r="I26" s="2" t="n">
        <f aca="false">IF(H26&gt;0,(H26+I25),"")</f>
        <v>1035.057</v>
      </c>
      <c r="J26" s="13" t="n">
        <f aca="false">IF(H26&gt;0,(I26/A26),"")</f>
        <v>41.40228</v>
      </c>
      <c r="K26" s="15" t="n">
        <f aca="false">IF($H26&gt;0,(($H26*$S$7)+$S$8)*(1+$R$9),"")</f>
        <v>4.37254279395759</v>
      </c>
      <c r="L26" s="16" t="n">
        <f aca="false">IF(AND($I26&gt;0,$I26&lt;1000),(($I26*$S$7)+$S$8)*(1+$R$9),($I26*$S$7*(+$S$8)*(1+$R$9)-100))/A26</f>
        <v>-3.28977352904075</v>
      </c>
      <c r="M26" s="138" t="n">
        <f aca="false">IF($G26&gt;0,($J26*$A$31),"")</f>
        <v>1242.0684</v>
      </c>
      <c r="N26" s="138" t="n">
        <f aca="false">IF($M26&lt;&gt;"",IF($M26&gt;1000,(($M26*$S$7)+($A26*$S$8))*(1+$R$9)-100,($M26*$S$7)+($A26*$R$9)*(1+$R$9)),"")</f>
        <v>97.0645207566894</v>
      </c>
      <c r="O26" s="13" t="str">
        <f aca="false">IF(I26&gt;=1000,"",(1000-I26))</f>
        <v/>
      </c>
      <c r="R26" s="2" t="n">
        <f aca="false">(R25+K27)</f>
        <v>117.542016042031</v>
      </c>
      <c r="T26" s="15" t="n">
        <f aca="false">IF($H26&gt;0,(($H26*$S$7)+$S$8)*(1+$R$9),"")</f>
        <v>4.37254279395759</v>
      </c>
    </row>
    <row r="27" customFormat="false" ht="15" hidden="false" customHeight="false" outlineLevel="0" collapsed="false">
      <c r="A27" s="11" t="n">
        <v>26</v>
      </c>
      <c r="B27" s="11" t="str">
        <f aca="false">TEXT(E27,"ddd")</f>
        <v>Tue</v>
      </c>
      <c r="C27" s="45" t="n">
        <f aca="false">($A$31-$A27)</f>
        <v>4</v>
      </c>
      <c r="D27" s="34" t="n">
        <v>44935</v>
      </c>
      <c r="E27" s="34" t="n">
        <v>44936.2599074074</v>
      </c>
      <c r="F27" s="2" t="n">
        <v>80594.256</v>
      </c>
      <c r="G27" s="2" t="n">
        <v>80631.94</v>
      </c>
      <c r="H27" s="2" t="n">
        <v>37.682</v>
      </c>
      <c r="I27" s="2" t="n">
        <f aca="false">IF(H27&gt;0,(H27+I26),"")</f>
        <v>1072.739</v>
      </c>
      <c r="J27" s="13" t="n">
        <f aca="false">IF(H27&gt;0,(I27/A27),"")</f>
        <v>41.2591923076923</v>
      </c>
      <c r="K27" s="15" t="n">
        <f aca="false">IF($H27&gt;0,(($H27*$S$7)+$S$8)*(1+$R$9),"")</f>
        <v>6.00558522601867</v>
      </c>
      <c r="L27" s="16" t="n">
        <f aca="false">IF(AND($I27&gt;0,$I27&lt;1000),(($I27*$S$7)+$S$8)*(1+$R$9),($I27*$S$7*(+$S$8)*(1+$R$9)-100))/A27</f>
        <v>-3.13838194211085</v>
      </c>
      <c r="M27" s="138" t="n">
        <f aca="false">IF($G27&gt;0,($J27*$A$31),"")</f>
        <v>1237.77576923077</v>
      </c>
      <c r="N27" s="138" t="n">
        <f aca="false">IF($M27&lt;&gt;"",IF($M27&gt;1000,(($M27*$S$7)+($A27*$S$8))*(1+$R$9)-100,($M27*$S$7)+($A27*$R$9)*(1+$R$9)),"")</f>
        <v>96.5049921893693</v>
      </c>
      <c r="O27" s="13" t="str">
        <f aca="false">IF(I27&gt;=1000,"",(1000-I27))</f>
        <v/>
      </c>
      <c r="R27" s="2" t="n">
        <f aca="false">(R26+K28)</f>
        <v>122.140253714781</v>
      </c>
      <c r="T27" s="15" t="n">
        <f aca="false">IF($H27&gt;0,(($H27*$S$7)+$S$8)*(1+$R$9),"")</f>
        <v>6.00558522601867</v>
      </c>
    </row>
    <row r="28" customFormat="false" ht="15" hidden="false" customHeight="false" outlineLevel="0" collapsed="false">
      <c r="A28" s="11" t="n">
        <v>27</v>
      </c>
      <c r="B28" s="11" t="str">
        <f aca="false">TEXT(E28,"ddd")</f>
        <v>Wed</v>
      </c>
      <c r="C28" s="45" t="n">
        <f aca="false">($A$31-$A28)</f>
        <v>3</v>
      </c>
      <c r="D28" s="34" t="n">
        <v>44936</v>
      </c>
      <c r="E28" s="34" t="n">
        <v>44937.2601736111</v>
      </c>
      <c r="F28" s="2" t="n">
        <v>80631.94</v>
      </c>
      <c r="G28" s="2" t="n">
        <v>80660.627</v>
      </c>
      <c r="H28" s="2" t="n">
        <v>28.684</v>
      </c>
      <c r="I28" s="2" t="n">
        <f aca="false">IF(H28&gt;0,(H28+I27),"")</f>
        <v>1101.423</v>
      </c>
      <c r="J28" s="13" t="n">
        <f aca="false">IF(H28&gt;0,(I28/A28),"")</f>
        <v>40.7934444444444</v>
      </c>
      <c r="K28" s="15" t="n">
        <f aca="false">IF($H28&gt;0,(($H28*$S$7)+$S$8)*(1+$R$9),"")</f>
        <v>4.59823767274929</v>
      </c>
      <c r="L28" s="16" t="n">
        <f aca="false">IF(AND($I28&gt;0,$I28&lt;1000),(($I28*$S$7)+$S$8)*(1+$R$9),($I28*$S$7*(+$S$8)*(1+$R$9)-100))/A28</f>
        <v>-3.00392137079716</v>
      </c>
      <c r="M28" s="138" t="n">
        <f aca="false">IF($G28&gt;0,($J28*$A$31),"")</f>
        <v>1223.80333333333</v>
      </c>
      <c r="N28" s="138" t="n">
        <f aca="false">IF($M28&lt;&gt;"",IF($M28&gt;1000,(($M28*$S$7)+($A28*$S$8))*(1+$R$9)-100,($M28*$S$7)+($A28*$R$9)*(1+$R$9)),"")</f>
        <v>94.4314771735824</v>
      </c>
      <c r="O28" s="13" t="str">
        <f aca="false">IF(I28&gt;=1000,"",(1000-I28))</f>
        <v/>
      </c>
      <c r="R28" s="2" t="n">
        <f aca="false">(R27+K29)</f>
        <v>125.84196814066</v>
      </c>
      <c r="T28" s="15" t="n">
        <f aca="false">IF($H28&gt;0,(($H28*$S$7)+$S$8)*(1+$R$9),"")</f>
        <v>4.59823767274929</v>
      </c>
    </row>
    <row r="29" customFormat="false" ht="15" hidden="false" customHeight="false" outlineLevel="0" collapsed="false">
      <c r="A29" s="11" t="n">
        <v>28</v>
      </c>
      <c r="B29" s="11" t="str">
        <f aca="false">TEXT(E29,"ddd")</f>
        <v>Thu</v>
      </c>
      <c r="C29" s="45" t="n">
        <f aca="false">($A$31-$A29)</f>
        <v>2</v>
      </c>
      <c r="D29" s="34" t="n">
        <v>44937</v>
      </c>
      <c r="E29" s="34" t="n">
        <v>44938.4047106481</v>
      </c>
      <c r="F29" s="2" t="n">
        <v>80660.627</v>
      </c>
      <c r="G29" s="2" t="n">
        <v>80683.579</v>
      </c>
      <c r="H29" s="2" t="n">
        <v>22.952</v>
      </c>
      <c r="I29" s="2" t="n">
        <f aca="false">IF(H29&gt;0,(H29+I28),"")</f>
        <v>1124.375</v>
      </c>
      <c r="J29" s="13" t="n">
        <f aca="false">IF(H29&gt;0,(I29/A29),"")</f>
        <v>40.15625</v>
      </c>
      <c r="K29" s="15" t="n">
        <f aca="false">IF($H29&gt;0,(($H29*$S$7)+$S$8)*(1+$R$9),"")</f>
        <v>3.70171442587887</v>
      </c>
      <c r="L29" s="16" t="n">
        <f aca="false">IF(AND($I29&gt;0,$I29&lt;1000),(($I29*$S$7)+$S$8)*(1+$R$9),($I29*$S$7*(+$S$8)*(1+$R$9)-100))/A29</f>
        <v>-2.88257685300975</v>
      </c>
      <c r="M29" s="138" t="n">
        <f aca="false">IF($G29&gt;0,($J29*$A$31),"")</f>
        <v>1204.6875</v>
      </c>
      <c r="N29" s="138" t="n">
        <f aca="false">IF($M29&lt;&gt;"",IF($M29&gt;1000,(($M29*$S$7)+($A29*$S$8))*(1+$R$9)-100,($M29*$S$7)+($A29*$R$9)*(1+$R$9)),"")</f>
        <v>91.5535002999491</v>
      </c>
      <c r="O29" s="13" t="str">
        <f aca="false">IF(I29&gt;=1000,"",(1000-I29))</f>
        <v/>
      </c>
      <c r="Q29" s="29"/>
      <c r="R29" s="2" t="n">
        <f aca="false">(R28+K30)</f>
        <v>129.677879521496</v>
      </c>
      <c r="T29" s="15" t="n">
        <f aca="false">IF($H29&gt;0,(($H29*$S$7)+$S$8)*(1+$R$9),"")</f>
        <v>3.70171442587887</v>
      </c>
    </row>
    <row r="30" customFormat="false" ht="15" hidden="false" customHeight="false" outlineLevel="0" collapsed="false">
      <c r="A30" s="11" t="n">
        <v>29</v>
      </c>
      <c r="B30" s="11" t="str">
        <f aca="false">TEXT(E30,"ddd")</f>
        <v>Fri</v>
      </c>
      <c r="C30" s="45" t="n">
        <f aca="false">($A$31-$A30)</f>
        <v>1</v>
      </c>
      <c r="D30" s="34" t="n">
        <v>44938</v>
      </c>
      <c r="E30" s="34" t="n">
        <v>44939.2579282407</v>
      </c>
      <c r="F30" s="2" t="n">
        <v>80683.579</v>
      </c>
      <c r="G30" s="2" t="n">
        <v>80707.392</v>
      </c>
      <c r="H30" s="2" t="n">
        <v>23.81</v>
      </c>
      <c r="I30" s="2" t="n">
        <f aca="false">IF(H30&gt;0,(H30+I29),"")</f>
        <v>1148.185</v>
      </c>
      <c r="J30" s="13" t="n">
        <f aca="false">IF(H30&gt;0,(I30/A30),"")</f>
        <v>39.5925862068965</v>
      </c>
      <c r="K30" s="15" t="n">
        <f aca="false">IF($H30&gt;0,(($H30*$S$7)+$S$8)*(1+$R$9),"")</f>
        <v>3.83591138083609</v>
      </c>
      <c r="L30" s="16" t="n">
        <f aca="false">IF(AND($I30&gt;0,$I30&lt;1000),(($I30*$S$7)+$S$8)*(1+$R$9),($I30*$S$7*(+$S$8)*(1+$R$9)-100))/A30</f>
        <v>-2.76909339245923</v>
      </c>
      <c r="M30" s="138" t="n">
        <f aca="false">IF($G30&gt;0,($J30*$A$31),"")</f>
        <v>1187.7775862069</v>
      </c>
      <c r="N30" s="138" t="n">
        <f aca="false">IF($M30&lt;&gt;"",IF($M30&gt;1000,(($M30*$S$7)+($A30*$S$8))*(1+$R$9)-100,($M30*$S$7)+($A30*$R$9)*(1+$R$9)),"")</f>
        <v>89.0205440384131</v>
      </c>
      <c r="O30" s="13" t="str">
        <f aca="false">IF(I30&gt;=1000,"",(1000-I30))</f>
        <v/>
      </c>
      <c r="R30" s="2" t="n">
        <f aca="false">(R29+K31)</f>
        <v>135.251313014942</v>
      </c>
      <c r="T30" s="15" t="n">
        <f aca="false">IF($H30&gt;0,(($H30*$S$7)+$S$8)*(1+$R$9),"")</f>
        <v>3.83591138083609</v>
      </c>
    </row>
    <row r="31" customFormat="false" ht="15" hidden="false" customHeight="false" outlineLevel="0" collapsed="false">
      <c r="A31" s="11" t="n">
        <v>30</v>
      </c>
      <c r="B31" s="11" t="str">
        <f aca="false">TEXT(E31,"ddd")</f>
        <v>Sat</v>
      </c>
      <c r="C31" s="45" t="n">
        <f aca="false">($A$31-$A31)</f>
        <v>0</v>
      </c>
      <c r="D31" s="34" t="n">
        <v>44939</v>
      </c>
      <c r="E31" s="34" t="n">
        <v>44940.2566087963</v>
      </c>
      <c r="F31" s="3" t="n">
        <v>80707.392</v>
      </c>
      <c r="G31" s="2" t="n">
        <v>80742.308</v>
      </c>
      <c r="H31" s="2" t="n">
        <v>34.919</v>
      </c>
      <c r="I31" s="2" t="n">
        <f aca="false">IF(H31&gt;0,(H31+I30),"")</f>
        <v>1183.104</v>
      </c>
      <c r="J31" s="13" t="n">
        <f aca="false">IF(H31&gt;0,(I31/A31),"")</f>
        <v>39.4368</v>
      </c>
      <c r="K31" s="15" t="n">
        <f aca="false">IF($H31&gt;0,(($H31*$S$7)+$S$8)*(1+$R$9),"")</f>
        <v>5.57343349344662</v>
      </c>
      <c r="L31" s="16" t="n">
        <f aca="false">IF(AND($I31&gt;0,$I31&lt;1000),(($I31*$S$7)+$S$8)*(1+$R$9),($I31*$S$7*(+$S$8)*(1+$R$9)-100))/A31</f>
        <v>-2.65682326456597</v>
      </c>
      <c r="M31" s="138" t="n">
        <f aca="false">IF($G31&gt;0,($J31*$A$31),"")</f>
        <v>1183.104</v>
      </c>
      <c r="N31" s="138" t="n">
        <f aca="false">IF($M31&lt;&gt;"",IF($M31&gt;1000,(($M31*$S$7)+($A31*$S$8))*(1+$R$9)-100,($M31*$S$7)+($A31*$R$9)*(1+$R$9)),"")</f>
        <v>88.401431485418</v>
      </c>
      <c r="O31" s="13" t="str">
        <f aca="false">IF(I31&gt;=1000,"",(1000-I31))</f>
        <v/>
      </c>
      <c r="R31" s="143" t="n">
        <f aca="false">(R30+K32)</f>
        <v>140.956128142613</v>
      </c>
      <c r="T31" s="15" t="n">
        <f aca="false">IF($H31&gt;0,(($H31*$S$7)+$S$8)*(1+$R$9),"")</f>
        <v>5.57343349344662</v>
      </c>
    </row>
    <row r="32" customFormat="false" ht="15" hidden="false" customHeight="false" outlineLevel="0" collapsed="false">
      <c r="A32" s="11" t="n">
        <v>31</v>
      </c>
      <c r="B32" s="11" t="str">
        <f aca="false">TEXT(E32,"ddd")</f>
        <v>Sun</v>
      </c>
      <c r="C32" s="45" t="n">
        <f aca="false">($A$31-$A32)</f>
        <v>-1</v>
      </c>
      <c r="D32" s="34" t="n">
        <v>44940</v>
      </c>
      <c r="E32" s="34" t="n">
        <v>44941.2762962963</v>
      </c>
      <c r="F32" s="3" t="n">
        <v>80742.308</v>
      </c>
      <c r="G32" s="2" t="n">
        <v>80778.064</v>
      </c>
      <c r="H32" s="2" t="n">
        <v>35.759</v>
      </c>
      <c r="I32" s="2" t="n">
        <f aca="false">IF(H32&gt;0,(H32+I31),"")</f>
        <v>1218.863</v>
      </c>
      <c r="J32" s="13" t="n">
        <f aca="false">IF(H32&gt;0,(I32/A32),"")</f>
        <v>39.3181612903226</v>
      </c>
      <c r="K32" s="15" t="n">
        <f aca="false">IF($H32&gt;0,(($H32*$S$7)+$S$8)*(1+$R$9),"")</f>
        <v>5.70481512767048</v>
      </c>
      <c r="L32" s="16" t="n">
        <f aca="false">IF(AND($I32&gt;0,$I32&lt;1000),(($I32*$S$7)+$S$8)*(1+$R$9),($I32*$S$7*(+$S$8)*(1+$R$9)-100))/A32</f>
        <v>-2.5513315449693</v>
      </c>
      <c r="M32" s="138" t="n">
        <f aca="false">IF($G32&gt;0,($J32*$A$31),"")</f>
        <v>1179.54483870968</v>
      </c>
      <c r="N32" s="138" t="n">
        <f aca="false">IF($M32&lt;&gt;"",IF($M32&gt;1000,(($M32*$S$7)+($A32*$S$8))*(1+$R$9)-100,($M32*$S$7)+($A32*$R$9)*(1+$R$9)),"")</f>
        <v>87.9566224642792</v>
      </c>
      <c r="O32" s="13" t="str">
        <f aca="false">IF(I32&gt;=1000,"",(1000-I32))</f>
        <v/>
      </c>
      <c r="R32" s="2" t="n">
        <f aca="false">(R31+K33)</f>
        <v>146.458709397603</v>
      </c>
      <c r="T32" s="15" t="n">
        <f aca="false">IF($H32&gt;0,(($H32*$S$7)+$S$8)*(1+$R$9),"")</f>
        <v>5.70481512767048</v>
      </c>
    </row>
    <row r="33" customFormat="false" ht="15" hidden="false" customHeight="false" outlineLevel="0" collapsed="false">
      <c r="A33" s="11" t="n">
        <v>32</v>
      </c>
      <c r="B33" s="11" t="str">
        <f aca="false">TEXT(E33,"ddd")</f>
        <v>Mon</v>
      </c>
      <c r="C33" s="45" t="n">
        <f aca="false">($A$31-$A33)</f>
        <v>-2</v>
      </c>
      <c r="D33" s="34" t="n">
        <v>44941</v>
      </c>
      <c r="E33" s="34" t="n">
        <v>44942.2561111111</v>
      </c>
      <c r="F33" s="3" t="n">
        <v>80778.064</v>
      </c>
      <c r="G33" s="2" t="n">
        <v>80812.528</v>
      </c>
      <c r="H33" s="2" t="n">
        <v>34.466</v>
      </c>
      <c r="I33" s="2" t="n">
        <f aca="false">IF(H33&gt;0,(H33+I32),"")</f>
        <v>1253.329</v>
      </c>
      <c r="J33" s="13" t="n">
        <f aca="false">IF(H33&gt;0,(I33/A33),"")</f>
        <v>39.16653125</v>
      </c>
      <c r="K33" s="15" t="n">
        <f aca="false">IF($H33&gt;0,(($H33*$S$7)+$S$8)*(1+$R$9),"")</f>
        <v>5.50258125499018</v>
      </c>
      <c r="L33" s="16" t="n">
        <f aca="false">IF(AND($I33&gt;0,$I33&lt;1000),(($I33*$S$7)+$S$8)*(1+$R$9),($I33*$S$7*(+$S$8)*(1+$R$9)-100))/A33</f>
        <v>-2.45312619813685</v>
      </c>
      <c r="M33" s="138" t="n">
        <f aca="false">IF($G33&gt;0,($J33*$A$31),"")</f>
        <v>1174.9959375</v>
      </c>
      <c r="N33" s="138" t="n">
        <f aca="false">IF($M33&lt;&gt;"",IF($M33&gt;1000,(($M33*$S$7)+($A33*$S$8))*(1+$R$9)-100,($M33*$S$7)+($A33*$R$9)*(1+$R$9)),"")</f>
        <v>87.3570114811624</v>
      </c>
      <c r="O33" s="13" t="str">
        <f aca="false">IF(I33&gt;=1000,"",(1000-I33))</f>
        <v/>
      </c>
      <c r="R33" s="2" t="n">
        <f aca="false">(R32+K34)</f>
        <v>151.525697972458</v>
      </c>
      <c r="T33" s="15" t="n">
        <f aca="false">IF($H33&gt;0,(($H33*$S$7)+$S$8)*(1+$R$9),"")</f>
        <v>5.50258125499018</v>
      </c>
    </row>
    <row r="34" customFormat="false" ht="15" hidden="false" customHeight="false" outlineLevel="0" collapsed="false">
      <c r="A34" s="4"/>
      <c r="B34" s="11"/>
      <c r="D34" s="50" t="n">
        <v>44942</v>
      </c>
      <c r="E34" s="50" t="n">
        <v>44943.2576736111</v>
      </c>
      <c r="F34" s="2" t="n">
        <v>80812.528</v>
      </c>
      <c r="G34" s="2" t="n">
        <v>80844.204</v>
      </c>
      <c r="H34" s="2" t="n">
        <v>31.681</v>
      </c>
      <c r="I34" s="2" t="n">
        <f aca="false">IF(H34&gt;0,(H34+I33),"")</f>
        <v>1285.01</v>
      </c>
      <c r="J34" s="13" t="e">
        <f aca="false">IF(H34&gt;0,(I34/A34),"")</f>
        <v>#DIV/0!</v>
      </c>
      <c r="K34" s="16" t="n">
        <f aca="false">IF($H34&gt;0,(($H34*$S$7)+$S$8)*(1+$R$9),"")</f>
        <v>5.06698857485513</v>
      </c>
      <c r="L34" s="16" t="e">
        <f aca="false">IF(AND($I34&gt;0,$I34&lt;1000),(($I34*$S$7)+$S$8)*(1+$R$9),($I34*$S$7*(+$S$8)*(1+$R$9)-100))/A34</f>
        <v>#DIV/0!</v>
      </c>
      <c r="M34" s="138" t="e">
        <f aca="false">IF($G34&gt;0,($J34*$A$31),"")</f>
        <v>#DIV/0!</v>
      </c>
      <c r="N34" s="138" t="e">
        <f aca="false">+IF(AND($H34&gt;0,$M34&gt;1000),($L34*$A$31-100),($L34*$A$31))</f>
        <v>#DIV/0!</v>
      </c>
      <c r="O34" s="13" t="str">
        <f aca="false">IF(I34&gt;=1000,"",(1000-I34))</f>
        <v/>
      </c>
      <c r="R34" s="2" t="n">
        <f aca="false">(R33+K35)</f>
        <v>151.525697972458</v>
      </c>
      <c r="T34" s="16" t="n">
        <f aca="false">IF($H34&gt;0,(($H34*$S$7)+$S$8)*(1+$R$9),"")</f>
        <v>5.06698857485513</v>
      </c>
      <c r="V34" s="0" t="n">
        <v>163.75</v>
      </c>
    </row>
    <row r="35" customFormat="false" ht="15" hidden="false" customHeight="false" outlineLevel="0" collapsed="false">
      <c r="T35" s="2" t="n">
        <f aca="false">SUM(T25:T34)</f>
        <v>48.167534836709</v>
      </c>
    </row>
    <row r="36" customFormat="false" ht="15" hidden="false" customHeight="false" outlineLevel="0" collapsed="false">
      <c r="T36" s="16"/>
    </row>
  </sheetData>
  <conditionalFormatting sqref="K1:O1">
    <cfRule type="expression" priority="2" aboveAverage="0" equalAverage="0" bottom="0" percent="0" rank="0" text="" dxfId="34">
      <formula>" =CELL(“Protect”,A1)=1"</formula>
    </cfRule>
    <cfRule type="expression" priority="3" aboveAverage="0" equalAverage="0" bottom="0" percent="0" rank="0" text="" dxfId="1">
      <formula>" =CELL(“Protect”,A1)=1"</formula>
    </cfRule>
  </conditionalFormatting>
  <conditionalFormatting sqref="W1">
    <cfRule type="expression" priority="4" aboveAverage="0" equalAverage="0" bottom="0" percent="0" rank="0" text="" dxfId="35">
      <formula>" =CELL(“Protect”,A1)=1"</formula>
    </cfRule>
    <cfRule type="expression" priority="5" aboveAverage="0" equalAverage="0" bottom="0" percent="0" rank="0" text="" dxfId="1">
      <formula>" =CELL(“Protect”,A1)=1"</formula>
    </cfRule>
  </conditionalFormatting>
  <conditionalFormatting sqref="Q2:Q17">
    <cfRule type="expression" priority="6" aboveAverage="0" equalAverage="0" bottom="0" percent="0" rank="0" text="" dxfId="36">
      <formula>" =CELL(“Protect”,A1)=1"</formula>
    </cfRule>
    <cfRule type="expression" priority="7" aboveAverage="0" equalAverage="0" bottom="0" percent="0" rank="0" text="" dxfId="1">
      <formula>" =CELL(“Protect”,A1)=1"</formula>
    </cfRule>
  </conditionalFormatting>
  <conditionalFormatting sqref="A1:I1">
    <cfRule type="expression" priority="8" aboveAverage="0" equalAverage="0" bottom="0" percent="0" rank="0" text="" dxfId="37">
      <formula>" =CELL(“Protect”,A1)=1"</formula>
    </cfRule>
    <cfRule type="expression" priority="9"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5" activeCellId="0" sqref="G15"/>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1" width="9.71"/>
    <col collapsed="false" customWidth="true" hidden="false" outlineLevel="0" max="7" min="6" style="2" width="10.71"/>
    <col collapsed="false" customWidth="true" hidden="false" outlineLevel="0" max="8" min="8" style="0" width="9.71"/>
    <col collapsed="false" customWidth="true" hidden="false" outlineLevel="0" max="13" min="11" style="0" width="9.71"/>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1</v>
      </c>
      <c r="C1" s="6" t="s">
        <v>2</v>
      </c>
      <c r="D1" s="7" t="s">
        <v>3</v>
      </c>
      <c r="E1" s="7" t="s">
        <v>4</v>
      </c>
      <c r="F1" s="114" t="s">
        <v>5</v>
      </c>
      <c r="G1" s="114" t="s">
        <v>6</v>
      </c>
      <c r="H1" s="6" t="s">
        <v>7</v>
      </c>
      <c r="I1" s="6" t="s">
        <v>8</v>
      </c>
      <c r="J1" s="6" t="s">
        <v>9</v>
      </c>
      <c r="K1" s="6" t="s">
        <v>10</v>
      </c>
      <c r="L1" s="6" t="s">
        <v>11</v>
      </c>
      <c r="M1" s="6" t="s">
        <v>12</v>
      </c>
      <c r="N1" s="8" t="s">
        <v>13</v>
      </c>
      <c r="O1" s="9" t="s">
        <v>77</v>
      </c>
      <c r="S1" s="10"/>
      <c r="T1" s="71"/>
      <c r="U1" s="72"/>
      <c r="V1" s="72"/>
      <c r="W1" s="71"/>
      <c r="X1" s="71"/>
      <c r="Y1" s="71"/>
      <c r="Z1" s="73"/>
      <c r="AA1" s="71"/>
      <c r="AB1" s="71"/>
      <c r="AC1" s="71"/>
    </row>
    <row r="2" customFormat="false" ht="15" hidden="false" customHeight="true" outlineLevel="0" collapsed="false">
      <c r="A2" s="11" t="n">
        <v>1</v>
      </c>
      <c r="B2" s="11" t="str">
        <f aca="false">TEXT(D2,"ddd")</f>
        <v>Sat</v>
      </c>
      <c r="C2" s="11" t="n">
        <f aca="false">$A$31-$A2</f>
        <v>29</v>
      </c>
      <c r="I2" s="13" t="n">
        <f aca="false">H2</f>
        <v>0</v>
      </c>
      <c r="J2" s="13" t="n">
        <f aca="false">(I2)</f>
        <v>0</v>
      </c>
      <c r="K2" s="15" t="n">
        <f aca="false">(J2)</f>
        <v>0</v>
      </c>
      <c r="L2" s="16" t="n">
        <f aca="false">IF(AVERAGE_KWH&lt;&gt;"",AVERAGE_KWH*DAYS-$A2,"")</f>
        <v>1743.68</v>
      </c>
      <c r="M2" s="17" t="e">
        <f aca="false">IF(PROJ_USAGE&lt;&gt;"",IF(PROJ_USAGE&gt;1000,((RATES*PROJ_USAGE)+TDU)*1+TAX-(CREDIT),(RATES*PROJ_USAGE)+TDU)*1+TAX,"")</f>
        <v>#VALUE!</v>
      </c>
      <c r="N2" s="17" t="str">
        <f aca="false">IF(KWH&lt;&gt;"",IF((BREAK-CUM_KWH)&gt;0,BREAK-CUM_KWH,0),"")</f>
        <v/>
      </c>
      <c r="O2" s="18" t="str">
        <f aca="false">IF(KWH&lt;&gt;"",IF((BREAK-CUM_KWH)&gt;0,BREAK-CUM_KWH,0),"")</f>
        <v/>
      </c>
      <c r="Q2" s="19" t="s">
        <v>18</v>
      </c>
      <c r="R2" s="20" t="s">
        <v>19</v>
      </c>
      <c r="S2" s="21"/>
      <c r="U2" s="74"/>
      <c r="V2" s="74"/>
    </row>
    <row r="3" customFormat="false" ht="15" hidden="false" customHeight="true" outlineLevel="0" collapsed="false">
      <c r="A3" s="11" t="n">
        <v>2</v>
      </c>
      <c r="B3" s="11" t="str">
        <f aca="false">TEXT(D3,"ddd")</f>
        <v>Sat</v>
      </c>
      <c r="C3" s="11" t="n">
        <f aca="false">$A$31-$A3</f>
        <v>28</v>
      </c>
      <c r="I3" s="13" t="str">
        <f aca="false">IF($H3&gt;0,($I2+$H3),"")</f>
        <v/>
      </c>
      <c r="J3" s="13" t="str">
        <f aca="false">IF(KWH&gt;0,((RATES*KWH)+TDU_DAILY)*(1+TAX),"")</f>
        <v/>
      </c>
      <c r="K3" s="15" t="str">
        <f aca="false">IF(KWH&gt;0,$K2+$J3-100*AND(I2&lt;=1000,I3&gt;1000),"")</f>
        <v/>
      </c>
      <c r="L3" s="16" t="n">
        <f aca="false">IF(AVERAGE_KWH&lt;&gt;"",AVERAGE_KWH*DAYS-$A3,"")</f>
        <v>1707.6035</v>
      </c>
      <c r="M3" s="17" t="e">
        <f aca="false">IF(PROJ_USAGE&lt;&gt;"",IF(PROJ_USAGE&gt;1000,((RATES*PROJ_USAGE)+TDU)*1+TAX-(CREDIT),(RATES*PROJ_USAGE)+TDU)*1+TAX,"")</f>
        <v>#VALUE!</v>
      </c>
      <c r="N3" s="17" t="str">
        <f aca="false">IF(KWH&lt;&gt;"",IF((BREAK-CUM_KWH)&gt;0,BREAK-CUM_KWH,0),"")</f>
        <v/>
      </c>
      <c r="O3" s="18" t="str">
        <f aca="false">IF(KWH&lt;&gt;"",IF((BREAK-CUM_KWH)&gt;0,BREAK-CUM_KWH,0),"")</f>
        <v/>
      </c>
      <c r="Q3" s="22" t="s">
        <v>22</v>
      </c>
      <c r="R3" s="23" t="n">
        <f aca="false">(F2+1000)</f>
        <v>1000</v>
      </c>
      <c r="S3" s="24"/>
      <c r="V3" s="75"/>
      <c r="W3" s="76"/>
      <c r="X3" s="76"/>
      <c r="Y3" s="77"/>
      <c r="AC3" s="78"/>
    </row>
    <row r="4" customFormat="false" ht="15" hidden="false" customHeight="true" outlineLevel="0" collapsed="false">
      <c r="A4" s="11" t="n">
        <v>3</v>
      </c>
      <c r="B4" s="11" t="str">
        <f aca="false">TEXT(D4,"ddd")</f>
        <v>Sat</v>
      </c>
      <c r="C4" s="11" t="n">
        <f aca="false">$A$31-$A4</f>
        <v>27</v>
      </c>
      <c r="I4" s="13" t="str">
        <f aca="false">IF($H4&gt;0,($I3+$H4),"")</f>
        <v/>
      </c>
      <c r="J4" s="13" t="str">
        <f aca="false">IF(KWH&gt;0,((RATES*KWH)+TDU_DAILY)*(1+TAX),"")</f>
        <v/>
      </c>
      <c r="K4" s="15" t="str">
        <f aca="false">IF(KWH&gt;0,$K3+$J4-100*AND(I3&lt;=1000,I4&gt;1000),"")</f>
        <v/>
      </c>
      <c r="L4" s="16" t="n">
        <f aca="false">IF(AVERAGE_KWH&lt;&gt;"",AVERAGE_KWH*DAYS-$A4,"")</f>
        <v>1706.93933333333</v>
      </c>
      <c r="M4" s="17" t="e">
        <f aca="false">IF(PROJ_USAGE&lt;&gt;"",IF(PROJ_USAGE&gt;1000,((RATES*PROJ_USAGE)+TDU)*1+TAX-(CREDIT),(RATES*PROJ_USAGE)+TDU)*1+TAX,"")</f>
        <v>#VALUE!</v>
      </c>
      <c r="N4" s="17" t="str">
        <f aca="false">IF(KWH&lt;&gt;"",IF((BREAK-CUM_KWH)&gt;0,BREAK-CUM_KWH,0),"")</f>
        <v/>
      </c>
      <c r="O4" s="18" t="str">
        <f aca="false">IF(KWH&lt;&gt;"",IF((BREAK-CUM_KWH)&gt;0,BREAK-CUM_KWH,0),"")</f>
        <v/>
      </c>
      <c r="Q4" s="22" t="s">
        <v>25</v>
      </c>
      <c r="R4" s="25"/>
      <c r="S4" s="26" t="n">
        <v>0.001667</v>
      </c>
      <c r="U4" s="79"/>
      <c r="V4" s="80"/>
      <c r="W4" s="81"/>
      <c r="X4" s="81"/>
      <c r="Y4" s="81"/>
      <c r="Z4" s="82"/>
      <c r="AC4" s="78"/>
    </row>
    <row r="5" s="45" customFormat="true" ht="15" hidden="false" customHeight="true" outlineLevel="0" collapsed="false">
      <c r="A5" s="11" t="n">
        <v>4</v>
      </c>
      <c r="B5" s="11" t="str">
        <f aca="false">TEXT(D5,"ddd")</f>
        <v>Sat</v>
      </c>
      <c r="C5" s="11" t="n">
        <f aca="false">$A$31-$A5</f>
        <v>26</v>
      </c>
      <c r="D5" s="1"/>
      <c r="E5" s="1"/>
      <c r="F5" s="2"/>
      <c r="G5" s="2"/>
      <c r="I5" s="13" t="str">
        <f aca="false">IF($H5&gt;0,($I4+$H5),"")</f>
        <v/>
      </c>
      <c r="J5" s="13" t="str">
        <f aca="false">IF(KWH&gt;0,((RATES*KWH)+TDU_DAILY)*(1+TAX),"")</f>
        <v/>
      </c>
      <c r="K5" s="15" t="str">
        <f aca="false">IF(KWH&gt;0,$K4+$J5-100*AND(I4&lt;=1000,I5&gt;1000),"")</f>
        <v/>
      </c>
      <c r="L5" s="16" t="n">
        <f aca="false">IF(AVERAGE_KWH&lt;&gt;"",AVERAGE_KWH*DAYS-$A5,"")</f>
        <v>1695.885</v>
      </c>
      <c r="M5" s="17" t="e">
        <f aca="false">IF(PROJ_USAGE&lt;&gt;"",IF(PROJ_USAGE&gt;1000,((RATES*PROJ_USAGE)+TDU)*1+TAX-(CREDIT),(RATES*PROJ_USAGE)+TDU)*1+TAX,"")</f>
        <v>#VALUE!</v>
      </c>
      <c r="N5" s="17" t="str">
        <f aca="false">IF(KWH&lt;&gt;"",IF((BREAK-CUM_KWH)&gt;0,BREAK-CUM_KWH,0),"")</f>
        <v/>
      </c>
      <c r="O5" s="18" t="str">
        <f aca="false">IF(KWH&lt;&gt;"",IF((BREAK-CUM_KWH)&gt;0,BREAK-CUM_KWH,0),"")</f>
        <v/>
      </c>
      <c r="P5" s="27"/>
      <c r="Q5" s="22" t="s">
        <v>28</v>
      </c>
      <c r="R5" s="25"/>
      <c r="S5" s="26" t="n">
        <v>0.042</v>
      </c>
      <c r="T5" s="83"/>
    </row>
    <row r="6" customFormat="false" ht="15" hidden="false" customHeight="true" outlineLevel="0" collapsed="false">
      <c r="A6" s="11" t="n">
        <v>5</v>
      </c>
      <c r="B6" s="11" t="str">
        <f aca="false">TEXT(D6,"ddd")</f>
        <v>Sat</v>
      </c>
      <c r="C6" s="11" t="n">
        <f aca="false">$A$31-$A6</f>
        <v>25</v>
      </c>
      <c r="I6" s="13" t="str">
        <f aca="false">IF($H6&gt;0,($I5+$H6),"")</f>
        <v/>
      </c>
      <c r="J6" s="13" t="str">
        <f aca="false">IF(KWH&gt;0,((RATES*KWH)+TDU_DAILY)*(1+TAX),"")</f>
        <v/>
      </c>
      <c r="K6" s="15" t="str">
        <f aca="false">IF(KWH&gt;0,$K5+$J6-100*AND(I5&lt;=1000,I6&gt;1000),"")</f>
        <v/>
      </c>
      <c r="L6" s="16" t="n">
        <f aca="false">IF(AVERAGE_KWH&lt;&gt;"",AVERAGE_KWH*DAYS-$A6,"")</f>
        <v>1721.793</v>
      </c>
      <c r="M6" s="17" t="e">
        <f aca="false">IF(PROJ_USAGE&lt;&gt;"",IF(PROJ_USAGE&gt;1000,((RATES*PROJ_USAGE)+TDU)*1+TAX-(CREDIT),(RATES*PROJ_USAGE)+TDU)*1+TAX,"")</f>
        <v>#VALUE!</v>
      </c>
      <c r="N6" s="17" t="str">
        <f aca="false">IF(KWH&lt;&gt;"",IF((BREAK-CUM_KWH)&gt;0,BREAK-CUM_KWH,0),"")</f>
        <v/>
      </c>
      <c r="O6" s="18" t="str">
        <f aca="false">IF(KWH&lt;&gt;"",IF((BREAK-CUM_KWH)&gt;0,BREAK-CUM_KWH,0),"")</f>
        <v/>
      </c>
      <c r="Q6" s="22" t="s">
        <v>31</v>
      </c>
      <c r="R6" s="23" t="n">
        <v>3.4</v>
      </c>
      <c r="S6" s="26" t="n">
        <f aca="false">($R$6/DAYS)</f>
        <v>0.109677419354839</v>
      </c>
      <c r="T6" s="83"/>
    </row>
    <row r="7" customFormat="false" ht="15" hidden="false" customHeight="true" outlineLevel="0" collapsed="false">
      <c r="A7" s="11" t="n">
        <v>6</v>
      </c>
      <c r="B7" s="11" t="str">
        <f aca="false">TEXT(D7,"ddd")</f>
        <v>Sat</v>
      </c>
      <c r="C7" s="11" t="n">
        <f aca="false">$A$31-$A7</f>
        <v>24</v>
      </c>
      <c r="I7" s="13" t="str">
        <f aca="false">IF($H7&gt;0,($I6+$H7),"")</f>
        <v/>
      </c>
      <c r="J7" s="13" t="str">
        <f aca="false">IF(KWH&gt;0,((RATES*KWH)+TDU_DAILY)*(1+TAX),"")</f>
        <v/>
      </c>
      <c r="K7" s="15" t="str">
        <f aca="false">IF(KWH&gt;0,$K6+$J7-100*AND(I6&lt;=1000,I7&gt;1000),"")</f>
        <v/>
      </c>
      <c r="L7" s="16" t="n">
        <f aca="false">IF(AVERAGE_KWH&lt;&gt;"",AVERAGE_KWH*DAYS-$A7,"")</f>
        <v>1716.44266666667</v>
      </c>
      <c r="M7" s="17" t="e">
        <f aca="false">IF(PROJ_USAGE&lt;&gt;"",IF(PROJ_USAGE&gt;1000,((RATES*PROJ_USAGE)+TDU)*1+TAX-(CREDIT),(RATES*PROJ_USAGE)+TDU)*1+TAX,"")</f>
        <v>#VALUE!</v>
      </c>
      <c r="N7" s="17" t="str">
        <f aca="false">IF(KWH&lt;&gt;"",IF((BREAK-CUM_KWH)&gt;0,BREAK-CUM_KWH,0),"")</f>
        <v/>
      </c>
      <c r="O7" s="18" t="str">
        <f aca="false">IF(KWH&lt;&gt;"",IF((BREAK-CUM_KWH)&gt;0,BREAK-CUM_KWH,0),"")</f>
        <v/>
      </c>
      <c r="Q7" s="22" t="s">
        <v>34</v>
      </c>
      <c r="R7" s="25"/>
      <c r="S7" s="28" t="n">
        <f aca="false">SUM(S4:S6)</f>
        <v>0.153344419354839</v>
      </c>
      <c r="T7" s="83"/>
    </row>
    <row r="8" customFormat="false" ht="15" hidden="false" customHeight="false" outlineLevel="0" collapsed="false">
      <c r="A8" s="11" t="n">
        <v>7</v>
      </c>
      <c r="B8" s="11" t="str">
        <f aca="false">TEXT(D8,"ddd")</f>
        <v>Sat</v>
      </c>
      <c r="C8" s="11" t="n">
        <f aca="false">$A$31-$A8</f>
        <v>23</v>
      </c>
      <c r="I8" s="13" t="str">
        <f aca="false">IF($H8&gt;0,($I7+$H8),"")</f>
        <v/>
      </c>
      <c r="J8" s="13" t="str">
        <f aca="false">IF(KWH&gt;0,((RATES*KWH)+TDU_DAILY)*(1+TAX),"")</f>
        <v/>
      </c>
      <c r="K8" s="15" t="str">
        <f aca="false">IF(KWH&gt;0,$K7+$J8-100*AND(I7&lt;=1000,I8&gt;1000),"")</f>
        <v/>
      </c>
      <c r="L8" s="16" t="n">
        <f aca="false">IF(AVERAGE_KWH&lt;&gt;"",AVERAGE_KWH*DAYS-$A8,"")</f>
        <v>1737.122</v>
      </c>
      <c r="M8" s="17" t="e">
        <f aca="false">IF(PROJ_USAGE&lt;&gt;"",IF(PROJ_USAGE&gt;1000,((RATES*PROJ_USAGE)+TDU)*1+TAX-(CREDIT),(RATES*PROJ_USAGE)+TDU)*1+TAX,"")</f>
        <v>#VALUE!</v>
      </c>
      <c r="N8" s="17" t="str">
        <f aca="false">IF(KWH&lt;&gt;"",IF((BREAK-CUM_KWH)&gt;0,BREAK-CUM_KWH,0),"")</f>
        <v/>
      </c>
      <c r="O8" s="18" t="str">
        <f aca="false">IF(KWH&lt;&gt;"",IF((BREAK-CUM_KWH)&gt;0,BREAK-CUM_KWH,0),"")</f>
        <v/>
      </c>
      <c r="Q8" s="22" t="s">
        <v>38</v>
      </c>
      <c r="R8" s="25"/>
      <c r="S8" s="67" t="n">
        <f aca="false">SUM(S4:S6)</f>
        <v>0.153344419354839</v>
      </c>
      <c r="T8" s="83"/>
    </row>
    <row r="9" customFormat="false" ht="15" hidden="false" customHeight="false" outlineLevel="0" collapsed="false">
      <c r="A9" s="11" t="n">
        <v>8</v>
      </c>
      <c r="B9" s="11" t="str">
        <f aca="false">TEXT(D9,"ddd")</f>
        <v>Sat</v>
      </c>
      <c r="C9" s="11" t="n">
        <f aca="false">$A$31-$A9</f>
        <v>22</v>
      </c>
      <c r="H9" s="47"/>
      <c r="I9" s="13" t="str">
        <f aca="false">IF($H9&gt;0,($I8+$H9),"")</f>
        <v/>
      </c>
      <c r="J9" s="13" t="str">
        <f aca="false">IF(KWH&gt;0,((RATES*KWH)+TDU_DAILY)*(1+TAX),"")</f>
        <v/>
      </c>
      <c r="K9" s="15" t="str">
        <f aca="false">IF(KWH&gt;0,$K8+$J9-100*AND(I8&lt;=1000,I9&gt;1000),"")</f>
        <v/>
      </c>
      <c r="L9" s="16" t="n">
        <f aca="false">IF(AVERAGE_KWH&lt;&gt;"",AVERAGE_KWH*DAYS-$A9,"")</f>
        <v>1736.978375</v>
      </c>
      <c r="M9" s="17" t="e">
        <f aca="false">IF(PROJ_USAGE&lt;&gt;"",IF(PROJ_USAGE&gt;1000,((RATES*PROJ_USAGE)+TDU)*1+TAX-(CREDIT),(RATES*PROJ_USAGE)+TDU)*1+TAX,"")</f>
        <v>#VALUE!</v>
      </c>
      <c r="N9" s="17" t="str">
        <f aca="false">IF(KWH&lt;&gt;"",IF((BREAK-CUM_KWH)&gt;0,BREAK-CUM_KWH,0),"")</f>
        <v/>
      </c>
      <c r="O9" s="18" t="str">
        <f aca="false">IF(KWH&lt;&gt;"",IF((BREAK-CUM_KWH)&gt;0,BREAK-CUM_KWH,0),"")</f>
        <v/>
      </c>
      <c r="Q9" s="22" t="s">
        <v>42</v>
      </c>
      <c r="R9" s="30" t="n">
        <v>0.01997</v>
      </c>
      <c r="S9" s="32"/>
      <c r="T9" s="83"/>
    </row>
    <row r="10" customFormat="false" ht="15" hidden="false" customHeight="false" outlineLevel="0" collapsed="false">
      <c r="A10" s="11" t="n">
        <v>9</v>
      </c>
      <c r="B10" s="11" t="str">
        <f aca="false">TEXT(D10,"ddd")</f>
        <v>Sat</v>
      </c>
      <c r="C10" s="11" t="n">
        <f aca="false">$A$31-$A10</f>
        <v>21</v>
      </c>
      <c r="H10" s="47"/>
      <c r="I10" s="13" t="str">
        <f aca="false">IF($H10&gt;0,($I9+$H10),"")</f>
        <v/>
      </c>
      <c r="J10" s="13" t="str">
        <f aca="false">IF(KWH&gt;0,((RATES*KWH)+TDU_DAILY)*(1+TAX),"")</f>
        <v/>
      </c>
      <c r="K10" s="15" t="str">
        <f aca="false">IF(KWH&gt;0,$K9+$J10-100*AND(I9&lt;=1000,I10&gt;1000),"")</f>
        <v/>
      </c>
      <c r="L10" s="16" t="n">
        <f aca="false">IF(AVERAGE_KWH&lt;&gt;"",AVERAGE_KWH*DAYS-$A10,"")</f>
        <v>1744.92144444444</v>
      </c>
      <c r="M10" s="17" t="e">
        <f aca="false">IF(PROJ_USAGE&lt;&gt;"",IF(PROJ_USAGE&gt;1000,((RATES*PROJ_USAGE)+TDU)*1+TAX-(CREDIT),(RATES*PROJ_USAGE)+TDU)*1+TAX,"")</f>
        <v>#VALUE!</v>
      </c>
      <c r="N10" s="17" t="str">
        <f aca="false">IF(KWH&lt;&gt;"",IF((BREAK-CUM_KWH)&gt;0,BREAK-CUM_KWH,0),"")</f>
        <v/>
      </c>
      <c r="O10" s="18" t="str">
        <f aca="false">IF(KWH&lt;&gt;"",IF((BREAK-CUM_KWH)&gt;0,BREAK-CUM_KWH,0),"")</f>
        <v/>
      </c>
      <c r="Q10" s="22" t="s">
        <v>46</v>
      </c>
      <c r="R10" s="33" t="n">
        <v>100</v>
      </c>
      <c r="S10" s="30" t="n">
        <v>1000</v>
      </c>
      <c r="T10" s="83"/>
    </row>
    <row r="11" customFormat="false" ht="15" hidden="false" customHeight="false" outlineLevel="0" collapsed="false">
      <c r="A11" s="11" t="n">
        <v>10</v>
      </c>
      <c r="B11" s="11" t="str">
        <f aca="false">TEXT(D11,"ddd")</f>
        <v>Sat</v>
      </c>
      <c r="C11" s="11" t="n">
        <f aca="false">$A$31-$A11</f>
        <v>20</v>
      </c>
      <c r="H11" s="47"/>
      <c r="I11" s="13" t="str">
        <f aca="false">IF($H11&gt;0,($I10+$H11),"")</f>
        <v/>
      </c>
      <c r="J11" s="13" t="str">
        <f aca="false">IF(KWH&gt;0,((RATES*KWH)+TDU_DAILY)*(1+TAX),"")</f>
        <v/>
      </c>
      <c r="K11" s="15" t="str">
        <f aca="false">IF(KWH&gt;0,$K10+$J11-100*AND(I10&lt;=1000,I11&gt;1000),"")</f>
        <v/>
      </c>
      <c r="L11" s="16" t="n">
        <f aca="false">IF(AVERAGE_KWH&lt;&gt;"",AVERAGE_KWH*DAYS-$A11,"")</f>
        <v>1745.2262</v>
      </c>
      <c r="M11" s="17" t="e">
        <f aca="false">IF(PROJ_USAGE&lt;&gt;"",IF(PROJ_USAGE&gt;1000,((RATES*PROJ_USAGE)+TDU)*1+TAX-(CREDIT),(RATES*PROJ_USAGE)+TDU)*1+TAX,"")</f>
        <v>#VALUE!</v>
      </c>
      <c r="N11" s="17" t="str">
        <f aca="false">IF(KWH&lt;&gt;"",IF((BREAK-CUM_KWH)&gt;0,BREAK-CUM_KWH,0),"")</f>
        <v/>
      </c>
      <c r="O11" s="18" t="str">
        <f aca="false">IF(KWH&lt;&gt;"",IF((BREAK-CUM_KWH)&gt;0,BREAK-CUM_KWH,0),"")</f>
        <v/>
      </c>
      <c r="Q11" s="22" t="s">
        <v>49</v>
      </c>
      <c r="R11" s="33" t="n">
        <v>295</v>
      </c>
      <c r="S11" s="32"/>
      <c r="T11" s="83"/>
    </row>
    <row r="12" customFormat="false" ht="15" hidden="false" customHeight="false" outlineLevel="0" collapsed="false">
      <c r="A12" s="11" t="n">
        <v>11</v>
      </c>
      <c r="B12" s="11" t="str">
        <f aca="false">TEXT(D12,"ddd")</f>
        <v>Sat</v>
      </c>
      <c r="C12" s="11" t="n">
        <f aca="false">$A$31-$A12</f>
        <v>19</v>
      </c>
      <c r="H12" s="47"/>
      <c r="I12" s="13" t="str">
        <f aca="false">IF($H12&gt;0,($I11+$H12),"")</f>
        <v/>
      </c>
      <c r="J12" s="13" t="str">
        <f aca="false">IF(KWH&gt;0,((RATES*KWH)+TDU_DAILY)*(1+TAX),"")</f>
        <v/>
      </c>
      <c r="K12" s="15" t="str">
        <f aca="false">IF(KWH&gt;0,$K11+$J12-100*AND(I11&lt;=1000,I12&gt;1000),"")</f>
        <v/>
      </c>
      <c r="L12" s="16" t="n">
        <f aca="false">IF(AVERAGE_KWH&lt;&gt;"",AVERAGE_KWH*DAYS-$A12,"")</f>
        <v>1737.01672727273</v>
      </c>
      <c r="M12" s="17" t="e">
        <f aca="false">IF(PROJ_USAGE&lt;&gt;"",IF(PROJ_USAGE&gt;1000,((RATES*PROJ_USAGE)+TDU)*1+TAX-(CREDIT),(RATES*PROJ_USAGE)+TDU)*1+TAX,"")</f>
        <v>#VALUE!</v>
      </c>
      <c r="N12" s="17" t="str">
        <f aca="false">IF(KWH&lt;&gt;"",IF((BREAK-CUM_KWH)&gt;0,BREAK-CUM_KWH,0),"")</f>
        <v/>
      </c>
      <c r="O12" s="18" t="str">
        <f aca="false">IF(KWH&lt;&gt;"",IF((BREAK-CUM_KWH)&gt;0,BREAK-CUM_KWH,0),"")</f>
        <v/>
      </c>
      <c r="Q12" s="22" t="s">
        <v>52</v>
      </c>
      <c r="R12" s="35" t="n">
        <f aca="false">INDEX(L2:L32,COUNT(L2:L32))</f>
        <v>1738.66986666667</v>
      </c>
      <c r="S12" s="32"/>
      <c r="T12" s="83"/>
    </row>
    <row r="13" customFormat="false" ht="15" hidden="false" customHeight="false" outlineLevel="0" collapsed="false">
      <c r="A13" s="11" t="n">
        <v>12</v>
      </c>
      <c r="B13" s="11" t="str">
        <f aca="false">TEXT(D13,"ddd")</f>
        <v>Sat</v>
      </c>
      <c r="C13" s="11" t="n">
        <f aca="false">$A$31-$A13</f>
        <v>18</v>
      </c>
      <c r="H13" s="47"/>
      <c r="I13" s="13" t="str">
        <f aca="false">IF($H13&gt;0,($I12+$H13),"")</f>
        <v/>
      </c>
      <c r="J13" s="13" t="str">
        <f aca="false">IF(KWH&gt;0,((RATES*KWH)+TDU_DAILY)*(1+TAX),"")</f>
        <v/>
      </c>
      <c r="K13" s="15" t="str">
        <f aca="false">IF(KWH&gt;0,$K12+$J13-100*AND(I12&lt;=1000,I13&gt;1000),"")</f>
        <v/>
      </c>
      <c r="L13" s="16" t="n">
        <f aca="false">IF(AVERAGE_KWH&lt;&gt;"",AVERAGE_KWH*DAYS-$A13,"")</f>
        <v>1725.11341666667</v>
      </c>
      <c r="M13" s="17" t="e">
        <f aca="false">IF(PROJ_USAGE&lt;&gt;"",IF(PROJ_USAGE&gt;1000,((RATES*PROJ_USAGE)+TDU)*1+TAX-(CREDIT),(RATES*PROJ_USAGE)+TDU)*1+TAX,"")</f>
        <v>#VALUE!</v>
      </c>
      <c r="N13" s="17" t="str">
        <f aca="false">IF(KWH&lt;&gt;"",IF((BREAK-CUM_KWH)&gt;0,BREAK-CUM_KWH,0),"")</f>
        <v/>
      </c>
      <c r="O13" s="18" t="str">
        <f aca="false">IF(KWH&lt;&gt;"",IF((BREAK-CUM_KWH)&gt;0,BREAK-CUM_KWH,0),"")</f>
        <v/>
      </c>
      <c r="Q13" s="22" t="s">
        <v>55</v>
      </c>
      <c r="R13" s="37" t="n">
        <f aca="false">INDEX(I2:I32,COUNT(I2:I32))</f>
        <v>0</v>
      </c>
      <c r="S13" s="32"/>
      <c r="T13" s="83"/>
    </row>
    <row r="14" customFormat="false" ht="15" hidden="false" customHeight="false" outlineLevel="0" collapsed="false">
      <c r="A14" s="11" t="n">
        <v>13</v>
      </c>
      <c r="B14" s="11" t="str">
        <f aca="false">TEXT(D14,"ddd")</f>
        <v>Sat</v>
      </c>
      <c r="C14" s="11" t="n">
        <f aca="false">$A$31-$A14</f>
        <v>17</v>
      </c>
      <c r="H14" s="47"/>
      <c r="I14" s="13" t="str">
        <f aca="false">IF($H14&gt;0,($I13+$H14),"")</f>
        <v/>
      </c>
      <c r="J14" s="13" t="str">
        <f aca="false">IF(KWH&gt;0,((RATES*KWH)+TDU_DAILY)*(1+TAX),"")</f>
        <v/>
      </c>
      <c r="K14" s="15" t="str">
        <f aca="false">IF(KWH&gt;0,$K13+$J14-100*AND(I13&lt;=1000,I14&gt;1000),"")</f>
        <v/>
      </c>
      <c r="L14" s="16" t="n">
        <f aca="false">IF(AVERAGE_KWH&lt;&gt;"",AVERAGE_KWH*DAYS-$A14,"")</f>
        <v>1686.141</v>
      </c>
      <c r="M14" s="17" t="e">
        <f aca="false">IF(PROJ_USAGE&lt;&gt;"",IF(PROJ_USAGE&gt;1000,((RATES*PROJ_USAGE)+TDU)*1+TAX-(CREDIT),(RATES*PROJ_USAGE)+TDU)*1+TAX,"")</f>
        <v>#VALUE!</v>
      </c>
      <c r="N14" s="17" t="str">
        <f aca="false">IF(KWH&lt;&gt;"",IF((BREAK-CUM_KWH)&gt;0,BREAK-CUM_KWH,0),"")</f>
        <v/>
      </c>
      <c r="O14" s="18" t="str">
        <f aca="false">IF(KWH&lt;&gt;"",IF((BREAK-CUM_KWH)&gt;0,BREAK-CUM_KWH,0),"")</f>
        <v/>
      </c>
      <c r="Q14" s="40" t="s">
        <v>58</v>
      </c>
      <c r="R14" s="144" t="e">
        <f aca="false">INDEX(#REF!,COUNT(#REF!))</f>
        <v>#REF!</v>
      </c>
      <c r="S14" s="101"/>
      <c r="T14" s="83"/>
    </row>
    <row r="15" customFormat="false" ht="15" hidden="false" customHeight="false" outlineLevel="0" collapsed="false">
      <c r="A15" s="11" t="n">
        <v>14</v>
      </c>
      <c r="B15" s="11" t="str">
        <f aca="false">TEXT(D15,"ddd")</f>
        <v>Sat</v>
      </c>
      <c r="C15" s="11" t="n">
        <f aca="false">$A$31-$A15</f>
        <v>16</v>
      </c>
      <c r="H15" s="47"/>
      <c r="I15" s="13" t="str">
        <f aca="false">IF($H15&gt;0,($I14+$H15),"")</f>
        <v/>
      </c>
      <c r="J15" s="13" t="str">
        <f aca="false">IF(KWH&gt;0,((RATES*KWH)+TDU_DAILY)*(1+TAX),"")</f>
        <v/>
      </c>
      <c r="K15" s="15" t="str">
        <f aca="false">IF(KWH&gt;0,$K14+$J15-100*AND(I14&lt;=1000,I15&gt;1000),"")</f>
        <v/>
      </c>
      <c r="L15" s="16" t="n">
        <f aca="false">IF(AVERAGE_KWH&lt;&gt;"",AVERAGE_KWH*DAYS-$A15,"")</f>
        <v>1670.06614285714</v>
      </c>
      <c r="M15" s="17" t="e">
        <f aca="false">IF(PROJ_USAGE&lt;&gt;"",IF(PROJ_USAGE&gt;1000,((RATES*PROJ_USAGE)+TDU)*1+TAX-(CREDIT),(RATES*PROJ_USAGE)+TDU)*1+TAX,"")</f>
        <v>#VALUE!</v>
      </c>
      <c r="N15" s="17" t="str">
        <f aca="false">IF(KWH&lt;&gt;"",IF((BREAK-CUM_KWH)&gt;0,BREAK-CUM_KWH,0),"")</f>
        <v/>
      </c>
      <c r="O15" s="18" t="str">
        <f aca="false">IF(KWH&lt;&gt;"",IF((BREAK-CUM_KWH)&gt;0,BREAK-CUM_KWH,0),"")</f>
        <v/>
      </c>
    </row>
    <row r="16" customFormat="false" ht="15" hidden="false" customHeight="false" outlineLevel="0" collapsed="false">
      <c r="A16" s="11" t="n">
        <v>15</v>
      </c>
      <c r="B16" s="11" t="str">
        <f aca="false">TEXT(D16,"ddd")</f>
        <v>Sat</v>
      </c>
      <c r="C16" s="11" t="n">
        <f aca="false">$A$31-$A16</f>
        <v>15</v>
      </c>
      <c r="H16" s="47"/>
      <c r="I16" s="13" t="str">
        <f aca="false">IF($H16&gt;0,($I15+$H16),"")</f>
        <v/>
      </c>
      <c r="J16" s="13" t="str">
        <f aca="false">IF(KWH&gt;0,((RATES*KWH)+TDU_DAILY)*(1+TAX),"")</f>
        <v/>
      </c>
      <c r="K16" s="15" t="str">
        <f aca="false">IF(KWH&gt;0,$K15+$J16-100*AND(I15&lt;=1000,I16&gt;1000),"")</f>
        <v/>
      </c>
      <c r="L16" s="16" t="n">
        <f aca="false">IF(AVERAGE_KWH&lt;&gt;"",AVERAGE_KWH*DAYS-$A16,"")</f>
        <v>1668.87246666667</v>
      </c>
      <c r="M16" s="17" t="e">
        <f aca="false">IF(PROJ_USAGE&lt;&gt;"",IF(PROJ_USAGE&gt;1000,((RATES*PROJ_USAGE)+TDU)*1+TAX-(CREDIT),(RATES*PROJ_USAGE)+TDU)*1+TAX,"")</f>
        <v>#VALUE!</v>
      </c>
      <c r="N16" s="17" t="str">
        <f aca="false">IF(KWH&lt;&gt;"",IF((BREAK-CUM_KWH)&gt;0,BREAK-CUM_KWH,0),"")</f>
        <v/>
      </c>
      <c r="O16" s="18" t="str">
        <f aca="false">IF(KWH&lt;&gt;"",IF((BREAK-CUM_KWH)&gt;0,BREAK-CUM_KWH,0),"")</f>
        <v/>
      </c>
    </row>
    <row r="17" customFormat="false" ht="15" hidden="false" customHeight="false" outlineLevel="0" collapsed="false">
      <c r="A17" s="11" t="n">
        <v>16</v>
      </c>
      <c r="B17" s="11" t="str">
        <f aca="false">TEXT(D17,"ddd")</f>
        <v>Sat</v>
      </c>
      <c r="C17" s="11" t="n">
        <f aca="false">$A$31-$A17</f>
        <v>14</v>
      </c>
      <c r="H17" s="47"/>
      <c r="I17" s="13" t="str">
        <f aca="false">IF($H17&gt;0,($I16+$H17),"")</f>
        <v/>
      </c>
      <c r="J17" s="13" t="str">
        <f aca="false">IF(KWH&gt;0,((RATES*KWH)+TDU_DAILY)+(1*TAX),"")</f>
        <v/>
      </c>
      <c r="K17" s="15" t="str">
        <f aca="false">IF(KWH&gt;0,$K16+$J17-100*AND(I16&lt;=1000,I17&gt;1000),"")</f>
        <v/>
      </c>
      <c r="L17" s="16" t="n">
        <f aca="false">IF(AVERAGE_KWH&lt;&gt;"",AVERAGE_KWH*DAYS-$A17,"")</f>
        <v>1662.9968125</v>
      </c>
      <c r="M17" s="17" t="e">
        <f aca="false">IF(PROJ_USAGE&lt;&gt;"",IF(PROJ_USAGE&gt;1000,((RATES*PROJ_USAGE)+TDU)*1+TAX-(CREDIT),(RATES*PROJ_USAGE)+TDU)*1+TAX,"")</f>
        <v>#VALUE!</v>
      </c>
      <c r="N17" s="17" t="str">
        <f aca="false">IF(KWH&lt;&gt;"",IF((BREAK-CUM_KWH)&gt;0,BREAK-CUM_KWH,0),"")</f>
        <v/>
      </c>
      <c r="O17" s="18" t="str">
        <f aca="false">IF(KWH&lt;&gt;"",IF((BREAK-CUM_KWH)&gt;0,BREAK-CUM_KWH,0),"")</f>
        <v/>
      </c>
    </row>
    <row r="18" customFormat="false" ht="15" hidden="false" customHeight="false" outlineLevel="0" collapsed="false">
      <c r="A18" s="11" t="n">
        <v>17</v>
      </c>
      <c r="B18" s="11" t="str">
        <f aca="false">TEXT(D18,"ddd")</f>
        <v>Sat</v>
      </c>
      <c r="C18" s="11" t="n">
        <f aca="false">$A$31-$A18</f>
        <v>13</v>
      </c>
      <c r="H18" s="47"/>
      <c r="I18" s="13" t="str">
        <f aca="false">IF($H18&gt;0,($I17+$H18),"")</f>
        <v/>
      </c>
      <c r="J18" s="13" t="str">
        <f aca="false">IF(KWH&gt;0,((RATES*KWH)+TDU_DAILY)+(1*TAX),"")</f>
        <v/>
      </c>
      <c r="K18" s="15" t="str">
        <f aca="false">IF(KWH&gt;0,$K17+$J18-100*AND(I17&lt;=1000,I18&gt;1000),"")</f>
        <v/>
      </c>
      <c r="L18" s="16" t="n">
        <f aca="false">IF(AVERAGE_KWH&lt;&gt;"",AVERAGE_KWH*DAYS-$A18,"")</f>
        <v>1658.62294117647</v>
      </c>
      <c r="M18" s="17" t="e">
        <f aca="false">IF(PROJ_USAGE&lt;&gt;"",IF(PROJ_USAGE&gt;1000,((RATES*PROJ_USAGE)+TDU)*1+TAX-(CREDIT),(RATES*PROJ_USAGE)+TDU)*1+TAX,"")</f>
        <v>#VALUE!</v>
      </c>
      <c r="N18" s="17" t="str">
        <f aca="false">IF(KWH&lt;&gt;"",IF((BREAK-CUM_KWH)&gt;0,BREAK-CUM_KWH,0),"")</f>
        <v/>
      </c>
      <c r="O18" s="18" t="str">
        <f aca="false">IF(KWH&lt;&gt;"",IF((BREAK-CUM_KWH)&gt;0,BREAK-CUM_KWH,0),"")</f>
        <v/>
      </c>
    </row>
    <row r="19" customFormat="false" ht="15" hidden="false" customHeight="false" outlineLevel="0" collapsed="false">
      <c r="A19" s="11" t="n">
        <v>18</v>
      </c>
      <c r="B19" s="11" t="str">
        <f aca="false">TEXT(D19,"ddd")</f>
        <v>Sat</v>
      </c>
      <c r="C19" s="11" t="n">
        <f aca="false">$A$31-$A19</f>
        <v>12</v>
      </c>
      <c r="H19" s="47"/>
      <c r="I19" s="13" t="str">
        <f aca="false">IF($H19&gt;0,($I18+$H19),"")</f>
        <v/>
      </c>
      <c r="J19" s="13" t="str">
        <f aca="false">IF(KWH&gt;0,((RATES*KWH)+TDU_DAILY)+(1*TAX),"")</f>
        <v/>
      </c>
      <c r="K19" s="15" t="str">
        <f aca="false">IF(KWH&gt;0,$K18+$J19-100*AND(I18&lt;=1000,I19&gt;1000),"")</f>
        <v/>
      </c>
      <c r="L19" s="16" t="n">
        <f aca="false">IF(AVERAGE_KWH&lt;&gt;"",AVERAGE_KWH*DAYS-$A19,"")</f>
        <v>1663.75861111111</v>
      </c>
      <c r="M19" s="17" t="e">
        <f aca="false">IF(PROJ_USAGE&lt;&gt;"",IF(PROJ_USAGE&gt;1000,((RATES*PROJ_USAGE)+TDU)*1+TAX-(CREDIT),(RATES*PROJ_USAGE)+TDU)*1+TAX,"")</f>
        <v>#VALUE!</v>
      </c>
      <c r="N19" s="17" t="str">
        <f aca="false">IF(KWH&lt;&gt;"",IF((BREAK-CUM_KWH)&gt;0,BREAK-CUM_KWH,0),"")</f>
        <v/>
      </c>
      <c r="O19" s="18" t="str">
        <f aca="false">IF(KWH&lt;&gt;"",IF((BREAK-CUM_KWH)&gt;0,BREAK-CUM_KWH,0),"")</f>
        <v/>
      </c>
    </row>
    <row r="20" customFormat="false" ht="15" hidden="false" customHeight="false" outlineLevel="0" collapsed="false">
      <c r="A20" s="11" t="n">
        <v>19</v>
      </c>
      <c r="B20" s="11" t="str">
        <f aca="false">TEXT(D20,"ddd")</f>
        <v>Sat</v>
      </c>
      <c r="C20" s="11" t="n">
        <f aca="false">$A$31-$A20</f>
        <v>11</v>
      </c>
      <c r="H20" s="47"/>
      <c r="I20" s="13" t="str">
        <f aca="false">IF($H20&gt;0,($I19+$H20),"")</f>
        <v/>
      </c>
      <c r="J20" s="13" t="str">
        <f aca="false">IF(KWH&gt;0,((RATES*KWH)+TDU_DAILY)+(1*TAX),"")</f>
        <v/>
      </c>
      <c r="K20" s="15" t="str">
        <f aca="false">IF(KWH&gt;0,$K19+$J20-100*AND(I19&lt;=1000,I20&gt;1000),"")</f>
        <v/>
      </c>
      <c r="L20" s="16" t="n">
        <f aca="false">IF(AVERAGE_KWH&lt;&gt;"",AVERAGE_KWH*DAYS-$A20,"")</f>
        <v>1656.674</v>
      </c>
      <c r="M20" s="17" t="e">
        <f aca="false">IF(PROJ_USAGE&lt;&gt;"",IF(PROJ_USAGE&gt;1000,((RATES*PROJ_USAGE)+TDU)*1+TAX-(CREDIT),(RATES*PROJ_USAGE)+TDU)*1+TAX,"")</f>
        <v>#VALUE!</v>
      </c>
      <c r="N20" s="17" t="str">
        <f aca="false">IF(KWH&lt;&gt;"",IF((BREAK-CUM_KWH)&gt;0,BREAK-CUM_KWH,0),"")</f>
        <v/>
      </c>
      <c r="O20" s="18" t="str">
        <f aca="false">IF(KWH&lt;&gt;"",IF((BREAK-CUM_KWH)&gt;0,BREAK-CUM_KWH,0),"")</f>
        <v/>
      </c>
    </row>
    <row r="21" customFormat="false" ht="15" hidden="false" customHeight="false" outlineLevel="0" collapsed="false">
      <c r="A21" s="11" t="n">
        <v>20</v>
      </c>
      <c r="B21" s="11" t="str">
        <f aca="false">TEXT(D21,"ddd")</f>
        <v>Sat</v>
      </c>
      <c r="C21" s="11" t="n">
        <f aca="false">$A$31-$A21</f>
        <v>10</v>
      </c>
      <c r="H21" s="47"/>
      <c r="I21" s="13" t="str">
        <f aca="false">IF($H21&gt;0,($I20+$H21),"")</f>
        <v/>
      </c>
      <c r="J21" s="13" t="str">
        <f aca="false">IF(KWH&gt;0,((RATES*KWH)+TDU_DAILY)+(1*TAX),"")</f>
        <v/>
      </c>
      <c r="K21" s="15" t="str">
        <f aca="false">IF(KWH&gt;0,$K20+$J21-100*AND(I20&lt;=1000,I21&gt;1000),"")</f>
        <v/>
      </c>
      <c r="L21" s="16" t="n">
        <f aca="false">IF(AVERAGE_KWH&lt;&gt;"",AVERAGE_KWH*DAYS-$A21,"")</f>
        <v>1659.5025</v>
      </c>
      <c r="M21" s="17" t="e">
        <f aca="false">IF(PROJ_USAGE&lt;&gt;"",IF(PROJ_USAGE&gt;1000,((RATES*PROJ_USAGE)+TDU)*1+TAX-(CREDIT),(RATES*PROJ_USAGE)+TDU)*1+TAX,"")</f>
        <v>#VALUE!</v>
      </c>
      <c r="N21" s="17" t="str">
        <f aca="false">IF(KWH&lt;&gt;"",IF((BREAK-CUM_KWH)&gt;0,BREAK-CUM_KWH,0),"")</f>
        <v/>
      </c>
      <c r="O21" s="18" t="str">
        <f aca="false">IF(KWH&lt;&gt;"",IF((BREAK-CUM_KWH)&gt;0,BREAK-CUM_KWH,0),"")</f>
        <v/>
      </c>
    </row>
    <row r="22" customFormat="false" ht="15" hidden="false" customHeight="false" outlineLevel="0" collapsed="false">
      <c r="A22" s="11" t="n">
        <v>21</v>
      </c>
      <c r="B22" s="11" t="str">
        <f aca="false">TEXT(D22,"ddd")</f>
        <v>Sat</v>
      </c>
      <c r="C22" s="11" t="n">
        <f aca="false">$A$31-$A22</f>
        <v>9</v>
      </c>
      <c r="H22" s="47"/>
      <c r="I22" s="13" t="str">
        <f aca="false">IF($H22&gt;0,($I21+$H22),"")</f>
        <v/>
      </c>
      <c r="J22" s="13" t="str">
        <f aca="false">IF(KWH&gt;0,((RATES*KWH)+TDU_DAILY)+(1*TAX),"")</f>
        <v/>
      </c>
      <c r="K22" s="15" t="str">
        <f aca="false">IF(KWH&gt;0,$K21+$J22-100*AND(I21&lt;=1000,I22&gt;1000),"")</f>
        <v/>
      </c>
      <c r="L22" s="16" t="n">
        <f aca="false">IF(AVERAGE_KWH&lt;&gt;"",AVERAGE_KWH*DAYS-$A22,"")</f>
        <v>1669.37390476191</v>
      </c>
      <c r="M22" s="17" t="e">
        <f aca="false">IF(PROJ_USAGE&lt;&gt;"",IF(PROJ_USAGE&gt;1000,((RATES*PROJ_USAGE)+TDU)*1+TAX-(CREDIT),(RATES*PROJ_USAGE)+TDU)*1+TAX,"")</f>
        <v>#VALUE!</v>
      </c>
      <c r="N22" s="17" t="str">
        <f aca="false">IF(KWH&lt;&gt;"",IF((BREAK-CUM_KWH)&gt;0,BREAK-CUM_KWH,0),"")</f>
        <v/>
      </c>
      <c r="O22" s="18" t="str">
        <f aca="false">IF(KWH&lt;&gt;"",IF((BREAK-CUM_KWH)&gt;0,BREAK-CUM_KWH,0),"")</f>
        <v/>
      </c>
    </row>
    <row r="23" customFormat="false" ht="15" hidden="false" customHeight="false" outlineLevel="0" collapsed="false">
      <c r="A23" s="11" t="n">
        <v>22</v>
      </c>
      <c r="B23" s="11" t="str">
        <f aca="false">TEXT(D23,"ddd")</f>
        <v>Sat</v>
      </c>
      <c r="C23" s="11" t="n">
        <f aca="false">$A$31-$A23</f>
        <v>8</v>
      </c>
      <c r="H23" s="47"/>
      <c r="I23" s="13" t="str">
        <f aca="false">IF($H23&gt;0,($I22+$H23),"")</f>
        <v/>
      </c>
      <c r="J23" s="13" t="str">
        <f aca="false">IF(KWH&gt;0,((RATES*KWH)+TDU_DAILY)+(1*TAX),"")</f>
        <v/>
      </c>
      <c r="K23" s="15" t="str">
        <f aca="false">IF(KWH&gt;0,$K22+$J23-100*AND(I22&lt;=1000,I23&gt;1000),"")</f>
        <v/>
      </c>
      <c r="L23" s="16" t="n">
        <f aca="false">IF(AVERAGE_KWH&lt;&gt;"",AVERAGE_KWH*DAYS-$A23,"")</f>
        <v>1674.289</v>
      </c>
      <c r="M23" s="17" t="e">
        <f aca="false">IF(PROJ_USAGE&lt;&gt;"",IF(PROJ_USAGE&gt;1000,((RATES*PROJ_USAGE)+TDU)*1+TAX-(CREDIT),(RATES*PROJ_USAGE)+TDU)*1+TAX,"")</f>
        <v>#VALUE!</v>
      </c>
      <c r="N23" s="17" t="str">
        <f aca="false">IF(KWH&lt;&gt;"",IF((BREAK-CUM_KWH)&gt;0,BREAK-CUM_KWH,0),"")</f>
        <v/>
      </c>
      <c r="O23" s="18" t="str">
        <f aca="false">IF(KWH&lt;&gt;"",IF((BREAK-CUM_KWH)&gt;0,BREAK-CUM_KWH,0),"")</f>
        <v/>
      </c>
    </row>
    <row r="24" customFormat="false" ht="15" hidden="false" customHeight="false" outlineLevel="0" collapsed="false">
      <c r="A24" s="11" t="n">
        <v>23</v>
      </c>
      <c r="B24" s="11" t="str">
        <f aca="false">TEXT(D24,"ddd")</f>
        <v>Sat</v>
      </c>
      <c r="C24" s="11" t="n">
        <f aca="false">$A$31-$A24</f>
        <v>7</v>
      </c>
      <c r="H24" s="47"/>
      <c r="I24" s="13" t="str">
        <f aca="false">IF($H24&gt;0,($I23+$H24),"")</f>
        <v/>
      </c>
      <c r="J24" s="13" t="str">
        <f aca="false">IF(KWH&gt;0,((RATES*KWH)+TDU_DAILY)+(1*TAX),"")</f>
        <v/>
      </c>
      <c r="K24" s="15" t="str">
        <f aca="false">IF(KWH&gt;0,$K23+$J24-100*AND(I23&lt;=1000,I24&gt;1000),"")</f>
        <v/>
      </c>
      <c r="L24" s="16" t="n">
        <f aca="false">IF(AVERAGE_KWH&lt;&gt;"",AVERAGE_KWH*DAYS-$A24,"")</f>
        <v>1682.81139130435</v>
      </c>
      <c r="M24" s="17" t="e">
        <f aca="false">IF(PROJ_USAGE&lt;&gt;"",IF(PROJ_USAGE&gt;1000,((RATES*PROJ_USAGE)+TDU)*1+TAX-(CREDIT),(RATES*PROJ_USAGE)+TDU)*1+TAX,"")</f>
        <v>#VALUE!</v>
      </c>
      <c r="N24" s="17" t="str">
        <f aca="false">IF(KWH&lt;&gt;"",IF((BREAK-CUM_KWH)&gt;0,BREAK-CUM_KWH,0),"")</f>
        <v/>
      </c>
      <c r="O24" s="18" t="str">
        <f aca="false">IF(KWH&lt;&gt;"",IF((BREAK-CUM_KWH)&gt;0,BREAK-CUM_KWH,0),"")</f>
        <v/>
      </c>
    </row>
    <row r="25" customFormat="false" ht="15" hidden="false" customHeight="false" outlineLevel="0" collapsed="false">
      <c r="A25" s="11" t="n">
        <v>24</v>
      </c>
      <c r="B25" s="11" t="str">
        <f aca="false">TEXT(D25,"ddd")</f>
        <v>Sat</v>
      </c>
      <c r="C25" s="11" t="n">
        <f aca="false">$A$31-$A25</f>
        <v>6</v>
      </c>
      <c r="H25" s="47"/>
      <c r="I25" s="13" t="str">
        <f aca="false">IF($H25&gt;0,($I24+$H25),"")</f>
        <v/>
      </c>
      <c r="J25" s="13" t="str">
        <f aca="false">IF(KWH&gt;0,((RATES*KWH)+TDU_DAILY)+(1*TAX),"")</f>
        <v/>
      </c>
      <c r="K25" s="15" t="str">
        <f aca="false">IF(KWH&gt;0,$K24+$J25-100*AND(I24&lt;=1000,I25&gt;1000),"")</f>
        <v/>
      </c>
      <c r="L25" s="16" t="n">
        <f aca="false">IF(AVERAGE_KWH&lt;&gt;"",AVERAGE_KWH*DAYS-$A25,"")</f>
        <v>1695.15666666667</v>
      </c>
      <c r="M25" s="17" t="e">
        <f aca="false">IF(PROJ_USAGE&lt;&gt;"",IF(PROJ_USAGE&gt;1000,((RATES*PROJ_USAGE)+TDU)*1+TAX-(CREDIT),(RATES*PROJ_USAGE)+TDU)*1+TAX,"")</f>
        <v>#VALUE!</v>
      </c>
      <c r="N25" s="17" t="str">
        <f aca="false">IF(KWH&lt;&gt;"",IF((BREAK-CUM_KWH)&gt;0,BREAK-CUM_KWH,0),"")</f>
        <v/>
      </c>
      <c r="O25" s="18" t="str">
        <f aca="false">IF(KWH&lt;&gt;"",IF((BREAK-CUM_KWH)&gt;0,BREAK-CUM_KWH,0),"")</f>
        <v/>
      </c>
    </row>
    <row r="26" customFormat="false" ht="15" hidden="false" customHeight="false" outlineLevel="0" collapsed="false">
      <c r="A26" s="11" t="n">
        <v>25</v>
      </c>
      <c r="B26" s="11" t="str">
        <f aca="false">TEXT(D26,"ddd")</f>
        <v>Sat</v>
      </c>
      <c r="C26" s="11" t="n">
        <f aca="false">$A$31-$A26</f>
        <v>5</v>
      </c>
      <c r="H26" s="47"/>
      <c r="I26" s="13" t="str">
        <f aca="false">IF($H26&gt;0,($I25+$H26),"")</f>
        <v/>
      </c>
      <c r="J26" s="13" t="str">
        <f aca="false">IF(KWH&gt;0,((RATES*KWH)+TDU_DAILY)+(1*TAX),"")</f>
        <v/>
      </c>
      <c r="K26" s="15" t="str">
        <f aca="false">IF(KWH&gt;0,$K25+$J26-100*AND(I25&lt;=1000,I26&gt;1000),"")</f>
        <v/>
      </c>
      <c r="L26" s="16" t="n">
        <f aca="false">IF(AVERAGE_KWH&lt;&gt;"",AVERAGE_KWH*DAYS-$A26,"")</f>
        <v>1710.29568</v>
      </c>
      <c r="M26" s="17" t="e">
        <f aca="false">IF(PROJ_USAGE&lt;&gt;"",IF(PROJ_USAGE&gt;1000,((RATES*PROJ_USAGE)+TDU)*1+TAX-(CREDIT),(RATES*PROJ_USAGE)+TDU)*1+TAX,"")</f>
        <v>#VALUE!</v>
      </c>
      <c r="N26" s="17" t="str">
        <f aca="false">IF(KWH&lt;&gt;"",IF((BREAK-CUM_KWH)&gt;0,BREAK-CUM_KWH,0),"")</f>
        <v/>
      </c>
      <c r="O26" s="18" t="str">
        <f aca="false">IF(KWH&lt;&gt;"",IF((BREAK-CUM_KWH)&gt;0,BREAK-CUM_KWH,0),"")</f>
        <v/>
      </c>
    </row>
    <row r="27" customFormat="false" ht="15" hidden="false" customHeight="false" outlineLevel="0" collapsed="false">
      <c r="A27" s="11" t="n">
        <v>26</v>
      </c>
      <c r="B27" s="11" t="str">
        <f aca="false">TEXT(D27,"ddd")</f>
        <v>Sat</v>
      </c>
      <c r="C27" s="11" t="n">
        <f aca="false">$A$31-$A27</f>
        <v>4</v>
      </c>
      <c r="H27" s="47"/>
      <c r="I27" s="13" t="str">
        <f aca="false">IF($H27&gt;0,($I26+$H27),"")</f>
        <v/>
      </c>
      <c r="J27" s="13" t="str">
        <f aca="false">IF(KWH&gt;0,((RATES*KWH)+TDU_DAILY)+(1*TAX),"")</f>
        <v/>
      </c>
      <c r="K27" s="15" t="str">
        <f aca="false">IF(KWH&gt;0,$K26+$J27-100*AND(I26&lt;=1000,I27&gt;1000),"")</f>
        <v/>
      </c>
      <c r="L27" s="16" t="n">
        <f aca="false">IF(AVERAGE_KWH&lt;&gt;"",AVERAGE_KWH*DAYS-$A27,"")</f>
        <v>1722.16869230769</v>
      </c>
      <c r="M27" s="17" t="e">
        <f aca="false">IF(PROJ_USAGE&lt;&gt;"",IF(PROJ_USAGE&gt;1000,((RATES*PROJ_USAGE)+TDU)*1+TAX-(CREDIT),(RATES*PROJ_USAGE)+TDU)*1+TAX,"")</f>
        <v>#VALUE!</v>
      </c>
      <c r="N27" s="17" t="str">
        <f aca="false">IF(KWH&lt;&gt;"",IF((BREAK-CUM_KWH)&gt;0,BREAK-CUM_KWH,0),"")</f>
        <v/>
      </c>
      <c r="O27" s="18" t="str">
        <f aca="false">IF(KWH&lt;&gt;"",IF((BREAK-CUM_KWH)&gt;0,BREAK-CUM_KWH,0),"")</f>
        <v/>
      </c>
    </row>
    <row r="28" customFormat="false" ht="15" hidden="false" customHeight="false" outlineLevel="0" collapsed="false">
      <c r="A28" s="11" t="n">
        <v>27</v>
      </c>
      <c r="B28" s="11" t="str">
        <f aca="false">TEXT(D28,"ddd")</f>
        <v>Sat</v>
      </c>
      <c r="C28" s="11" t="n">
        <f aca="false">$A$31-$A28</f>
        <v>3</v>
      </c>
      <c r="H28" s="47"/>
      <c r="I28" s="13" t="str">
        <f aca="false">IF($H28&gt;0,($I27+$H28),"")</f>
        <v/>
      </c>
      <c r="J28" s="13" t="str">
        <f aca="false">IF(KWH&gt;0,((RATES*KWH)+TDU_DAILY)+(1*TAX),"")</f>
        <v/>
      </c>
      <c r="K28" s="15" t="str">
        <f aca="false">IF(KWH&gt;0,$K27+$J28-100*AND(I27&lt;=1000,I28&gt;1000),"")</f>
        <v/>
      </c>
      <c r="L28" s="16" t="n">
        <f aca="false">IF(AVERAGE_KWH&lt;&gt;"",AVERAGE_KWH*DAYS-$A28,"")</f>
        <v>1734.28451851852</v>
      </c>
      <c r="M28" s="17" t="e">
        <f aca="false">IF(PROJ_USAGE&lt;&gt;"",IF(PROJ_USAGE&gt;1000,((RATES*PROJ_USAGE)+TDU)*1+TAX-(CREDIT),(RATES*PROJ_USAGE)+TDU)*1+TAX,"")</f>
        <v>#VALUE!</v>
      </c>
      <c r="N28" s="17" t="str">
        <f aca="false">IF(KWH&lt;&gt;"",IF((BREAK-CUM_KWH)&gt;0,BREAK-CUM_KWH,0),"")</f>
        <v/>
      </c>
      <c r="O28" s="18" t="str">
        <f aca="false">IF(KWH&lt;&gt;"",IF((BREAK-CUM_KWH)&gt;0,BREAK-CUM_KWH,0),"")</f>
        <v/>
      </c>
    </row>
    <row r="29" customFormat="false" ht="15" hidden="false" customHeight="false" outlineLevel="0" collapsed="false">
      <c r="A29" s="11" t="n">
        <v>28</v>
      </c>
      <c r="B29" s="11" t="str">
        <f aca="false">TEXT(D29,"ddd")</f>
        <v>Sat</v>
      </c>
      <c r="C29" s="11" t="n">
        <f aca="false">$A$31-$A29</f>
        <v>2</v>
      </c>
      <c r="H29" s="47"/>
      <c r="I29" s="13" t="str">
        <f aca="false">IF($H29&gt;0,($I28+$H29),"")</f>
        <v/>
      </c>
      <c r="J29" s="13" t="str">
        <f aca="false">IF(KWH&gt;0,((RATES*KWH)+TDU_DAILY)+(1*TAX),"")</f>
        <v/>
      </c>
      <c r="K29" s="15" t="str">
        <f aca="false">IF(KWH&gt;0,$K28+$J29-100*AND(I28&lt;=1000,I29&gt;1000),"")</f>
        <v/>
      </c>
      <c r="L29" s="16" t="n">
        <f aca="false">IF(AVERAGE_KWH&lt;&gt;"",AVERAGE_KWH*DAYS-$A29,"")</f>
        <v>1749.46028571429</v>
      </c>
      <c r="M29" s="17" t="e">
        <f aca="false">IF(PROJ_USAGE&lt;&gt;"",IF(PROJ_USAGE&gt;1000,((RATES*PROJ_USAGE)+TDU)*1+TAX-(CREDIT),(RATES*PROJ_USAGE)+TDU)*1+TAX,"")</f>
        <v>#VALUE!</v>
      </c>
      <c r="N29" s="17" t="str">
        <f aca="false">IF(KWH&lt;&gt;"",IF((BREAK-CUM_KWH)&gt;0,BREAK-CUM_KWH,0),"")</f>
        <v/>
      </c>
      <c r="O29" s="18" t="str">
        <f aca="false">IF(KWH&lt;&gt;"",IF((BREAK-CUM_KWH)&gt;0,BREAK-CUM_KWH,0),"")</f>
        <v/>
      </c>
    </row>
    <row r="30" customFormat="false" ht="15" hidden="false" customHeight="false" outlineLevel="0" collapsed="false">
      <c r="A30" s="11" t="n">
        <v>29</v>
      </c>
      <c r="B30" s="11" t="str">
        <f aca="false">TEXT(D30,"ddd")</f>
        <v>Sat</v>
      </c>
      <c r="C30" s="11" t="n">
        <f aca="false">$A$31-$A30</f>
        <v>1</v>
      </c>
      <c r="H30" s="47"/>
      <c r="I30" s="13" t="str">
        <f aca="false">IF($H30&gt;0,($I29+$H30),"")</f>
        <v/>
      </c>
      <c r="J30" s="13" t="str">
        <f aca="false">IF(KWH&gt;0,((RATES*KWH)+TDU_DAILY)+(1*TAX),"")</f>
        <v/>
      </c>
      <c r="K30" s="15" t="str">
        <f aca="false">IF(KWH&gt;0,$K29+$J30-100*AND(I29&lt;=1000,I30&gt;1000),"")</f>
        <v/>
      </c>
      <c r="L30" s="16" t="n">
        <f aca="false">IF(AVERAGE_KWH&lt;&gt;"",AVERAGE_KWH*DAYS-$A30,"")</f>
        <v>1743.81410344828</v>
      </c>
      <c r="M30" s="17" t="e">
        <f aca="false">IF(PROJ_USAGE&lt;&gt;"",IF(PROJ_USAGE&gt;1000,((RATES*PROJ_USAGE)+TDU)*1+TAX-(CREDIT),(RATES*PROJ_USAGE)+TDU)*1+TAX,"")</f>
        <v>#VALUE!</v>
      </c>
      <c r="N30" s="17" t="str">
        <f aca="false">IF(KWH&lt;&gt;"",IF((BREAK-CUM_KWH)&gt;0,BREAK-CUM_KWH,0),"")</f>
        <v/>
      </c>
      <c r="O30" s="18" t="str">
        <f aca="false">IF(KWH&lt;&gt;"",IF((BREAK-CUM_KWH)&gt;0,BREAK-CUM_KWH,0),"")</f>
        <v/>
      </c>
    </row>
    <row r="31" customFormat="false" ht="15" hidden="false" customHeight="false" outlineLevel="0" collapsed="false">
      <c r="A31" s="11" t="n">
        <v>30</v>
      </c>
      <c r="B31" s="11" t="str">
        <f aca="false">TEXT(D31,"ddd")</f>
        <v>Sat</v>
      </c>
      <c r="C31" s="11" t="n">
        <f aca="false">$A$31-$A31</f>
        <v>0</v>
      </c>
      <c r="H31" s="47"/>
      <c r="I31" s="13" t="str">
        <f aca="false">IF($H31&gt;0,($I30+$H31),"")</f>
        <v/>
      </c>
      <c r="J31" s="13" t="str">
        <f aca="false">IF(KWH&gt;0,((RATES*KWH)+TDU_DAILY)+(1*TAX),"")</f>
        <v/>
      </c>
      <c r="K31" s="15" t="str">
        <f aca="false">IF(KWH&gt;0,$K30+$J31-100*AND(I30&lt;=1000,I31&gt;1000),"")</f>
        <v/>
      </c>
      <c r="L31" s="16" t="n">
        <f aca="false">IF(AVERAGE_KWH&lt;&gt;"",AVERAGE_KWH*DAYS-$A31,"")</f>
        <v>1738.66986666667</v>
      </c>
      <c r="M31" s="17" t="e">
        <f aca="false">IF(PROJ_USAGE&lt;&gt;"",IF(PROJ_USAGE&gt;1000,((RATES*PROJ_USAGE)+TDU)*1+TAX-(CREDIT),(RATES*PROJ_USAGE)+TDU)*1+TAX,"")</f>
        <v>#VALUE!</v>
      </c>
      <c r="N31" s="17" t="str">
        <f aca="false">IF(KWH&lt;&gt;"",IF((BREAK-CUM_KWH)&gt;0,BREAK-CUM_KWH,0),"")</f>
        <v/>
      </c>
      <c r="O31" s="18" t="str">
        <f aca="false">IF(KWH&lt;&gt;"",IF((BREAK-CUM_KWH)&gt;0,BREAK-CUM_KWH,0),"")</f>
        <v/>
      </c>
    </row>
    <row r="32" customFormat="false" ht="15" hidden="false" customHeight="false" outlineLevel="0" collapsed="false">
      <c r="A32" s="4"/>
      <c r="B32" s="11"/>
      <c r="C32" s="4"/>
      <c r="I32" s="13"/>
      <c r="J32" s="13"/>
      <c r="K32" s="15"/>
      <c r="L32" s="16"/>
      <c r="M32" s="17"/>
      <c r="N32" s="17"/>
      <c r="O32" s="18"/>
    </row>
    <row r="33" customFormat="false" ht="15" hidden="false" customHeight="false" outlineLevel="0" collapsed="false">
      <c r="A33" s="4"/>
      <c r="B33" s="11"/>
      <c r="C33" s="4"/>
      <c r="H33" s="47"/>
      <c r="I33" s="13"/>
      <c r="J33" s="13"/>
      <c r="K33" s="15"/>
      <c r="L33" s="16"/>
      <c r="M33" s="17"/>
      <c r="N33" s="17"/>
      <c r="O33" s="18"/>
    </row>
    <row r="34" customFormat="false" ht="51.75" hidden="false" customHeight="true" outlineLevel="0" collapsed="false">
      <c r="A34" s="45" t="s">
        <v>0</v>
      </c>
      <c r="B34" s="45" t="s">
        <v>1</v>
      </c>
      <c r="C34" s="45" t="s">
        <v>2</v>
      </c>
      <c r="D34" s="50" t="s">
        <v>3</v>
      </c>
      <c r="E34" s="50" t="s">
        <v>4</v>
      </c>
      <c r="F34" s="66" t="s">
        <v>5</v>
      </c>
      <c r="G34" s="66" t="s">
        <v>6</v>
      </c>
      <c r="H34" s="45" t="s">
        <v>7</v>
      </c>
      <c r="I34" s="45" t="s">
        <v>8</v>
      </c>
      <c r="J34" s="45" t="s">
        <v>9</v>
      </c>
      <c r="K34" s="27" t="s">
        <v>10</v>
      </c>
      <c r="L34" s="66" t="s">
        <v>11</v>
      </c>
      <c r="M34" s="66" t="s">
        <v>12</v>
      </c>
      <c r="N34" s="45" t="s">
        <v>13</v>
      </c>
      <c r="O34" s="66" t="s">
        <v>77</v>
      </c>
      <c r="P34" s="45"/>
    </row>
    <row r="35" customFormat="false" ht="15" hidden="false" customHeight="false" outlineLevel="0" collapsed="false">
      <c r="I35" s="81"/>
      <c r="K35" s="47"/>
      <c r="L35" s="2"/>
      <c r="M35" s="2"/>
    </row>
    <row r="36" customFormat="false" ht="15" hidden="false" customHeight="false" outlineLevel="0" collapsed="false">
      <c r="L36" s="2"/>
      <c r="M36" s="2"/>
    </row>
    <row r="50" customFormat="false" ht="15" hidden="false" customHeight="false" outlineLevel="0" collapsed="false">
      <c r="H50" s="47"/>
    </row>
    <row r="59" customFormat="false" ht="15" hidden="false" customHeight="false" outlineLevel="0" collapsed="false">
      <c r="H59" s="47"/>
    </row>
  </sheetData>
  <conditionalFormatting sqref="A1:I1 K1:O1">
    <cfRule type="expression" priority="2" aboveAverage="0" equalAverage="0" bottom="0" percent="0" rank="0" text="" dxfId="38">
      <formula>" =CELL(“Protect”,A1)=1"</formula>
    </cfRule>
    <cfRule type="expression" priority="3" aboveAverage="0" equalAverage="0" bottom="0" percent="0" rank="0" text="" dxfId="1">
      <formula>" =CELL(“Protect”,A1)=1"</formula>
    </cfRule>
  </conditionalFormatting>
  <conditionalFormatting sqref="Q2:Q14">
    <cfRule type="expression" priority="4" aboveAverage="0" equalAverage="0" bottom="0" percent="0" rank="0" text="" dxfId="39">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5"/>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1" topLeftCell="A2" activePane="bottomLeft" state="frozen"/>
      <selection pane="topLeft" activeCell="A1" activeCellId="0" sqref="A1"/>
      <selection pane="bottomLeft" activeCell="H33" activeCellId="0" sqref="H33"/>
    </sheetView>
  </sheetViews>
  <sheetFormatPr defaultColWidth="8.453125" defaultRowHeight="15" zeroHeight="false" outlineLevelRow="0" outlineLevelCol="0"/>
  <cols>
    <col collapsed="false" customWidth="true" hidden="false" outlineLevel="0" max="1" min="1" style="0" width="6.29"/>
    <col collapsed="false" customWidth="true" hidden="false" outlineLevel="0" max="2" min="2" style="0" width="5.86"/>
    <col collapsed="false" customWidth="true" hidden="false" outlineLevel="0" max="3" min="3" style="45" width="6"/>
    <col collapsed="false" customWidth="true" hidden="false" outlineLevel="0" max="4" min="4" style="119" width="8.71"/>
    <col collapsed="false" customWidth="false" hidden="false" outlineLevel="0" max="5" min="5" style="119" width="8.42"/>
    <col collapsed="false" customWidth="true" hidden="false" outlineLevel="0" max="7" min="6"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6" t="s">
        <v>7</v>
      </c>
      <c r="I1" s="6" t="s">
        <v>8</v>
      </c>
      <c r="J1" s="6" t="s">
        <v>133</v>
      </c>
      <c r="K1" s="6" t="s">
        <v>10</v>
      </c>
      <c r="L1" s="6" t="s">
        <v>11</v>
      </c>
      <c r="M1" s="6" t="s">
        <v>12</v>
      </c>
      <c r="N1" s="8" t="s">
        <v>13</v>
      </c>
      <c r="O1" s="9" t="s">
        <v>77</v>
      </c>
      <c r="T1" s="10"/>
      <c r="U1" s="71"/>
      <c r="W1" s="120"/>
    </row>
    <row r="2" s="102" customFormat="true" ht="15" hidden="false" customHeight="true" outlineLevel="0" collapsed="false">
      <c r="A2" s="86" t="n">
        <v>1</v>
      </c>
      <c r="B2" s="86" t="str">
        <f aca="false">TEXT(D2,"ddd")</f>
        <v>Tue</v>
      </c>
      <c r="C2" s="45" t="n">
        <f aca="false">$A$31-$A2</f>
        <v>29</v>
      </c>
      <c r="D2" s="50" t="n">
        <v>44880</v>
      </c>
      <c r="E2" s="50" t="n">
        <v>44881.2587268519</v>
      </c>
      <c r="F2" s="92" t="n">
        <v>78540.572</v>
      </c>
      <c r="G2" s="92" t="n">
        <v>78620.869</v>
      </c>
      <c r="H2" s="92" t="n">
        <v>80.293</v>
      </c>
      <c r="I2" s="92" t="n">
        <f aca="false">H2</f>
        <v>80.293</v>
      </c>
      <c r="J2" s="87" t="n">
        <f aca="false">(I2)</f>
        <v>80.293</v>
      </c>
      <c r="K2" s="88" t="n">
        <f aca="false">($H2*$S$8*(1+$R$9))</f>
        <v>12.5583637580193</v>
      </c>
      <c r="L2" s="89" t="n">
        <f aca="false">(K2)</f>
        <v>12.5583637580193</v>
      </c>
      <c r="M2" s="121" t="n">
        <f aca="false">IF($H2&gt;0,($J2*$A$31),"")</f>
        <v>2408.79</v>
      </c>
      <c r="N2" s="121" t="n">
        <f aca="false">IF(AND($M2&gt;0,$M2&lt;1000),($M2*$S$8*(1+$R$9)),($M2*$S$8*(1+$R$9))-100)</f>
        <v>276.75091274058</v>
      </c>
      <c r="O2" s="13" t="n">
        <f aca="false">IF(KWH&lt;&gt;"",IF((BREAK-CUM_KWH)&gt;0,BREAK-CUM_KWH,0),"")</f>
        <v>919.707</v>
      </c>
      <c r="Q2" s="122" t="s">
        <v>18</v>
      </c>
      <c r="R2" s="123"/>
      <c r="S2" s="124" t="s">
        <v>19</v>
      </c>
      <c r="T2" s="125" t="n">
        <v>2</v>
      </c>
      <c r="U2" s="126"/>
      <c r="V2" s="29"/>
    </row>
    <row r="3" s="102" customFormat="true" ht="15" hidden="false" customHeight="true" outlineLevel="0" collapsed="false">
      <c r="A3" s="86" t="n">
        <v>2</v>
      </c>
      <c r="B3" s="86" t="str">
        <f aca="false">TEXT(D3,"ddd")</f>
        <v>Wed</v>
      </c>
      <c r="C3" s="45" t="n">
        <f aca="false">$A$31-$A3</f>
        <v>28</v>
      </c>
      <c r="D3" s="50" t="n">
        <v>44881</v>
      </c>
      <c r="E3" s="50" t="n">
        <v>44882.2601041667</v>
      </c>
      <c r="F3" s="92" t="n">
        <v>78620.869</v>
      </c>
      <c r="G3" s="92" t="n">
        <v>78658.699</v>
      </c>
      <c r="H3" s="92" t="n">
        <v>37.834</v>
      </c>
      <c r="I3" s="92" t="n">
        <f aca="false">IF($H3&gt;0,($I2+$H3),"")</f>
        <v>118.127</v>
      </c>
      <c r="J3" s="87" t="n">
        <f aca="false">IF(H3&gt;0,(I3/A3),"")</f>
        <v>59.0635</v>
      </c>
      <c r="K3" s="88" t="n">
        <f aca="false">($H3*$S$8*(1+$R$9))</f>
        <v>5.91749136812553</v>
      </c>
      <c r="L3" s="89" t="n">
        <f aca="false">IF(H3&gt;0,(L2+K3),"")</f>
        <v>18.4758551261449</v>
      </c>
      <c r="M3" s="121" t="n">
        <f aca="false">IF($H3&gt;0,($J3*$A$31),"")</f>
        <v>1771.905</v>
      </c>
      <c r="N3" s="121" t="n">
        <f aca="false">IF(AND($M3&gt;0,$M3&lt;1000),($M3*$S$8*(1+$R$9)),($M3*$S$8*(1+$R$9))-100)</f>
        <v>177.137826892173</v>
      </c>
      <c r="O3" s="13" t="n">
        <f aca="false">IF(KWH&lt;&gt;"",IF((BREAK-CUM_KWH)&gt;0,BREAK-CUM_KWH,0),"")</f>
        <v>881.873</v>
      </c>
      <c r="Q3" s="127" t="s">
        <v>22</v>
      </c>
      <c r="R3" s="128" t="n">
        <f aca="false">(F2+1000)</f>
        <v>79540.572</v>
      </c>
      <c r="S3" s="129"/>
      <c r="T3" s="125" t="n">
        <v>3</v>
      </c>
      <c r="V3" s="29"/>
      <c r="W3" s="71"/>
      <c r="X3" s="71"/>
      <c r="Y3" s="130"/>
      <c r="AC3" s="131"/>
    </row>
    <row r="4" s="102" customFormat="true" ht="15" hidden="false" customHeight="true" outlineLevel="0" collapsed="false">
      <c r="A4" s="86" t="n">
        <v>3</v>
      </c>
      <c r="B4" s="86" t="str">
        <f aca="false">TEXT(D4,"ddd")</f>
        <v>Thu</v>
      </c>
      <c r="C4" s="45" t="n">
        <f aca="false">$A$31-$A4</f>
        <v>27</v>
      </c>
      <c r="D4" s="50" t="n">
        <v>44882</v>
      </c>
      <c r="E4" s="50" t="n">
        <v>44883.259224537</v>
      </c>
      <c r="F4" s="92" t="n">
        <v>78658.699</v>
      </c>
      <c r="G4" s="92" t="n">
        <v>78690.286</v>
      </c>
      <c r="H4" s="92" t="n">
        <v>31.586</v>
      </c>
      <c r="I4" s="92" t="n">
        <f aca="false">IF($H4&gt;0,($I3+$H4),"")</f>
        <v>149.713</v>
      </c>
      <c r="J4" s="87" t="n">
        <f aca="false">IF(H4&gt;0,(I4/A4),"")</f>
        <v>49.9043333333333</v>
      </c>
      <c r="K4" s="88" t="n">
        <f aca="false">($H4*$S$8*(1+$R$9))</f>
        <v>4.94026226023188</v>
      </c>
      <c r="L4" s="89" t="n">
        <f aca="false">IF(H4&gt;0,(L3+K4),"")</f>
        <v>23.4161173863767</v>
      </c>
      <c r="M4" s="121" t="n">
        <f aca="false">IF($H4&gt;0,($J4*$A$31),"")</f>
        <v>1497.13</v>
      </c>
      <c r="N4" s="121" t="n">
        <f aca="false">IF(AND($M4&gt;0,$M4&lt;1000),($M4*$S$8*(1+$R$9)),($M4*$S$8*(1+$R$9))-100)</f>
        <v>134.161173863767</v>
      </c>
      <c r="O4" s="13" t="n">
        <f aca="false">IF(KWH&lt;&gt;"",IF((BREAK-CUM_KWH)&gt;0,BREAK-CUM_KWH,0),"")</f>
        <v>850.287</v>
      </c>
      <c r="Q4" s="127" t="s">
        <v>25</v>
      </c>
      <c r="R4" s="132"/>
      <c r="S4" s="133" t="n">
        <v>0.001667</v>
      </c>
      <c r="T4" s="125" t="n">
        <v>4</v>
      </c>
      <c r="U4" s="134"/>
      <c r="V4" s="29"/>
      <c r="W4" s="135"/>
      <c r="X4" s="135"/>
      <c r="Y4" s="135"/>
      <c r="Z4" s="136"/>
      <c r="AC4" s="131"/>
    </row>
    <row r="5" s="45" customFormat="true" ht="15" hidden="false" customHeight="true" outlineLevel="0" collapsed="false">
      <c r="A5" s="86" t="n">
        <v>4</v>
      </c>
      <c r="B5" s="86" t="str">
        <f aca="false">TEXT(D5,"ddd")</f>
        <v>Fri</v>
      </c>
      <c r="C5" s="45" t="n">
        <f aca="false">$A$31-$A5</f>
        <v>26</v>
      </c>
      <c r="D5" s="50" t="n">
        <v>44883</v>
      </c>
      <c r="E5" s="50" t="n">
        <v>44884.2591782407</v>
      </c>
      <c r="F5" s="92" t="n">
        <v>78690.286</v>
      </c>
      <c r="G5" s="92" t="n">
        <v>78727.47</v>
      </c>
      <c r="H5" s="92" t="n">
        <v>37.183</v>
      </c>
      <c r="I5" s="92" t="n">
        <f aca="false">IF($H5&gt;0,($I4+$H5),"")</f>
        <v>186.896</v>
      </c>
      <c r="J5" s="87" t="n">
        <f aca="false">IF(H5&gt;0,(I5/A5),"")</f>
        <v>46.724</v>
      </c>
      <c r="K5" s="88" t="n">
        <f aca="false">($H5*$S$8*(1+$R$9))</f>
        <v>5.81567060160204</v>
      </c>
      <c r="L5" s="89" t="n">
        <f aca="false">IF(H5&gt;0,(L4+K5),"")</f>
        <v>29.2317879879788</v>
      </c>
      <c r="M5" s="121" t="n">
        <f aca="false">IF($H5&gt;0,($J5*$A$31),"")</f>
        <v>1401.72</v>
      </c>
      <c r="N5" s="121" t="n">
        <f aca="false">IF(AND($M5&gt;0,$M5&lt;1000),($M5*$S$8*(1+$R$9)),($M5*$S$8*(1+$R$9))-100)</f>
        <v>119.238409909841</v>
      </c>
      <c r="O5" s="13" t="n">
        <f aca="false">IF(KWH&lt;&gt;"",IF((BREAK-CUM_KWH)&gt;0,BREAK-CUM_KWH,0),"")</f>
        <v>813.104</v>
      </c>
      <c r="Q5" s="127" t="s">
        <v>28</v>
      </c>
      <c r="R5" s="132"/>
      <c r="S5" s="133" t="n">
        <v>0.042</v>
      </c>
      <c r="T5" s="125" t="n">
        <v>5</v>
      </c>
      <c r="V5" s="29"/>
    </row>
    <row r="6" s="102" customFormat="true" ht="15" hidden="false" customHeight="true" outlineLevel="0" collapsed="false">
      <c r="A6" s="86" t="n">
        <v>5</v>
      </c>
      <c r="B6" s="86" t="str">
        <f aca="false">TEXT(D6,"ddd")</f>
        <v>Sat</v>
      </c>
      <c r="C6" s="45" t="n">
        <f aca="false">$A$31-$A6</f>
        <v>25</v>
      </c>
      <c r="D6" s="50" t="n">
        <v>44884</v>
      </c>
      <c r="E6" s="50" t="n">
        <v>44885.2792013889</v>
      </c>
      <c r="F6" s="92" t="n">
        <v>78727.47</v>
      </c>
      <c r="G6" s="92" t="n">
        <v>78779.525</v>
      </c>
      <c r="H6" s="92" t="n">
        <v>52.053</v>
      </c>
      <c r="I6" s="92" t="n">
        <f aca="false">IF($H6&gt;0,($I5+$H6),"")</f>
        <v>238.949</v>
      </c>
      <c r="J6" s="87" t="n">
        <f aca="false">IF(H6&gt;0,(I6/A6),"")</f>
        <v>47.7898</v>
      </c>
      <c r="K6" s="88" t="n">
        <f aca="false">($H6*$S$8*(1+$R$9))</f>
        <v>8.14143834077915</v>
      </c>
      <c r="L6" s="89" t="n">
        <f aca="false">IF(H6&gt;0,(L5+K6),"")</f>
        <v>37.3732263287579</v>
      </c>
      <c r="M6" s="121" t="n">
        <f aca="false">IF($H6&gt;0,($J6*$A$31),"")</f>
        <v>1433.694</v>
      </c>
      <c r="N6" s="121" t="n">
        <f aca="false">IF(AND($M6&gt;0,$M6&lt;1000),($M6*$S$8*(1+$R$9)),($M6*$S$8*(1+$R$9))-100)</f>
        <v>124.239357972548</v>
      </c>
      <c r="O6" s="13" t="n">
        <f aca="false">IF(KWH&lt;&gt;"",IF((BREAK-CUM_KWH)&gt;0,BREAK-CUM_KWH,0),"")</f>
        <v>761.051</v>
      </c>
      <c r="Q6" s="127" t="s">
        <v>31</v>
      </c>
      <c r="R6" s="137" t="n">
        <v>3.4</v>
      </c>
      <c r="S6" s="133" t="n">
        <f aca="false">($R$6/DAYS)</f>
        <v>0.109677419354839</v>
      </c>
      <c r="T6" s="125" t="n">
        <v>6</v>
      </c>
    </row>
    <row r="7" customFormat="false" ht="15" hidden="false" customHeight="true" outlineLevel="0" collapsed="false">
      <c r="A7" s="11" t="n">
        <v>6</v>
      </c>
      <c r="B7" s="11" t="str">
        <f aca="false">TEXT(D7,"ddd")</f>
        <v>Sun</v>
      </c>
      <c r="C7" s="45" t="n">
        <f aca="false">$A$31-$A7</f>
        <v>24</v>
      </c>
      <c r="D7" s="50" t="n">
        <v>44885</v>
      </c>
      <c r="E7" s="50" t="n">
        <v>44886.2593518519</v>
      </c>
      <c r="F7" s="3" t="n">
        <v>78779.525</v>
      </c>
      <c r="G7" s="2" t="n">
        <v>78830.71</v>
      </c>
      <c r="H7" s="2" t="n">
        <v>51.185</v>
      </c>
      <c r="I7" s="2" t="n">
        <f aca="false">IF($H7&gt;0,($I6+$H7),"")</f>
        <v>290.134</v>
      </c>
      <c r="J7" s="13" t="n">
        <f aca="false">IF(H7&gt;0,(I7/A7),"")</f>
        <v>48.3556666666667</v>
      </c>
      <c r="K7" s="15" t="n">
        <f aca="false">($H7*$S$8*(1+$R$9))</f>
        <v>8.00567731874783</v>
      </c>
      <c r="L7" s="16" t="n">
        <f aca="false">IF(H7&gt;0,(L6+K7),"")</f>
        <v>45.3789036475058</v>
      </c>
      <c r="M7" s="138" t="n">
        <f aca="false">IF($H7&gt;0,($J7*$A$31),"")</f>
        <v>1450.67</v>
      </c>
      <c r="N7" s="138" t="n">
        <f aca="false">IF(AND($M7&gt;0,$M7&lt;1000),($M7*$S$8*(1+$R$9)),($M7*$S$8*(1+$R$9))-100)</f>
        <v>126.894518237529</v>
      </c>
      <c r="O7" s="13" t="n">
        <f aca="false">IF(KWH&lt;&gt;"",IF((BREAK-CUM_KWH)&gt;0,BREAK-CUM_KWH,0),"")</f>
        <v>709.866</v>
      </c>
      <c r="Q7" s="22" t="s">
        <v>34</v>
      </c>
      <c r="R7" s="25"/>
      <c r="S7" s="139" t="n">
        <f aca="false">SUM(S4:S6)</f>
        <v>0.153344419354839</v>
      </c>
      <c r="T7" s="125" t="n">
        <v>7</v>
      </c>
      <c r="V7" s="29"/>
    </row>
    <row r="8" customFormat="false" ht="15" hidden="false" customHeight="false" outlineLevel="0" collapsed="false">
      <c r="A8" s="11" t="n">
        <v>7</v>
      </c>
      <c r="B8" s="11" t="str">
        <f aca="false">TEXT(D8,"ddd")</f>
        <v>Mon</v>
      </c>
      <c r="C8" s="45" t="n">
        <f aca="false">$A$31-$A8</f>
        <v>23</v>
      </c>
      <c r="D8" s="50" t="n">
        <v>44886</v>
      </c>
      <c r="E8" s="50" t="n">
        <v>44887.2673726852</v>
      </c>
      <c r="F8" s="3" t="n">
        <v>78830.71</v>
      </c>
      <c r="G8" s="2" t="n">
        <v>78882.662</v>
      </c>
      <c r="H8" s="2" t="n">
        <v>51.958</v>
      </c>
      <c r="I8" s="2" t="n">
        <f aca="false">IF($H8&gt;0,($I7+$H8),"")</f>
        <v>342.092</v>
      </c>
      <c r="J8" s="13" t="n">
        <f aca="false">IF(H8&gt;0,(I8/A8),"")</f>
        <v>48.8702857142857</v>
      </c>
      <c r="K8" s="15" t="n">
        <f aca="false">($H8*$S$8*(1+$R$9))</f>
        <v>8.12657970357526</v>
      </c>
      <c r="L8" s="16" t="n">
        <f aca="false">IF(H8&gt;0,(L7+K8),"")</f>
        <v>53.505483351081</v>
      </c>
      <c r="M8" s="138" t="n">
        <f aca="false">IF($H8&gt;0,($J8*$A$31),"")</f>
        <v>1466.10857142857</v>
      </c>
      <c r="N8" s="138" t="n">
        <f aca="false">IF(AND($M8&gt;0,$M8&lt;1000),($M8*$S$8*(1+$R$9)),($M8*$S$8*(1+$R$9))-100)</f>
        <v>129.309214361776</v>
      </c>
      <c r="O8" s="13" t="n">
        <f aca="false">IF(KWH&lt;&gt;"",IF((BREAK-CUM_KWH)&gt;0,BREAK-CUM_KWH,0),"")</f>
        <v>657.908</v>
      </c>
      <c r="Q8" s="22" t="s">
        <v>38</v>
      </c>
      <c r="R8" s="33"/>
      <c r="S8" s="140" t="n">
        <f aca="false">SUM(S4:S6)</f>
        <v>0.153344419354839</v>
      </c>
      <c r="T8" s="93" t="n">
        <v>8</v>
      </c>
      <c r="V8" s="29"/>
    </row>
    <row r="9" customFormat="false" ht="15" hidden="false" customHeight="false" outlineLevel="0" collapsed="false">
      <c r="A9" s="11" t="n">
        <v>8</v>
      </c>
      <c r="B9" s="11" t="str">
        <f aca="false">TEXT(D9,"ddd")</f>
        <v>Tue</v>
      </c>
      <c r="C9" s="45" t="n">
        <f aca="false">$A$31-$A9</f>
        <v>22</v>
      </c>
      <c r="D9" s="50" t="n">
        <v>44887</v>
      </c>
      <c r="E9" s="50" t="n">
        <v>44888.2582986111</v>
      </c>
      <c r="F9" s="3" t="n">
        <v>78882.662</v>
      </c>
      <c r="G9" s="2" t="n">
        <v>78922.391</v>
      </c>
      <c r="H9" s="2" t="n">
        <v>39.732</v>
      </c>
      <c r="I9" s="2" t="n">
        <f aca="false">IF($H9&gt;0,($I8+$H9),"")</f>
        <v>381.824</v>
      </c>
      <c r="J9" s="13" t="n">
        <f aca="false">IF(H9&gt;0,(I9/A9),"")</f>
        <v>47.728</v>
      </c>
      <c r="K9" s="15" t="n">
        <f aca="false">($H9*$S$8*(1+$R$9))</f>
        <v>6.21435129878849</v>
      </c>
      <c r="L9" s="16" t="n">
        <f aca="false">IF(H9&gt;0,(L8+K9),"")</f>
        <v>59.7198346498695</v>
      </c>
      <c r="M9" s="138" t="n">
        <f aca="false">IF($H9&gt;0,($J9*$A$31),"")</f>
        <v>1431.84</v>
      </c>
      <c r="N9" s="138" t="n">
        <f aca="false">IF(AND($M9&gt;0,$M9&lt;1000),($M9*$S$8*(1+$R$9)),($M9*$S$8*(1+$R$9))-100)</f>
        <v>123.949379937011</v>
      </c>
      <c r="O9" s="13" t="n">
        <f aca="false">IF(KWH&lt;&gt;"",IF((BREAK-CUM_KWH)&gt;0,BREAK-CUM_KWH,0),"")</f>
        <v>618.176</v>
      </c>
      <c r="Q9" s="22" t="s">
        <v>42</v>
      </c>
      <c r="R9" s="30" t="n">
        <v>0.01997</v>
      </c>
      <c r="S9" s="32"/>
      <c r="T9" s="93" t="n">
        <v>9</v>
      </c>
      <c r="V9" s="44"/>
    </row>
    <row r="10" customFormat="false" ht="15" hidden="false" customHeight="false" outlineLevel="0" collapsed="false">
      <c r="A10" s="11" t="n">
        <v>9</v>
      </c>
      <c r="B10" s="11" t="str">
        <f aca="false">TEXT(D10,"ddd")</f>
        <v>Wed</v>
      </c>
      <c r="C10" s="45" t="n">
        <f aca="false">$A$31-$A10</f>
        <v>21</v>
      </c>
      <c r="D10" s="50" t="n">
        <v>44888</v>
      </c>
      <c r="E10" s="50" t="n">
        <v>44889.2584606482</v>
      </c>
      <c r="F10" s="3" t="n">
        <v>78922.391</v>
      </c>
      <c r="G10" s="2" t="n">
        <v>78950.55</v>
      </c>
      <c r="H10" s="2" t="n">
        <v>28.161</v>
      </c>
      <c r="I10" s="2" t="n">
        <f aca="false">IF($H10&gt;0,($I9+$H10),"")</f>
        <v>409.985</v>
      </c>
      <c r="J10" s="13" t="n">
        <f aca="false">IF(H10&gt;0,(I10/A10),"")</f>
        <v>45.5538888888889</v>
      </c>
      <c r="K10" s="15" t="n">
        <f aca="false">($H10*$S$8*(1+$R$9))</f>
        <v>4.40456928735484</v>
      </c>
      <c r="L10" s="16" t="n">
        <f aca="false">IF(H10&gt;0,(L9+K10),"")</f>
        <v>64.1244039372244</v>
      </c>
      <c r="M10" s="138" t="n">
        <f aca="false">IF($H10&gt;0,($J10*$A$31),"")</f>
        <v>1366.61666666667</v>
      </c>
      <c r="N10" s="138" t="n">
        <f aca="false">IF(AND($M10&gt;0,$M10&lt;1000),($M10*$S$8*(1+$R$9)),($M10*$S$8*(1+$R$9))-100)</f>
        <v>113.748013124081</v>
      </c>
      <c r="O10" s="13" t="n">
        <f aca="false">IF(KWH&lt;&gt;"",IF((BREAK-CUM_KWH)&gt;0,BREAK-CUM_KWH,0),"")</f>
        <v>590.015</v>
      </c>
      <c r="Q10" s="22" t="s">
        <v>46</v>
      </c>
      <c r="R10" s="33" t="n">
        <v>100</v>
      </c>
      <c r="S10" s="24" t="n">
        <v>1000</v>
      </c>
      <c r="T10" s="125" t="n">
        <v>10</v>
      </c>
    </row>
    <row r="11" customFormat="false" ht="15" hidden="false" customHeight="false" outlineLevel="0" collapsed="false">
      <c r="A11" s="11" t="n">
        <v>10</v>
      </c>
      <c r="B11" s="11" t="str">
        <f aca="false">TEXT(D11,"ddd")</f>
        <v>Thu</v>
      </c>
      <c r="C11" s="45" t="n">
        <f aca="false">$A$31-$A11</f>
        <v>20</v>
      </c>
      <c r="D11" s="50" t="n">
        <v>44889</v>
      </c>
      <c r="E11" s="50" t="n">
        <v>44890.2615509259</v>
      </c>
      <c r="F11" s="3" t="n">
        <v>78950.55</v>
      </c>
      <c r="G11" s="2" t="n">
        <v>78974.45</v>
      </c>
      <c r="H11" s="2" t="n">
        <v>23.901</v>
      </c>
      <c r="I11" s="2" t="n">
        <f aca="false">IF($H11&gt;0,($I10+$H11),"")</f>
        <v>433.886</v>
      </c>
      <c r="J11" s="13" t="n">
        <f aca="false">IF(H11&gt;0,(I11/A11),"")</f>
        <v>43.3886</v>
      </c>
      <c r="K11" s="15" t="n">
        <f aca="false">($H11*$S$8*(1+$R$9))</f>
        <v>3.73827671379099</v>
      </c>
      <c r="L11" s="16" t="n">
        <f aca="false">IF(H11&gt;0,(L10+K11),"")</f>
        <v>67.8626806510154</v>
      </c>
      <c r="M11" s="138" t="n">
        <f aca="false">IF($H11&gt;0,($J11*$A$31),"")</f>
        <v>1301.658</v>
      </c>
      <c r="N11" s="138" t="n">
        <f aca="false">IF(AND($M11&gt;0,$M11&lt;1000),($M11*$S$8*(1+$R$9)),($M11*$S$8*(1+$R$9))-100)</f>
        <v>103.588041953046</v>
      </c>
      <c r="O11" s="13" t="n">
        <f aca="false">IF(KWH&lt;&gt;"",IF((BREAK-CUM_KWH)&gt;0,BREAK-CUM_KWH,0),"")</f>
        <v>566.114</v>
      </c>
      <c r="Q11" s="22" t="s">
        <v>49</v>
      </c>
      <c r="R11" s="33" t="n">
        <v>295</v>
      </c>
      <c r="S11" s="32"/>
      <c r="T11" s="93" t="n">
        <v>11</v>
      </c>
      <c r="V11" s="29"/>
    </row>
    <row r="12" customFormat="false" ht="15" hidden="false" customHeight="false" outlineLevel="0" collapsed="false">
      <c r="A12" s="11" t="n">
        <v>11</v>
      </c>
      <c r="B12" s="11" t="str">
        <f aca="false">TEXT(D12,"ddd")</f>
        <v>Fri</v>
      </c>
      <c r="C12" s="45" t="n">
        <f aca="false">$A$31-$A12</f>
        <v>19</v>
      </c>
      <c r="D12" s="50" t="n">
        <v>44890</v>
      </c>
      <c r="E12" s="50" t="n">
        <v>44891.2617824074</v>
      </c>
      <c r="F12" s="3" t="n">
        <v>78974.45</v>
      </c>
      <c r="G12" s="2" t="n">
        <v>78993.632</v>
      </c>
      <c r="H12" s="2" t="n">
        <v>19.181</v>
      </c>
      <c r="I12" s="2" t="n">
        <f aca="false">IF($H12&gt;0,($I11+$H12),"")</f>
        <v>453.067</v>
      </c>
      <c r="J12" s="13" t="n">
        <f aca="false">IF(H12&gt;0,(I12/A12),"")</f>
        <v>41.1879090909091</v>
      </c>
      <c r="K12" s="15" t="n">
        <f aca="false">($H12*$S$8*(1+$R$9))</f>
        <v>3.00003705481884</v>
      </c>
      <c r="L12" s="16" t="n">
        <f aca="false">IF(H12&gt;0,(L11+K12),"")</f>
        <v>70.8627177058342</v>
      </c>
      <c r="M12" s="138" t="n">
        <f aca="false">IF($H12&gt;0,($J12*$A$31),"")</f>
        <v>1235.63727272727</v>
      </c>
      <c r="N12" s="138" t="n">
        <f aca="false">IF(AND($M12&gt;0,$M12&lt;1000),($M12*$S$8*(1+$R$9)),($M12*$S$8*(1+$R$9))-100)</f>
        <v>93.2619573795477</v>
      </c>
      <c r="O12" s="13" t="n">
        <f aca="false">IF(KWH&lt;&gt;"",IF((BREAK-CUM_KWH)&gt;0,BREAK-CUM_KWH,0),"")</f>
        <v>546.933</v>
      </c>
      <c r="Q12" s="22" t="s">
        <v>52</v>
      </c>
      <c r="R12" s="141" t="n">
        <f aca="false">INDEX(L2:L32,COUNT(L2:L32))</f>
        <v>159.322910469002</v>
      </c>
      <c r="S12" s="32"/>
      <c r="T12" s="93" t="n">
        <v>12</v>
      </c>
    </row>
    <row r="13" customFormat="false" ht="15" hidden="false" customHeight="false" outlineLevel="0" collapsed="false">
      <c r="A13" s="11" t="n">
        <v>12</v>
      </c>
      <c r="B13" s="11" t="str">
        <f aca="false">TEXT(D13,"ddd")</f>
        <v>Sat</v>
      </c>
      <c r="C13" s="45" t="n">
        <f aca="false">$A$31-$A13</f>
        <v>18</v>
      </c>
      <c r="D13" s="50" t="n">
        <v>44891</v>
      </c>
      <c r="E13" s="50" t="n">
        <v>44892.284525463</v>
      </c>
      <c r="F13" s="3" t="n">
        <v>78993.632</v>
      </c>
      <c r="G13" s="2" t="n">
        <v>79023.824</v>
      </c>
      <c r="H13" s="2" t="n">
        <v>30.195</v>
      </c>
      <c r="I13" s="2" t="n">
        <f aca="false">IF($H13&gt;0,($I12+$H13),"")</f>
        <v>483.262</v>
      </c>
      <c r="J13" s="13" t="n">
        <f aca="false">IF(H13&gt;0,(I13/A13),"")</f>
        <v>40.2718333333333</v>
      </c>
      <c r="K13" s="15" t="n">
        <f aca="false">($H13*$S$8*(1+$R$9))</f>
        <v>4.72270053022547</v>
      </c>
      <c r="L13" s="16" t="n">
        <f aca="false">IF(H13&gt;0,(L12+K13),"")</f>
        <v>75.5854182360597</v>
      </c>
      <c r="M13" s="138" t="n">
        <f aca="false">IF($H13&gt;0,($J13*$A$31),"")</f>
        <v>1208.155</v>
      </c>
      <c r="N13" s="138" t="n">
        <f aca="false">IF(AND($M13&gt;0,$M13&lt;1000),($M13*$S$8*(1+$R$9)),($M13*$S$8*(1+$R$9))-100)</f>
        <v>88.9635455901491</v>
      </c>
      <c r="O13" s="13" t="n">
        <f aca="false">IF(KWH&lt;&gt;"",IF((BREAK-CUM_KWH)&gt;0,BREAK-CUM_KWH,0),"")</f>
        <v>516.738</v>
      </c>
      <c r="Q13" s="22" t="s">
        <v>55</v>
      </c>
      <c r="R13" s="97" t="n">
        <f aca="false">INDEX(I2:I32,COUNT(I2:I32))</f>
        <v>1018.645</v>
      </c>
      <c r="S13" s="32"/>
      <c r="T13" s="125" t="n">
        <v>13</v>
      </c>
    </row>
    <row r="14" customFormat="false" ht="15" hidden="false" customHeight="false" outlineLevel="0" collapsed="false">
      <c r="A14" s="11" t="n">
        <v>13</v>
      </c>
      <c r="B14" s="11" t="str">
        <f aca="false">TEXT(D14,"ddd")</f>
        <v>Sun</v>
      </c>
      <c r="C14" s="45" t="n">
        <f aca="false">$A$31-$A14</f>
        <v>17</v>
      </c>
      <c r="D14" s="50" t="n">
        <v>44892</v>
      </c>
      <c r="E14" s="50" t="n">
        <v>44893.2590972222</v>
      </c>
      <c r="F14" s="3" t="n">
        <v>79023.824</v>
      </c>
      <c r="G14" s="2" t="n">
        <v>79061.053</v>
      </c>
      <c r="H14" s="2" t="n">
        <v>37.224</v>
      </c>
      <c r="I14" s="2" t="n">
        <f aca="false">IF($H14&gt;0,($I13+$H14),"")</f>
        <v>520.486</v>
      </c>
      <c r="J14" s="13" t="n">
        <f aca="false">IF(H14&gt;0,(I14/A14),"")</f>
        <v>40.0373846153846</v>
      </c>
      <c r="K14" s="15" t="n">
        <f aca="false">($H14*$S$8*(1+$R$9))</f>
        <v>5.82208327660583</v>
      </c>
      <c r="L14" s="16" t="n">
        <f aca="false">IF(H14&gt;0,(L13+K14),"")</f>
        <v>81.4075015126655</v>
      </c>
      <c r="M14" s="138" t="n">
        <f aca="false">IF($H14&gt;0,($J14*$A$31),"")</f>
        <v>1201.12153846154</v>
      </c>
      <c r="N14" s="138" t="n">
        <f aca="false">IF(AND($M14&gt;0,$M14&lt;1000),($M14*$S$8*(1+$R$9)),($M14*$S$8*(1+$R$9))-100)</f>
        <v>87.863465029228</v>
      </c>
      <c r="O14" s="13" t="n">
        <f aca="false">IF(KWH&lt;&gt;"",IF((BREAK-CUM_KWH)&gt;0,BREAK-CUM_KWH,0),"")</f>
        <v>479.514</v>
      </c>
      <c r="Q14" s="22" t="s">
        <v>58</v>
      </c>
      <c r="R14" s="99" t="n">
        <f aca="false">INDEX($J2:$J32,COUNT($J2:$J32))</f>
        <v>33.9548333333333</v>
      </c>
      <c r="S14" s="32"/>
      <c r="T14" s="93" t="n">
        <v>14</v>
      </c>
    </row>
    <row r="15" customFormat="false" ht="15" hidden="false" customHeight="false" outlineLevel="0" collapsed="false">
      <c r="A15" s="11" t="n">
        <v>14</v>
      </c>
      <c r="B15" s="11" t="str">
        <f aca="false">TEXT(D15,"ddd")</f>
        <v>Mon</v>
      </c>
      <c r="C15" s="45" t="n">
        <f aca="false">$A$31-$A15</f>
        <v>16</v>
      </c>
      <c r="D15" s="50" t="n">
        <v>44893</v>
      </c>
      <c r="E15" s="50" t="n">
        <v>44894.2641087963</v>
      </c>
      <c r="F15" s="3" t="n">
        <v>79061.053</v>
      </c>
      <c r="G15" s="2" t="n">
        <v>79090.322</v>
      </c>
      <c r="H15" s="2" t="n">
        <v>29.269</v>
      </c>
      <c r="I15" s="2" t="n">
        <f aca="false">IF($H15&gt;0,($I14+$H15),"")</f>
        <v>549.755</v>
      </c>
      <c r="J15" s="13" t="n">
        <f aca="false">IF(H15&gt;0,(I15/A15),"")</f>
        <v>39.2682142857143</v>
      </c>
      <c r="K15" s="15" t="n">
        <f aca="false">($H15*$S$8*(1+$R$9))</f>
        <v>4.57786791916441</v>
      </c>
      <c r="L15" s="16" t="n">
        <f aca="false">IF(H15&gt;0,(L14+K15),"")</f>
        <v>85.9853694318299</v>
      </c>
      <c r="M15" s="138" t="n">
        <f aca="false">IF($H15&gt;0,($J15*$A$31),"")</f>
        <v>1178.04642857143</v>
      </c>
      <c r="N15" s="138" t="n">
        <f aca="false">IF(AND($M15&gt;0,$M15&lt;1000),($M15*$S$8*(1+$R$9)),($M15*$S$8*(1+$R$9))-100)</f>
        <v>84.2543630682069</v>
      </c>
      <c r="O15" s="13" t="n">
        <f aca="false">IF(KWH&lt;&gt;"",IF((BREAK-CUM_KWH)&gt;0,BREAK-CUM_KWH,0),"")</f>
        <v>450.245</v>
      </c>
      <c r="Q15" s="22"/>
      <c r="R15" s="99"/>
      <c r="S15" s="32"/>
      <c r="T15" s="93"/>
    </row>
    <row r="16" customFormat="false" ht="15" hidden="false" customHeight="false" outlineLevel="0" collapsed="false">
      <c r="A16" s="11" t="n">
        <v>15</v>
      </c>
      <c r="B16" s="11" t="str">
        <f aca="false">TEXT(D16,"ddd")</f>
        <v>Tue</v>
      </c>
      <c r="C16" s="45" t="n">
        <f aca="false">$A$31-$A16</f>
        <v>15</v>
      </c>
      <c r="D16" s="50" t="n">
        <v>44894</v>
      </c>
      <c r="E16" s="50" t="n">
        <v>44895.2592939815</v>
      </c>
      <c r="F16" s="3" t="n">
        <v>79090.322</v>
      </c>
      <c r="G16" s="2" t="n">
        <v>79121.188</v>
      </c>
      <c r="H16" s="2" t="n">
        <v>30.867</v>
      </c>
      <c r="I16" s="2" t="n">
        <f aca="false">IF($H16&gt;0,($I15+$H16),"")</f>
        <v>580.622</v>
      </c>
      <c r="J16" s="13" t="n">
        <f aca="false">IF(H16&gt;0,(I16/A16),"")</f>
        <v>38.7081333333333</v>
      </c>
      <c r="K16" s="15" t="n">
        <f aca="false">($H16*$S$8*(1+$R$9))</f>
        <v>4.82780583760456</v>
      </c>
      <c r="L16" s="16" t="n">
        <f aca="false">IF(H16&gt;0,(L15+K16),"")</f>
        <v>90.8131752694344</v>
      </c>
      <c r="M16" s="138" t="n">
        <f aca="false">IF($H16&gt;0,($J16*$A$31),"")</f>
        <v>1161.244</v>
      </c>
      <c r="N16" s="138" t="n">
        <f aca="false">IF(AND($M16&gt;0,$M16&lt;1000),($M16*$S$8*(1+$R$9)),($M16*$S$8*(1+$R$9))-100)</f>
        <v>81.6263505388689</v>
      </c>
      <c r="O16" s="13" t="n">
        <f aca="false">IF(KWH&lt;&gt;"",IF((BREAK-CUM_KWH)&gt;0,BREAK-CUM_KWH,0),"")</f>
        <v>419.378</v>
      </c>
      <c r="Q16" s="40"/>
      <c r="R16" s="100"/>
      <c r="S16" s="101"/>
      <c r="T16" s="125"/>
    </row>
    <row r="17" customFormat="false" ht="15" hidden="false" customHeight="false" outlineLevel="0" collapsed="false">
      <c r="A17" s="11" t="n">
        <v>16</v>
      </c>
      <c r="B17" s="11" t="str">
        <f aca="false">TEXT(D17,"ddd")</f>
        <v>Wed</v>
      </c>
      <c r="C17" s="45" t="n">
        <f aca="false">$A$31-$A17</f>
        <v>14</v>
      </c>
      <c r="D17" s="50" t="n">
        <v>44895</v>
      </c>
      <c r="E17" s="50" t="n">
        <v>44896.2598148148</v>
      </c>
      <c r="F17" s="3" t="n">
        <v>79121.188</v>
      </c>
      <c r="G17" s="2" t="n">
        <v>79158.359</v>
      </c>
      <c r="H17" s="2" t="n">
        <v>37.168</v>
      </c>
      <c r="I17" s="2" t="n">
        <f aca="false">IF($H17&gt;0,($I16+$H17),"")</f>
        <v>617.79</v>
      </c>
      <c r="J17" s="13" t="n">
        <f aca="false">IF(H17&gt;0,(I17/A17),"")</f>
        <v>38.611875</v>
      </c>
      <c r="K17" s="15" t="n">
        <f aca="false">($H17*$S$8*(1+$R$9))</f>
        <v>5.8133245009909</v>
      </c>
      <c r="L17" s="16" t="n">
        <f aca="false">IF(H17&gt;0,(L16+K17),"")</f>
        <v>96.6264997704253</v>
      </c>
      <c r="M17" s="138" t="n">
        <f aca="false">IF($H17&gt;0,($J17*$A$31),"")</f>
        <v>1158.35625</v>
      </c>
      <c r="N17" s="138" t="n">
        <f aca="false">IF(AND($M17&gt;0,$M17&lt;1000),($M17*$S$8*(1+$R$9)),($M17*$S$8*(1+$R$9))-100)</f>
        <v>81.1746870695475</v>
      </c>
      <c r="O17" s="13" t="n">
        <f aca="false">IF(KWH&lt;&gt;"",IF((BREAK-CUM_KWH)&gt;0,BREAK-CUM_KWH,0),"")</f>
        <v>382.21</v>
      </c>
    </row>
    <row r="18" customFormat="false" ht="15" hidden="false" customHeight="false" outlineLevel="0" collapsed="false">
      <c r="A18" s="11" t="n">
        <v>17</v>
      </c>
      <c r="B18" s="11" t="str">
        <f aca="false">TEXT(D18,"ddd")</f>
        <v>Thu</v>
      </c>
      <c r="C18" s="45" t="n">
        <f aca="false">$A$31-$A18</f>
        <v>13</v>
      </c>
      <c r="D18" s="50" t="n">
        <v>44896</v>
      </c>
      <c r="E18" s="50" t="n">
        <v>44897.26</v>
      </c>
      <c r="F18" s="3" t="n">
        <v>79158.359</v>
      </c>
      <c r="G18" s="2" t="n">
        <v>79196.198</v>
      </c>
      <c r="H18" s="2" t="n">
        <v>37.842</v>
      </c>
      <c r="I18" s="2" t="n">
        <f aca="false">IF($H18&gt;0,($I17+$H18),"")</f>
        <v>655.632</v>
      </c>
      <c r="J18" s="13" t="n">
        <f aca="false">IF(H18&gt;0,(I18/A18),"")</f>
        <v>38.5665882352941</v>
      </c>
      <c r="K18" s="15" t="n">
        <f aca="false">($H18*$S$8*(1+$R$9))</f>
        <v>5.91874262178481</v>
      </c>
      <c r="L18" s="16" t="n">
        <f aca="false">IF(H18&gt;0,(L17+K18),"")</f>
        <v>102.54524239221</v>
      </c>
      <c r="M18" s="138" t="n">
        <f aca="false">IF($H18&gt;0,($J18*$A$31),"")</f>
        <v>1156.99764705882</v>
      </c>
      <c r="N18" s="138" t="n">
        <f aca="false">IF(AND($M18&gt;0,$M18&lt;1000),($M18*$S$8*(1+$R$9)),($M18*$S$8*(1+$R$9))-100)</f>
        <v>80.9621924568414</v>
      </c>
      <c r="O18" s="13" t="n">
        <f aca="false">IF(KWH&lt;&gt;"",IF((BREAK-CUM_KWH)&gt;0,BREAK-CUM_KWH,0),"")</f>
        <v>344.368</v>
      </c>
      <c r="Q18" s="29" t="s">
        <v>124</v>
      </c>
    </row>
    <row r="19" customFormat="false" ht="15" hidden="false" customHeight="false" outlineLevel="0" collapsed="false">
      <c r="A19" s="11" t="n">
        <v>18</v>
      </c>
      <c r="B19" s="11" t="str">
        <f aca="false">TEXT(D19,"ddd")</f>
        <v>Fri</v>
      </c>
      <c r="C19" s="45" t="n">
        <f aca="false">$A$31-$A19</f>
        <v>12</v>
      </c>
      <c r="D19" s="50" t="n">
        <v>44897</v>
      </c>
      <c r="E19" s="50" t="n">
        <v>44898.2638657407</v>
      </c>
      <c r="F19" s="3" t="n">
        <v>79196.198</v>
      </c>
      <c r="G19" s="2" t="n">
        <v>79231.788</v>
      </c>
      <c r="H19" s="2" t="n">
        <v>35.592</v>
      </c>
      <c r="I19" s="2" t="n">
        <f aca="false">IF($H19&gt;0,($I18+$H19),"")</f>
        <v>691.224</v>
      </c>
      <c r="J19" s="13" t="n">
        <f aca="false">IF(H19&gt;0,(I19/A19),"")</f>
        <v>38.4013333333333</v>
      </c>
      <c r="K19" s="15" t="n">
        <f aca="false">($H19*$S$8*(1+$R$9))</f>
        <v>5.56682753011376</v>
      </c>
      <c r="L19" s="16" t="n">
        <f aca="false">IF(H19&gt;0,(L18+K19),"")</f>
        <v>108.112069922324</v>
      </c>
      <c r="M19" s="138" t="n">
        <f aca="false">IF($H19&gt;0,($J19*$A$31),"")</f>
        <v>1152.04</v>
      </c>
      <c r="N19" s="138" t="n">
        <f aca="false">IF(AND($M19&gt;0,$M19&lt;1000),($M19*$S$8*(1+$R$9)),($M19*$S$8*(1+$R$9))-100)</f>
        <v>80.1867832038731</v>
      </c>
      <c r="O19" s="13" t="n">
        <f aca="false">IF(KWH&lt;&gt;"",IF((BREAK-CUM_KWH)&gt;0,BREAK-CUM_KWH,0),"")</f>
        <v>308.776</v>
      </c>
    </row>
    <row r="20" customFormat="false" ht="15" hidden="false" customHeight="false" outlineLevel="0" collapsed="false">
      <c r="A20" s="11" t="n">
        <v>19</v>
      </c>
      <c r="B20" s="11" t="str">
        <f aca="false">TEXT(D20,"ddd")</f>
        <v>Sat</v>
      </c>
      <c r="C20" s="45" t="n">
        <f aca="false">$A$31-$A20</f>
        <v>11</v>
      </c>
      <c r="D20" s="50" t="n">
        <v>44898</v>
      </c>
      <c r="E20" s="50" t="n">
        <v>44899.2778587963</v>
      </c>
      <c r="F20" s="3" t="n">
        <v>79231.788</v>
      </c>
      <c r="G20" s="2" t="n">
        <v>79252.33</v>
      </c>
      <c r="H20" s="2" t="n">
        <v>20.545</v>
      </c>
      <c r="I20" s="2" t="n">
        <f aca="false">IF($H20&gt;0,($I19+$H20),"")</f>
        <v>711.769</v>
      </c>
      <c r="J20" s="13" t="n">
        <f aca="false">IF(H20&gt;0,(I20/A20),"")</f>
        <v>37.4615263157895</v>
      </c>
      <c r="K20" s="15" t="n">
        <f aca="false">($H20*$S$8*(1+$R$9))</f>
        <v>3.2133758037252</v>
      </c>
      <c r="L20" s="16" t="n">
        <f aca="false">IF(H20&gt;0,(L19+K20),"")</f>
        <v>111.325445726049</v>
      </c>
      <c r="M20" s="138" t="n">
        <f aca="false">IF($H20&gt;0,($J20*$A$31),"")</f>
        <v>1123.84578947368</v>
      </c>
      <c r="N20" s="138" t="n">
        <f aca="false">IF(AND($M20&gt;0,$M20&lt;1000),($M20*$S$8*(1+$R$9)),($M20*$S$8*(1+$R$9))-100)</f>
        <v>75.7770195674459</v>
      </c>
      <c r="O20" s="13" t="n">
        <f aca="false">IF(KWH&lt;&gt;"",IF((BREAK-CUM_KWH)&gt;0,BREAK-CUM_KWH,0),"")</f>
        <v>288.231</v>
      </c>
    </row>
    <row r="21" customFormat="false" ht="15" hidden="false" customHeight="false" outlineLevel="0" collapsed="false">
      <c r="A21" s="11" t="n">
        <v>20</v>
      </c>
      <c r="B21" s="11" t="str">
        <f aca="false">TEXT(D21,"ddd")</f>
        <v>Sun</v>
      </c>
      <c r="C21" s="45" t="n">
        <f aca="false">$A$31-$A21</f>
        <v>10</v>
      </c>
      <c r="D21" s="50" t="n">
        <v>44899</v>
      </c>
      <c r="E21" s="50" t="n">
        <v>44900.2634490741</v>
      </c>
      <c r="F21" s="3" t="n">
        <v>79252.33</v>
      </c>
      <c r="G21" s="2" t="n">
        <v>79273.306</v>
      </c>
      <c r="H21" s="2" t="n">
        <v>20.977</v>
      </c>
      <c r="I21" s="2" t="n">
        <f aca="false">IF($H21&gt;0,($I20+$H21),"")</f>
        <v>732.746</v>
      </c>
      <c r="J21" s="13" t="n">
        <f aca="false">IF(H21&gt;0,(I21/A21),"")</f>
        <v>36.6373</v>
      </c>
      <c r="K21" s="15" t="n">
        <f aca="false">($H21*$S$8*(1+$R$9))</f>
        <v>3.28094350132604</v>
      </c>
      <c r="L21" s="16" t="n">
        <f aca="false">IF(H21&gt;0,(L20+K21),"")</f>
        <v>114.606389227375</v>
      </c>
      <c r="M21" s="138" t="n">
        <f aca="false">IF($H21&gt;0,($J21*$A$31),"")</f>
        <v>1099.119</v>
      </c>
      <c r="N21" s="138" t="n">
        <f aca="false">IF(AND($M21&gt;0,$M21&lt;1000),($M21*$S$8*(1+$R$9)),($M21*$S$8*(1+$R$9))-100)</f>
        <v>71.9095838410627</v>
      </c>
      <c r="O21" s="13" t="n">
        <f aca="false">IF(KWH&lt;&gt;"",IF((BREAK-CUM_KWH)&gt;0,BREAK-CUM_KWH,0),"")</f>
        <v>267.254</v>
      </c>
    </row>
    <row r="22" customFormat="false" ht="15" hidden="false" customHeight="false" outlineLevel="0" collapsed="false">
      <c r="A22" s="11" t="n">
        <v>21</v>
      </c>
      <c r="B22" s="11" t="str">
        <f aca="false">TEXT(D22,"ddd")</f>
        <v>Mon</v>
      </c>
      <c r="C22" s="45" t="n">
        <f aca="false">$A$31-$A22</f>
        <v>9</v>
      </c>
      <c r="D22" s="50" t="n">
        <v>44900</v>
      </c>
      <c r="E22" s="50" t="n">
        <v>44901.2633680556</v>
      </c>
      <c r="F22" s="3" t="n">
        <v>79273.306</v>
      </c>
      <c r="G22" s="2" t="n">
        <v>79294.492</v>
      </c>
      <c r="H22" s="2" t="n">
        <v>21.19</v>
      </c>
      <c r="I22" s="2" t="n">
        <f aca="false">IF($H22&gt;0,($I21+$H22),"")</f>
        <v>753.936</v>
      </c>
      <c r="J22" s="13" t="n">
        <f aca="false">IF(H22&gt;0,(I22/A22),"")</f>
        <v>35.9017142857143</v>
      </c>
      <c r="K22" s="15" t="n">
        <f aca="false">($H22*$S$8*(1+$R$9))</f>
        <v>3.31425813000423</v>
      </c>
      <c r="L22" s="16" t="n">
        <f aca="false">IF(H22&gt;0,(L21+K22),"")</f>
        <v>117.920647357379</v>
      </c>
      <c r="M22" s="138" t="n">
        <f aca="false">IF($H22&gt;0,($J22*$A$31),"")</f>
        <v>1077.05142857143</v>
      </c>
      <c r="N22" s="138" t="n">
        <f aca="false">IF(AND($M22&gt;0,$M22&lt;1000),($M22*$S$8*(1+$R$9)),($M22*$S$8*(1+$R$9))-100)</f>
        <v>68.4580676533991</v>
      </c>
      <c r="O22" s="13" t="n">
        <f aca="false">IF(KWH&lt;&gt;"",IF((BREAK-CUM_KWH)&gt;0,BREAK-CUM_KWH,0),"")</f>
        <v>246.064</v>
      </c>
      <c r="Q22" s="29" t="s">
        <v>134</v>
      </c>
    </row>
    <row r="23" customFormat="false" ht="15" hidden="false" customHeight="false" outlineLevel="0" collapsed="false">
      <c r="A23" s="11" t="n">
        <v>22</v>
      </c>
      <c r="B23" s="11" t="str">
        <f aca="false">TEXT(D23,"ddd")</f>
        <v>Tue</v>
      </c>
      <c r="C23" s="45" t="n">
        <f aca="false">$A$31-$A23</f>
        <v>8</v>
      </c>
      <c r="D23" s="50" t="n">
        <v>44901</v>
      </c>
      <c r="E23" s="50" t="n">
        <v>44902.266712963</v>
      </c>
      <c r="F23" s="3" t="n">
        <v>79294.492</v>
      </c>
      <c r="G23" s="2" t="n">
        <v>79324.366</v>
      </c>
      <c r="H23" s="2" t="n">
        <v>29.877</v>
      </c>
      <c r="I23" s="2" t="n">
        <f aca="false">IF($H23&gt;0,($I22+$H23),"")</f>
        <v>783.813</v>
      </c>
      <c r="J23" s="13" t="n">
        <f aca="false">IF(H23&gt;0,(I23/A23),"")</f>
        <v>35.6278636363636</v>
      </c>
      <c r="K23" s="15" t="n">
        <f aca="false">($H23*$S$8*(1+$R$9))</f>
        <v>4.67296319726929</v>
      </c>
      <c r="L23" s="16" t="n">
        <f aca="false">IF(H23&gt;0,(L22+K23),"")</f>
        <v>122.593610554649</v>
      </c>
      <c r="M23" s="138" t="n">
        <f aca="false">IF($H23&gt;0,($J23*$A$31),"")</f>
        <v>1068.83590909091</v>
      </c>
      <c r="N23" s="138" t="n">
        <f aca="false">IF(AND($M23&gt;0,$M23&lt;1000),($M23*$S$8*(1+$R$9)),($M23*$S$8*(1+$R$9))-100)</f>
        <v>67.1731053017936</v>
      </c>
      <c r="O23" s="13" t="n">
        <f aca="false">IF(KWH&lt;&gt;"",IF((BREAK-CUM_KWH)&gt;0,BREAK-CUM_KWH,0),"")</f>
        <v>216.187</v>
      </c>
    </row>
    <row r="24" customFormat="false" ht="15" hidden="false" customHeight="false" outlineLevel="0" collapsed="false">
      <c r="A24" s="11" t="n">
        <v>23</v>
      </c>
      <c r="B24" s="11" t="str">
        <f aca="false">TEXT(D24,"ddd")</f>
        <v>Wed</v>
      </c>
      <c r="C24" s="45" t="n">
        <f aca="false">$A$31-$A24</f>
        <v>7</v>
      </c>
      <c r="D24" s="50" t="n">
        <v>44902</v>
      </c>
      <c r="E24" s="50" t="n">
        <v>44903.2572916667</v>
      </c>
      <c r="F24" s="3" t="n">
        <v>79324.366</v>
      </c>
      <c r="G24" s="2" t="n">
        <v>79349.19</v>
      </c>
      <c r="H24" s="2" t="n">
        <v>24.825</v>
      </c>
      <c r="I24" s="2" t="n">
        <f aca="false">IF($H24&gt;0,($I23+$H24),"")</f>
        <v>808.638</v>
      </c>
      <c r="J24" s="13" t="n">
        <f aca="false">IF(H24&gt;0,(I24/A24),"")</f>
        <v>35.1581739130435</v>
      </c>
      <c r="K24" s="15" t="n">
        <f aca="false">($H24*$S$8*(1+$R$9))</f>
        <v>3.88279651143723</v>
      </c>
      <c r="L24" s="16" t="n">
        <f aca="false">IF(H24&gt;0,(L23+K24),"")</f>
        <v>126.476407066086</v>
      </c>
      <c r="M24" s="138" t="n">
        <f aca="false">IF($H24&gt;0,($J24*$A$31),"")</f>
        <v>1054.7452173913</v>
      </c>
      <c r="N24" s="138" t="n">
        <f aca="false">IF(AND($M24&gt;0,$M24&lt;1000),($M24*$S$8*(1+$R$9)),($M24*$S$8*(1+$R$9))-100)</f>
        <v>64.9692266079381</v>
      </c>
      <c r="O24" s="13" t="n">
        <f aca="false">IF(KWH&lt;&gt;"",IF((BREAK-CUM_KWH)&gt;0,BREAK-CUM_KWH,0),"")</f>
        <v>191.362</v>
      </c>
    </row>
    <row r="25" customFormat="false" ht="15" hidden="false" customHeight="false" outlineLevel="0" collapsed="false">
      <c r="A25" s="11" t="n">
        <v>24</v>
      </c>
      <c r="B25" s="11" t="str">
        <f aca="false">TEXT(D25,"ddd")</f>
        <v>Thu</v>
      </c>
      <c r="C25" s="45" t="n">
        <f aca="false">$A$31-$A25</f>
        <v>6</v>
      </c>
      <c r="D25" s="50" t="n">
        <v>44903</v>
      </c>
      <c r="E25" s="50" t="n">
        <v>44904.2593634259</v>
      </c>
      <c r="F25" s="3" t="n">
        <v>79349.19</v>
      </c>
      <c r="G25" s="2" t="n">
        <v>79376.711</v>
      </c>
      <c r="H25" s="2" t="n">
        <v>27.519</v>
      </c>
      <c r="I25" s="2" t="n">
        <f aca="false">IF($H25&gt;0,($I24+$H25),"")</f>
        <v>836.157</v>
      </c>
      <c r="J25" s="13" t="n">
        <f aca="false">IF(H25&gt;0,(I25/A25),"")</f>
        <v>34.839875</v>
      </c>
      <c r="K25" s="15" t="n">
        <f aca="false">($H25*$S$8*(1+$R$9))</f>
        <v>4.30415618119804</v>
      </c>
      <c r="L25" s="16" t="n">
        <f aca="false">IF(H25&gt;0,(L24+K25),"")</f>
        <v>130.780563247284</v>
      </c>
      <c r="M25" s="138" t="n">
        <f aca="false">IF($H25&gt;0,($J25*$A$31),"")</f>
        <v>1045.19625</v>
      </c>
      <c r="N25" s="138" t="n">
        <f aca="false">IF(AND($M25&gt;0,$M25&lt;1000),($M25*$S$8*(1+$R$9)),($M25*$S$8*(1+$R$9))-100)</f>
        <v>63.4757040591049</v>
      </c>
      <c r="O25" s="13" t="n">
        <f aca="false">IF(KWH&lt;&gt;"",IF((BREAK-CUM_KWH)&gt;0,BREAK-CUM_KWH,0),"")</f>
        <v>163.843</v>
      </c>
      <c r="Q25" s="29" t="s">
        <v>135</v>
      </c>
    </row>
    <row r="26" customFormat="false" ht="15" hidden="false" customHeight="false" outlineLevel="0" collapsed="false">
      <c r="A26" s="11" t="n">
        <v>25</v>
      </c>
      <c r="B26" s="11" t="str">
        <f aca="false">TEXT(D26,"ddd")</f>
        <v>Fri</v>
      </c>
      <c r="C26" s="45" t="n">
        <f aca="false">$A$31-$A26</f>
        <v>5</v>
      </c>
      <c r="D26" s="50" t="n">
        <v>44904</v>
      </c>
      <c r="E26" s="50" t="n">
        <v>44905.2590625</v>
      </c>
      <c r="F26" s="3" t="n">
        <v>79376.711</v>
      </c>
      <c r="G26" s="2" t="n">
        <v>79409.644</v>
      </c>
      <c r="H26" s="2" t="n">
        <v>32.935</v>
      </c>
      <c r="I26" s="2" t="n">
        <f aca="false">IF($H26&gt;0,($I25+$H26),"")</f>
        <v>869.092</v>
      </c>
      <c r="J26" s="13" t="n">
        <f aca="false">IF(H26&gt;0,(I26/A26),"")</f>
        <v>34.76368</v>
      </c>
      <c r="K26" s="15" t="n">
        <f aca="false">($H26*$S$8*(1+$R$9))</f>
        <v>5.1512549085271</v>
      </c>
      <c r="L26" s="16" t="n">
        <f aca="false">IF(H26&gt;0,(L25+K26),"")</f>
        <v>135.931818155811</v>
      </c>
      <c r="M26" s="138" t="n">
        <f aca="false">IF($H26&gt;0,($J26*$A$31),"")</f>
        <v>1042.9104</v>
      </c>
      <c r="N26" s="138" t="n">
        <f aca="false">IF(AND($M26&gt;0,$M26&lt;1000),($M26*$S$8*(1+$R$9)),($M26*$S$8*(1+$R$9))-100)</f>
        <v>63.1181817869732</v>
      </c>
      <c r="O26" s="13" t="n">
        <f aca="false">IF(KWH&lt;&gt;"",IF((BREAK-CUM_KWH)&gt;0,BREAK-CUM_KWH,0),"")</f>
        <v>130.908</v>
      </c>
    </row>
    <row r="27" customFormat="false" ht="15" hidden="false" customHeight="false" outlineLevel="0" collapsed="false">
      <c r="A27" s="11" t="n">
        <v>26</v>
      </c>
      <c r="B27" s="11" t="str">
        <f aca="false">TEXT(D27,"ddd")</f>
        <v>Sat</v>
      </c>
      <c r="C27" s="45" t="n">
        <f aca="false">$A$31-$A27</f>
        <v>4</v>
      </c>
      <c r="D27" s="50" t="n">
        <v>44905</v>
      </c>
      <c r="E27" s="50" t="n">
        <v>44906.2879398148</v>
      </c>
      <c r="F27" s="3" t="n">
        <v>79409.644</v>
      </c>
      <c r="G27" s="2" t="n">
        <v>79437.257</v>
      </c>
      <c r="H27" s="2" t="n">
        <v>27.615</v>
      </c>
      <c r="I27" s="2" t="n">
        <f aca="false">IF($H27&gt;0,($I26+$H27),"")</f>
        <v>896.707</v>
      </c>
      <c r="J27" s="13" t="n">
        <f aca="false">IF(H27&gt;0,(I27/A27),"")</f>
        <v>34.4887307692308</v>
      </c>
      <c r="K27" s="15" t="n">
        <f aca="false">($H27*$S$8*(1+$R$9))</f>
        <v>4.31917122510934</v>
      </c>
      <c r="L27" s="16" t="n">
        <f aca="false">IF(H27&gt;0,(L26+K27),"")</f>
        <v>140.25098938092</v>
      </c>
      <c r="M27" s="138" t="n">
        <f aca="false">IF($H27&gt;0,($J27*$A$31),"")</f>
        <v>1034.66192307692</v>
      </c>
      <c r="N27" s="138" t="n">
        <f aca="false">IF(AND($M27&gt;0,$M27&lt;1000),($M27*$S$8*(1+$R$9)),($M27*$S$8*(1+$R$9))-100)</f>
        <v>61.8280646702927</v>
      </c>
      <c r="O27" s="13" t="n">
        <f aca="false">IF(KWH&lt;&gt;"",IF((BREAK-CUM_KWH)&gt;0,BREAK-CUM_KWH,0),"")</f>
        <v>103.293</v>
      </c>
    </row>
    <row r="28" customFormat="false" ht="15" hidden="false" customHeight="false" outlineLevel="0" collapsed="false">
      <c r="A28" s="11" t="n">
        <v>27</v>
      </c>
      <c r="B28" s="11" t="str">
        <f aca="false">TEXT(D28,"ddd")</f>
        <v>Sun</v>
      </c>
      <c r="C28" s="45" t="n">
        <f aca="false">$A$31-$A28</f>
        <v>3</v>
      </c>
      <c r="D28" s="50" t="n">
        <v>44906</v>
      </c>
      <c r="E28" s="50" t="n">
        <v>44907.2590393519</v>
      </c>
      <c r="F28" s="3" t="n">
        <v>79437.257</v>
      </c>
      <c r="G28" s="2" t="n">
        <v>79463.597</v>
      </c>
      <c r="H28" s="2" t="n">
        <v>26.343</v>
      </c>
      <c r="I28" s="2" t="n">
        <f aca="false">IF($H28&gt;0,($I27+$H28),"")</f>
        <v>923.05</v>
      </c>
      <c r="J28" s="13" t="n">
        <f aca="false">IF(H28&gt;0,(I28/A28),"")</f>
        <v>34.187037037037</v>
      </c>
      <c r="K28" s="15" t="n">
        <f aca="false">($H28*$S$8*(1+$R$9))</f>
        <v>4.12022189328464</v>
      </c>
      <c r="L28" s="16" t="n">
        <f aca="false">IF(H28&gt;0,(L27+K28),"")</f>
        <v>144.371211274205</v>
      </c>
      <c r="M28" s="138" t="n">
        <f aca="false">IF($H28&gt;0,($J28*$A$31),"")</f>
        <v>1025.61111111111</v>
      </c>
      <c r="N28" s="138" t="n">
        <f aca="false">IF(AND($M28&gt;0,$M28&lt;1000),($M28*$S$8*(1+$R$9)),($M28*$S$8*(1+$R$9))-100)</f>
        <v>60.4124569713389</v>
      </c>
      <c r="O28" s="13" t="n">
        <f aca="false">IF(KWH&lt;&gt;"",IF((BREAK-CUM_KWH)&gt;0,BREAK-CUM_KWH,0),"")</f>
        <v>76.9500000000002</v>
      </c>
      <c r="Q28" s="29"/>
    </row>
    <row r="29" customFormat="false" ht="15" hidden="false" customHeight="false" outlineLevel="0" collapsed="false">
      <c r="A29" s="11" t="n">
        <v>28</v>
      </c>
      <c r="B29" s="11" t="str">
        <f aca="false">TEXT(D29,"ddd")</f>
        <v>Mon</v>
      </c>
      <c r="C29" s="45" t="n">
        <f aca="false">$A$31-$A29</f>
        <v>2</v>
      </c>
      <c r="D29" s="50" t="n">
        <v>44907</v>
      </c>
      <c r="E29" s="50" t="n">
        <v>44908.2592013889</v>
      </c>
      <c r="F29" s="3" t="n">
        <v>79463.597</v>
      </c>
      <c r="G29" s="2" t="n">
        <v>79499.92</v>
      </c>
      <c r="H29" s="2" t="n">
        <v>36.324</v>
      </c>
      <c r="I29" s="2" t="n">
        <f aca="false">IF($H29&gt;0,($I28+$H29),"")</f>
        <v>959.374</v>
      </c>
      <c r="J29" s="13" t="n">
        <f aca="false">IF(H29&gt;0,(I29/A29),"")</f>
        <v>34.2633571428571</v>
      </c>
      <c r="K29" s="15" t="n">
        <f aca="false">($H29*$S$8*(1+$R$9))</f>
        <v>5.68131723993741</v>
      </c>
      <c r="L29" s="16" t="n">
        <f aca="false">IF(H29&gt;0,(L28+K29),"")</f>
        <v>150.052528514142</v>
      </c>
      <c r="M29" s="138" t="n">
        <f aca="false">IF($H29&gt;0,($J29*$A$31),"")</f>
        <v>1027.90071428571</v>
      </c>
      <c r="N29" s="138" t="n">
        <f aca="false">IF(AND($M29&gt;0,$M29&lt;1000),($M29*$S$8*(1+$R$9)),($M29*$S$8*(1+$R$9))-100)</f>
        <v>60.7705662651526</v>
      </c>
      <c r="O29" s="13" t="n">
        <f aca="false">IF(KWH&lt;&gt;"",IF((BREAK-CUM_KWH)&gt;0,BREAK-CUM_KWH,0),"")</f>
        <v>40.6260000000002</v>
      </c>
    </row>
    <row r="30" customFormat="false" ht="15" hidden="false" customHeight="false" outlineLevel="0" collapsed="false">
      <c r="A30" s="11" t="n">
        <v>29</v>
      </c>
      <c r="B30" s="11" t="str">
        <f aca="false">TEXT(D30,"ddd")</f>
        <v>Tue</v>
      </c>
      <c r="C30" s="45" t="n">
        <f aca="false">$A$31-$A30</f>
        <v>1</v>
      </c>
      <c r="D30" s="50" t="n">
        <v>44908</v>
      </c>
      <c r="E30" s="50" t="n">
        <v>44909.2757407407</v>
      </c>
      <c r="F30" s="3" t="n">
        <v>79499.92</v>
      </c>
      <c r="G30" s="2" t="n">
        <v>79533.272</v>
      </c>
      <c r="H30" s="2" t="n">
        <v>33.356</v>
      </c>
      <c r="I30" s="2" t="n">
        <f aca="false">IF($H30&gt;0,($I29+$H30),"")</f>
        <v>992.73</v>
      </c>
      <c r="J30" s="13" t="n">
        <f aca="false">IF(H30&gt;0,(I30/A30),"")</f>
        <v>34.2320689655172</v>
      </c>
      <c r="K30" s="15" t="n">
        <f aca="false">($H30*$S$8*(1+$R$9))</f>
        <v>5.21710213234644</v>
      </c>
      <c r="L30" s="16" t="n">
        <f aca="false">IF(H30&gt;0,(L29+K30),"")</f>
        <v>155.269630646489</v>
      </c>
      <c r="M30" s="138" t="n">
        <f aca="false">IF($H30&gt;0,($J30*$A$31),"")</f>
        <v>1026.96206896552</v>
      </c>
      <c r="N30" s="138" t="n">
        <f aca="false">IF(AND($M30&gt;0,$M30&lt;1000),($M30*$S$8*(1+$R$9)),($M30*$S$8*(1+$R$9))-100)</f>
        <v>60.6237558411953</v>
      </c>
      <c r="O30" s="13" t="n">
        <f aca="false">IF(KWH&lt;&gt;"",IF((BREAK-CUM_KWH)&gt;0,BREAK-CUM_KWH,0),"")</f>
        <v>7.27000000000021</v>
      </c>
    </row>
    <row r="31" customFormat="false" ht="15" hidden="false" customHeight="false" outlineLevel="0" collapsed="false">
      <c r="A31" s="11" t="n">
        <v>30</v>
      </c>
      <c r="B31" s="11" t="str">
        <f aca="false">TEXT(D31,"ddd")</f>
        <v>Wed</v>
      </c>
      <c r="C31" s="45" t="n">
        <f aca="false">$A$31-$A31</f>
        <v>0</v>
      </c>
      <c r="D31" s="50" t="n">
        <v>44909</v>
      </c>
      <c r="E31" s="50" t="n">
        <v>44910.2631481482</v>
      </c>
      <c r="F31" s="3" t="n">
        <v>79533.272</v>
      </c>
      <c r="G31" s="2" t="n">
        <v>79559.185</v>
      </c>
      <c r="H31" s="2" t="n">
        <v>25.915</v>
      </c>
      <c r="I31" s="2" t="n">
        <f aca="false">IF($H31&gt;0,($I30+$H31),"")</f>
        <v>1018.645</v>
      </c>
      <c r="J31" s="13" t="n">
        <f aca="false">IF(H31&gt;0,(I31/A31),"")</f>
        <v>33.9548333333333</v>
      </c>
      <c r="K31" s="15" t="n">
        <f aca="false">($H31*$S$8*(1+$R$9))</f>
        <v>4.05327982251343</v>
      </c>
      <c r="L31" s="16" t="n">
        <f aca="false">IF(H31&gt;0,(L30+K31),"")</f>
        <v>159.322910469002</v>
      </c>
      <c r="M31" s="138" t="e">
        <f aca="false">IF(PROJ_USAGE&lt;&gt;"",IF(PROJ_USAGE&gt;1000,((RATES*PROJ_USAGE)+TDU)*1+TAX-(CREDIT),(RATES*PROJ_USAGE)+TDU)*1+TAX,"")</f>
        <v>#VALUE!</v>
      </c>
      <c r="N31" s="138" t="e">
        <f aca="false">IF(AND($M31&gt;0,$M31&lt;1000),($M31*$S$8*(1+$R$9)),($M31*$S$8*(1+$R$9))-100)</f>
        <v>#VALUE!</v>
      </c>
      <c r="O31" s="13" t="n">
        <f aca="false">IF(KWH&lt;&gt;"",IF((BREAK-CUM_KWH)&gt;0,BREAK-CUM_KWH,0),"")</f>
        <v>0</v>
      </c>
    </row>
    <row r="32" customFormat="false" ht="15" hidden="false" customHeight="false" outlineLevel="0" collapsed="false">
      <c r="A32" s="4"/>
      <c r="B32" s="11"/>
      <c r="D32" s="50"/>
      <c r="E32" s="50"/>
      <c r="H32" s="2"/>
      <c r="I32" s="2"/>
      <c r="J32" s="13"/>
      <c r="K32" s="16" t="n">
        <f aca="false">($H32*$S$8*(1+$R$9))</f>
        <v>0</v>
      </c>
      <c r="L32" s="16" t="n">
        <f aca="false">IF(H31&gt;0,(L31+K32),"")</f>
        <v>159.322910469002</v>
      </c>
      <c r="M32" s="138"/>
      <c r="N32" s="138" t="n">
        <f aca="false">IF(AND($M32&gt;0,$M32&lt;1000),($M32*$S$8*(1+$R$9)),($M32*$S$8*(1+$R$9))-100)</f>
        <v>-100</v>
      </c>
      <c r="O32" s="13"/>
    </row>
    <row r="33" customFormat="false" ht="15" hidden="false" customHeight="false" outlineLevel="0" collapsed="false">
      <c r="H33" s="118" t="n">
        <f aca="false">SUM(H2:H32)</f>
        <v>1018.645</v>
      </c>
      <c r="AA33" s="29" t="s">
        <v>136</v>
      </c>
    </row>
    <row r="35" customFormat="false" ht="15" hidden="false" customHeight="false" outlineLevel="0" collapsed="false">
      <c r="D35" s="119" t="n">
        <v>44910</v>
      </c>
      <c r="E35" s="119" t="n">
        <v>44911.2588310185</v>
      </c>
      <c r="F35" s="2" t="n">
        <v>79559.185</v>
      </c>
      <c r="G35" s="2" t="n">
        <v>79591.004</v>
      </c>
      <c r="H35" s="0" t="n">
        <v>31.819</v>
      </c>
    </row>
  </sheetData>
  <conditionalFormatting sqref="K1:O1">
    <cfRule type="expression" priority="2" aboveAverage="0" equalAverage="0" bottom="0" percent="0" rank="0" text="" dxfId="40">
      <formula>" =CELL(“Protect”,A1)=1"</formula>
    </cfRule>
    <cfRule type="expression" priority="3" aboveAverage="0" equalAverage="0" bottom="0" percent="0" rank="0" text="" dxfId="1">
      <formula>" =CELL(“Protect”,A1)=1"</formula>
    </cfRule>
  </conditionalFormatting>
  <conditionalFormatting sqref="A1:I1">
    <cfRule type="expression" priority="4" aboveAverage="0" equalAverage="0" bottom="0" percent="0" rank="0" text="" dxfId="41">
      <formula>" =CELL(“Protect”,A1)=1"</formula>
    </cfRule>
    <cfRule type="expression" priority="5" aboveAverage="0" equalAverage="0" bottom="0" percent="0" rank="0" text="" dxfId="1">
      <formula>" =CELL(“Protect”,A1)=1"</formula>
    </cfRule>
  </conditionalFormatting>
  <conditionalFormatting sqref="W1">
    <cfRule type="expression" priority="6" aboveAverage="0" equalAverage="0" bottom="0" percent="0" rank="0" text="" dxfId="42">
      <formula>" =CELL(“Protect”,A1)=1"</formula>
    </cfRule>
    <cfRule type="expression" priority="7" aboveAverage="0" equalAverage="0" bottom="0" percent="0" rank="0" text="" dxfId="1">
      <formula>" =CELL(“Protect”,A1)=1"</formula>
    </cfRule>
  </conditionalFormatting>
  <conditionalFormatting sqref="Q2:Q16">
    <cfRule type="expression" priority="8" aboveAverage="0" equalAverage="0" bottom="0" percent="0" rank="0" text="" dxfId="43">
      <formula>" =CELL(“Protect”,A1)=1"</formula>
    </cfRule>
    <cfRule type="expression" priority="9"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 activeCellId="0" sqref="D2"/>
    </sheetView>
  </sheetViews>
  <sheetFormatPr defaultColWidth="8.453125" defaultRowHeight="15" zeroHeight="false" outlineLevelRow="0" outlineLevelCol="0"/>
  <cols>
    <col collapsed="false" customWidth="true" hidden="false" outlineLevel="0" max="1" min="1" style="0" width="6.14"/>
    <col collapsed="false" customWidth="true" hidden="true" outlineLevel="0" max="2" min="2" style="0" width="6.29"/>
    <col collapsed="false" customWidth="true" hidden="false" outlineLevel="0" max="3" min="3" style="0" width="6.29"/>
    <col collapsed="false" customWidth="true" hidden="false" outlineLevel="0" max="5" min="4" style="1" width="10.71"/>
    <col collapsed="false" customWidth="true" hidden="false" outlineLevel="0" max="7" min="6" style="2" width="9.14"/>
    <col collapsed="false" customWidth="true" hidden="false" outlineLevel="0" max="8" min="8" style="3" width="9.42"/>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6" min="16" style="0" width="12.71"/>
    <col collapsed="false" customWidth="true" hidden="false" outlineLevel="0" max="17" min="17" style="0" width="28.57"/>
    <col collapsed="false" customWidth="true" hidden="false" outlineLevel="0" max="19" min="19" style="0" width="10.71"/>
    <col collapsed="false" customWidth="true" hidden="false" outlineLevel="0" max="23" min="23"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14</v>
      </c>
      <c r="Q1" s="6" t="s">
        <v>15</v>
      </c>
      <c r="S1" s="10"/>
    </row>
    <row r="2" customFormat="false" ht="15" hidden="false" customHeight="false" outlineLevel="0" collapsed="false">
      <c r="A2" s="11" t="n">
        <v>1</v>
      </c>
      <c r="B2" s="11" t="e">
        <f aca="false">TEXT(#REF!,"ddd")</f>
        <v>#REF!</v>
      </c>
      <c r="C2" s="11" t="n">
        <v>32</v>
      </c>
      <c r="D2" s="12" t="n">
        <v>45337</v>
      </c>
      <c r="E2" s="1" t="n">
        <v>45338.2580208333</v>
      </c>
      <c r="F2" s="2" t="n">
        <v>97293.47</v>
      </c>
      <c r="G2" s="2" t="n">
        <v>97320.619</v>
      </c>
      <c r="H2" s="3" t="n">
        <v>27.148</v>
      </c>
      <c r="I2" s="13" t="n">
        <f aca="false">(H2)</f>
        <v>27.148</v>
      </c>
      <c r="J2" s="14" t="n">
        <f aca="false">(I2)</f>
        <v>27.148</v>
      </c>
      <c r="K2" s="15" t="n">
        <f aca="false">IF($H2&gt;0,(($H2*$S$7)+$S$8)*(1+$R$9),"")</f>
        <v>6.00044769681336</v>
      </c>
      <c r="L2" s="16" t="n">
        <f aca="false">IF(I2 &gt;1000,($K2-100),K2)</f>
        <v>6.00044769681336</v>
      </c>
      <c r="M2" s="17" t="n">
        <f aca="false">IF($J2&lt;&gt;"",$J2*(LOOKUP(1E+307,$A:$A)-$A$2),"")</f>
        <v>841.588</v>
      </c>
      <c r="N2" s="17" t="n">
        <f aca="false">IF($M2&lt;&gt;"",IF($M2&gt;1000,(($M2*$S$7)+($A2*$S$8))*(1+$R$9)-100,($M2*$S$7)+($A2*$R$9)*(1+$R$9)),"")</f>
        <v>178.0212803289</v>
      </c>
      <c r="O2" s="18" t="n">
        <f aca="false">IF(I2&gt;=1000,"",(1000-I2))</f>
        <v>972.852</v>
      </c>
      <c r="Q2" s="19" t="s">
        <v>18</v>
      </c>
      <c r="R2" s="20" t="s">
        <v>19</v>
      </c>
      <c r="S2" s="21"/>
    </row>
    <row r="3" customFormat="false" ht="15" hidden="false" customHeight="false" outlineLevel="0" collapsed="false">
      <c r="A3" s="11" t="n">
        <v>2</v>
      </c>
      <c r="B3" s="11" t="str">
        <f aca="false">TEXT($D3,"ddd")</f>
        <v>Fri</v>
      </c>
      <c r="C3" s="11" t="n">
        <v>31</v>
      </c>
      <c r="D3" s="1" t="n">
        <v>45338</v>
      </c>
      <c r="E3" s="1" t="n">
        <v>45339.2570486111</v>
      </c>
      <c r="F3" s="2" t="n">
        <v>97320.619</v>
      </c>
      <c r="G3" s="2" t="n">
        <v>97346.112</v>
      </c>
      <c r="H3" s="3" t="n">
        <v>25.494</v>
      </c>
      <c r="I3" s="13" t="n">
        <f aca="false">IF(H3&gt;0,(H3+J2),"")</f>
        <v>52.642</v>
      </c>
      <c r="J3" s="14" t="n">
        <f aca="false">IF($H3&gt;0,($I3/$A3),"")</f>
        <v>26.321</v>
      </c>
      <c r="K3" s="15" t="n">
        <f aca="false">IF($H3&gt;0,(($H3*$S$7)+$S$8)*(1+$R$9),"")</f>
        <v>5.64363064926108</v>
      </c>
      <c r="L3" s="16" t="n">
        <f aca="false">IF($H3&gt;0,($K3+$L2),"")</f>
        <v>11.6440783460744</v>
      </c>
      <c r="M3" s="17" t="n">
        <f aca="false">IF($J3&lt;&gt;"",$J3*(LOOKUP(1E+307,$A:$A)-$A$2),"")</f>
        <v>815.951</v>
      </c>
      <c r="N3" s="17" t="n">
        <f aca="false">IF($M3&lt;&gt;"",IF($M3&gt;1000,(($M3*$S$7)+($A3*$S$8))*(1+$R$9)-100,($M3*$S$7)+($A3*$R$9)*(1+$R$9)),"")</f>
        <v>172.6192698078</v>
      </c>
      <c r="O3" s="18" t="n">
        <f aca="false">IF(I3&gt;=1000,"",(1000-I3))</f>
        <v>947.358</v>
      </c>
      <c r="Q3" s="22" t="s">
        <v>22</v>
      </c>
      <c r="R3" s="23" t="n">
        <f aca="false">($F$2+1000)</f>
        <v>98293.47</v>
      </c>
      <c r="S3" s="24"/>
    </row>
    <row r="4" customFormat="false" ht="15" hidden="false" customHeight="false" outlineLevel="0" collapsed="false">
      <c r="A4" s="11" t="n">
        <v>3</v>
      </c>
      <c r="B4" s="11" t="str">
        <f aca="false">TEXT($D4,"ddd")</f>
        <v>Sat</v>
      </c>
      <c r="C4" s="11" t="n">
        <v>30</v>
      </c>
      <c r="D4" s="1" t="n">
        <v>45339</v>
      </c>
      <c r="E4" s="1" t="n">
        <v>45340.3165740741</v>
      </c>
      <c r="F4" s="2" t="n">
        <v>97346.112</v>
      </c>
      <c r="G4" s="2" t="n">
        <v>97387.117</v>
      </c>
      <c r="H4" s="3" t="n">
        <v>41.008</v>
      </c>
      <c r="I4" s="13" t="n">
        <f aca="false">IF(H4&gt;0,(H4+I3),"")</f>
        <v>93.65</v>
      </c>
      <c r="J4" s="14" t="n">
        <f aca="false">IF($H4&gt;0,($I4/$A4),"")</f>
        <v>31.2166666666667</v>
      </c>
      <c r="K4" s="15" t="n">
        <f aca="false">IF($H4&gt;0,(($H4*$S$7)+$S$8)*(1+$R$9),"")</f>
        <v>8.99046237581856</v>
      </c>
      <c r="L4" s="16" t="n">
        <f aca="false">IF($H4&gt;0,($K4+$L3),"")</f>
        <v>20.634540721893</v>
      </c>
      <c r="M4" s="17" t="n">
        <f aca="false">IF($J4&lt;&gt;"",$J4*(LOOKUP(1E+307,$A:$A)-$A$2),"")</f>
        <v>967.716666666667</v>
      </c>
      <c r="N4" s="17" t="n">
        <f aca="false">IF($M4&lt;&gt;"",IF($M4&gt;1000,(($M4*$S$7)+($A4*$S$8))*(1+$R$9)-100,($M4*$S$7)+($A4*$R$9)*(1+$R$9)),"")</f>
        <v>204.7389877027</v>
      </c>
      <c r="O4" s="18" t="n">
        <f aca="false">IF(I4&gt;=1000,"",(1000-I4))</f>
        <v>906.35</v>
      </c>
      <c r="Q4" s="22" t="s">
        <v>25</v>
      </c>
      <c r="R4" s="25"/>
      <c r="S4" s="26" t="n">
        <v>0.001667</v>
      </c>
    </row>
    <row r="5" customFormat="false" ht="15" hidden="false" customHeight="false" outlineLevel="0" collapsed="false">
      <c r="A5" s="11" t="n">
        <v>4</v>
      </c>
      <c r="B5" s="11" t="str">
        <f aca="false">TEXT($D5,"ddd")</f>
        <v>Sun</v>
      </c>
      <c r="C5" s="11" t="n">
        <f aca="false">$A$31-$A3</f>
        <v>28</v>
      </c>
      <c r="D5" s="1" t="n">
        <v>45340</v>
      </c>
      <c r="E5" s="1" t="n">
        <v>45341.2573148148</v>
      </c>
      <c r="F5" s="2" t="n">
        <v>97387.117</v>
      </c>
      <c r="G5" s="2" t="n">
        <v>97438.667</v>
      </c>
      <c r="H5" s="3" t="n">
        <v>51.55</v>
      </c>
      <c r="I5" s="13" t="n">
        <f aca="false">IF(H5&gt;0,(H5+I4),"")</f>
        <v>145.2</v>
      </c>
      <c r="J5" s="14" t="n">
        <f aca="false">IF($H5&gt;0,($I5/$A5),"")</f>
        <v>36.3</v>
      </c>
      <c r="K5" s="15" t="n">
        <f aca="false">IF($H5&gt;0,(($H5*$S$7)+$S$8)*(1+$R$9),"")</f>
        <v>11.264685661971</v>
      </c>
      <c r="L5" s="16" t="n">
        <f aca="false">IF($H5&gt;0,($K5+$L4),"")</f>
        <v>31.899226383864</v>
      </c>
      <c r="M5" s="17" t="n">
        <f aca="false">IF($J5&lt;&gt;"",$J5*(LOOKUP(1E+307,$A:$A)-$A$2),"")</f>
        <v>1125.3</v>
      </c>
      <c r="N5" s="17" t="n">
        <f aca="false">IF($M5&lt;&gt;"",IF($M5&gt;1000,(($M5*$S$7)+($A5*$S$8))*(1+$R$9)-100,($M5*$S$7)+($A5*$R$9)*(1+$R$9)),"")</f>
        <v>143.335978684946</v>
      </c>
      <c r="O5" s="18" t="n">
        <f aca="false">IF(I5&gt;=1000,"",(1000-I5))</f>
        <v>854.8</v>
      </c>
      <c r="P5" s="27"/>
      <c r="Q5" s="22" t="s">
        <v>28</v>
      </c>
      <c r="R5" s="25"/>
      <c r="S5" s="26" t="n">
        <v>0.050339</v>
      </c>
    </row>
    <row r="6" customFormat="false" ht="15" hidden="false" customHeight="false" outlineLevel="0" collapsed="false">
      <c r="A6" s="11" t="n">
        <v>5</v>
      </c>
      <c r="B6" s="11" t="str">
        <f aca="false">TEXT($D6,"ddd")</f>
        <v>Mon</v>
      </c>
      <c r="C6" s="11" t="n">
        <f aca="false">$A$31-$A4</f>
        <v>27</v>
      </c>
      <c r="D6" s="1" t="n">
        <v>45341</v>
      </c>
      <c r="E6" s="1" t="n">
        <v>45342.2610300926</v>
      </c>
      <c r="F6" s="2" t="n">
        <v>97438.667</v>
      </c>
      <c r="G6" s="2" t="n">
        <v>97486.166</v>
      </c>
      <c r="H6" s="3" t="n">
        <v>47.501</v>
      </c>
      <c r="I6" s="13" t="n">
        <f aca="false">IF(H6&gt;0,(H6+I5),"")</f>
        <v>192.701</v>
      </c>
      <c r="J6" s="14" t="n">
        <f aca="false">IF($H6&gt;0,($I6/$A6),"")</f>
        <v>38.5402</v>
      </c>
      <c r="K6" s="15" t="n">
        <f aca="false">IF($H6&gt;0,(($H6*$S$7)+$S$8)*(1+$R$9),"")</f>
        <v>10.3911958037248</v>
      </c>
      <c r="L6" s="16" t="n">
        <f aca="false">IF($H6&gt;0,($K6+$L5),"")</f>
        <v>42.2904221875888</v>
      </c>
      <c r="M6" s="17" t="n">
        <f aca="false">IF($J6&lt;&gt;"",$J6*(LOOKUP(1E+307,$A:$A)-$A$2),"")</f>
        <v>1194.7462</v>
      </c>
      <c r="N6" s="17" t="n">
        <f aca="false">IF($M6&lt;&gt;"",IF($M6&gt;1000,(($M6*$S$7)+($A6*$S$8))*(1+$R$9)-100,($M6*$S$7)+($A6*$R$9)*(1+$R$9)),"")</f>
        <v>158.461407543051</v>
      </c>
      <c r="O6" s="18" t="n">
        <f aca="false">IF(I6&gt;=1000,"",(1000-I6))</f>
        <v>807.299</v>
      </c>
      <c r="Q6" s="22" t="s">
        <v>31</v>
      </c>
      <c r="R6" s="25"/>
      <c r="S6" s="26" t="n">
        <v>0.1595</v>
      </c>
    </row>
    <row r="7" customFormat="false" ht="15" hidden="false" customHeight="false" outlineLevel="0" collapsed="false">
      <c r="A7" s="11" t="n">
        <v>6</v>
      </c>
      <c r="B7" s="11" t="str">
        <f aca="false">TEXT($D7,"ddd")</f>
        <v>Tue</v>
      </c>
      <c r="C7" s="11" t="n">
        <f aca="false">$A$31-$A5</f>
        <v>26</v>
      </c>
      <c r="D7" s="1" t="n">
        <v>45342</v>
      </c>
      <c r="E7" s="1" t="n">
        <v>45343.2580902778</v>
      </c>
      <c r="F7" s="2" t="n">
        <v>97486.166</v>
      </c>
      <c r="G7" s="2" t="n">
        <v>97520.171</v>
      </c>
      <c r="H7" s="3" t="n">
        <v>34.005</v>
      </c>
      <c r="I7" s="13" t="n">
        <f aca="false">IF(H7&gt;0,(H7+I6),"")</f>
        <v>226.706</v>
      </c>
      <c r="J7" s="14" t="n">
        <f aca="false">IF($H7&gt;0,($I7/$A7),"")</f>
        <v>37.7843333333333</v>
      </c>
      <c r="K7" s="15" t="n">
        <f aca="false">IF($H7&gt;0,(($H7*$S$7)+$S$8)*(1+$R$9),"")</f>
        <v>7.4797067627541</v>
      </c>
      <c r="L7" s="16" t="n">
        <f aca="false">IF($H7&gt;0,($K7+$L6),"")</f>
        <v>49.7701289503429</v>
      </c>
      <c r="M7" s="17" t="n">
        <f aca="false">IF($J7&lt;&gt;"",$J7*(LOOKUP(1E+307,$A:$A)-$A$2),"")</f>
        <v>1171.31433333333</v>
      </c>
      <c r="N7" s="17" t="n">
        <f aca="false">IF($M7&lt;&gt;"",IF($M7&gt;1000,(($M7*$S$7)+($A7*$S$8))*(1+$R$9)-100,($M7*$S$7)+($A7*$R$9)*(1+$R$9)),"")</f>
        <v>153.550271993438</v>
      </c>
      <c r="O7" s="18" t="n">
        <f aca="false">IF(I7&gt;=1000,"",(1000-I7))</f>
        <v>773.294</v>
      </c>
      <c r="Q7" s="22" t="s">
        <v>34</v>
      </c>
      <c r="R7" s="25"/>
      <c r="S7" s="28" t="n">
        <f aca="false">SUM(S4:S6)</f>
        <v>0.211506</v>
      </c>
      <c r="T7" s="29" t="s">
        <v>35</v>
      </c>
    </row>
    <row r="8" customFormat="false" ht="15" hidden="false" customHeight="false" outlineLevel="0" collapsed="false">
      <c r="A8" s="11" t="n">
        <v>7</v>
      </c>
      <c r="B8" s="11" t="str">
        <f aca="false">TEXT($D8,"ddd")</f>
        <v>Wed</v>
      </c>
      <c r="C8" s="11" t="n">
        <f aca="false">$A$31-$A6</f>
        <v>25</v>
      </c>
      <c r="D8" s="1" t="n">
        <v>45343</v>
      </c>
      <c r="E8" s="1" t="n">
        <v>45344.3196180556</v>
      </c>
      <c r="F8" s="2" t="n">
        <v>97520.171</v>
      </c>
      <c r="G8" s="2" t="n">
        <v>97551.395</v>
      </c>
      <c r="H8" s="3" t="n">
        <v>31.223</v>
      </c>
      <c r="I8" s="13" t="n">
        <f aca="false">IF(H8&gt;0,(H8+I7),"")</f>
        <v>257.929</v>
      </c>
      <c r="J8" s="14" t="n">
        <f aca="false">IF($H8&gt;0,($I8/$A8),"")</f>
        <v>36.847</v>
      </c>
      <c r="K8" s="15" t="n">
        <f aca="false">IF($H8&gt;0,(($H8*$S$7)+$S$8)*(1+$R$9),"")</f>
        <v>6.87954652920486</v>
      </c>
      <c r="L8" s="16" t="n">
        <f aca="false">IF($H8&gt;0,($K8+$L7),"")</f>
        <v>56.6496754795478</v>
      </c>
      <c r="M8" s="17" t="n">
        <f aca="false">IF($J8&lt;&gt;"",$J8*(LOOKUP(1E+307,$A:$A)-$A$2),"")</f>
        <v>1142.257</v>
      </c>
      <c r="N8" s="17" t="n">
        <f aca="false">IF($M8&lt;&gt;"",IF($M8&gt;1000,(($M8*$S$7)+($A8*$S$8))*(1+$R$9)-100,($M8*$S$7)+($A8*$R$9)*(1+$R$9)),"")</f>
        <v>147.425555786569</v>
      </c>
      <c r="O8" s="18" t="n">
        <f aca="false">IF(I8&gt;=1000,"",(1000-I8))</f>
        <v>742.071</v>
      </c>
      <c r="Q8" s="22" t="s">
        <v>38</v>
      </c>
      <c r="R8" s="30" t="n">
        <v>4.23</v>
      </c>
      <c r="S8" s="31" t="n">
        <f aca="false">(R8/A31)</f>
        <v>0.141</v>
      </c>
      <c r="T8" s="29" t="s">
        <v>39</v>
      </c>
    </row>
    <row r="9" customFormat="false" ht="15" hidden="false" customHeight="false" outlineLevel="0" collapsed="false">
      <c r="A9" s="11" t="n">
        <v>8</v>
      </c>
      <c r="B9" s="11" t="str">
        <f aca="false">TEXT($D9,"ddd")</f>
        <v>Thu</v>
      </c>
      <c r="C9" s="11" t="n">
        <f aca="false">$A$31-$A7</f>
        <v>24</v>
      </c>
      <c r="D9" s="1" t="n">
        <v>45344</v>
      </c>
      <c r="E9" s="1" t="n">
        <v>45345.2584722222</v>
      </c>
      <c r="F9" s="2" t="n">
        <v>97551.395</v>
      </c>
      <c r="G9" s="2" t="n">
        <v>97579.409</v>
      </c>
      <c r="H9" s="3" t="n">
        <v>28.014</v>
      </c>
      <c r="I9" s="13" t="n">
        <f aca="false">IF(H9&gt;0,(H9+I8),"")</f>
        <v>285.943</v>
      </c>
      <c r="J9" s="14" t="n">
        <f aca="false">IF($H9&gt;0,($I9/$A9),"")</f>
        <v>35.742875</v>
      </c>
      <c r="K9" s="15" t="n">
        <f aca="false">IF($H9&gt;0,(($H9*$S$7)+$S$8)*(1+$R$9),"")</f>
        <v>6.18726968180748</v>
      </c>
      <c r="L9" s="16" t="n">
        <f aca="false">IF($H9&gt;0,($K9+$L8),"")</f>
        <v>62.8369451613553</v>
      </c>
      <c r="M9" s="17" t="n">
        <f aca="false">IF($J9&lt;&gt;"",$J9*(LOOKUP(1E+307,$A:$A)-$A$2),"")</f>
        <v>1108.029125</v>
      </c>
      <c r="N9" s="17" t="n">
        <f aca="false">IF($M9&lt;&gt;"",IF($M9&gt;1000,(($M9*$S$7)+($A9*$S$8))*(1+$R$9)-100,($M9*$S$7)+($A9*$R$9)*(1+$R$9)),"")</f>
        <v>140.185399790252</v>
      </c>
      <c r="O9" s="18" t="n">
        <f aca="false">IF(I9&gt;=1000,"",(1000-I9))</f>
        <v>714.057</v>
      </c>
      <c r="Q9" s="22" t="s">
        <v>42</v>
      </c>
      <c r="R9" s="30" t="n">
        <v>0.01997</v>
      </c>
      <c r="S9" s="32"/>
      <c r="T9" s="29" t="s">
        <v>43</v>
      </c>
    </row>
    <row r="10" customFormat="false" ht="15" hidden="false" customHeight="false" outlineLevel="0" collapsed="false">
      <c r="A10" s="11" t="n">
        <v>9</v>
      </c>
      <c r="B10" s="11" t="str">
        <f aca="false">TEXT($D10,"ddd")</f>
        <v>Fri</v>
      </c>
      <c r="C10" s="11" t="n">
        <f aca="false">$A$31-$A8</f>
        <v>23</v>
      </c>
      <c r="D10" s="1" t="n">
        <v>45345</v>
      </c>
      <c r="E10" s="1" t="n">
        <v>45347.278900463</v>
      </c>
      <c r="F10" s="2" t="n">
        <v>97579.409</v>
      </c>
      <c r="G10" s="2" t="n">
        <v>97605.148</v>
      </c>
      <c r="H10" s="3" t="n">
        <v>25.74</v>
      </c>
      <c r="I10" s="13" t="n">
        <f aca="false">IF(H10&gt;0,(H10+I9),"")</f>
        <v>311.683</v>
      </c>
      <c r="J10" s="14" t="n">
        <f aca="false">IF($H10&gt;0,($I10/$A10),"")</f>
        <v>34.6314444444444</v>
      </c>
      <c r="K10" s="15" t="n">
        <f aca="false">IF($H10&gt;0,(($H10*$S$7)+$S$8)*(1+$R$9),"")</f>
        <v>5.6967001738668</v>
      </c>
      <c r="L10" s="16" t="n">
        <f aca="false">IF($H10&gt;0,($K10+$L9),"")</f>
        <v>68.5336453352221</v>
      </c>
      <c r="M10" s="17" t="n">
        <f aca="false">IF($J10&lt;&gt;"",$J10*(LOOKUP(1E+307,$A:$A)-$A$2),"")</f>
        <v>1073.57477777778</v>
      </c>
      <c r="N10" s="17" t="n">
        <f aca="false">IF($M10&lt;&gt;"",IF($M10&gt;1000,(($M10*$S$7)+($A10*$S$8))*(1+$R$9)-100,($M10*$S$7)+($A10*$R$9)*(1+$R$9)),"")</f>
        <v>132.896386992432</v>
      </c>
      <c r="O10" s="18" t="n">
        <f aca="false">IF(I10&gt;=1000,"",(1000-I10))</f>
        <v>688.317</v>
      </c>
      <c r="Q10" s="22" t="s">
        <v>46</v>
      </c>
      <c r="R10" s="33" t="n">
        <v>100</v>
      </c>
      <c r="S10" s="24" t="n">
        <v>1000</v>
      </c>
      <c r="W10" s="34" t="n">
        <v>45275</v>
      </c>
    </row>
    <row r="11" customFormat="false" ht="15" hidden="false" customHeight="false" outlineLevel="0" collapsed="false">
      <c r="A11" s="11" t="n">
        <v>10</v>
      </c>
      <c r="B11" s="11" t="str">
        <f aca="false">TEXT($D11,"ddd")</f>
        <v>Sat</v>
      </c>
      <c r="C11" s="11" t="n">
        <f aca="false">$A$31-$A9</f>
        <v>22</v>
      </c>
      <c r="D11" s="1" t="n">
        <v>45346</v>
      </c>
      <c r="E11" s="1" t="n">
        <v>45347.2783449074</v>
      </c>
      <c r="F11" s="2" t="n">
        <v>97605.148</v>
      </c>
      <c r="G11" s="2" t="n">
        <v>97631.08</v>
      </c>
      <c r="H11" s="3" t="n">
        <v>25.934</v>
      </c>
      <c r="I11" s="13" t="n">
        <f aca="false">IF(H11&gt;0,(H11+I10),"")</f>
        <v>337.617</v>
      </c>
      <c r="J11" s="14" t="n">
        <f aca="false">IF($H11&gt;0,($I11/$A11),"")</f>
        <v>33.7617</v>
      </c>
      <c r="K11" s="15" t="n">
        <f aca="false">IF($H11&gt;0,(($H11*$S$7)+$S$8)*(1+$R$9),"")</f>
        <v>5.73855175018188</v>
      </c>
      <c r="L11" s="16" t="n">
        <f aca="false">IF($H11&gt;0,($K11+$L10),"")</f>
        <v>74.272197085404</v>
      </c>
      <c r="M11" s="17" t="n">
        <f aca="false">IF($J11&lt;&gt;"",$J11*(LOOKUP(1E+307,$A:$A)-$A$2),"")</f>
        <v>1046.6127</v>
      </c>
      <c r="N11" s="17" t="n">
        <f aca="false">IF($M11&lt;&gt;"",IF($M11&gt;1000,(($M11*$S$7)+($A11*$S$8))*(1+$R$9)-100,($M11*$S$7)+($A11*$R$9)*(1+$R$9)),"")</f>
        <v>127.223679794752</v>
      </c>
      <c r="O11" s="18" t="n">
        <f aca="false">IF(I11&gt;=1000,"",(1000-I11))</f>
        <v>662.383</v>
      </c>
      <c r="Q11" s="22" t="s">
        <v>49</v>
      </c>
      <c r="R11" s="33" t="n">
        <v>295</v>
      </c>
      <c r="S11" s="32"/>
    </row>
    <row r="12" customFormat="false" ht="15" hidden="false" customHeight="false" outlineLevel="0" collapsed="false">
      <c r="A12" s="11" t="n">
        <v>11</v>
      </c>
      <c r="B12" s="11" t="str">
        <f aca="false">TEXT($D12,"ddd")</f>
        <v>Sun</v>
      </c>
      <c r="C12" s="11" t="n">
        <f aca="false">$A$31-$A10</f>
        <v>21</v>
      </c>
      <c r="D12" s="1" t="n">
        <v>45347</v>
      </c>
      <c r="E12" s="1" t="n">
        <v>45348.3173611111</v>
      </c>
      <c r="F12" s="2" t="n">
        <v>97631.08</v>
      </c>
      <c r="G12" s="2" t="n">
        <v>97665.148</v>
      </c>
      <c r="H12" s="3" t="n">
        <v>34.066</v>
      </c>
      <c r="I12" s="13" t="n">
        <f aca="false">IF(H12&gt;0,(H12+I11),"")</f>
        <v>371.683</v>
      </c>
      <c r="J12" s="14" t="n">
        <f aca="false">IF($H12&gt;0,($I12/$A12),"")</f>
        <v>33.7893636363636</v>
      </c>
      <c r="K12" s="15" t="n">
        <f aca="false">IF($H12&gt;0,(($H12*$S$7)+$S$8)*(1+$R$9),"")</f>
        <v>7.49286627901812</v>
      </c>
      <c r="L12" s="16" t="n">
        <f aca="false">IF($H12&gt;0,($K12+$L11),"")</f>
        <v>81.7650633644221</v>
      </c>
      <c r="M12" s="17" t="n">
        <f aca="false">IF($J12&lt;&gt;"",$J12*(LOOKUP(1E+307,$A:$A)-$A$2),"")</f>
        <v>1047.47027272727</v>
      </c>
      <c r="N12" s="17" t="n">
        <f aca="false">IF($M12&lt;&gt;"",IF($M12&gt;1000,(($M12*$S$7)+($A12*$S$8))*(1+$R$9)-100,($M12*$S$7)+($A12*$R$9)*(1+$R$9)),"")</f>
        <v>127.552499536099</v>
      </c>
      <c r="O12" s="18" t="n">
        <f aca="false">IF(I12&gt;=1000,"",(1000-I12))</f>
        <v>628.317</v>
      </c>
      <c r="Q12" s="22" t="s">
        <v>52</v>
      </c>
      <c r="R12" s="35" t="n">
        <f aca="false">INDEX(L2:L32,COUNT(L2:L32))</f>
        <v>232.446908144147</v>
      </c>
      <c r="S12" s="32"/>
    </row>
    <row r="13" customFormat="false" ht="15" hidden="false" customHeight="false" outlineLevel="0" collapsed="false">
      <c r="A13" s="11" t="n">
        <v>12</v>
      </c>
      <c r="B13" s="11" t="str">
        <f aca="false">TEXT($D13,"ddd")</f>
        <v>Mon</v>
      </c>
      <c r="C13" s="11" t="n">
        <f aca="false">$A$31-$A11</f>
        <v>20</v>
      </c>
      <c r="D13" s="1" t="n">
        <v>45348</v>
      </c>
      <c r="E13" s="1" t="n">
        <v>45349.2586342593</v>
      </c>
      <c r="F13" s="2" t="n">
        <v>97665.148</v>
      </c>
      <c r="G13" s="2" t="n">
        <v>97699.643</v>
      </c>
      <c r="H13" s="3" t="n">
        <v>34.492</v>
      </c>
      <c r="I13" s="13" t="n">
        <f aca="false">IF(H13&gt;0,(H13+I12),"")</f>
        <v>406.175</v>
      </c>
      <c r="J13" s="14" t="n">
        <f aca="false">IF($H13&gt;0,($I13/$A13),"")</f>
        <v>33.8479166666667</v>
      </c>
      <c r="K13" s="15" t="n">
        <f aca="false">IF($H13&gt;0,(($H13*$S$7)+$S$8)*(1+$R$9),"")</f>
        <v>7.58476716309144</v>
      </c>
      <c r="L13" s="16" t="n">
        <f aca="false">IF($H13&gt;0,($K13+$L12),"")</f>
        <v>89.3498305275135</v>
      </c>
      <c r="M13" s="17" t="n">
        <f aca="false">IF($J13&lt;&gt;"",$J13*(LOOKUP(1E+307,$A:$A)-$A$2),"")</f>
        <v>1049.28541666667</v>
      </c>
      <c r="N13" s="17" t="n">
        <f aca="false">IF($M13&lt;&gt;"",IF($M13&gt;1000,(($M13*$S$7)+($A13*$S$8))*(1+$R$9)-100,($M13*$S$7)+($A13*$R$9)*(1+$R$9)),"")</f>
        <v>128.08789589941</v>
      </c>
      <c r="O13" s="18" t="n">
        <f aca="false">IF(I13&gt;=1000,"",(1000-I13))</f>
        <v>593.825</v>
      </c>
      <c r="P13" s="36"/>
      <c r="Q13" s="22" t="s">
        <v>55</v>
      </c>
      <c r="R13" s="37" t="n">
        <f aca="false">INDEX(I2:I32,COUNT(I2:I32))</f>
        <v>1056.825</v>
      </c>
      <c r="S13" s="32"/>
    </row>
    <row r="14" customFormat="false" ht="15" hidden="false" customHeight="false" outlineLevel="0" collapsed="false">
      <c r="A14" s="11" t="n">
        <v>13</v>
      </c>
      <c r="B14" s="11" t="str">
        <f aca="false">TEXT($D14,"ddd")</f>
        <v>Tue</v>
      </c>
      <c r="C14" s="11" t="n">
        <f aca="false">$A$31-$A12</f>
        <v>19</v>
      </c>
      <c r="D14" s="1" t="n">
        <v>45349</v>
      </c>
      <c r="E14" s="1" t="n">
        <v>45350.2576736111</v>
      </c>
      <c r="F14" s="2" t="n">
        <v>97699.643</v>
      </c>
      <c r="G14" s="2" t="n">
        <v>97738.171</v>
      </c>
      <c r="H14" s="3" t="n">
        <v>38.532</v>
      </c>
      <c r="I14" s="13" t="n">
        <f aca="false">IF(H14&gt;0,(H14+I13),"")</f>
        <v>444.707</v>
      </c>
      <c r="J14" s="14" t="n">
        <f aca="false">IF($H14&gt;0,($I14/$A14),"")</f>
        <v>34.2082307692308</v>
      </c>
      <c r="K14" s="15" t="n">
        <f aca="false">IF($H14&gt;0,(($H14*$S$7)+$S$8)*(1+$R$9),"")</f>
        <v>8.45631545336424</v>
      </c>
      <c r="L14" s="16" t="n">
        <f aca="false">IF($H14&gt;0,($K14+$L13),"")</f>
        <v>97.8061459808777</v>
      </c>
      <c r="M14" s="17" t="n">
        <f aca="false">IF($J14&lt;&gt;"",$J14*(LOOKUP(1E+307,$A:$A)-$A$2),"")</f>
        <v>1060.45515384615</v>
      </c>
      <c r="N14" s="17" t="n">
        <f aca="false">IF($M14&lt;&gt;"",IF($M14&gt;1000,(($M14*$S$7)+($A14*$S$8))*(1+$R$9)-100,($M14*$S$7)+($A14*$R$9)*(1+$R$9)),"")</f>
        <v>130.641356555939</v>
      </c>
      <c r="O14" s="18" t="n">
        <f aca="false">IF(I14&gt;=1000,"",(1000-I14))</f>
        <v>555.293</v>
      </c>
      <c r="Q14" s="22" t="s">
        <v>58</v>
      </c>
      <c r="R14" s="37" t="n">
        <f aca="false">INDEX(J2:J32,COUNT(J2:J32))</f>
        <v>34.0911290322581</v>
      </c>
      <c r="S14" s="32"/>
    </row>
    <row r="15" customFormat="false" ht="15" hidden="false" customHeight="false" outlineLevel="0" collapsed="false">
      <c r="A15" s="11" t="n">
        <v>14</v>
      </c>
      <c r="B15" s="11" t="str">
        <f aca="false">TEXT($D15,"ddd")</f>
        <v>Wed</v>
      </c>
      <c r="C15" s="11" t="n">
        <f aca="false">$A$31-$A13</f>
        <v>18</v>
      </c>
      <c r="D15" s="1" t="n">
        <v>45350</v>
      </c>
      <c r="E15" s="1" t="n">
        <v>45351.2578125</v>
      </c>
      <c r="F15" s="2" t="n">
        <v>97738.171</v>
      </c>
      <c r="G15" s="2" t="n">
        <v>97757.831</v>
      </c>
      <c r="H15" s="3" t="n">
        <v>19.657</v>
      </c>
      <c r="I15" s="13" t="n">
        <f aca="false">IF(H15&gt;0,(H15+I14),"")</f>
        <v>464.364</v>
      </c>
      <c r="J15" s="14" t="n">
        <f aca="false">IF($H15&gt;0,($I15/$A15),"")</f>
        <v>33.1688571428571</v>
      </c>
      <c r="K15" s="15" t="n">
        <f aca="false">IF($H15&gt;0,(($H15*$S$7)+$S$8)*(1+$R$9),"")</f>
        <v>4.38441595363674</v>
      </c>
      <c r="L15" s="16" t="n">
        <f aca="false">IF($H15&gt;0,($K15+$L14),"")</f>
        <v>102.190561934514</v>
      </c>
      <c r="M15" s="17" t="n">
        <f aca="false">IF($J15&lt;&gt;"",$J15*(LOOKUP(1E+307,$A:$A)-$A$2),"")</f>
        <v>1028.23457142857</v>
      </c>
      <c r="N15" s="17" t="n">
        <f aca="false">IF($M15&lt;&gt;"",IF($M15&gt;1000,(($M15*$S$7)+($A15*$S$8))*(1+$R$9)-100,($M15*$S$7)+($A15*$R$9)*(1+$R$9)),"")</f>
        <v>123.834233336425</v>
      </c>
      <c r="O15" s="18" t="n">
        <f aca="false">IF(I15&gt;=1000,"",(1000-I15))</f>
        <v>535.636</v>
      </c>
      <c r="Q15" s="22"/>
      <c r="R15" s="38"/>
      <c r="S15" s="24"/>
    </row>
    <row r="16" customFormat="false" ht="15" hidden="false" customHeight="false" outlineLevel="0" collapsed="false">
      <c r="A16" s="11" t="n">
        <v>15</v>
      </c>
      <c r="B16" s="11" t="str">
        <f aca="false">TEXT($D16,"ddd")</f>
        <v>Thu</v>
      </c>
      <c r="C16" s="11" t="n">
        <f aca="false">$A$31-$A14</f>
        <v>17</v>
      </c>
      <c r="D16" s="1" t="n">
        <v>45351</v>
      </c>
      <c r="E16" s="1" t="n">
        <v>45352.2576851852</v>
      </c>
      <c r="F16" s="2" t="n">
        <v>97757.831</v>
      </c>
      <c r="G16" s="2" t="n">
        <v>97797.239</v>
      </c>
      <c r="H16" s="3" t="n">
        <v>39.406</v>
      </c>
      <c r="I16" s="13" t="n">
        <f aca="false">IF(H16&gt;0,(H16+I15),"")</f>
        <v>503.77</v>
      </c>
      <c r="J16" s="14" t="n">
        <f aca="false">IF($H16&gt;0,($I16/$A16),"")</f>
        <v>33.5846666666667</v>
      </c>
      <c r="K16" s="15" t="n">
        <f aca="false">IF($H16&gt;0,(($H16*$S$7)+$S$8)*(1+$R$9),"")</f>
        <v>8.64486327655692</v>
      </c>
      <c r="L16" s="16" t="n">
        <f aca="false">IF($H16&gt;0,($K16+$L15),"")</f>
        <v>110.835425211071</v>
      </c>
      <c r="M16" s="17" t="n">
        <f aca="false">IF($J16&lt;&gt;"",$J16*(LOOKUP(1E+307,$A:$A)-$A$2),"")</f>
        <v>1041.12466666667</v>
      </c>
      <c r="N16" s="17" t="n">
        <f aca="false">IF($M16&lt;&gt;"",IF($M16&gt;1000,(($M16*$S$7)+($A16*$S$8))*(1+$R$9)-100,($M16*$S$7)+($A16*$R$9)*(1+$R$9)),"")</f>
        <v>126.758826449548</v>
      </c>
      <c r="O16" s="18" t="n">
        <f aca="false">IF(I16&gt;=1000,"",(1000-I16))</f>
        <v>496.23</v>
      </c>
      <c r="Q16" s="22" t="s">
        <v>59</v>
      </c>
      <c r="R16" s="37" t="n">
        <f aca="false">MIN(H2:H31)</f>
        <v>19.657</v>
      </c>
      <c r="S16" s="24"/>
    </row>
    <row r="17" customFormat="false" ht="15" hidden="false" customHeight="false" outlineLevel="0" collapsed="false">
      <c r="A17" s="11" t="n">
        <v>16</v>
      </c>
      <c r="B17" s="11" t="str">
        <f aca="false">TEXT($D17,"ddd")</f>
        <v>Fri</v>
      </c>
      <c r="C17" s="11" t="n">
        <f aca="false">$A$31-$A15</f>
        <v>16</v>
      </c>
      <c r="D17" s="1" t="n">
        <v>45352</v>
      </c>
      <c r="E17" s="1" t="n">
        <v>45353.2573148148</v>
      </c>
      <c r="F17" s="2" t="n">
        <v>97797.239</v>
      </c>
      <c r="G17" s="2" t="n">
        <v>97829.138</v>
      </c>
      <c r="H17" s="3" t="n">
        <v>31.9</v>
      </c>
      <c r="I17" s="13" t="n">
        <f aca="false">IF(H17&gt;0,(H17+I16),"")</f>
        <v>535.67</v>
      </c>
      <c r="J17" s="14" t="n">
        <f aca="false">IF($H17&gt;0,($I17/$A17),"")</f>
        <v>33.479375</v>
      </c>
      <c r="K17" s="15" t="n">
        <f aca="false">IF($H17&gt;0,(($H17*$S$7)+$S$8)*(1+$R$9),"")</f>
        <v>7.025595586758</v>
      </c>
      <c r="L17" s="16" t="n">
        <f aca="false">IF($H17&gt;0,($K17+$L16),"")</f>
        <v>117.861020797829</v>
      </c>
      <c r="M17" s="17" t="n">
        <f aca="false">IF($J17&lt;&gt;"",$J17*(LOOKUP(1E+307,$A:$A)-$A$2),"")</f>
        <v>1037.860625</v>
      </c>
      <c r="N17" s="17" t="n">
        <f aca="false">IF($M17&lt;&gt;"",IF($M17&gt;1000,(($M17*$S$7)+($A17*$S$8))*(1+$R$9)-100,($M17*$S$7)+($A17*$R$9)*(1+$R$9)),"")</f>
        <v>126.198491245794</v>
      </c>
      <c r="O17" s="18" t="n">
        <f aca="false">IF(I17&gt;=1000,"",(1000-I17))</f>
        <v>464.33</v>
      </c>
      <c r="Q17" s="22" t="s">
        <v>60</v>
      </c>
      <c r="R17" s="37" t="n">
        <f aca="false">MAX(H2:H32)</f>
        <v>89.111</v>
      </c>
      <c r="S17" s="24"/>
    </row>
    <row r="18" customFormat="false" ht="15" hidden="false" customHeight="false" outlineLevel="0" collapsed="false">
      <c r="A18" s="11" t="n">
        <v>17</v>
      </c>
      <c r="B18" s="11" t="str">
        <f aca="false">TEXT($D18,"ddd")</f>
        <v>Sat</v>
      </c>
      <c r="C18" s="11" t="n">
        <f aca="false">$A$31-$A16</f>
        <v>15</v>
      </c>
      <c r="D18" s="1" t="n">
        <v>45353</v>
      </c>
      <c r="E18" s="1" t="n">
        <v>45354.2800925926</v>
      </c>
      <c r="F18" s="2" t="n">
        <v>97829.138</v>
      </c>
      <c r="G18" s="2" t="n">
        <v>97857.376</v>
      </c>
      <c r="H18" s="3" t="n">
        <v>28.232</v>
      </c>
      <c r="I18" s="13" t="n">
        <f aca="false">IF(H18&gt;0,(H18+I17),"")</f>
        <v>563.902</v>
      </c>
      <c r="J18" s="14" t="n">
        <f aca="false">IF($H18&gt;0,($I18/$A18),"")</f>
        <v>33.1707058823529</v>
      </c>
      <c r="K18" s="15" t="n">
        <f aca="false">IF($H18&gt;0,(($H18*$S$7)+$S$8)*(1+$R$9),"")</f>
        <v>6.23429877271824</v>
      </c>
      <c r="L18" s="16" t="n">
        <f aca="false">IF($H18&gt;0,($K18+$L17),"")</f>
        <v>124.095319570548</v>
      </c>
      <c r="M18" s="17" t="n">
        <f aca="false">IF($J18&lt;&gt;"",$J18*(LOOKUP(1E+307,$A:$A)-$A$2),"")</f>
        <v>1028.29188235294</v>
      </c>
      <c r="N18" s="17" t="n">
        <f aca="false">IF($M18&lt;&gt;"",IF($M18&gt;1000,(($M18*$S$7)+($A18*$S$8))*(1+$R$9)-100,($M18*$S$7)+($A18*$R$9)*(1+$R$9)),"")</f>
        <v>124.278044319234</v>
      </c>
      <c r="O18" s="18" t="n">
        <f aca="false">IF(I18&gt;=1000,"",(1000-I18))</f>
        <v>436.098</v>
      </c>
      <c r="Q18" s="22" t="s">
        <v>61</v>
      </c>
      <c r="R18" s="39" t="n">
        <f aca="false">IF(I2&gt;0,LOOKUP(1001,$I2:$I32,D2:D32),"")</f>
        <v>45364</v>
      </c>
      <c r="S18" s="24"/>
    </row>
    <row r="19" customFormat="false" ht="15" hidden="false" customHeight="false" outlineLevel="0" collapsed="false">
      <c r="A19" s="11" t="n">
        <v>18</v>
      </c>
      <c r="B19" s="11" t="str">
        <f aca="false">TEXT($D19,"ddd")</f>
        <v>Sun</v>
      </c>
      <c r="C19" s="11" t="n">
        <f aca="false">$A$31-$A17</f>
        <v>14</v>
      </c>
      <c r="D19" s="1" t="n">
        <v>45354</v>
      </c>
      <c r="E19" s="1" t="n">
        <v>45355.2577777778</v>
      </c>
      <c r="F19" s="2" t="n">
        <v>97857.376</v>
      </c>
      <c r="G19" s="2" t="n">
        <v>97888.117</v>
      </c>
      <c r="H19" s="3" t="n">
        <v>30.739</v>
      </c>
      <c r="I19" s="13" t="n">
        <f aca="false">IF(H19&gt;0,(H19+I18),"")</f>
        <v>594.641</v>
      </c>
      <c r="J19" s="14" t="n">
        <f aca="false">IF($H19&gt;0,($I19/$A19),"")</f>
        <v>33.0356111111111</v>
      </c>
      <c r="K19" s="15" t="n">
        <f aca="false">IF($H19&gt;0,(($H19*$S$7)+$S$8)*(1+$R$9),"")</f>
        <v>6.77513331819198</v>
      </c>
      <c r="L19" s="16" t="n">
        <f aca="false">IF($H19&gt;0,($K19+$L18),"")</f>
        <v>130.87045288874</v>
      </c>
      <c r="M19" s="17" t="n">
        <f aca="false">IF($J19&lt;&gt;"",$J19*(LOOKUP(1E+307,$A:$A)-$A$2),"")</f>
        <v>1024.10394444444</v>
      </c>
      <c r="N19" s="17" t="n">
        <f aca="false">IF($M19&lt;&gt;"",IF($M19&gt;1000,(($M19*$S$7)+($A19*$S$8))*(1+$R$9)-100,($M19*$S$7)+($A19*$R$9)*(1+$R$9)),"")</f>
        <v>123.518397187274</v>
      </c>
      <c r="O19" s="18" t="n">
        <f aca="false">IF(I19&gt;=1000,"",(1000-I19))</f>
        <v>405.359</v>
      </c>
      <c r="Q19" s="40"/>
      <c r="R19" s="41"/>
      <c r="S19" s="42"/>
    </row>
    <row r="20" customFormat="false" ht="15" hidden="false" customHeight="false" outlineLevel="0" collapsed="false">
      <c r="A20" s="11" t="n">
        <v>19</v>
      </c>
      <c r="B20" s="11" t="str">
        <f aca="false">TEXT($D20,"ddd")</f>
        <v>Mon</v>
      </c>
      <c r="C20" s="11" t="n">
        <f aca="false">$A$31-$A18</f>
        <v>13</v>
      </c>
      <c r="D20" s="1" t="n">
        <v>45355</v>
      </c>
      <c r="E20" s="1" t="n">
        <v>45356.2578125</v>
      </c>
      <c r="F20" s="2" t="n">
        <v>97888.117</v>
      </c>
      <c r="G20" s="2" t="n">
        <v>97929.638</v>
      </c>
      <c r="H20" s="3" t="n">
        <v>41.52</v>
      </c>
      <c r="I20" s="13" t="n">
        <f aca="false">IF(H20&gt;0,(H20+I19),"")</f>
        <v>636.161</v>
      </c>
      <c r="J20" s="14" t="n">
        <f aca="false">IF($H20&gt;0,($I20/$A20),"")</f>
        <v>33.4821578947368</v>
      </c>
      <c r="K20" s="15" t="n">
        <f aca="false">IF($H20&gt;0,(($H20*$S$7)+$S$8)*(1+$R$9),"")</f>
        <v>9.1009160205264</v>
      </c>
      <c r="L20" s="16" t="n">
        <f aca="false">IF($H20&gt;0,($K20+$L19),"")</f>
        <v>139.971368909266</v>
      </c>
      <c r="M20" s="17" t="n">
        <f aca="false">IF($J20&lt;&gt;"",$J20*(LOOKUP(1E+307,$A:$A)-$A$2),"")</f>
        <v>1037.94689473684</v>
      </c>
      <c r="N20" s="17" t="n">
        <f aca="false">IF($M20&lt;&gt;"",IF($M20&gt;1000,(($M20*$S$7)+($A20*$S$8))*(1+$R$9)-100,($M20*$S$7)+($A20*$R$9)*(1+$R$9)),"")</f>
        <v>126.648549506697</v>
      </c>
      <c r="O20" s="18" t="n">
        <f aca="false">IF(I20&gt;=1000,"",(1000-I20))</f>
        <v>363.839</v>
      </c>
    </row>
    <row r="21" customFormat="false" ht="15" hidden="false" customHeight="false" outlineLevel="0" collapsed="false">
      <c r="A21" s="11" t="n">
        <v>20</v>
      </c>
      <c r="B21" s="11" t="str">
        <f aca="false">TEXT($D21,"ddd")</f>
        <v>Tue</v>
      </c>
      <c r="C21" s="11" t="n">
        <f aca="false">$A$31-$A19</f>
        <v>12</v>
      </c>
      <c r="D21" s="1" t="n">
        <v>45356</v>
      </c>
      <c r="E21" s="1" t="n">
        <v>45357.2578125</v>
      </c>
      <c r="F21" s="2" t="n">
        <v>97929.638</v>
      </c>
      <c r="G21" s="2" t="n">
        <v>97962.372</v>
      </c>
      <c r="H21" s="3" t="n">
        <v>32.734</v>
      </c>
      <c r="I21" s="13" t="n">
        <f aca="false">IF(H21&gt;0,(H21+I20),"")</f>
        <v>668.895</v>
      </c>
      <c r="J21" s="14" t="n">
        <f aca="false">IF($H21&gt;0,($I21/$A21),"")</f>
        <v>33.44475</v>
      </c>
      <c r="K21" s="15" t="n">
        <f aca="false">IF($H21&gt;0,(($H21*$S$7)+$S$8)*(1+$R$9),"")</f>
        <v>7.20551421895788</v>
      </c>
      <c r="L21" s="16" t="n">
        <f aca="false">IF($H21&gt;0,($K21+$L20),"")</f>
        <v>147.176883128224</v>
      </c>
      <c r="M21" s="17" t="n">
        <f aca="false">IF($J21&lt;&gt;"",$J21*(LOOKUP(1E+307,$A:$A)-$A$2),"")</f>
        <v>1036.78725</v>
      </c>
      <c r="N21" s="17" t="n">
        <f aca="false">IF($M21&lt;&gt;"",IF($M21&gt;1000,(($M21*$S$7)+($A21*$S$8))*(1+$R$9)-100,($M21*$S$7)+($A21*$R$9)*(1+$R$9)),"")</f>
        <v>126.542195378747</v>
      </c>
      <c r="O21" s="18" t="n">
        <f aca="false">IF(I21&gt;=1000,"",(1000-I21))</f>
        <v>331.105</v>
      </c>
      <c r="R21" s="44" t="s">
        <v>76</v>
      </c>
    </row>
    <row r="22" customFormat="false" ht="15" hidden="false" customHeight="false" outlineLevel="0" collapsed="false">
      <c r="A22" s="11" t="n">
        <v>21</v>
      </c>
      <c r="B22" s="11" t="str">
        <f aca="false">TEXT($D22,"ddd")</f>
        <v>Wed</v>
      </c>
      <c r="C22" s="11" t="n">
        <f aca="false">$A$31-$A20</f>
        <v>11</v>
      </c>
      <c r="D22" s="1" t="n">
        <v>45357</v>
      </c>
      <c r="E22" s="1" t="n">
        <v>45358.2582175926</v>
      </c>
      <c r="F22" s="2" t="n">
        <v>97962.372</v>
      </c>
      <c r="G22" s="2" t="n">
        <v>97994.032</v>
      </c>
      <c r="H22" s="3" t="n">
        <v>31.665</v>
      </c>
      <c r="I22" s="13" t="n">
        <f aca="false">IF(H22&gt;0,(H22+I21),"")</f>
        <v>700.56</v>
      </c>
      <c r="J22" s="14" t="n">
        <f aca="false">IF($H22&gt;0,($I22/$A22),"")</f>
        <v>33.36</v>
      </c>
      <c r="K22" s="15" t="n">
        <f aca="false">IF($H22&gt;0,(($H22*$S$7)+$S$8)*(1+$R$9),"")</f>
        <v>6.9748990896753</v>
      </c>
      <c r="L22" s="16" t="n">
        <f aca="false">IF($H22&gt;0,($K22+$L21),"")</f>
        <v>154.151782217899</v>
      </c>
      <c r="M22" s="17" t="n">
        <f aca="false">IF($J22&lt;&gt;"",$J22*(LOOKUP(1E+307,$A:$A)-$A$2),"")</f>
        <v>1034.16</v>
      </c>
      <c r="N22" s="17" t="n">
        <f aca="false">IF($M22&lt;&gt;"",IF($M22&gt;1000,(($M22*$S$7)+($A22*$S$8))*(1+$R$9)-100,($M22*$S$7)+($A22*$R$9)*(1+$R$9)),"")</f>
        <v>126.119235097851</v>
      </c>
      <c r="O22" s="18" t="n">
        <f aca="false">IF(I22&gt;=1000,"",(1000-I22))</f>
        <v>299.44</v>
      </c>
      <c r="Q22" s="10"/>
      <c r="R22" s="43" t="n">
        <v>2023</v>
      </c>
      <c r="S22" s="43" t="s">
        <v>62</v>
      </c>
      <c r="T22" s="43" t="s">
        <v>63</v>
      </c>
    </row>
    <row r="23" customFormat="false" ht="15" hidden="false" customHeight="false" outlineLevel="0" collapsed="false">
      <c r="A23" s="11" t="n">
        <v>22</v>
      </c>
      <c r="B23" s="11" t="str">
        <f aca="false">TEXT($D23,"ddd")</f>
        <v>Thu</v>
      </c>
      <c r="C23" s="11" t="n">
        <f aca="false">$A$31-$A21</f>
        <v>10</v>
      </c>
      <c r="D23" s="1" t="n">
        <v>45358</v>
      </c>
      <c r="E23" s="1" t="n">
        <v>45359.2589236111</v>
      </c>
      <c r="F23" s="2" t="n">
        <v>97994.032</v>
      </c>
      <c r="G23" s="2" t="n">
        <v>98022.074</v>
      </c>
      <c r="H23" s="3" t="n">
        <v>28.045</v>
      </c>
      <c r="I23" s="13" t="n">
        <f aca="false">IF(H23&gt;0,(H23+I22),"")</f>
        <v>728.605</v>
      </c>
      <c r="J23" s="14" t="n">
        <f aca="false">IF($H23&gt;0,($I23/$A23),"")</f>
        <v>33.1184090909091</v>
      </c>
      <c r="K23" s="15" t="n">
        <f aca="false">IF($H23&gt;0,(($H23*$S$7)+$S$8)*(1+$R$9),"")</f>
        <v>6.1939573048269</v>
      </c>
      <c r="L23" s="16" t="n">
        <f aca="false">IF($H23&gt;0,($K23+$L22),"")</f>
        <v>160.345739522726</v>
      </c>
      <c r="M23" s="17" t="n">
        <f aca="false">IF($J23&lt;&gt;"",$J23*(LOOKUP(1E+307,$A:$A)-$A$2),"")</f>
        <v>1026.67068181818</v>
      </c>
      <c r="N23" s="17" t="n">
        <f aca="false">IF($M23&lt;&gt;"",IF($M23&gt;1000,(($M23*$S$7)+($A23*$S$8))*(1+$R$9)-100,($M23*$S$7)+($A23*$R$9)*(1+$R$9)),"")</f>
        <v>124.647381942932</v>
      </c>
      <c r="O23" s="18" t="n">
        <f aca="false">IF(I23&gt;=1000,"",(1000-I23))</f>
        <v>271.395</v>
      </c>
      <c r="Q23" s="29"/>
      <c r="R23" s="44" t="s">
        <v>64</v>
      </c>
      <c r="S23" s="4" t="n">
        <v>7</v>
      </c>
      <c r="T23" s="4" t="n">
        <v>24</v>
      </c>
    </row>
    <row r="24" customFormat="false" ht="15" hidden="false" customHeight="false" outlineLevel="0" collapsed="false">
      <c r="A24" s="11" t="n">
        <v>23</v>
      </c>
      <c r="B24" s="11" t="str">
        <f aca="false">TEXT($D24,"ddd")</f>
        <v>Fri</v>
      </c>
      <c r="C24" s="11" t="n">
        <f aca="false">$A$31-$A22</f>
        <v>9</v>
      </c>
      <c r="D24" s="1" t="n">
        <v>45359</v>
      </c>
      <c r="E24" s="1" t="n">
        <v>45360.2577083333</v>
      </c>
      <c r="F24" s="2" t="n">
        <v>98022.074</v>
      </c>
      <c r="G24" s="2" t="n">
        <v>98046.278</v>
      </c>
      <c r="H24" s="3" t="n">
        <v>24.202</v>
      </c>
      <c r="I24" s="13" t="n">
        <f aca="false">IF(H24&gt;0,(H24+I23),"")</f>
        <v>752.807</v>
      </c>
      <c r="J24" s="14" t="n">
        <f aca="false">IF($H24&gt;0,($I24/$A24),"")</f>
        <v>32.7307391304348</v>
      </c>
      <c r="K24" s="15" t="n">
        <f aca="false">IF($H24&gt;0,(($H24*$S$7)+$S$8)*(1+$R$9),"")</f>
        <v>5.36490778019364</v>
      </c>
      <c r="L24" s="16" t="n">
        <f aca="false">IF($H24&gt;0,($K24+$L23),"")</f>
        <v>165.71064730292</v>
      </c>
      <c r="M24" s="17" t="n">
        <f aca="false">IF($J24&lt;&gt;"",$J24*(LOOKUP(1E+307,$A:$A)-$A$2),"")</f>
        <v>1014.65291304348</v>
      </c>
      <c r="N24" s="17" t="n">
        <f aca="false">IF($M24&lt;&gt;"",IF($M24&gt;1000,(($M24*$S$7)+($A24*$S$8))*(1+$R$9)-100,($M24*$S$7)+($A24*$R$9)*(1+$R$9)),"")</f>
        <v>122.198607161327</v>
      </c>
      <c r="O24" s="18" t="n">
        <f aca="false">IF(I24&gt;=1000,"",(1000-I24))</f>
        <v>247.193</v>
      </c>
      <c r="R24" s="44" t="s">
        <v>65</v>
      </c>
      <c r="S24" s="4" t="n">
        <v>11</v>
      </c>
      <c r="T24" s="4" t="n">
        <v>26</v>
      </c>
    </row>
    <row r="25" customFormat="false" ht="15" hidden="false" customHeight="false" outlineLevel="0" collapsed="false">
      <c r="A25" s="11" t="n">
        <v>24</v>
      </c>
      <c r="B25" s="11" t="str">
        <f aca="false">TEXT($D25,"ddd")</f>
        <v>Sat</v>
      </c>
      <c r="C25" s="11" t="n">
        <f aca="false">$A$31-$A23</f>
        <v>8</v>
      </c>
      <c r="D25" s="1" t="n">
        <v>45360</v>
      </c>
      <c r="E25" s="1" t="n">
        <v>45361.3619097222</v>
      </c>
      <c r="F25" s="2" t="n">
        <v>98046.278</v>
      </c>
      <c r="G25" s="2" t="n">
        <v>98071.157</v>
      </c>
      <c r="H25" s="3" t="n">
        <v>24.877</v>
      </c>
      <c r="I25" s="13" t="n">
        <f aca="false">IF(H25&gt;0,(H25+I24),"")</f>
        <v>777.684</v>
      </c>
      <c r="J25" s="14" t="n">
        <f aca="false">IF($H25&gt;0,($I25/$A25),"")</f>
        <v>32.4035</v>
      </c>
      <c r="K25" s="15" t="n">
        <f aca="false">IF($H25&gt;0,(($H25*$S$7)+$S$8)*(1+$R$9),"")</f>
        <v>5.51052537819714</v>
      </c>
      <c r="L25" s="16" t="n">
        <f aca="false">IF($H25&gt;0,($K25+$L24),"")</f>
        <v>171.221172681117</v>
      </c>
      <c r="M25" s="17" t="n">
        <f aca="false">IF($J25&lt;&gt;"",$J25*(LOOKUP(1E+307,$A:$A)-$A$2),"")</f>
        <v>1004.5085</v>
      </c>
      <c r="N25" s="17" t="n">
        <f aca="false">IF($M25&lt;&gt;"",IF($M25&gt;1000,(($M25*$S$7)+($A25*$S$8))*(1+$R$9)-100,($M25*$S$7)+($A25*$R$9)*(1+$R$9)),"")</f>
        <v>120.153970989776</v>
      </c>
      <c r="O25" s="18" t="n">
        <f aca="false">IF(I25&gt;=1000,"",(1000-I25))</f>
        <v>222.316</v>
      </c>
      <c r="R25" s="44" t="s">
        <v>66</v>
      </c>
      <c r="S25" s="4" t="n">
        <v>16</v>
      </c>
      <c r="T25" s="4" t="n">
        <v>30</v>
      </c>
    </row>
    <row r="26" customFormat="false" ht="15" hidden="false" customHeight="false" outlineLevel="0" collapsed="false">
      <c r="A26" s="11" t="n">
        <v>25</v>
      </c>
      <c r="B26" s="11" t="str">
        <f aca="false">TEXT($D26,"ddd")</f>
        <v>Sun</v>
      </c>
      <c r="C26" s="11" t="n">
        <f aca="false">$A$31-$A24</f>
        <v>7</v>
      </c>
      <c r="D26" s="1" t="n">
        <v>45361</v>
      </c>
      <c r="E26" s="1" t="n">
        <v>45362.4003356482</v>
      </c>
      <c r="F26" s="2" t="n">
        <v>98071.157</v>
      </c>
      <c r="G26" s="2" t="n">
        <v>98103.196</v>
      </c>
      <c r="H26" s="3" t="n">
        <v>32.039</v>
      </c>
      <c r="I26" s="13" t="n">
        <f aca="false">IF(H26&gt;0,(H26+I25),"")</f>
        <v>809.723</v>
      </c>
      <c r="J26" s="14" t="n">
        <f aca="false">IF($H26&gt;0,($I26/$A26),"")</f>
        <v>32.38892</v>
      </c>
      <c r="K26" s="15" t="n">
        <f aca="false">IF($H26&gt;0,(($H26*$S$7)+$S$8)*(1+$R$9),"")</f>
        <v>7.05558202545798</v>
      </c>
      <c r="L26" s="16" t="n">
        <f aca="false">IF($H26&gt;0,($K26+$L25),"")</f>
        <v>178.276754706575</v>
      </c>
      <c r="M26" s="17" t="n">
        <f aca="false">IF($J26&lt;&gt;"",$J26*(LOOKUP(1E+307,$A:$A)-$A$2),"")</f>
        <v>1004.05652</v>
      </c>
      <c r="N26" s="17" t="n">
        <f aca="false">IF($M26&lt;&gt;"",IF($M26&gt;1000,(($M26*$S$7)+($A26*$S$8))*(1+$R$9)-100,($M26*$S$7)+($A26*$R$9)*(1+$R$9)),"")</f>
        <v>120.200281216153</v>
      </c>
      <c r="O26" s="18" t="n">
        <f aca="false">IF(I26&gt;=1000,"",(1000-I26))</f>
        <v>190.277</v>
      </c>
      <c r="R26" s="44" t="s">
        <v>67</v>
      </c>
      <c r="S26" s="4" t="n">
        <v>15</v>
      </c>
      <c r="T26" s="4" t="n">
        <v>31</v>
      </c>
    </row>
    <row r="27" customFormat="false" ht="15" hidden="false" customHeight="false" outlineLevel="0" collapsed="false">
      <c r="A27" s="11" t="n">
        <v>26</v>
      </c>
      <c r="B27" s="11" t="str">
        <f aca="false">TEXT($D27,"ddd")</f>
        <v>Mon</v>
      </c>
      <c r="C27" s="11" t="n">
        <f aca="false">$A$31-$A25</f>
        <v>6</v>
      </c>
      <c r="D27" s="1" t="n">
        <v>45362</v>
      </c>
      <c r="E27" s="1" t="n">
        <v>45363.3090856482</v>
      </c>
      <c r="F27" s="2" t="n">
        <v>98103.196</v>
      </c>
      <c r="G27" s="2" t="n">
        <v>98130.72</v>
      </c>
      <c r="H27" s="3" t="n">
        <v>27.529</v>
      </c>
      <c r="I27" s="13" t="n">
        <f aca="false">IF(H27&gt;0,(H27+I26),"")</f>
        <v>837.252</v>
      </c>
      <c r="J27" s="14" t="n">
        <f aca="false">IF($H27&gt;0,($I27/$A27),"")</f>
        <v>32.202</v>
      </c>
      <c r="K27" s="15" t="n">
        <f aca="false">IF($H27&gt;0,(($H27*$S$7)+$S$8)*(1+$R$9),"")</f>
        <v>6.08264074101978</v>
      </c>
      <c r="L27" s="16" t="n">
        <f aca="false">IF($H27&gt;0,($K27+$L26),"")</f>
        <v>184.359395447595</v>
      </c>
      <c r="M27" s="17" t="n">
        <f aca="false">IF($J27&lt;&gt;"",$J27*(LOOKUP(1E+307,$A:$A)-$A$2),"")</f>
        <v>998.262</v>
      </c>
      <c r="N27" s="17" t="n">
        <f aca="false">IF($M27&lt;&gt;"",IF($M27&gt;1000,(($M27*$S$7)+($A27*$S$8))*(1+$R$9)-100,($M27*$S$7)+($A27*$R$9)*(1+$R$9)),"")</f>
        <v>211.6679913954</v>
      </c>
      <c r="O27" s="18" t="n">
        <f aca="false">IF(I27&gt;=1000,"",(1000-I27))</f>
        <v>162.748</v>
      </c>
      <c r="R27" s="44" t="s">
        <v>68</v>
      </c>
      <c r="S27" s="4" t="n">
        <v>15</v>
      </c>
      <c r="T27" s="4" t="n">
        <v>29</v>
      </c>
    </row>
    <row r="28" customFormat="false" ht="15" hidden="false" customHeight="false" outlineLevel="0" collapsed="false">
      <c r="A28" s="11" t="n">
        <v>27</v>
      </c>
      <c r="B28" s="11" t="str">
        <f aca="false">TEXT($D28,"ddd")</f>
        <v>Tue</v>
      </c>
      <c r="C28" s="11" t="n">
        <f aca="false">$A$31-$A26</f>
        <v>5</v>
      </c>
      <c r="D28" s="1" t="n">
        <v>45363</v>
      </c>
      <c r="E28" s="1" t="n">
        <v>45364.2655439815</v>
      </c>
      <c r="F28" s="2" t="n">
        <v>98130.72</v>
      </c>
      <c r="G28" s="2" t="n">
        <v>98219.828</v>
      </c>
      <c r="H28" s="3" t="n">
        <v>89.111</v>
      </c>
      <c r="I28" s="13" t="n">
        <f aca="false">IF(H28&gt;0,(H28+I27),"")</f>
        <v>926.363</v>
      </c>
      <c r="J28" s="14" t="n">
        <f aca="false">IF($H28&gt;0,($I28/$A28),"")</f>
        <v>34.3097407407407</v>
      </c>
      <c r="K28" s="15" t="n">
        <f aca="false">IF($H28&gt;0,(($H28*$S$7)+$S$8)*(1+$R$9),"")</f>
        <v>19.367711733985</v>
      </c>
      <c r="L28" s="16" t="n">
        <f aca="false">IF($H28&gt;0,($K28+$L27),"")</f>
        <v>203.72710718158</v>
      </c>
      <c r="M28" s="17" t="n">
        <f aca="false">IF($J28&lt;&gt;"",$J28*(LOOKUP(1E+307,$A:$A)-$A$2),"")</f>
        <v>1063.60196296296</v>
      </c>
      <c r="N28" s="17" t="n">
        <f aca="false">IF($M28&lt;&gt;"",IF($M28&gt;1000,(($M28*$S$7)+($A28*$S$8))*(1+$R$9)-100,($M28*$S$7)+($A28*$R$9)*(1+$R$9)),"")</f>
        <v>133.33363775811</v>
      </c>
      <c r="O28" s="18" t="n">
        <f aca="false">IF(I28&gt;=1000,"",(1000-I28))</f>
        <v>73.6370000000002</v>
      </c>
      <c r="Q28" s="29"/>
      <c r="R28" s="44" t="s">
        <v>69</v>
      </c>
      <c r="S28" s="4" t="n">
        <v>8</v>
      </c>
      <c r="T28" s="4" t="n">
        <v>24</v>
      </c>
    </row>
    <row r="29" customFormat="false" ht="15" hidden="false" customHeight="false" outlineLevel="0" collapsed="false">
      <c r="A29" s="11" t="n">
        <v>28</v>
      </c>
      <c r="B29" s="11" t="str">
        <f aca="false">TEXT($D29,"ddd")</f>
        <v>Wed</v>
      </c>
      <c r="C29" s="11" t="n">
        <f aca="false">$A$31-$A27</f>
        <v>4</v>
      </c>
      <c r="D29" s="1" t="n">
        <v>45364</v>
      </c>
      <c r="E29" s="1" t="n">
        <v>45365.2591550926</v>
      </c>
      <c r="F29" s="2" t="n">
        <v>98219.828</v>
      </c>
      <c r="G29" s="2" t="n">
        <v>98266.956</v>
      </c>
      <c r="H29" s="3" t="n">
        <v>47.125</v>
      </c>
      <c r="I29" s="13" t="n">
        <f aca="false">IF(H29&gt;0,(H29+I28),"")</f>
        <v>973.488</v>
      </c>
      <c r="J29" s="14" t="n">
        <f aca="false">IF($H29&gt;0,($I29/$A29),"")</f>
        <v>34.7674285714286</v>
      </c>
      <c r="K29" s="15" t="n">
        <f aca="false">IF($H29&gt;0,(($H29*$S$7)+$S$8)*(1+$R$9),"")</f>
        <v>10.3100814083925</v>
      </c>
      <c r="L29" s="16" t="n">
        <f aca="false">IF($H29&gt;0,($K29+$L28),"")</f>
        <v>214.037188589972</v>
      </c>
      <c r="M29" s="17" t="n">
        <f aca="false">IF($J29&lt;&gt;"",$J29*(LOOKUP(1E+307,$A:$A)-$A$2),"")</f>
        <v>1077.79028571429</v>
      </c>
      <c r="N29" s="17" t="n">
        <f aca="false">IF($M29&lt;&gt;"",IF($M29&gt;1000,(($M29*$S$7)+($A29*$S$8))*(1+$R$9)-100,($M29*$S$7)+($A29*$R$9)*(1+$R$9)),"")</f>
        <v>136.538297200326</v>
      </c>
      <c r="O29" s="18" t="n">
        <f aca="false">IF(I29&gt;=1000,"",(1000-I29))</f>
        <v>26.5120000000002</v>
      </c>
      <c r="R29" s="44" t="s">
        <v>70</v>
      </c>
      <c r="S29" s="4" t="n">
        <v>5</v>
      </c>
      <c r="T29" s="4" t="n">
        <v>20</v>
      </c>
    </row>
    <row r="30" customFormat="false" ht="15" hidden="false" customHeight="false" outlineLevel="0" collapsed="false">
      <c r="A30" s="11" t="n">
        <v>29</v>
      </c>
      <c r="B30" s="11" t="str">
        <f aca="false">TEXT($D30,"ddd")</f>
        <v>Thu</v>
      </c>
      <c r="C30" s="11" t="n">
        <f aca="false">$A$31-$A28</f>
        <v>3</v>
      </c>
      <c r="D30" s="1" t="n">
        <v>45365</v>
      </c>
      <c r="E30" s="1" t="n">
        <v>45366.2593287037</v>
      </c>
      <c r="F30" s="2" t="n">
        <v>98266.956</v>
      </c>
      <c r="G30" s="2" t="n">
        <v>98297.459</v>
      </c>
      <c r="H30" s="3" t="n">
        <v>30.503</v>
      </c>
      <c r="I30" s="13" t="n">
        <f aca="false">IF(H30&gt;0,(H30+I29),"")</f>
        <v>1003.991</v>
      </c>
      <c r="J30" s="14" t="n">
        <f aca="false">IF($H30&gt;0,($I30/$A30),"")</f>
        <v>34.6203793103448</v>
      </c>
      <c r="K30" s="15" t="n">
        <f aca="false">IF($H30&gt;0,(($H30*$S$7)+$S$8)*(1+$R$9),"")</f>
        <v>6.72422109133446</v>
      </c>
      <c r="L30" s="16" t="n">
        <f aca="false">IF($H30&gt;0,($K30+$L29),"")</f>
        <v>220.761409681307</v>
      </c>
      <c r="M30" s="17" t="n">
        <f aca="false">IF($J30&lt;&gt;"",$J30*(LOOKUP(1E+307,$A:$A)-$A$2),"")</f>
        <v>1073.23175862069</v>
      </c>
      <c r="N30" s="17" t="n">
        <f aca="false">IF($M30&lt;&gt;"",IF($M30&gt;1000,(($M30*$S$7)+($A30*$S$8))*(1+$R$9)-100,($M30*$S$7)+($A30*$R$9)*(1+$R$9)),"")</f>
        <v>135.698702946914</v>
      </c>
      <c r="O30" s="18" t="str">
        <f aca="false">IF(I30&gt;=1000,"",(1000-I30))</f>
        <v/>
      </c>
      <c r="R30" s="44" t="s">
        <v>71</v>
      </c>
      <c r="S30" s="4" t="n">
        <v>5</v>
      </c>
      <c r="T30" s="4" t="n">
        <v>19</v>
      </c>
    </row>
    <row r="31" customFormat="false" ht="15" hidden="false" customHeight="false" outlineLevel="0" collapsed="false">
      <c r="A31" s="11" t="n">
        <v>30</v>
      </c>
      <c r="B31" s="11" t="str">
        <f aca="false">TEXT($D31,"ddd")</f>
        <v>Fri</v>
      </c>
      <c r="C31" s="11" t="n">
        <f aca="false">$A$31-$A29</f>
        <v>2</v>
      </c>
      <c r="D31" s="1" t="n">
        <v>45366</v>
      </c>
      <c r="E31" s="1" t="n">
        <v>45367.2575578704</v>
      </c>
      <c r="F31" s="2" t="n">
        <v>98297.459</v>
      </c>
      <c r="G31" s="2" t="n">
        <v>98327.78</v>
      </c>
      <c r="H31" s="3" t="n">
        <v>30.324</v>
      </c>
      <c r="I31" s="13" t="n">
        <f aca="false">IF(H31&gt;0,(H31+I30),"")</f>
        <v>1034.315</v>
      </c>
      <c r="J31" s="14" t="n">
        <f aca="false">IF($H31&gt;0,($I31/$A31),"")</f>
        <v>34.4771666666667</v>
      </c>
      <c r="K31" s="15" t="n">
        <f aca="false">IF($H31&gt;0,(($H31*$S$7)+$S$8)*(1+$R$9),"")</f>
        <v>6.68560546164168</v>
      </c>
      <c r="L31" s="16" t="n">
        <f aca="false">IF($H31&gt;0,($K31+$L30),"")</f>
        <v>227.447015142948</v>
      </c>
      <c r="M31" s="17" t="n">
        <f aca="false">IF($J31&lt;&gt;"",$J31*(LOOKUP(1E+307,$A:$A)-$A$2),"")</f>
        <v>1068.79216666667</v>
      </c>
      <c r="N31" s="17" t="n">
        <f aca="false">IF($M31&lt;&gt;"",IF($M31&gt;1000,(($M31*$S$7)+($A31*$S$8))*(1+$R$9)-100,($M31*$S$7)+($A31*$R$9)*(1+$R$9)),"")</f>
        <v>134.88476654438</v>
      </c>
      <c r="O31" s="18" t="str">
        <f aca="false">IF(I31&gt;=1000,"",(1000-I31))</f>
        <v/>
      </c>
      <c r="R31" s="44" t="s">
        <v>72</v>
      </c>
      <c r="S31" s="4" t="n">
        <v>4</v>
      </c>
      <c r="T31" s="4" t="n">
        <v>20</v>
      </c>
    </row>
    <row r="32" customFormat="false" ht="15" hidden="false" customHeight="false" outlineLevel="0" collapsed="false">
      <c r="A32" s="11" t="n">
        <v>31</v>
      </c>
      <c r="B32" s="11"/>
      <c r="C32" s="11" t="n">
        <f aca="false">$A$31-$A30</f>
        <v>1</v>
      </c>
      <c r="D32" s="1" t="n">
        <v>45367</v>
      </c>
      <c r="E32" s="1" t="n">
        <v>45368.2780092593</v>
      </c>
      <c r="F32" s="2" t="n">
        <v>98327.78</v>
      </c>
      <c r="G32" s="2" t="n">
        <v>98350.285</v>
      </c>
      <c r="H32" s="3" t="n">
        <v>22.51</v>
      </c>
      <c r="I32" s="13" t="n">
        <f aca="false">IF(H32&gt;0,(H32+I31),"")</f>
        <v>1056.825</v>
      </c>
      <c r="J32" s="14" t="n">
        <f aca="false">IF($H32&gt;0,($I32/$A32),"")</f>
        <v>34.0911290322581</v>
      </c>
      <c r="K32" s="15" t="n">
        <f aca="false">IF($H32&gt;0,(($H32*$S$7)+$S$8)*(1+$R$9),"")</f>
        <v>4.9998930011982</v>
      </c>
      <c r="L32" s="16" t="n">
        <f aca="false">IF($H32&gt;0,($K32+$L31),"")</f>
        <v>232.446908144147</v>
      </c>
      <c r="M32" s="17" t="n">
        <f aca="false">IF($J32&lt;&gt;"",$J32*(LOOKUP(1E+307,$A:$A)-$A$2),"")</f>
        <v>1056.825</v>
      </c>
      <c r="N32" s="17" t="n">
        <f aca="false">IF($M32&lt;&gt;"",IF($M32&gt;1000,(($M32*$S$7)+($A32*$S$8))*(1+$R$9)-100,($M32*$S$7)+($A32*$R$9)*(1+$R$9)),"")</f>
        <v>132.446908144147</v>
      </c>
      <c r="O32" s="18" t="str">
        <f aca="false">IF(I32&gt;=1000,"",(1000-I32))</f>
        <v/>
      </c>
      <c r="R32" s="44" t="s">
        <v>73</v>
      </c>
      <c r="S32" s="4" t="n">
        <v>9</v>
      </c>
      <c r="T32" s="4" t="n">
        <v>25</v>
      </c>
    </row>
    <row r="33" customFormat="false" ht="15" hidden="false" customHeight="false" outlineLevel="0" collapsed="false">
      <c r="A33" s="11" t="n">
        <v>32</v>
      </c>
      <c r="B33" s="11"/>
      <c r="C33" s="11" t="n">
        <f aca="false">$A$31-$A31</f>
        <v>0</v>
      </c>
      <c r="D33" s="1" t="n">
        <v>45368</v>
      </c>
      <c r="E33" s="1" t="n">
        <v>45369.3144791667</v>
      </c>
      <c r="F33" s="2" t="n">
        <v>98350.285</v>
      </c>
      <c r="G33" s="2" t="n">
        <v>98382.115</v>
      </c>
      <c r="H33" s="3" t="n">
        <v>31.831</v>
      </c>
      <c r="I33" s="13" t="n">
        <f aca="false">IF(H33&gt;0,(H33+I32),"")</f>
        <v>1088.656</v>
      </c>
      <c r="J33" s="14" t="n">
        <f aca="false">IF($H33&gt;0,($I33/$A33),"")</f>
        <v>34.0205</v>
      </c>
      <c r="K33" s="15" t="n">
        <f aca="false">IF($H33&gt;0,(($H33*$S$7)+$S$8)*(1+$R$9),"")</f>
        <v>7.01071023229542</v>
      </c>
      <c r="L33" s="16" t="n">
        <f aca="false">IF($H33&gt;0,($K33+$L32),"")</f>
        <v>239.457618376442</v>
      </c>
      <c r="M33" s="17" t="n">
        <f aca="false">IF($J33&lt;&gt;"",$J33*(LOOKUP(1E+307,$A:$A)-$A$2),"")</f>
        <v>1054.6355</v>
      </c>
      <c r="N33" s="17" t="n">
        <f aca="false">IF($M33&lt;&gt;"",IF($M33&gt;1000,(($M33*$S$7)+($A33*$S$8))*(1+$R$9)-100,($M33*$S$7)+($A33*$R$9)*(1+$R$9)),"")</f>
        <v>132.118383572178</v>
      </c>
      <c r="O33" s="18" t="str">
        <f aca="false">IF(I33&gt;=1000,"",(1000-I33))</f>
        <v/>
      </c>
      <c r="R33" s="44" t="s">
        <v>74</v>
      </c>
      <c r="S33" s="4" t="n">
        <v>14</v>
      </c>
      <c r="T33" s="4" t="n">
        <v>29</v>
      </c>
    </row>
    <row r="34" customFormat="false" ht="15" hidden="false" customHeight="false" outlineLevel="0" collapsed="false">
      <c r="A34" s="11"/>
      <c r="B34" s="11"/>
      <c r="C34" s="11"/>
      <c r="H34" s="3" t="n">
        <f aca="false">SUM(H2:H33)</f>
        <v>1088.656</v>
      </c>
      <c r="I34" s="13"/>
      <c r="J34" s="14"/>
      <c r="K34" s="15"/>
      <c r="L34" s="16"/>
      <c r="M34" s="17"/>
      <c r="N34" s="17"/>
      <c r="O34" s="18" t="n">
        <f aca="false">IF(I34&gt;=1000,"",(1000-I34))</f>
        <v>1000</v>
      </c>
      <c r="P34" s="45"/>
      <c r="R34" s="44" t="s">
        <v>75</v>
      </c>
      <c r="S34" s="4" t="n">
        <v>12</v>
      </c>
      <c r="T34" s="4" t="n">
        <v>28</v>
      </c>
    </row>
    <row r="35" customFormat="false" ht="15" hidden="false" customHeight="false" outlineLevel="0" collapsed="false">
      <c r="I35" s="46"/>
      <c r="K35" s="47"/>
      <c r="L35" s="2"/>
      <c r="M35" s="2"/>
    </row>
    <row r="36" customFormat="false" ht="15" hidden="false" customHeight="false" outlineLevel="0" collapsed="false">
      <c r="L36" s="2"/>
      <c r="M36" s="2"/>
    </row>
    <row r="39" customFormat="false" ht="15" hidden="false" customHeight="false" outlineLevel="0" collapsed="false">
      <c r="P39" s="34"/>
      <c r="Q39" s="48"/>
    </row>
    <row r="40" customFormat="false" ht="15" hidden="false" customHeight="false" outlineLevel="0" collapsed="false">
      <c r="P40" s="34"/>
      <c r="Q40" s="48"/>
    </row>
    <row r="41" customFormat="false" ht="15" hidden="false" customHeight="false" outlineLevel="0" collapsed="false">
      <c r="P41" s="34"/>
      <c r="Q41" s="48"/>
    </row>
    <row r="42" customFormat="false" ht="15" hidden="false" customHeight="false" outlineLevel="0" collapsed="false">
      <c r="P42" s="34"/>
      <c r="Q42" s="48"/>
    </row>
    <row r="43" customFormat="false" ht="15" hidden="false" customHeight="false" outlineLevel="0" collapsed="false">
      <c r="P43" s="34"/>
      <c r="Q43" s="48"/>
    </row>
    <row r="44" customFormat="false" ht="15" hidden="false" customHeight="false" outlineLevel="0" collapsed="false">
      <c r="P44" s="34"/>
      <c r="Q44" s="48"/>
    </row>
    <row r="45" customFormat="false" ht="15" hidden="false" customHeight="false" outlineLevel="0" collapsed="false">
      <c r="P45" s="34"/>
      <c r="Q45" s="48"/>
    </row>
    <row r="46" customFormat="false" ht="15" hidden="false" customHeight="false" outlineLevel="0" collapsed="false">
      <c r="P46" s="34"/>
      <c r="Q46" s="48"/>
    </row>
    <row r="47" customFormat="false" ht="15" hidden="false" customHeight="false" outlineLevel="0" collapsed="false">
      <c r="P47" s="34"/>
      <c r="Q47" s="48"/>
    </row>
    <row r="48" customFormat="false" ht="15" hidden="false" customHeight="false" outlineLevel="0" collapsed="false">
      <c r="P48" s="34"/>
      <c r="Q48" s="48"/>
    </row>
    <row r="49" customFormat="false" ht="15" hidden="false" customHeight="false" outlineLevel="0" collapsed="false">
      <c r="P49" s="34"/>
      <c r="Q49" s="48"/>
    </row>
    <row r="50" customFormat="false" ht="15" hidden="false" customHeight="false" outlineLevel="0" collapsed="false">
      <c r="P50" s="34"/>
      <c r="Q50" s="48"/>
    </row>
    <row r="51" customFormat="false" ht="15" hidden="false" customHeight="false" outlineLevel="0" collapsed="false">
      <c r="P51" s="34"/>
      <c r="Q51" s="48"/>
    </row>
    <row r="52" customFormat="false" ht="15" hidden="false" customHeight="false" outlineLevel="0" collapsed="false">
      <c r="P52" s="34"/>
      <c r="Q52" s="48"/>
    </row>
    <row r="53" customFormat="false" ht="15" hidden="false" customHeight="false" outlineLevel="0" collapsed="false">
      <c r="P53" s="34"/>
      <c r="Q53" s="48"/>
    </row>
    <row r="54" customFormat="false" ht="15" hidden="false" customHeight="false" outlineLevel="0" collapsed="false">
      <c r="P54" s="34"/>
      <c r="Q54" s="48"/>
    </row>
    <row r="55" customFormat="false" ht="15" hidden="false" customHeight="false" outlineLevel="0" collapsed="false">
      <c r="P55" s="34"/>
      <c r="Q55" s="48"/>
    </row>
    <row r="56" customFormat="false" ht="15" hidden="false" customHeight="false" outlineLevel="0" collapsed="false">
      <c r="P56" s="34"/>
      <c r="Q56" s="48"/>
    </row>
    <row r="57" customFormat="false" ht="15" hidden="false" customHeight="false" outlineLevel="0" collapsed="false">
      <c r="P57" s="34"/>
      <c r="Q57" s="48"/>
    </row>
    <row r="58" customFormat="false" ht="15" hidden="false" customHeight="false" outlineLevel="0" collapsed="false">
      <c r="P58" s="34"/>
      <c r="Q58" s="48"/>
    </row>
    <row r="59" customFormat="false" ht="15" hidden="false" customHeight="false" outlineLevel="0" collapsed="false">
      <c r="P59" s="34"/>
      <c r="Q59" s="48"/>
    </row>
    <row r="60" customFormat="false" ht="15" hidden="false" customHeight="false" outlineLevel="0" collapsed="false">
      <c r="P60" s="34"/>
      <c r="Q60" s="48"/>
    </row>
    <row r="61" customFormat="false" ht="15" hidden="false" customHeight="false" outlineLevel="0" collapsed="false">
      <c r="P61" s="34"/>
      <c r="Q61" s="48"/>
    </row>
    <row r="62" customFormat="false" ht="15" hidden="false" customHeight="false" outlineLevel="0" collapsed="false">
      <c r="P62" s="34"/>
      <c r="Q62" s="48"/>
    </row>
    <row r="63" customFormat="false" ht="15" hidden="false" customHeight="false" outlineLevel="0" collapsed="false">
      <c r="P63" s="34"/>
      <c r="Q63" s="48"/>
    </row>
    <row r="64" customFormat="false" ht="15" hidden="false" customHeight="false" outlineLevel="0" collapsed="false">
      <c r="P64" s="34"/>
      <c r="Q64" s="48"/>
    </row>
    <row r="65" customFormat="false" ht="15" hidden="false" customHeight="false" outlineLevel="0" collapsed="false">
      <c r="P65" s="34"/>
      <c r="Q65" s="48"/>
    </row>
    <row r="66" customFormat="false" ht="15" hidden="false" customHeight="false" outlineLevel="0" collapsed="false">
      <c r="P66" s="34"/>
      <c r="Q66" s="48"/>
    </row>
    <row r="67" customFormat="false" ht="15" hidden="false" customHeight="false" outlineLevel="0" collapsed="false">
      <c r="P67" s="34"/>
      <c r="Q67" s="48"/>
    </row>
  </sheetData>
  <conditionalFormatting sqref="K1:O1">
    <cfRule type="expression" priority="2" aboveAverage="0" equalAverage="0" bottom="0" percent="0" rank="0" text="" dxfId="4">
      <formula>" =CELL(“Protect”,A1)=1"</formula>
    </cfRule>
    <cfRule type="expression" priority="3" aboveAverage="0" equalAverage="0" bottom="0" percent="0" rank="0" text="" dxfId="1">
      <formula>" =CELL(“Protect”,A1)=1"</formula>
    </cfRule>
  </conditionalFormatting>
  <conditionalFormatting sqref="Q1:Q19">
    <cfRule type="expression" priority="4" aboveAverage="0" equalAverage="0" bottom="0" percent="0" rank="0" text="" dxfId="5">
      <formula>" =CELL(“Protect”,A1)=1"</formula>
    </cfRule>
    <cfRule type="expression" priority="5" aboveAverage="0" equalAverage="0" bottom="0" percent="0" rank="0" text="" dxfId="1">
      <formula>" =CELL(“Protect”,A1)=1"</formula>
    </cfRule>
  </conditionalFormatting>
  <conditionalFormatting sqref="A1:I1">
    <cfRule type="expression" priority="6" aboveAverage="0" equalAverage="0" bottom="0" percent="0" rank="0" text="" dxfId="6">
      <formula>" =CELL(“Protect”,A1)=1"</formula>
    </cfRule>
    <cfRule type="expression" priority="7"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62"/>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pane xSplit="0" ySplit="1" topLeftCell="A2" activePane="bottomLeft" state="frozen"/>
      <selection pane="topLeft" activeCell="E1" activeCellId="0" sqref="E1"/>
      <selection pane="bottomLeft" activeCell="H32" activeCellId="0" sqref="H3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51" width="9.71"/>
    <col collapsed="false" customWidth="true" hidden="false" outlineLevel="0" max="7" min="6" style="2" width="10.71"/>
    <col collapsed="false" customWidth="true" hidden="false" outlineLevel="0" max="8" min="8" style="0" width="9.71"/>
    <col collapsed="false" customWidth="true" hidden="false" outlineLevel="0" max="10" min="10" style="0" width="10.42"/>
    <col collapsed="false" customWidth="true" hidden="false" outlineLevel="0" max="12" min="12" style="0" width="11"/>
    <col collapsed="false" customWidth="true" hidden="false" outlineLevel="0" max="14" min="13" style="0" width="11.29"/>
    <col collapsed="false" customWidth="true" hidden="false" outlineLevel="0" max="16" min="16" style="2" width="9.14"/>
    <col collapsed="false" customWidth="true" hidden="false" outlineLevel="0" max="18" min="18" style="0" width="31.15"/>
    <col collapsed="false" customWidth="true" hidden="false" outlineLevel="0" max="19" min="19" style="0" width="8.71"/>
    <col collapsed="false" customWidth="true" hidden="false" outlineLevel="0" max="20" min="20" style="0" width="10.71"/>
  </cols>
  <sheetData>
    <row r="1" customFormat="false" ht="49.5" hidden="false" customHeight="true" outlineLevel="0" collapsed="false">
      <c r="A1" s="5" t="s">
        <v>0</v>
      </c>
      <c r="B1" s="6" t="s">
        <v>1</v>
      </c>
      <c r="C1" s="6" t="s">
        <v>2</v>
      </c>
      <c r="D1" s="7" t="s">
        <v>3</v>
      </c>
      <c r="E1" s="7" t="s">
        <v>4</v>
      </c>
      <c r="F1" s="8" t="s">
        <v>5</v>
      </c>
      <c r="G1" s="8" t="s">
        <v>6</v>
      </c>
      <c r="H1" s="6" t="s">
        <v>7</v>
      </c>
      <c r="I1" s="6" t="s">
        <v>8</v>
      </c>
      <c r="J1" s="145" t="s">
        <v>9</v>
      </c>
      <c r="K1" s="6" t="s">
        <v>10</v>
      </c>
      <c r="L1" s="6" t="s">
        <v>11</v>
      </c>
      <c r="M1" s="6" t="s">
        <v>12</v>
      </c>
      <c r="N1" s="6" t="s">
        <v>13</v>
      </c>
      <c r="O1" s="8" t="s">
        <v>77</v>
      </c>
      <c r="P1" s="9" t="s">
        <v>137</v>
      </c>
      <c r="T1" s="10"/>
      <c r="U1" s="71"/>
      <c r="V1" s="72"/>
      <c r="W1" s="72"/>
      <c r="X1" s="71"/>
      <c r="Y1" s="71"/>
      <c r="Z1" s="71"/>
      <c r="AA1" s="73"/>
      <c r="AB1" s="71"/>
      <c r="AC1" s="71"/>
      <c r="AD1" s="71"/>
    </row>
    <row r="2" customFormat="false" ht="15" hidden="false" customHeight="true" outlineLevel="0" collapsed="false">
      <c r="A2" s="11" t="n">
        <v>1</v>
      </c>
      <c r="B2" s="11" t="str">
        <f aca="false">TEXT($D2,"ddd")</f>
        <v>Mon</v>
      </c>
      <c r="C2" s="11" t="n">
        <f aca="false">$A$31-$A2</f>
        <v>29</v>
      </c>
      <c r="D2" s="51" t="n">
        <v>44851</v>
      </c>
      <c r="E2" s="51" t="n">
        <v>44852.2598611111</v>
      </c>
      <c r="F2" s="2" t="n">
        <v>77534.474</v>
      </c>
      <c r="G2" s="2" t="n">
        <v>77560.408</v>
      </c>
      <c r="H2" s="47" t="n">
        <v>25.932</v>
      </c>
      <c r="I2" s="13" t="n">
        <f aca="false">(H2)</f>
        <v>25.932</v>
      </c>
      <c r="J2" s="13" t="n">
        <f aca="false">(I2/A2)</f>
        <v>25.932</v>
      </c>
      <c r="K2" s="13" t="s">
        <v>124</v>
      </c>
      <c r="L2" s="15" t="str">
        <f aca="false">IF($H2&lt;&gt;"",K2,"")</f>
        <v> </v>
      </c>
      <c r="M2" s="16" t="n">
        <f aca="false">IF($J2&lt;&gt;"",$J2*DAYS-$A2,"")</f>
        <v>802.892</v>
      </c>
      <c r="N2" s="17" t="e">
        <f aca="false">IF(KWH&lt;&gt;"",(RATES*PROJ_USAGE)*(1+TAX)+ONCOR_DAILY,"")</f>
        <v>#VALUE!</v>
      </c>
      <c r="O2" s="17" t="n">
        <f aca="false">IF(KWH&lt;&gt;"",IF((BREAK-CUM_KWH)&gt;0,BREAK-CUM_KWH,0),"")</f>
        <v>974.068</v>
      </c>
      <c r="P2" s="18" t="n">
        <f aca="false">IF((BREAK-CUM_KWH)&gt;0,BREAK-CUM_KWH,"")</f>
        <v>974.068</v>
      </c>
      <c r="R2" s="19" t="s">
        <v>18</v>
      </c>
      <c r="S2" s="20" t="s">
        <v>19</v>
      </c>
      <c r="T2" s="21"/>
      <c r="U2" s="0" t="n">
        <v>2</v>
      </c>
      <c r="V2" s="74"/>
      <c r="W2" s="74"/>
    </row>
    <row r="3" s="102" customFormat="true" ht="15" hidden="false" customHeight="true" outlineLevel="0" collapsed="false">
      <c r="A3" s="86" t="n">
        <v>2</v>
      </c>
      <c r="B3" s="86" t="str">
        <f aca="false">TEXT($D3,"ddd")</f>
        <v>Tue</v>
      </c>
      <c r="C3" s="86" t="n">
        <f aca="false">$A$31-$A3</f>
        <v>28</v>
      </c>
      <c r="D3" s="119" t="n">
        <v>44852</v>
      </c>
      <c r="E3" s="119" t="n">
        <v>44853.2584375</v>
      </c>
      <c r="F3" s="92" t="n">
        <v>77560.408</v>
      </c>
      <c r="G3" s="92" t="n">
        <v>77578.806</v>
      </c>
      <c r="H3" s="146" t="n">
        <v>18.397</v>
      </c>
      <c r="I3" s="87" t="n">
        <f aca="false">IF($H3&gt;0,($I2+$H3),"")</f>
        <v>44.329</v>
      </c>
      <c r="J3" s="87" t="n">
        <f aca="false">IF($I3&gt;0,($I3/$A3),"")</f>
        <v>22.1645</v>
      </c>
      <c r="K3" s="87" t="n">
        <f aca="false">(($H3*$T$7)+$T$8)*(1+$S$9)</f>
        <v>2.98928187362926</v>
      </c>
      <c r="L3" s="88" t="e">
        <f aca="false">IF($H3&lt;1000,(L2+K3),(L2+K3))</f>
        <v>#VALUE!</v>
      </c>
      <c r="M3" s="89" t="n">
        <f aca="false">IF($J3&lt;&gt;"",$J3*DAYS-$A3,"")</f>
        <v>685.0995</v>
      </c>
      <c r="N3" s="90" t="e">
        <f aca="false">IF(KWH&lt;&gt;"",(RATES*PROJ_USAGE)*(1+TAX)+ONCOR_DAILY,"")</f>
        <v>#VALUE!</v>
      </c>
      <c r="O3" s="90" t="n">
        <f aca="false">IF(KWH&lt;&gt;"",IF((BREAK-CUM_KWH)&gt;0,BREAK-CUM_KWH,0),"")</f>
        <v>955.671</v>
      </c>
      <c r="P3" s="91" t="n">
        <f aca="false">IF((BREAK-CUM_KWH)&gt;0,BREAK-CUM_KWH,"")</f>
        <v>955.671</v>
      </c>
      <c r="R3" s="127" t="s">
        <v>22</v>
      </c>
      <c r="S3" s="128" t="n">
        <f aca="false">($F$2)+1000</f>
        <v>78534.474</v>
      </c>
      <c r="T3" s="129"/>
      <c r="U3" s="102" t="n">
        <v>3</v>
      </c>
      <c r="W3" s="72"/>
      <c r="X3" s="71"/>
      <c r="Y3" s="71"/>
      <c r="Z3" s="130"/>
      <c r="AD3" s="131"/>
    </row>
    <row r="4" s="102" customFormat="true" ht="15" hidden="false" customHeight="true" outlineLevel="0" collapsed="false">
      <c r="A4" s="86" t="n">
        <v>3</v>
      </c>
      <c r="B4" s="86" t="str">
        <f aca="false">TEXT($D4,"ddd")</f>
        <v>Wed</v>
      </c>
      <c r="C4" s="86" t="n">
        <f aca="false">$A$31-$A4</f>
        <v>27</v>
      </c>
      <c r="D4" s="119" t="n">
        <v>44853</v>
      </c>
      <c r="E4" s="119" t="n">
        <v>44854.2587731482</v>
      </c>
      <c r="F4" s="92" t="n">
        <v>77578.806</v>
      </c>
      <c r="G4" s="92" t="n">
        <v>77598.894</v>
      </c>
      <c r="H4" s="146" t="n">
        <v>20.087</v>
      </c>
      <c r="I4" s="87" t="n">
        <f aca="false">IF($H4&gt;0,($I3+$H4),"")</f>
        <v>64.416</v>
      </c>
      <c r="J4" s="87" t="n">
        <f aca="false">IF($H4&gt;0,($I3/$A3),"")</f>
        <v>22.1645</v>
      </c>
      <c r="K4" s="87" t="n">
        <f aca="false">(($H4*$T$7)+$T$8)*(1+$S$9)</f>
        <v>3.25360920915107</v>
      </c>
      <c r="L4" s="88" t="e">
        <f aca="false">IF($H4&lt;1000,(L3+K4),(L3+K4))</f>
        <v>#VALUE!</v>
      </c>
      <c r="M4" s="89" t="n">
        <f aca="false">IF($J4&lt;&gt;"",$J4*DAYS-$A4,"")</f>
        <v>684.0995</v>
      </c>
      <c r="N4" s="90" t="e">
        <f aca="false">IF(KWH&lt;&gt;"",(RATES*PROJ_USAGE)*(1+TAX)+ONCOR_DAILY,"")</f>
        <v>#VALUE!</v>
      </c>
      <c r="O4" s="90" t="n">
        <f aca="false">IF(KWH&lt;&gt;"",IF((BREAK-CUM_KWH)&gt;0,BREAK-CUM_KWH,0),"")</f>
        <v>935.584</v>
      </c>
      <c r="P4" s="91" t="n">
        <f aca="false">IF((BREAK-CUM_KWH)&gt;0,BREAK-CUM_KWH,"")</f>
        <v>935.584</v>
      </c>
      <c r="R4" s="127" t="s">
        <v>25</v>
      </c>
      <c r="S4" s="132"/>
      <c r="T4" s="133" t="n">
        <v>0.001667</v>
      </c>
      <c r="U4" s="102" t="n">
        <v>4</v>
      </c>
      <c r="V4" s="134"/>
      <c r="W4" s="147"/>
      <c r="X4" s="135"/>
      <c r="Y4" s="135"/>
      <c r="Z4" s="135"/>
      <c r="AA4" s="136"/>
      <c r="AD4" s="131"/>
    </row>
    <row r="5" s="45" customFormat="true" ht="15" hidden="false" customHeight="true" outlineLevel="0" collapsed="false">
      <c r="A5" s="11" t="n">
        <v>4</v>
      </c>
      <c r="B5" s="11" t="str">
        <f aca="false">TEXT($D5,"ddd")</f>
        <v>Thu</v>
      </c>
      <c r="C5" s="11" t="n">
        <f aca="false">$A$31-$A5</f>
        <v>26</v>
      </c>
      <c r="D5" s="51" t="n">
        <v>44854</v>
      </c>
      <c r="E5" s="51" t="n">
        <v>44855.2576967593</v>
      </c>
      <c r="F5" s="2" t="n">
        <v>77598.894</v>
      </c>
      <c r="G5" s="2" t="n">
        <v>77623.624</v>
      </c>
      <c r="H5" s="47" t="n">
        <v>24.728</v>
      </c>
      <c r="I5" s="13" t="n">
        <f aca="false">IF($H5&gt;0,($I4+$H5),"")</f>
        <v>89.144</v>
      </c>
      <c r="J5" s="13" t="n">
        <f aca="false">IF($H5&gt;0,($I4/$A5),"")</f>
        <v>16.104</v>
      </c>
      <c r="K5" s="13" t="n">
        <f aca="false">(($H5*$T$7)+$T$8)*(1+$S$9)</f>
        <v>3.97949273823788</v>
      </c>
      <c r="L5" s="15" t="e">
        <f aca="false">IF($H5&lt;1000,(L4+K5),(L4+K5))</f>
        <v>#VALUE!</v>
      </c>
      <c r="M5" s="16" t="n">
        <f aca="false">IF($J5&lt;&gt;"",$J5*DAYS-$A5,"")</f>
        <v>495.224</v>
      </c>
      <c r="N5" s="17" t="e">
        <f aca="false">IF(KWH&lt;&gt;"",(RATES*PROJ_USAGE)*(1+TAX)+ONCOR_DAILY,"")</f>
        <v>#VALUE!</v>
      </c>
      <c r="O5" s="17" t="n">
        <f aca="false">IF(KWH&lt;&gt;"",IF((BREAK-CUM_KWH)&gt;0,BREAK-CUM_KWH,0),"")</f>
        <v>910.856</v>
      </c>
      <c r="P5" s="18" t="n">
        <f aca="false">IF((BREAK-CUM_KWH)&gt;0,BREAK-CUM_KWH,"")</f>
        <v>910.856</v>
      </c>
      <c r="Q5" s="27"/>
      <c r="R5" s="22" t="s">
        <v>28</v>
      </c>
      <c r="S5" s="25"/>
      <c r="T5" s="26" t="n">
        <v>0.042</v>
      </c>
      <c r="U5" s="45" t="n">
        <v>5</v>
      </c>
    </row>
    <row r="6" customFormat="false" ht="15" hidden="false" customHeight="true" outlineLevel="0" collapsed="false">
      <c r="A6" s="11" t="n">
        <v>5</v>
      </c>
      <c r="B6" s="11" t="str">
        <f aca="false">TEXT($D6,"ddd")</f>
        <v>Fri</v>
      </c>
      <c r="C6" s="11" t="n">
        <f aca="false">$A$31-$A6</f>
        <v>25</v>
      </c>
      <c r="D6" s="51" t="n">
        <v>44855</v>
      </c>
      <c r="E6" s="51" t="n">
        <v>44856.2572337963</v>
      </c>
      <c r="F6" s="2" t="n">
        <v>77623.624</v>
      </c>
      <c r="G6" s="2" t="n">
        <v>77656.234</v>
      </c>
      <c r="H6" s="47" t="n">
        <v>32.609</v>
      </c>
      <c r="I6" s="13" t="n">
        <f aca="false">IF($H6&gt;0,($I5+$H6),"")</f>
        <v>121.753</v>
      </c>
      <c r="J6" s="13" t="n">
        <f aca="false">IF($H6&gt;0,($I5/$A6),"")</f>
        <v>17.8288</v>
      </c>
      <c r="K6" s="13" t="n">
        <f aca="false">(($H6*$T$7)+$T$8)*(1+$S$9)</f>
        <v>5.21213399933101</v>
      </c>
      <c r="L6" s="15" t="e">
        <f aca="false">IF($H6&lt;1000,(L5+K6),(L5+K6))</f>
        <v>#VALUE!</v>
      </c>
      <c r="M6" s="16" t="n">
        <f aca="false">IF($J6&lt;&gt;"",$J6*DAYS-$A6,"")</f>
        <v>547.6928</v>
      </c>
      <c r="N6" s="17" t="e">
        <f aca="false">IF(KWH&lt;&gt;"",(RATES*PROJ_USAGE)*(1+TAX)+ONCOR_DAILY,"")</f>
        <v>#VALUE!</v>
      </c>
      <c r="O6" s="17" t="n">
        <f aca="false">IF(KWH&lt;&gt;"",IF((BREAK-CUM_KWH)&gt;0,BREAK-CUM_KWH,0),"")</f>
        <v>878.247</v>
      </c>
      <c r="P6" s="18" t="n">
        <f aca="false">IF((BREAK-CUM_KWH)&gt;0,BREAK-CUM_KWH,"")</f>
        <v>878.247</v>
      </c>
      <c r="R6" s="22" t="s">
        <v>31</v>
      </c>
      <c r="S6" s="148"/>
      <c r="T6" s="26" t="n">
        <v>0.109677419354839</v>
      </c>
      <c r="U6" s="0" t="n">
        <v>6</v>
      </c>
    </row>
    <row r="7" customFormat="false" ht="15" hidden="false" customHeight="true" outlineLevel="0" collapsed="false">
      <c r="A7" s="11" t="n">
        <v>6</v>
      </c>
      <c r="B7" s="11" t="str">
        <f aca="false">TEXT($D7,"ddd")</f>
        <v>Sat</v>
      </c>
      <c r="C7" s="11" t="n">
        <f aca="false">$A$31-$A7</f>
        <v>24</v>
      </c>
      <c r="D7" s="51" t="n">
        <v>44856</v>
      </c>
      <c r="E7" s="51" t="n">
        <v>44857.2777893519</v>
      </c>
      <c r="F7" s="2" t="n">
        <v>77656.234</v>
      </c>
      <c r="G7" s="2" t="n">
        <v>77692.952</v>
      </c>
      <c r="H7" s="47" t="n">
        <v>36.719</v>
      </c>
      <c r="I7" s="13" t="n">
        <f aca="false">IF($H7&gt;0,($I6+$H7),"")</f>
        <v>158.472</v>
      </c>
      <c r="J7" s="13" t="n">
        <f aca="false">IF($H7&gt;0,($I6/$A7),"")</f>
        <v>20.2921666666667</v>
      </c>
      <c r="K7" s="13" t="n">
        <f aca="false">(($H7*$T$7)+$T$8)*(1+$S$9)</f>
        <v>5.85496556678346</v>
      </c>
      <c r="L7" s="15" t="e">
        <f aca="false">IF($H7&lt;1000,(L6+K7),(L6+K7))</f>
        <v>#VALUE!</v>
      </c>
      <c r="M7" s="16" t="n">
        <f aca="false">IF($J7&lt;&gt;"",$J7*DAYS-$A7,"")</f>
        <v>623.057166666667</v>
      </c>
      <c r="N7" s="17" t="e">
        <f aca="false">IF(KWH&lt;&gt;"",(RATES*PROJ_USAGE)*(1+TAX)+ONCOR_DAILY,"")</f>
        <v>#VALUE!</v>
      </c>
      <c r="O7" s="17" t="n">
        <f aca="false">IF(KWH&lt;&gt;"",IF((BREAK-CUM_KWH)&gt;0,BREAK-CUM_KWH,0),"")</f>
        <v>841.528</v>
      </c>
      <c r="P7" s="18" t="n">
        <f aca="false">IF((BREAK-CUM_KWH)&gt;0,BREAK-CUM_KWH,"")</f>
        <v>841.528</v>
      </c>
      <c r="R7" s="22" t="s">
        <v>34</v>
      </c>
      <c r="S7" s="25"/>
      <c r="T7" s="139" t="n">
        <f aca="false">SUM(T4:T6)</f>
        <v>0.153344419354839</v>
      </c>
      <c r="U7" s="102" t="n">
        <v>7</v>
      </c>
    </row>
    <row r="8" customFormat="false" ht="15" hidden="false" customHeight="false" outlineLevel="0" collapsed="false">
      <c r="A8" s="11" t="n">
        <v>7</v>
      </c>
      <c r="B8" s="11" t="str">
        <f aca="false">TEXT($D8,"ddd")</f>
        <v>Sun</v>
      </c>
      <c r="C8" s="11" t="n">
        <f aca="false">$A$31-$A8</f>
        <v>23</v>
      </c>
      <c r="D8" s="51" t="n">
        <v>44857</v>
      </c>
      <c r="E8" s="51" t="n">
        <v>44858.2576967593</v>
      </c>
      <c r="F8" s="2" t="n">
        <v>77692.952</v>
      </c>
      <c r="G8" s="2" t="n">
        <v>77727.547</v>
      </c>
      <c r="H8" s="47" t="n">
        <v>34.587</v>
      </c>
      <c r="I8" s="13" t="n">
        <f aca="false">IF($H8&gt;0,($I7+$H8),"")</f>
        <v>193.059</v>
      </c>
      <c r="J8" s="13" t="n">
        <f aca="false">IF($H8&gt;0,($I7/$A8),"")</f>
        <v>22.6388571428571</v>
      </c>
      <c r="K8" s="13" t="n">
        <f aca="false">(($H8*$T$7)+$T$8)*(1+$S$9)</f>
        <v>5.52150646658671</v>
      </c>
      <c r="L8" s="15" t="e">
        <f aca="false">IF($H8&lt;1000,(L7+K8),(L7+K8))</f>
        <v>#VALUE!</v>
      </c>
      <c r="M8" s="16" t="n">
        <f aca="false">IF($J8&lt;&gt;"",$J8*DAYS-$A8,"")</f>
        <v>694.804571428572</v>
      </c>
      <c r="N8" s="17" t="e">
        <f aca="false">IF(KWH&lt;&gt;"",(RATES*PROJ_USAGE)*(1+TAX)+ONCOR_DAILY,"")</f>
        <v>#VALUE!</v>
      </c>
      <c r="O8" s="17" t="n">
        <f aca="false">IF(KWH&lt;&gt;"",IF((BREAK-CUM_KWH)&gt;0,BREAK-CUM_KWH,0),"")</f>
        <v>806.941</v>
      </c>
      <c r="P8" s="18" t="n">
        <f aca="false">IF((BREAK-CUM_KWH)&gt;0,BREAK-CUM_KWH,"")</f>
        <v>806.941</v>
      </c>
      <c r="R8" s="22" t="s">
        <v>127</v>
      </c>
      <c r="S8" s="33" t="n">
        <v>3.4</v>
      </c>
      <c r="T8" s="140" t="n">
        <v>0.109677419354839</v>
      </c>
      <c r="U8" s="0" t="n">
        <v>8</v>
      </c>
    </row>
    <row r="9" customFormat="false" ht="15" hidden="false" customHeight="false" outlineLevel="0" collapsed="false">
      <c r="A9" s="11" t="n">
        <v>8</v>
      </c>
      <c r="B9" s="11" t="str">
        <f aca="false">TEXT($D9,"ddd")</f>
        <v>Mon</v>
      </c>
      <c r="C9" s="11" t="n">
        <f aca="false">$A$31-$A9</f>
        <v>22</v>
      </c>
      <c r="D9" s="51" t="n">
        <v>44858</v>
      </c>
      <c r="E9" s="51" t="n">
        <v>44859.2580787037</v>
      </c>
      <c r="F9" s="2" t="n">
        <v>77727.547</v>
      </c>
      <c r="G9" s="2" t="n">
        <v>77762.092</v>
      </c>
      <c r="H9" s="47" t="n">
        <v>34.543</v>
      </c>
      <c r="I9" s="13" t="n">
        <f aca="false">IF($H9&gt;0,($I8+$H9),"")</f>
        <v>227.602</v>
      </c>
      <c r="J9" s="13" t="n">
        <f aca="false">IF($H9&gt;0,($I8/$A9),"")</f>
        <v>24.132375</v>
      </c>
      <c r="K9" s="13" t="n">
        <f aca="false">(($H9*$T$7)+$T$8)*(1+$S$9)</f>
        <v>5.5146245714607</v>
      </c>
      <c r="L9" s="15" t="e">
        <f aca="false">IF($H9&lt;1000,(L8+K9),(L8+K9))</f>
        <v>#VALUE!</v>
      </c>
      <c r="M9" s="16" t="n">
        <f aca="false">IF($J9&lt;&gt;"",$J9*DAYS-$A9,"")</f>
        <v>740.103625</v>
      </c>
      <c r="N9" s="17" t="e">
        <f aca="false">IF(KWH&lt;&gt;"",(RATES*PROJ_USAGE)*(1+TAX)+ONCOR_DAILY,"")</f>
        <v>#VALUE!</v>
      </c>
      <c r="O9" s="17" t="n">
        <f aca="false">IF(KWH&lt;&gt;"",IF((BREAK-CUM_KWH)&gt;0,BREAK-CUM_KWH,0),"")</f>
        <v>772.398</v>
      </c>
      <c r="P9" s="18" t="n">
        <f aca="false">IF((BREAK-CUM_KWH)&gt;0,BREAK-CUM_KWH,"")</f>
        <v>772.398</v>
      </c>
      <c r="R9" s="22" t="s">
        <v>42</v>
      </c>
      <c r="S9" s="30" t="n">
        <v>0.01997</v>
      </c>
      <c r="T9" s="32"/>
      <c r="U9" s="0" t="n">
        <v>9</v>
      </c>
    </row>
    <row r="10" customFormat="false" ht="15" hidden="false" customHeight="false" outlineLevel="0" collapsed="false">
      <c r="A10" s="11" t="n">
        <v>9</v>
      </c>
      <c r="B10" s="11" t="str">
        <f aca="false">TEXT($D10,"ddd")</f>
        <v>Tue</v>
      </c>
      <c r="C10" s="11" t="n">
        <f aca="false">$A$31-$A10</f>
        <v>21</v>
      </c>
      <c r="D10" s="51" t="n">
        <v>44859</v>
      </c>
      <c r="E10" s="51" t="n">
        <v>44860.2584375</v>
      </c>
      <c r="F10" s="2" t="n">
        <v>77762.092</v>
      </c>
      <c r="G10" s="2" t="n">
        <v>77782.73</v>
      </c>
      <c r="H10" s="47" t="n">
        <v>20.643</v>
      </c>
      <c r="I10" s="13" t="n">
        <f aca="false">IF($H10&gt;0,($I9+$H10),"")</f>
        <v>248.245</v>
      </c>
      <c r="J10" s="13" t="n">
        <f aca="false">IF($H10&gt;0,($I9/$A10),"")</f>
        <v>25.2891111111111</v>
      </c>
      <c r="K10" s="13" t="n">
        <f aca="false">(($H10*$T$7)+$T$8)*(1+$S$9)</f>
        <v>3.34057133847067</v>
      </c>
      <c r="L10" s="15" t="e">
        <f aca="false">IF($H10&lt;1000,(L9+K10),(L9+K10))</f>
        <v>#VALUE!</v>
      </c>
      <c r="M10" s="16" t="n">
        <f aca="false">IF($J10&lt;&gt;"",$J10*DAYS-$A10,"")</f>
        <v>774.962444444445</v>
      </c>
      <c r="N10" s="17" t="e">
        <f aca="false">IF(KWH&lt;&gt;"",(RATES*PROJ_USAGE)*(1+TAX)+ONCOR_DAILY,"")</f>
        <v>#VALUE!</v>
      </c>
      <c r="O10" s="17" t="n">
        <f aca="false">IF(KWH&lt;&gt;"",IF((BREAK-CUM_KWH)&gt;0,BREAK-CUM_KWH,0),"")</f>
        <v>751.755</v>
      </c>
      <c r="P10" s="18" t="n">
        <f aca="false">IF((BREAK-CUM_KWH)&gt;0,BREAK-CUM_KWH,"")</f>
        <v>751.755</v>
      </c>
      <c r="R10" s="22" t="s">
        <v>46</v>
      </c>
      <c r="S10" s="33" t="n">
        <v>100</v>
      </c>
      <c r="T10" s="24" t="n">
        <v>1000</v>
      </c>
      <c r="U10" s="102" t="n">
        <v>10</v>
      </c>
    </row>
    <row r="11" customFormat="false" ht="15" hidden="false" customHeight="false" outlineLevel="0" collapsed="false">
      <c r="A11" s="11" t="n">
        <v>10</v>
      </c>
      <c r="B11" s="11" t="str">
        <f aca="false">TEXT($D11,"ddd")</f>
        <v>Wed</v>
      </c>
      <c r="C11" s="11" t="n">
        <f aca="false">$A$31-$A11</f>
        <v>20</v>
      </c>
      <c r="D11" s="51" t="n">
        <v>44860</v>
      </c>
      <c r="E11" s="51" t="n">
        <v>44861.2585648148</v>
      </c>
      <c r="F11" s="2" t="n">
        <v>77782.73</v>
      </c>
      <c r="G11" s="2" t="n">
        <v>77810.036</v>
      </c>
      <c r="H11" s="47" t="n">
        <v>27.309</v>
      </c>
      <c r="I11" s="13" t="n">
        <f aca="false">IF($H11&gt;0,($I10+$H11),"")</f>
        <v>275.554</v>
      </c>
      <c r="J11" s="13" t="n">
        <f aca="false">IF($H11&gt;0,($I10/$A11),"")</f>
        <v>24.8245</v>
      </c>
      <c r="K11" s="13" t="n">
        <f aca="false">(($H11*$T$7)+$T$8)*(1+$S$9)</f>
        <v>4.38317845006143</v>
      </c>
      <c r="L11" s="15" t="e">
        <f aca="false">IF($H11&lt;1000,(L10+K11),(L10+K11))</f>
        <v>#VALUE!</v>
      </c>
      <c r="M11" s="16" t="n">
        <f aca="false">IF($J11&lt;&gt;"",$J11*DAYS-$A11,"")</f>
        <v>759.5595</v>
      </c>
      <c r="N11" s="17" t="e">
        <f aca="false">IF(KWH&lt;&gt;"",(RATES*PROJ_USAGE)*(1+TAX)+ONCOR_DAILY,"")</f>
        <v>#VALUE!</v>
      </c>
      <c r="O11" s="17" t="n">
        <f aca="false">IF(KWH&lt;&gt;"",IF((BREAK-CUM_KWH)&gt;0,BREAK-CUM_KWH,0),"")</f>
        <v>724.446</v>
      </c>
      <c r="P11" s="18" t="n">
        <f aca="false">IF((BREAK-CUM_KWH)&gt;0,BREAK-CUM_KWH,"")</f>
        <v>724.446</v>
      </c>
      <c r="R11" s="22" t="s">
        <v>49</v>
      </c>
      <c r="S11" s="33" t="n">
        <v>295</v>
      </c>
      <c r="T11" s="32"/>
      <c r="U11" s="0" t="n">
        <v>11</v>
      </c>
    </row>
    <row r="12" customFormat="false" ht="15" hidden="false" customHeight="false" outlineLevel="0" collapsed="false">
      <c r="A12" s="11" t="n">
        <v>11</v>
      </c>
      <c r="B12" s="11" t="str">
        <f aca="false">TEXT($D12,"ddd")</f>
        <v>Thu</v>
      </c>
      <c r="C12" s="11" t="n">
        <f aca="false">$A$31-$A12</f>
        <v>19</v>
      </c>
      <c r="D12" s="51" t="n">
        <v>44861</v>
      </c>
      <c r="E12" s="51" t="n">
        <v>44862.2583796296</v>
      </c>
      <c r="F12" s="2" t="n">
        <v>77810.036</v>
      </c>
      <c r="G12" s="2" t="n">
        <v>77833.712</v>
      </c>
      <c r="H12" s="47" t="n">
        <v>23.676</v>
      </c>
      <c r="I12" s="13" t="n">
        <f aca="false">IF($H12&gt;0,($I11+$H12),"")</f>
        <v>299.23</v>
      </c>
      <c r="J12" s="13" t="n">
        <f aca="false">IF($H12&gt;0,($I11/$A12),"")</f>
        <v>25.0503636363636</v>
      </c>
      <c r="K12" s="13" t="n">
        <f aca="false">(($H12*$T$7)+$T$8)*(1+$S$9)</f>
        <v>3.81495288204324</v>
      </c>
      <c r="L12" s="15" t="e">
        <f aca="false">IF($H12&lt;1000,(L11+K12),(L11+K12))</f>
        <v>#VALUE!</v>
      </c>
      <c r="M12" s="16" t="n">
        <f aca="false">IF($J12&lt;&gt;"",$J12*DAYS-$A12,"")</f>
        <v>765.561272727273</v>
      </c>
      <c r="N12" s="17" t="e">
        <f aca="false">IF(KWH&lt;&gt;"",(RATES*PROJ_USAGE)*(1+TAX)+ONCOR_DAILY,"")</f>
        <v>#VALUE!</v>
      </c>
      <c r="O12" s="17" t="n">
        <f aca="false">IF(KWH&lt;&gt;"",IF((BREAK-CUM_KWH)&gt;0,BREAK-CUM_KWH,0),"")</f>
        <v>700.77</v>
      </c>
      <c r="P12" s="18" t="n">
        <f aca="false">IF((BREAK-CUM_KWH)&gt;0,BREAK-CUM_KWH,"")</f>
        <v>700.77</v>
      </c>
      <c r="R12" s="22" t="s">
        <v>52</v>
      </c>
      <c r="S12" s="141"/>
      <c r="T12" s="32"/>
      <c r="U12" s="0" t="n">
        <v>12</v>
      </c>
    </row>
    <row r="13" customFormat="false" ht="15" hidden="false" customHeight="false" outlineLevel="0" collapsed="false">
      <c r="A13" s="11" t="n">
        <v>12</v>
      </c>
      <c r="B13" s="11" t="str">
        <f aca="false">TEXT($D13,"ddd")</f>
        <v>Fri</v>
      </c>
      <c r="C13" s="11" t="n">
        <f aca="false">$A$31-$A13</f>
        <v>18</v>
      </c>
      <c r="D13" s="51" t="n">
        <v>44862</v>
      </c>
      <c r="E13" s="51" t="n">
        <v>44863.2570486111</v>
      </c>
      <c r="F13" s="2" t="n">
        <v>77833.712</v>
      </c>
      <c r="G13" s="2" t="n">
        <v>77863.705</v>
      </c>
      <c r="H13" s="47" t="n">
        <v>29.993</v>
      </c>
      <c r="I13" s="13" t="n">
        <f aca="false">IF($H13&gt;0,($I12+$H13),"")</f>
        <v>329.223</v>
      </c>
      <c r="J13" s="13" t="n">
        <f aca="false">IF($H13&gt;0,($I12/$A13),"")</f>
        <v>24.9358333333333</v>
      </c>
      <c r="K13" s="13" t="n">
        <f aca="false">(($H13*$T$7)+$T$8)*(1+$S$9)</f>
        <v>4.80297405274814</v>
      </c>
      <c r="L13" s="15" t="e">
        <f aca="false">IF($H13&lt;1000,(L12+K13),(L12+K13))</f>
        <v>#VALUE!</v>
      </c>
      <c r="M13" s="16" t="n">
        <f aca="false">IF($J13&lt;&gt;"",$J13*DAYS-$A13,"")</f>
        <v>761.010833333333</v>
      </c>
      <c r="N13" s="17" t="e">
        <f aca="false">IF(KWH&lt;&gt;"",(RATES*PROJ_USAGE)*(1+TAX)+ONCOR_DAILY,"")</f>
        <v>#VALUE!</v>
      </c>
      <c r="O13" s="17" t="n">
        <f aca="false">IF(KWH&lt;&gt;"",IF((BREAK-CUM_KWH)&gt;0,BREAK-CUM_KWH,0),"")</f>
        <v>670.777</v>
      </c>
      <c r="P13" s="18" t="n">
        <f aca="false">IF((BREAK-CUM_KWH)&gt;0,BREAK-CUM_KWH,"")</f>
        <v>670.777</v>
      </c>
      <c r="R13" s="22" t="s">
        <v>55</v>
      </c>
      <c r="S13" s="97" t="e">
        <f aca="false">INDEX($L2:$L32,COUNT($L2:LI32))</f>
        <v>#REF!</v>
      </c>
      <c r="T13" s="32"/>
      <c r="U13" s="102" t="n">
        <v>13</v>
      </c>
    </row>
    <row r="14" customFormat="false" ht="15" hidden="false" customHeight="false" outlineLevel="0" collapsed="false">
      <c r="A14" s="11" t="n">
        <v>13</v>
      </c>
      <c r="B14" s="11" t="str">
        <f aca="false">TEXT($D14,"ddd")</f>
        <v>Sat</v>
      </c>
      <c r="C14" s="11" t="n">
        <f aca="false">$A$31-$A14</f>
        <v>17</v>
      </c>
      <c r="D14" s="51" t="n">
        <v>44863</v>
      </c>
      <c r="E14" s="51" t="n">
        <v>44864.2770023148</v>
      </c>
      <c r="F14" s="2" t="n">
        <v>77863.705</v>
      </c>
      <c r="G14" s="2" t="n">
        <v>77884.313</v>
      </c>
      <c r="H14" s="47" t="n">
        <v>20.611</v>
      </c>
      <c r="I14" s="13" t="n">
        <f aca="false">IF($H14&gt;0,($I13+$H14),"")</f>
        <v>349.834</v>
      </c>
      <c r="J14" s="13" t="n">
        <f aca="false">IF($H14&gt;0,($I13/$A14),"")</f>
        <v>25.3248461538462</v>
      </c>
      <c r="K14" s="13" t="n">
        <f aca="false">(($H14*$T$7)+$T$8)*(1+$S$9)</f>
        <v>3.33556632383357</v>
      </c>
      <c r="L14" s="15" t="e">
        <f aca="false">IF($H14&lt;1000,(L13+K14),(L13+K14))</f>
        <v>#VALUE!</v>
      </c>
      <c r="M14" s="16" t="n">
        <f aca="false">IF($J14&lt;&gt;"",$J14*DAYS-$A14,"")</f>
        <v>772.070230769231</v>
      </c>
      <c r="N14" s="17" t="e">
        <f aca="false">IF(KWH&lt;&gt;"",(RATES*PROJ_USAGE)*(1+TAX)+ONCOR_DAILY,"")</f>
        <v>#VALUE!</v>
      </c>
      <c r="O14" s="17" t="n">
        <f aca="false">IF(KWH&lt;&gt;"",IF((BREAK-CUM_KWH)&gt;0,BREAK-CUM_KWH,0),"")</f>
        <v>650.166</v>
      </c>
      <c r="P14" s="18" t="n">
        <f aca="false">IF((BREAK-CUM_KWH)&gt;0,BREAK-CUM_KWH,"")</f>
        <v>650.166</v>
      </c>
      <c r="R14" s="22" t="s">
        <v>131</v>
      </c>
      <c r="S14" s="99" t="n">
        <f aca="false">MAX(H2:H31)</f>
        <v>80.336</v>
      </c>
      <c r="T14" s="32"/>
      <c r="U14" s="0" t="n">
        <v>14</v>
      </c>
    </row>
    <row r="15" customFormat="false" ht="15" hidden="false" customHeight="false" outlineLevel="0" collapsed="false">
      <c r="A15" s="11" t="n">
        <v>14</v>
      </c>
      <c r="B15" s="11" t="str">
        <f aca="false">TEXT($D15,"ddd")</f>
        <v>Sun</v>
      </c>
      <c r="C15" s="11" t="n">
        <f aca="false">$A$31-$A15</f>
        <v>16</v>
      </c>
      <c r="D15" s="51" t="n">
        <v>44864</v>
      </c>
      <c r="E15" s="51" t="n">
        <v>44865.2585069445</v>
      </c>
      <c r="F15" s="2" t="n">
        <v>77884.313</v>
      </c>
      <c r="G15" s="2" t="n">
        <v>77906.119</v>
      </c>
      <c r="H15" s="47" t="n">
        <v>21.808</v>
      </c>
      <c r="I15" s="13" t="n">
        <f aca="false">IF($H15&gt;0,($I14+$H15),"")</f>
        <v>371.642</v>
      </c>
      <c r="J15" s="13" t="n">
        <f aca="false">IF($H15&gt;0,($I14/$A15),"")</f>
        <v>24.9881428571429</v>
      </c>
      <c r="K15" s="13" t="n">
        <f aca="false">(($H15*$T$7)+$T$8)*(1+$S$9)</f>
        <v>3.52278515260257</v>
      </c>
      <c r="L15" s="15" t="e">
        <f aca="false">IF($H15&lt;1000,(L14+K15),(L14+K15))</f>
        <v>#VALUE!</v>
      </c>
      <c r="M15" s="16" t="n">
        <f aca="false">IF($J15&lt;&gt;"",$J15*DAYS-$A15,"")</f>
        <v>760.632428571429</v>
      </c>
      <c r="N15" s="17" t="e">
        <f aca="false">IF(KWH&lt;&gt;"",(RATES*PROJ_USAGE)*(1+TAX)+ONCOR_DAILY,"")</f>
        <v>#VALUE!</v>
      </c>
      <c r="O15" s="17" t="n">
        <f aca="false">IF(KWH&lt;&gt;"",IF((BREAK-CUM_KWH)&gt;0,BREAK-CUM_KWH,0),"")</f>
        <v>628.358</v>
      </c>
      <c r="P15" s="18" t="n">
        <f aca="false">IF((BREAK-CUM_KWH)&gt;0,BREAK-CUM_KWH,"")</f>
        <v>628.358</v>
      </c>
      <c r="R15" s="22" t="s">
        <v>132</v>
      </c>
      <c r="S15" s="99" t="n">
        <f aca="false">MIN(H2:H31)</f>
        <v>18.397</v>
      </c>
      <c r="T15" s="32"/>
      <c r="U15" s="0" t="n">
        <v>15</v>
      </c>
    </row>
    <row r="16" customFormat="false" ht="15" hidden="false" customHeight="false" outlineLevel="0" collapsed="false">
      <c r="A16" s="11" t="n">
        <v>15</v>
      </c>
      <c r="B16" s="11" t="str">
        <f aca="false">TEXT($D16,"ddd")</f>
        <v>Mon</v>
      </c>
      <c r="C16" s="11" t="n">
        <f aca="false">$A$31-$A16</f>
        <v>15</v>
      </c>
      <c r="D16" s="51" t="n">
        <v>44865</v>
      </c>
      <c r="E16" s="51" t="n">
        <v>44867.2580902778</v>
      </c>
      <c r="F16" s="2" t="n">
        <v>77906.119</v>
      </c>
      <c r="G16" s="2" t="n">
        <v>77932.919</v>
      </c>
      <c r="H16" s="47" t="n">
        <v>26.548</v>
      </c>
      <c r="I16" s="13" t="n">
        <f aca="false">IF($H16&gt;0,($I15+$H16),"")</f>
        <v>398.19</v>
      </c>
      <c r="J16" s="13" t="n">
        <f aca="false">IF($H16&gt;0,($I15/$A16),"")</f>
        <v>24.7761333333333</v>
      </c>
      <c r="K16" s="13" t="n">
        <f aca="false">(($H16*$T$7)+$T$8)*(1+$S$9)</f>
        <v>4.26415294572291</v>
      </c>
      <c r="L16" s="15" t="e">
        <f aca="false">IF($H16&lt;1000,(L15+K16),(L15+K16))</f>
        <v>#VALUE!</v>
      </c>
      <c r="M16" s="16" t="n">
        <f aca="false">IF($J16&lt;&gt;"",$J16*DAYS-$A16,"")</f>
        <v>753.060133333333</v>
      </c>
      <c r="N16" s="17" t="e">
        <f aca="false">IF(KWH&lt;&gt;"",(RATES*PROJ_USAGE)*(1+TAX)+ONCOR_DAILY,"")</f>
        <v>#VALUE!</v>
      </c>
      <c r="O16" s="17" t="n">
        <f aca="false">IF(KWH&lt;&gt;"",IF((BREAK-CUM_KWH)&gt;0,BREAK-CUM_KWH,0),"")</f>
        <v>601.81</v>
      </c>
      <c r="P16" s="18" t="n">
        <f aca="false">IF((BREAK-CUM_KWH)&gt;0,BREAK-CUM_KWH,"")</f>
        <v>601.81</v>
      </c>
      <c r="R16" s="40" t="s">
        <v>58</v>
      </c>
      <c r="S16" s="100" t="s">
        <v>138</v>
      </c>
      <c r="T16" s="101"/>
      <c r="U16" s="102" t="n">
        <v>16</v>
      </c>
    </row>
    <row r="17" customFormat="false" ht="15" hidden="false" customHeight="false" outlineLevel="0" collapsed="false">
      <c r="A17" s="11" t="n">
        <v>16</v>
      </c>
      <c r="B17" s="11" t="str">
        <f aca="false">TEXT($D17,"ddd")</f>
        <v>Tue</v>
      </c>
      <c r="C17" s="11" t="n">
        <f aca="false">$A$31-$A17</f>
        <v>14</v>
      </c>
      <c r="D17" s="51" t="n">
        <v>44866</v>
      </c>
      <c r="E17" s="51" t="n">
        <v>44867.2575810185</v>
      </c>
      <c r="F17" s="2" t="n">
        <v>77932.919</v>
      </c>
      <c r="G17" s="2" t="n">
        <v>77954.917</v>
      </c>
      <c r="H17" s="47" t="n">
        <v>21.998</v>
      </c>
      <c r="I17" s="13" t="n">
        <f aca="false">IF($H17&gt;0,($I16+$H17),"")</f>
        <v>420.188</v>
      </c>
      <c r="J17" s="13" t="n">
        <f aca="false">IF($H17&gt;0,($I16/$A17),"")</f>
        <v>24.886875</v>
      </c>
      <c r="K17" s="13" t="n">
        <f aca="false">(($H17*$T$7)+$T$8)*(1+$S$9)</f>
        <v>3.55250242701034</v>
      </c>
      <c r="L17" s="15" t="e">
        <f aca="false">IF($H17&lt;1000,(L16+K17),(L16+K17))</f>
        <v>#VALUE!</v>
      </c>
      <c r="M17" s="16" t="n">
        <f aca="false">IF($J17&lt;&gt;"",$J17*DAYS-$A17,"")</f>
        <v>755.493125</v>
      </c>
      <c r="N17" s="17" t="e">
        <f aca="false">IF(KWH&lt;&gt;"",(RATES*PROJ_USAGE)*(1+TAX)+ONCOR_DAILY,"")</f>
        <v>#VALUE!</v>
      </c>
      <c r="O17" s="17" t="n">
        <f aca="false">IF(KWH&lt;&gt;"",IF((BREAK-CUM_KWH)&gt;0,BREAK-CUM_KWH,0),"")</f>
        <v>579.812</v>
      </c>
      <c r="P17" s="18" t="n">
        <f aca="false">IF((BREAK-CUM_KWH)&gt;0,BREAK-CUM_KWH,"")</f>
        <v>579.812</v>
      </c>
    </row>
    <row r="18" customFormat="false" ht="15" hidden="false" customHeight="false" outlineLevel="0" collapsed="false">
      <c r="A18" s="11" t="n">
        <v>17</v>
      </c>
      <c r="B18" s="11" t="str">
        <f aca="false">TEXT($D18,"ddd")</f>
        <v>Wed</v>
      </c>
      <c r="C18" s="11" t="n">
        <f aca="false">$A$31-$A18</f>
        <v>13</v>
      </c>
      <c r="D18" s="51" t="n">
        <v>44867</v>
      </c>
      <c r="E18" s="51" t="n">
        <v>44868.258275463</v>
      </c>
      <c r="F18" s="2" t="n">
        <v>77954.917</v>
      </c>
      <c r="G18" s="2" t="n">
        <v>77988.827</v>
      </c>
      <c r="H18" s="47" t="n">
        <v>33.91</v>
      </c>
      <c r="I18" s="13" t="n">
        <f aca="false">IF($H18&gt;0,($I17+$H18),"")</f>
        <v>454.098</v>
      </c>
      <c r="J18" s="13" t="n">
        <f aca="false">IF($H18&gt;0,($I17/$A18),"")</f>
        <v>24.7169411764706</v>
      </c>
      <c r="K18" s="13" t="n">
        <f aca="false">(($H18*$T$7)+$T$8)*(1+$S$9)</f>
        <v>5.41561912567058</v>
      </c>
      <c r="L18" s="15" t="e">
        <f aca="false">IF($H18&lt;1000,(L17+K18),(L17+K18))</f>
        <v>#VALUE!</v>
      </c>
      <c r="M18" s="16" t="n">
        <f aca="false">IF($J18&lt;&gt;"",$J18*DAYS-$A18,"")</f>
        <v>749.225176470588</v>
      </c>
      <c r="N18" s="17" t="e">
        <f aca="false">IF(KWH&lt;&gt;"",(RATES*PROJ_USAGE)*(1+TAX)+ONCOR_DAILY,"")</f>
        <v>#VALUE!</v>
      </c>
      <c r="O18" s="17" t="n">
        <f aca="false">IF(KWH&lt;&gt;"",IF((BREAK-CUM_KWH)&gt;0,BREAK-CUM_KWH,0),"")</f>
        <v>545.902</v>
      </c>
      <c r="P18" s="18" t="n">
        <f aca="false">IF((BREAK-CUM_KWH)&gt;0,BREAK-CUM_KWH,"")</f>
        <v>545.902</v>
      </c>
    </row>
    <row r="19" customFormat="false" ht="15" hidden="false" customHeight="false" outlineLevel="0" collapsed="false">
      <c r="A19" s="11" t="n">
        <v>18</v>
      </c>
      <c r="B19" s="11" t="str">
        <f aca="false">TEXT($D19,"ddd")</f>
        <v>Thu</v>
      </c>
      <c r="C19" s="11" t="n">
        <f aca="false">$A$31-$A19</f>
        <v>12</v>
      </c>
      <c r="D19" s="51" t="n">
        <v>44868</v>
      </c>
      <c r="E19" s="51" t="n">
        <v>44869.2586689815</v>
      </c>
      <c r="F19" s="2" t="n">
        <v>77988.827</v>
      </c>
      <c r="G19" s="2" t="n">
        <v>78026.088</v>
      </c>
      <c r="H19" s="47" t="n">
        <v>37.258</v>
      </c>
      <c r="I19" s="13" t="n">
        <f aca="false">IF($H3&gt;0,($I18+$H19),"")</f>
        <v>491.356</v>
      </c>
      <c r="J19" s="13" t="n">
        <f aca="false">IF($H19&gt;0,($I18/$A19),"")</f>
        <v>25.2276666666667</v>
      </c>
      <c r="K19" s="13" t="n">
        <f aca="false">(($H19*$T$7)+$T$8)*(1+$S$9)</f>
        <v>5.9392687820771</v>
      </c>
      <c r="L19" s="15" t="e">
        <f aca="false">IF($H19&lt;1000,(L18+K19),(L18+K19))</f>
        <v>#VALUE!</v>
      </c>
      <c r="M19" s="16" t="n">
        <f aca="false">IF($J19&lt;&gt;"",$J19*DAYS-$A19,"")</f>
        <v>764.057666666667</v>
      </c>
      <c r="N19" s="17" t="e">
        <f aca="false">IF(KWH&lt;&gt;"",(RATES*PROJ_USAGE)*(1+TAX)+ONCOR_DAILY,"")</f>
        <v>#VALUE!</v>
      </c>
      <c r="O19" s="17" t="n">
        <f aca="false">IF(KWH&lt;&gt;"",IF((BREAK-CUM_KWH)&gt;0,BREAK-CUM_KWH,0),"")</f>
        <v>508.644</v>
      </c>
      <c r="P19" s="18" t="n">
        <f aca="false">IF((BREAK-CUM_KWH)&gt;0,BREAK-CUM_KWH,"")</f>
        <v>508.644</v>
      </c>
    </row>
    <row r="20" customFormat="false" ht="15" hidden="false" customHeight="false" outlineLevel="0" collapsed="false">
      <c r="A20" s="11" t="n">
        <v>19</v>
      </c>
      <c r="B20" s="11" t="str">
        <f aca="false">TEXT($D20,"ddd")</f>
        <v>Fri</v>
      </c>
      <c r="C20" s="11" t="n">
        <f aca="false">$A$31-$A20</f>
        <v>11</v>
      </c>
      <c r="D20" s="51" t="n">
        <v>44869</v>
      </c>
      <c r="E20" s="51" t="n">
        <v>44870.2569560185</v>
      </c>
      <c r="F20" s="2" t="n">
        <v>78026.088</v>
      </c>
      <c r="G20" s="2" t="n">
        <v>78066.474</v>
      </c>
      <c r="H20" s="47" t="n">
        <v>40.386</v>
      </c>
      <c r="I20" s="13" t="n">
        <f aca="false">IF($H20&gt;0,($I19+$H20),"")</f>
        <v>531.742</v>
      </c>
      <c r="J20" s="13" t="n">
        <f aca="false">IF($H20&gt;0,($I19/$A20),"")</f>
        <v>25.8608421052632</v>
      </c>
      <c r="K20" s="13" t="n">
        <f aca="false">(($H20*$T$7)+$T$8)*(1+$S$9)</f>
        <v>6.42850896285356</v>
      </c>
      <c r="L20" s="15" t="e">
        <f aca="false">IF($H20&lt;1000,(L19+K20),(L19+K20))</f>
        <v>#VALUE!</v>
      </c>
      <c r="M20" s="16" t="n">
        <f aca="false">IF($J20&lt;&gt;"",$J20*DAYS-$A20,"")</f>
        <v>782.686105263158</v>
      </c>
      <c r="N20" s="17" t="e">
        <f aca="false">IF(KWH&lt;&gt;"",(RATES*PROJ_USAGE)*(1+TAX)+ONCOR_DAILY,"")</f>
        <v>#VALUE!</v>
      </c>
      <c r="O20" s="17" t="n">
        <f aca="false">IF(KWH&lt;&gt;"",IF((BREAK-CUM_KWH)&gt;0,BREAK-CUM_KWH,0),"")</f>
        <v>468.258</v>
      </c>
      <c r="P20" s="18" t="n">
        <f aca="false">IF((BREAK-CUM_KWH)&gt;0,BREAK-CUM_KWH,"")</f>
        <v>468.258</v>
      </c>
    </row>
    <row r="21" customFormat="false" ht="15" hidden="false" customHeight="false" outlineLevel="0" collapsed="false">
      <c r="A21" s="11" t="n">
        <v>20</v>
      </c>
      <c r="B21" s="11" t="str">
        <f aca="false">TEXT($D21,"ddd")</f>
        <v>Sat</v>
      </c>
      <c r="C21" s="11" t="n">
        <f aca="false">$A$31-$A21</f>
        <v>10</v>
      </c>
      <c r="D21" s="51" t="n">
        <v>44870</v>
      </c>
      <c r="E21" s="51" t="n">
        <v>44871.3339583333</v>
      </c>
      <c r="F21" s="2" t="n">
        <v>78066.474</v>
      </c>
      <c r="G21" s="2" t="n">
        <v>78103.505</v>
      </c>
      <c r="H21" s="47" t="n">
        <v>37.03</v>
      </c>
      <c r="I21" s="13" t="n">
        <f aca="false">IF($H21&gt;0,($I20+$H21),"")</f>
        <v>568.772</v>
      </c>
      <c r="J21" s="13" t="n">
        <f aca="false">IF($H21&gt;0,($I20/$A21),"")</f>
        <v>26.5871</v>
      </c>
      <c r="K21" s="13" t="n">
        <f aca="false">(($H21*$T$7)+$T$8)*(1+$S$9)</f>
        <v>5.90360805278777</v>
      </c>
      <c r="L21" s="15" t="e">
        <f aca="false">IF($H21&lt;1000,(L20+K21),(L20+K21))</f>
        <v>#VALUE!</v>
      </c>
      <c r="M21" s="16" t="n">
        <f aca="false">IF($J21&lt;&gt;"",$J21*DAYS-$A21,"")</f>
        <v>804.2001</v>
      </c>
      <c r="N21" s="17" t="e">
        <f aca="false">IF(KWH&lt;&gt;"",(RATES*PROJ_USAGE)*(1+TAX)+ONCOR_DAILY,"")</f>
        <v>#VALUE!</v>
      </c>
      <c r="O21" s="17" t="n">
        <f aca="false">IF(KWH&lt;&gt;"",IF((BREAK-CUM_KWH)&gt;0,BREAK-CUM_KWH,0),"")</f>
        <v>431.228</v>
      </c>
      <c r="P21" s="18" t="n">
        <f aca="false">IF((BREAK-CUM_KWH)&gt;0,BREAK-CUM_KWH,"")</f>
        <v>431.228</v>
      </c>
    </row>
    <row r="22" customFormat="false" ht="15" hidden="false" customHeight="false" outlineLevel="0" collapsed="false">
      <c r="A22" s="11" t="n">
        <v>21</v>
      </c>
      <c r="B22" s="11" t="str">
        <f aca="false">TEXT($D22,"ddd")</f>
        <v>Sun</v>
      </c>
      <c r="C22" s="11" t="n">
        <f aca="false">$A$31-$A22</f>
        <v>9</v>
      </c>
      <c r="D22" s="51" t="n">
        <v>44871</v>
      </c>
      <c r="E22" s="51" t="n">
        <v>44872.4026967593</v>
      </c>
      <c r="F22" s="2" t="n">
        <v>78103.505</v>
      </c>
      <c r="G22" s="2" t="n">
        <v>78141.947</v>
      </c>
      <c r="H22" s="47" t="n">
        <v>38.446</v>
      </c>
      <c r="I22" s="13" t="n">
        <f aca="false">IF($H22&gt;0,($I21+$H22),"")</f>
        <v>607.218</v>
      </c>
      <c r="J22" s="13" t="n">
        <f aca="false">IF($H22&gt;0,($I21/$A22),"")</f>
        <v>27.084380952381</v>
      </c>
      <c r="K22" s="13" t="n">
        <f aca="false">(($H22*$T$7)+$T$8)*(1+$S$9)</f>
        <v>6.12507995047941</v>
      </c>
      <c r="L22" s="15" t="e">
        <f aca="false">IF($H22&lt;1000,(L21+K22),(L21+K22))</f>
        <v>#VALUE!</v>
      </c>
      <c r="M22" s="16" t="n">
        <f aca="false">IF($J22&lt;&gt;"",$J22*DAYS-$A22,"")</f>
        <v>818.61580952381</v>
      </c>
      <c r="N22" s="17" t="e">
        <f aca="false">IF(KWH&lt;&gt;"",(RATES*PROJ_USAGE)*(1+TAX)+ONCOR_DAILY,"")</f>
        <v>#VALUE!</v>
      </c>
      <c r="O22" s="17" t="n">
        <f aca="false">IF(KWH&lt;&gt;"",IF((BREAK-CUM_KWH)&gt;0,BREAK-CUM_KWH,0),"")</f>
        <v>392.782</v>
      </c>
      <c r="P22" s="18" t="n">
        <f aca="false">IF((BREAK-CUM_KWH)&gt;0,BREAK-CUM_KWH,"")</f>
        <v>392.782</v>
      </c>
    </row>
    <row r="23" customFormat="false" ht="15" hidden="false" customHeight="false" outlineLevel="0" collapsed="false">
      <c r="A23" s="11" t="n">
        <v>22</v>
      </c>
      <c r="B23" s="11" t="str">
        <f aca="false">TEXT($D23,"ddd")</f>
        <v>Mon</v>
      </c>
      <c r="C23" s="11" t="n">
        <f aca="false">$A$31-$A23</f>
        <v>8</v>
      </c>
      <c r="D23" s="51" t="n">
        <v>44872</v>
      </c>
      <c r="E23" s="51" t="n">
        <v>44873.3212962963</v>
      </c>
      <c r="F23" s="2" t="n">
        <v>78141.947</v>
      </c>
      <c r="G23" s="2" t="n">
        <v>78172.534</v>
      </c>
      <c r="H23" s="47" t="n">
        <v>30.584</v>
      </c>
      <c r="I23" s="13" t="n">
        <f aca="false">IF($H23&gt;0,($I22+$H23),"")</f>
        <v>637.802</v>
      </c>
      <c r="J23" s="13" t="n">
        <f aca="false">IF($H23&gt;0,($I22/$A23),"")</f>
        <v>27.6008181818182</v>
      </c>
      <c r="K23" s="13" t="n">
        <f aca="false">(($H23*$T$7)+$T$8)*(1+$S$9)</f>
        <v>4.89541041682706</v>
      </c>
      <c r="L23" s="15" t="e">
        <f aca="false">IF($H23&lt;1000,(L22+K23),(L22+K23))</f>
        <v>#VALUE!</v>
      </c>
      <c r="M23" s="16" t="n">
        <f aca="false">IF($J23&lt;&gt;"",$J23*DAYS-$A23,"")</f>
        <v>833.625363636364</v>
      </c>
      <c r="N23" s="17" t="e">
        <f aca="false">IF(KWH&lt;&gt;"",(RATES*PROJ_USAGE)*(1+TAX)+ONCOR_DAILY,"")</f>
        <v>#VALUE!</v>
      </c>
      <c r="O23" s="17" t="n">
        <f aca="false">IF(KWH&lt;&gt;"",IF((BREAK-CUM_KWH)&gt;0,BREAK-CUM_KWH,0),"")</f>
        <v>362.198</v>
      </c>
      <c r="P23" s="18" t="n">
        <f aca="false">IF((BREAK-CUM_KWH)&gt;0,BREAK-CUM_KWH,"")</f>
        <v>362.198</v>
      </c>
    </row>
    <row r="24" customFormat="false" ht="15" hidden="false" customHeight="false" outlineLevel="0" collapsed="false">
      <c r="A24" s="11" t="n">
        <v>23</v>
      </c>
      <c r="B24" s="11" t="str">
        <f aca="false">TEXT($D24,"ddd")</f>
        <v>Tue</v>
      </c>
      <c r="C24" s="11" t="n">
        <f aca="false">$A$31-$A24</f>
        <v>7</v>
      </c>
      <c r="D24" s="51" t="n">
        <v>44873</v>
      </c>
      <c r="E24" s="51" t="n">
        <v>44874.2843287037</v>
      </c>
      <c r="F24" s="2" t="n">
        <v>78172.534</v>
      </c>
      <c r="G24" s="2" t="n">
        <v>78209.18</v>
      </c>
      <c r="H24" s="47" t="n">
        <v>36.645</v>
      </c>
      <c r="I24" s="13" t="n">
        <f aca="false">IF($H24&gt;0,($I23+$H24),"")</f>
        <v>674.447</v>
      </c>
      <c r="J24" s="13" t="n">
        <f aca="false">IF($H24&gt;0,($I23/$A24),"")</f>
        <v>27.7305217391304</v>
      </c>
      <c r="K24" s="13" t="n">
        <f aca="false">(($H24*$T$7)+$T$8)*(1+$S$9)</f>
        <v>5.84339147043516</v>
      </c>
      <c r="L24" s="15" t="e">
        <f aca="false">IF($H24&lt;1000,(L23+K24),(L23+K24))</f>
        <v>#VALUE!</v>
      </c>
      <c r="M24" s="16" t="n">
        <f aca="false">IF($J24&lt;&gt;"",$J24*DAYS-$A24,"")</f>
        <v>836.646173913043</v>
      </c>
      <c r="N24" s="17" t="e">
        <f aca="false">IF(KWH&lt;&gt;"",(RATES*PROJ_USAGE)*(1+TAX)+ONCOR_DAILY,"")</f>
        <v>#VALUE!</v>
      </c>
      <c r="O24" s="17" t="n">
        <f aca="false">IF(KWH&lt;&gt;"",IF((BREAK-CUM_KWH)&gt;0,BREAK-CUM_KWH,0),"")</f>
        <v>325.553</v>
      </c>
      <c r="P24" s="18" t="n">
        <f aca="false">IF((BREAK-CUM_KWH)&gt;0,BREAK-CUM_KWH,"")</f>
        <v>325.553</v>
      </c>
    </row>
    <row r="25" customFormat="false" ht="15" hidden="false" customHeight="false" outlineLevel="0" collapsed="false">
      <c r="A25" s="11" t="n">
        <v>24</v>
      </c>
      <c r="B25" s="11" t="str">
        <f aca="false">TEXT($D25,"ddd")</f>
        <v>Wed</v>
      </c>
      <c r="C25" s="11" t="n">
        <f aca="false">$A$31-$A25</f>
        <v>6</v>
      </c>
      <c r="D25" s="51" t="n">
        <v>44874</v>
      </c>
      <c r="E25" s="51" t="n">
        <v>44875.2598842593</v>
      </c>
      <c r="F25" s="2" t="n">
        <v>78209.18</v>
      </c>
      <c r="G25" s="2" t="n">
        <v>78245.262</v>
      </c>
      <c r="H25" s="47" t="n">
        <v>36.084</v>
      </c>
      <c r="I25" s="13" t="n">
        <f aca="false">IF($H25&gt;0,($I24+$H25),"")</f>
        <v>710.531</v>
      </c>
      <c r="J25" s="13" t="n">
        <f aca="false">IF($H25&gt;0,($I24/$A25),"")</f>
        <v>28.1019583333333</v>
      </c>
      <c r="K25" s="13" t="n">
        <f aca="false">(($H25*$T$7)+$T$8)*(1+$S$9)</f>
        <v>5.75564730757852</v>
      </c>
      <c r="L25" s="15" t="e">
        <f aca="false">IF($H25&lt;1000,(L24+K25),(L24+K25))</f>
        <v>#VALUE!</v>
      </c>
      <c r="M25" s="16" t="n">
        <f aca="false">IF($J25&lt;&gt;"",$J25*DAYS-$A25,"")</f>
        <v>847.160708333333</v>
      </c>
      <c r="N25" s="17" t="e">
        <f aca="false">IF(KWH&lt;&gt;"",(RATES*PROJ_USAGE)*(1+TAX)+ONCOR_DAILY,"")</f>
        <v>#VALUE!</v>
      </c>
      <c r="O25" s="17" t="n">
        <f aca="false">IF(KWH&lt;&gt;"",IF((BREAK-CUM_KWH)&gt;0,BREAK-CUM_KWH,0),"")</f>
        <v>289.469</v>
      </c>
      <c r="P25" s="18" t="n">
        <f aca="false">IF((BREAK-CUM_KWH)&gt;0,BREAK-CUM_KWH,"")</f>
        <v>289.469</v>
      </c>
    </row>
    <row r="26" customFormat="false" ht="15" hidden="false" customHeight="false" outlineLevel="0" collapsed="false">
      <c r="A26" s="11" t="n">
        <v>25</v>
      </c>
      <c r="B26" s="11" t="str">
        <f aca="false">TEXT($D26,"ddd")</f>
        <v>Thu</v>
      </c>
      <c r="C26" s="11" t="n">
        <f aca="false">$A$31-$A26</f>
        <v>5</v>
      </c>
      <c r="D26" s="51" t="n">
        <v>44875</v>
      </c>
      <c r="E26" s="51" t="n">
        <v>44876.2585300926</v>
      </c>
      <c r="F26" s="2" t="n">
        <v>78245.262</v>
      </c>
      <c r="G26" s="2" t="n">
        <v>78276.191</v>
      </c>
      <c r="H26" s="47" t="n">
        <v>30.926</v>
      </c>
      <c r="I26" s="13" t="n">
        <f aca="false">IF($H26&gt;0,($I25+$H26),"")</f>
        <v>741.457</v>
      </c>
      <c r="J26" s="13" t="n">
        <f aca="false">IF($H26&gt;0,($I25/$A26),"")</f>
        <v>28.42124</v>
      </c>
      <c r="K26" s="13" t="n">
        <f aca="false">(($H26*$T$7)+$T$8)*(1+$S$9)</f>
        <v>4.94890151076106</v>
      </c>
      <c r="L26" s="15" t="e">
        <f aca="false">IF($H26&lt;1000,(L25+K26),(L25+K26))</f>
        <v>#VALUE!</v>
      </c>
      <c r="M26" s="16" t="n">
        <f aca="false">IF($J26&lt;&gt;"",$J26*DAYS-$A26,"")</f>
        <v>856.05844</v>
      </c>
      <c r="N26" s="17" t="e">
        <f aca="false">IF(KWH&lt;&gt;"",(RATES*PROJ_USAGE)*(1+TAX)+ONCOR_DAILY,"")</f>
        <v>#VALUE!</v>
      </c>
      <c r="O26" s="17" t="n">
        <f aca="false">IF(KWH&lt;&gt;"",IF((BREAK-CUM_KWH)&gt;0,BREAK-CUM_KWH,0),"")</f>
        <v>258.543</v>
      </c>
      <c r="P26" s="18" t="n">
        <f aca="false">IF((BREAK-CUM_KWH)&gt;0,BREAK-CUM_KWH,"")</f>
        <v>258.543</v>
      </c>
    </row>
    <row r="27" customFormat="false" ht="15" hidden="false" customHeight="false" outlineLevel="0" collapsed="false">
      <c r="A27" s="11" t="n">
        <v>26</v>
      </c>
      <c r="B27" s="11" t="str">
        <f aca="false">TEXT($D27,"ddd")</f>
        <v>Fri</v>
      </c>
      <c r="C27" s="11" t="n">
        <f aca="false">$A$31-$A27</f>
        <v>4</v>
      </c>
      <c r="D27" s="51" t="n">
        <v>44876</v>
      </c>
      <c r="E27" s="51" t="n">
        <v>44877.2606481482</v>
      </c>
      <c r="F27" s="2" t="n">
        <v>78276.191</v>
      </c>
      <c r="G27" s="2" t="n">
        <v>78310.82</v>
      </c>
      <c r="H27" s="47" t="n">
        <v>34.631</v>
      </c>
      <c r="I27" s="13" t="n">
        <f aca="false">IF($H27&gt;0,($I26+$H27),"")</f>
        <v>776.088</v>
      </c>
      <c r="J27" s="13" t="n">
        <f aca="false">IF($H27&gt;0,($I26/$A27),"")</f>
        <v>28.5175769230769</v>
      </c>
      <c r="K27" s="13" t="n">
        <f aca="false">(($H27*$T$7)+$T$8)*(1+$S$9)</f>
        <v>5.52838836171272</v>
      </c>
      <c r="L27" s="15" t="e">
        <f aca="false">IF($H27&lt;1000,(L26+K27),(L26+K27))</f>
        <v>#VALUE!</v>
      </c>
      <c r="M27" s="16" t="n">
        <f aca="false">IF($J27&lt;&gt;"",$J27*DAYS-$A27,"")</f>
        <v>858.044884615385</v>
      </c>
      <c r="N27" s="17" t="e">
        <f aca="false">IF(KWH&lt;&gt;"",(RATES*PROJ_USAGE)*(1+TAX)+ONCOR_DAILY,"")</f>
        <v>#VALUE!</v>
      </c>
      <c r="O27" s="17" t="n">
        <f aca="false">IF(KWH&lt;&gt;"",IF((BREAK-CUM_KWH)&gt;0,BREAK-CUM_KWH,0),"")</f>
        <v>223.912</v>
      </c>
      <c r="P27" s="18" t="n">
        <f aca="false">IF((BREAK-CUM_KWH)&gt;0,BREAK-CUM_KWH,"")</f>
        <v>223.912</v>
      </c>
    </row>
    <row r="28" customFormat="false" ht="15" hidden="false" customHeight="false" outlineLevel="0" collapsed="false">
      <c r="A28" s="11" t="n">
        <v>27</v>
      </c>
      <c r="B28" s="11" t="str">
        <f aca="false">TEXT($D28,"ddd")</f>
        <v>Sat</v>
      </c>
      <c r="C28" s="11" t="n">
        <f aca="false">$A$31-$A28</f>
        <v>3</v>
      </c>
      <c r="D28" s="51" t="n">
        <v>44877</v>
      </c>
      <c r="E28" s="51" t="n">
        <v>44878.2804513889</v>
      </c>
      <c r="F28" s="2" t="n">
        <v>78310.82</v>
      </c>
      <c r="G28" s="2" t="n">
        <v>78386.101</v>
      </c>
      <c r="H28" s="47" t="n">
        <v>75.275</v>
      </c>
      <c r="I28" s="13" t="n">
        <f aca="false">IF($H28&gt;0,($I27+$H28),"")</f>
        <v>851.363</v>
      </c>
      <c r="J28" s="13" t="n">
        <f aca="false">IF($H28&gt;0,($I27/$A28),"")</f>
        <v>28.744</v>
      </c>
      <c r="K28" s="13" t="n">
        <f aca="false">(($H28*$T$7)+$T$8)*(1+$S$9)</f>
        <v>11.8853825776585</v>
      </c>
      <c r="L28" s="15" t="e">
        <f aca="false">IF($H28&lt;1000,(L27+K28),(L27+K28))</f>
        <v>#VALUE!</v>
      </c>
      <c r="M28" s="16" t="n">
        <f aca="false">IF($J28&lt;&gt;"",$J28*DAYS-$A28,"")</f>
        <v>864.064</v>
      </c>
      <c r="N28" s="17" t="e">
        <f aca="false">IF(KWH&lt;&gt;"",(RATES*PROJ_USAGE)*(1+TAX)+ONCOR_DAILY,"")</f>
        <v>#VALUE!</v>
      </c>
      <c r="O28" s="17" t="n">
        <f aca="false">IF(KWH&lt;&gt;"",IF((BREAK-CUM_KWH)&gt;0,BREAK-CUM_KWH,0),"")</f>
        <v>148.637</v>
      </c>
      <c r="P28" s="18" t="n">
        <f aca="false">IF((BREAK-CUM_KWH)&gt;0,BREAK-CUM_KWH,"")</f>
        <v>148.637</v>
      </c>
    </row>
    <row r="29" customFormat="false" ht="15" hidden="false" customHeight="false" outlineLevel="0" collapsed="false">
      <c r="A29" s="11" t="n">
        <v>28</v>
      </c>
      <c r="B29" s="11" t="str">
        <f aca="false">TEXT($D29,"ddd")</f>
        <v>Sun</v>
      </c>
      <c r="C29" s="11" t="n">
        <f aca="false">$A$31-$A29</f>
        <v>2</v>
      </c>
      <c r="D29" s="51" t="n">
        <v>44878</v>
      </c>
      <c r="E29" s="51" t="n">
        <v>44879.2575578704</v>
      </c>
      <c r="F29" s="2" t="n">
        <v>78386.101</v>
      </c>
      <c r="G29" s="2" t="n">
        <v>78466.438</v>
      </c>
      <c r="H29" s="47" t="n">
        <v>80.336</v>
      </c>
      <c r="I29" s="13" t="n">
        <f aca="false">IF($H29&gt;0,($I28+$H29),"")</f>
        <v>931.699</v>
      </c>
      <c r="J29" s="13" t="n">
        <f aca="false">IF($H29&gt;0,($I28/$A29),"")</f>
        <v>30.4058214285714</v>
      </c>
      <c r="K29" s="13" t="n">
        <f aca="false">(($H29*$T$7)+$T$8)*(1+$S$9)</f>
        <v>12.6769569238573</v>
      </c>
      <c r="L29" s="15" t="e">
        <f aca="false">IF($H29&lt;1000,(L28+K29),(L28+K29))</f>
        <v>#VALUE!</v>
      </c>
      <c r="M29" s="16" t="n">
        <f aca="false">IF($J29&lt;&gt;"",$J29*DAYS-$A29,"")</f>
        <v>914.580464285714</v>
      </c>
      <c r="N29" s="17" t="e">
        <f aca="false">IF(KWH&lt;&gt;"",(RATES*PROJ_USAGE)*(1+TAX)+ONCOR_DAILY,"")</f>
        <v>#VALUE!</v>
      </c>
      <c r="O29" s="17" t="n">
        <f aca="false">IF(KWH&lt;&gt;"",IF((BREAK-CUM_KWH)&gt;0,BREAK-CUM_KWH,0),"")</f>
        <v>68.301</v>
      </c>
      <c r="P29" s="18" t="n">
        <f aca="false">IF((BREAK-CUM_KWH)&gt;0,BREAK-CUM_KWH,"")</f>
        <v>68.301</v>
      </c>
    </row>
    <row r="30" customFormat="false" ht="15" hidden="false" customHeight="false" outlineLevel="0" collapsed="false">
      <c r="A30" s="11" t="n">
        <v>29</v>
      </c>
      <c r="B30" s="11" t="str">
        <f aca="false">TEXT($D30,"ddd")</f>
        <v>Mon</v>
      </c>
      <c r="C30" s="11" t="n">
        <f aca="false">$A$31-$A30</f>
        <v>1</v>
      </c>
      <c r="D30" s="51" t="n">
        <v>44879</v>
      </c>
      <c r="E30" s="51" t="n">
        <v>44880.2591319445</v>
      </c>
      <c r="F30" s="2" t="n">
        <v>78466.438</v>
      </c>
      <c r="G30" s="2" t="n">
        <v>78540.572</v>
      </c>
      <c r="H30" s="47" t="n">
        <v>74.133</v>
      </c>
      <c r="I30" s="13" t="n">
        <f aca="false">IF($H30&gt;0,($I29+$H30),"")</f>
        <v>1005.832</v>
      </c>
      <c r="J30" s="13" t="n">
        <f aca="false">IF($H30&gt;0,($I29/$A30),"")</f>
        <v>32.1275517241379</v>
      </c>
      <c r="K30" s="13" t="n">
        <f aca="false">(($H30*$T$7)+$T$8)*(1+$S$9)</f>
        <v>11.7067661177971</v>
      </c>
      <c r="L30" s="15" t="e">
        <f aca="false">IF($H30&lt;1000,(L29+K30),(L29+K30))</f>
        <v>#VALUE!</v>
      </c>
      <c r="M30" s="16" t="n">
        <f aca="false">IF($J30&lt;&gt;"",$J30*DAYS-$A30,"")</f>
        <v>966.954103448276</v>
      </c>
      <c r="N30" s="17" t="e">
        <f aca="false">IF(KWH&lt;&gt;"",(RATES*PROJ_USAGE)*(1+TAX)+ONCOR_DAILY,"")</f>
        <v>#VALUE!</v>
      </c>
      <c r="O30" s="17" t="n">
        <f aca="false">IF(KWH&lt;&gt;"",IF((BREAK-CUM_KWH)&gt;0,BREAK-CUM_KWH,0),"")</f>
        <v>0</v>
      </c>
      <c r="P30" s="18" t="str">
        <f aca="false">IF((BREAK-CUM_KWH)&gt;0,BREAK-CUM_KWH,"")</f>
        <v/>
      </c>
    </row>
    <row r="31" customFormat="false" ht="15" hidden="false" customHeight="false" outlineLevel="0" collapsed="false">
      <c r="A31" s="11" t="n">
        <v>30</v>
      </c>
      <c r="B31" s="11" t="str">
        <f aca="false">TEXT($D31,"ddd")</f>
        <v>Tue</v>
      </c>
      <c r="C31" s="11" t="n">
        <f aca="false">$A$31-$A31</f>
        <v>0</v>
      </c>
      <c r="D31" s="51" t="n">
        <v>44880</v>
      </c>
      <c r="H31" s="47"/>
      <c r="I31" s="13" t="str">
        <f aca="false">IF($H31&gt;0,($I30+$H31),"")</f>
        <v/>
      </c>
      <c r="J31" s="13" t="str">
        <f aca="false">IF($H31&gt;0,($I30/$A31),"")</f>
        <v/>
      </c>
      <c r="K31" s="13" t="n">
        <f aca="false">(($H31*$T$7)+$T$8)*(1+$S$9)</f>
        <v>0.111867677419355</v>
      </c>
      <c r="L31" s="15" t="e">
        <f aca="false">IF($H31&lt;1000,(L30+K31),(L30+K31))</f>
        <v>#VALUE!</v>
      </c>
      <c r="M31" s="16" t="str">
        <f aca="false">IF($J31&lt;&gt;"",$J31*DAYS-$A31,"")</f>
        <v/>
      </c>
      <c r="N31" s="17" t="str">
        <f aca="false">IF(KWH&lt;&gt;"",(RATES*PROJ_USAGE)*(1+TAX)+ONCOR_DAILY,"")</f>
        <v/>
      </c>
      <c r="O31" s="17" t="str">
        <f aca="false">IF(KWH&lt;&gt;"",IF((BREAK-CUM_KWH)&gt;0,BREAK-CUM_KWH,0),"")</f>
        <v/>
      </c>
      <c r="P31" s="18" t="e">
        <f aca="false">IF((BREAK-CUM_KWH)&gt;0,BREAK-CUM_KWH,"")</f>
        <v>#VALUE!</v>
      </c>
    </row>
    <row r="32" customFormat="false" ht="15" hidden="false" customHeight="false" outlineLevel="0" collapsed="false">
      <c r="A32" s="11"/>
      <c r="B32" s="11"/>
      <c r="C32" s="11"/>
      <c r="H32" s="29" t="n">
        <f aca="false">SUM(H2:H35)</f>
        <v>3097.789</v>
      </c>
      <c r="I32" s="13" t="e">
        <f aca="false">IF(#REF!&gt;0,($I31+#REF!),"")</f>
        <v>#REF!</v>
      </c>
      <c r="J32" s="13" t="e">
        <f aca="false">IF(#REF!&gt;0,($I31/$A32),"")</f>
        <v>#REF!</v>
      </c>
      <c r="K32" s="13" t="e">
        <f aca="false">((#REF!*$T$7)+$T$8)*(1+$S$9)</f>
        <v>#REF!</v>
      </c>
      <c r="L32" s="15" t="e">
        <f aca="false">IF(#REF!&lt;1000,(L31+K32),(L31+K32))</f>
        <v>#REF!</v>
      </c>
      <c r="M32" s="16" t="e">
        <f aca="false">IF($J32&lt;&gt;"",$J32*DAYS-$A32,"")</f>
        <v>#REF!</v>
      </c>
      <c r="N32" s="17" t="e">
        <f aca="false">IF(KWH&lt;&gt;"",(RATES*PROJ_USAGE)*(1+TAX)+ONCOR_DAILY,"")</f>
        <v>#VALUE!</v>
      </c>
      <c r="O32" s="17" t="e">
        <f aca="false">IF(KWH&lt;&gt;"",IF((BREAK-CUM_KWH)&gt;0,BREAK-CUM_KWH,0),"")</f>
        <v>#REF!</v>
      </c>
      <c r="P32" s="18"/>
    </row>
    <row r="33" customFormat="false" ht="15" hidden="false" customHeight="false" outlineLevel="0" collapsed="false">
      <c r="A33" s="11"/>
      <c r="B33" s="11"/>
      <c r="C33" s="11"/>
      <c r="H33" s="47"/>
      <c r="I33" s="13"/>
      <c r="J33" s="13"/>
      <c r="K33" s="13"/>
      <c r="L33" s="15"/>
      <c r="M33" s="16"/>
      <c r="N33" s="17"/>
      <c r="O33" s="17"/>
      <c r="P33" s="18"/>
    </row>
    <row r="34" customFormat="false" ht="15" hidden="false" customHeight="false" outlineLevel="0" collapsed="false">
      <c r="M34" s="47"/>
      <c r="N34" s="2"/>
      <c r="O34" s="2"/>
    </row>
    <row r="35" customFormat="false" ht="15" hidden="false" customHeight="false" outlineLevel="0" collapsed="false">
      <c r="M35" s="47"/>
      <c r="N35" s="2"/>
      <c r="O35" s="2"/>
    </row>
    <row r="36" customFormat="false" ht="15" hidden="false" customHeight="false" outlineLevel="0" collapsed="false">
      <c r="I36" s="149"/>
      <c r="M36" s="47"/>
      <c r="N36" s="2"/>
      <c r="O36" s="2"/>
    </row>
    <row r="37" customFormat="false" ht="15" hidden="false" customHeight="false" outlineLevel="0" collapsed="false">
      <c r="L37" s="47"/>
      <c r="M37" s="2"/>
      <c r="N37" s="2"/>
    </row>
    <row r="38" customFormat="false" ht="15" hidden="false" customHeight="false" outlineLevel="0" collapsed="false">
      <c r="I38" s="81"/>
      <c r="L38" s="47"/>
      <c r="M38" s="2"/>
      <c r="N38" s="2"/>
    </row>
    <row r="39" customFormat="false" ht="15" hidden="false" customHeight="false" outlineLevel="0" collapsed="false">
      <c r="M39" s="2"/>
      <c r="N39" s="2"/>
    </row>
    <row r="53" customFormat="false" ht="15" hidden="false" customHeight="false" outlineLevel="0" collapsed="false">
      <c r="H53" s="47"/>
    </row>
    <row r="62" customFormat="false" ht="15" hidden="false" customHeight="false" outlineLevel="0" collapsed="false">
      <c r="H62" s="47"/>
    </row>
  </sheetData>
  <conditionalFormatting sqref="R2:R32">
    <cfRule type="expression" priority="2" aboveAverage="0" equalAverage="0" bottom="0" percent="0" rank="0" text="" dxfId="44">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8" activePane="bottomLeft" state="frozen"/>
      <selection pane="topLeft" activeCell="A1" activeCellId="0" sqref="A1"/>
      <selection pane="bottomLeft" activeCell="H36" activeCellId="0" sqref="H36"/>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51" width="9.71"/>
    <col collapsed="false" customWidth="true" hidden="false" outlineLevel="0" max="7" min="6" style="2" width="10.71"/>
    <col collapsed="false" customWidth="true" hidden="false" outlineLevel="0" max="8" min="8" style="0" width="9.71"/>
    <col collapsed="false" customWidth="true" hidden="false" outlineLevel="0" max="10" min="10" style="0" width="10.42"/>
    <col collapsed="false" customWidth="true" hidden="false" outlineLevel="0" max="12" min="12" style="0" width="11"/>
    <col collapsed="false" customWidth="true" hidden="false" outlineLevel="0" max="14" min="13" style="0" width="11.29"/>
    <col collapsed="false" customWidth="true" hidden="false" outlineLevel="0" max="16" min="16" style="2" width="9.14"/>
    <col collapsed="false" customWidth="true" hidden="false" outlineLevel="0" max="18" min="18" style="0" width="30.71"/>
    <col collapsed="false" customWidth="true" hidden="false" outlineLevel="0" max="19" min="19" style="0" width="8.71"/>
    <col collapsed="false" customWidth="true" hidden="false" outlineLevel="0" max="20" min="20" style="0" width="10.71"/>
  </cols>
  <sheetData>
    <row r="1" customFormat="false" ht="60" hidden="false" customHeight="true" outlineLevel="0" collapsed="false">
      <c r="A1" s="5" t="s">
        <v>0</v>
      </c>
      <c r="B1" s="6" t="s">
        <v>1</v>
      </c>
      <c r="C1" s="6" t="s">
        <v>2</v>
      </c>
      <c r="D1" s="7" t="s">
        <v>3</v>
      </c>
      <c r="E1" s="7" t="s">
        <v>4</v>
      </c>
      <c r="F1" s="8" t="s">
        <v>5</v>
      </c>
      <c r="G1" s="8" t="s">
        <v>6</v>
      </c>
      <c r="H1" s="6" t="s">
        <v>7</v>
      </c>
      <c r="I1" s="6" t="s">
        <v>8</v>
      </c>
      <c r="J1" s="145" t="s">
        <v>9</v>
      </c>
      <c r="K1" s="6" t="s">
        <v>10</v>
      </c>
      <c r="L1" s="6" t="s">
        <v>11</v>
      </c>
      <c r="M1" s="6" t="s">
        <v>12</v>
      </c>
      <c r="N1" s="6" t="s">
        <v>13</v>
      </c>
      <c r="O1" s="8" t="s">
        <v>77</v>
      </c>
      <c r="P1" s="9" t="s">
        <v>137</v>
      </c>
      <c r="R1" s="150" t="s">
        <v>139</v>
      </c>
      <c r="T1" s="10"/>
      <c r="U1" s="71"/>
      <c r="V1" s="72"/>
      <c r="W1" s="72"/>
      <c r="X1" s="71"/>
      <c r="Y1" s="71"/>
      <c r="Z1" s="71"/>
      <c r="AA1" s="73"/>
      <c r="AB1" s="71"/>
      <c r="AC1" s="71"/>
      <c r="AD1" s="71"/>
    </row>
    <row r="2" customFormat="false" ht="15" hidden="false" customHeight="true" outlineLevel="0" collapsed="false">
      <c r="A2" s="86" t="n">
        <v>1</v>
      </c>
      <c r="B2" s="86" t="str">
        <f aca="false">TEXT(D2,"ddd")</f>
        <v>Fri</v>
      </c>
      <c r="C2" s="86" t="n">
        <f aca="false">$A$32-$A2</f>
        <v>30</v>
      </c>
      <c r="D2" s="119" t="n">
        <v>44820</v>
      </c>
      <c r="E2" s="119" t="n">
        <v>44821.270775463</v>
      </c>
      <c r="F2" s="92" t="n">
        <v>76257.004</v>
      </c>
      <c r="G2" s="92" t="n">
        <v>76300.954</v>
      </c>
      <c r="H2" s="92" t="n">
        <v>43.951</v>
      </c>
      <c r="I2" s="87" t="n">
        <f aca="false">(H2)</f>
        <v>43.951</v>
      </c>
      <c r="J2" s="87" t="n">
        <f aca="false">(I2/A2)</f>
        <v>43.951</v>
      </c>
      <c r="K2" s="151" t="n">
        <f aca="false">(($H2*$T$7)+$T$8)*(1+$S$9)</f>
        <v>6.98609887476791</v>
      </c>
      <c r="L2" s="88" t="n">
        <f aca="false">IF($H2&lt;&gt;"",K2,"")</f>
        <v>6.98609887476791</v>
      </c>
      <c r="M2" s="89" t="n">
        <f aca="false">IF($J2&lt;&gt;"",$J2*DAYS-$A2,"")</f>
        <v>1361.481</v>
      </c>
      <c r="N2" s="151" t="e">
        <f aca="false">IF(KWH&lt;&gt;"",(RATES*PROJ_USAGE)*(1+TAX)+ONCOR_DAILY,"")</f>
        <v>#VALUE!</v>
      </c>
      <c r="O2" s="90" t="n">
        <f aca="false">IF(KWH&lt;&gt;"",IF((BREAK-CUM_KWH)&gt;0,BREAK-CUM_KWH,0),"")</f>
        <v>956.049</v>
      </c>
      <c r="P2" s="91" t="n">
        <f aca="false">IF((BREAK-CUM_KWH)&gt;0,BREAK-CUM_KWH,"")</f>
        <v>956.049</v>
      </c>
      <c r="R2" s="19" t="s">
        <v>18</v>
      </c>
      <c r="S2" s="20" t="s">
        <v>19</v>
      </c>
      <c r="T2" s="21"/>
      <c r="U2" s="0" t="n">
        <v>2</v>
      </c>
      <c r="V2" s="74"/>
      <c r="W2" s="74"/>
    </row>
    <row r="3" customFormat="false" ht="15" hidden="false" customHeight="true" outlineLevel="0" collapsed="false">
      <c r="A3" s="86" t="n">
        <v>2</v>
      </c>
      <c r="B3" s="86" t="str">
        <f aca="false">TEXT(D3,"ddd")</f>
        <v>Sat</v>
      </c>
      <c r="C3" s="86" t="n">
        <f aca="false">$A$32-$A3</f>
        <v>29</v>
      </c>
      <c r="D3" s="119" t="n">
        <v>44821</v>
      </c>
      <c r="E3" s="119" t="n">
        <v>44822.295775463</v>
      </c>
      <c r="F3" s="92" t="n">
        <v>76300.954</v>
      </c>
      <c r="G3" s="92" t="n">
        <v>76348.679</v>
      </c>
      <c r="H3" s="92" t="n">
        <v>47.724</v>
      </c>
      <c r="I3" s="87" t="n">
        <f aca="false">IF($H3&gt;0,($I2+$H3),"")</f>
        <v>91.675</v>
      </c>
      <c r="J3" s="87" t="n">
        <f aca="false">IF($I3&gt;0,($I3/$A3),"")</f>
        <v>45.8375</v>
      </c>
      <c r="K3" s="151" t="n">
        <f aca="false">(($H3*$T$7)+$T$8)*(1+$S$9)</f>
        <v>7.57622138182341</v>
      </c>
      <c r="L3" s="88" t="n">
        <f aca="false">IF(CUM_KWH&lt;1000,(L2+K3),(L2+K3-100))</f>
        <v>14.5623202565913</v>
      </c>
      <c r="M3" s="89" t="n">
        <f aca="false">IF($J3&lt;&gt;"",$J3*DAYS-$A3,"")</f>
        <v>1418.9625</v>
      </c>
      <c r="N3" s="151" t="e">
        <f aca="false">IF(KWH&lt;&gt;"",(RATES*PROJ_USAGE)*(1+TAX)+ONCOR_DAILY,"")</f>
        <v>#VALUE!</v>
      </c>
      <c r="O3" s="90" t="n">
        <f aca="false">IF(KWH&lt;&gt;"",IF((BREAK-CUM_KWH)&gt;0,BREAK-CUM_KWH,0),"")</f>
        <v>908.325</v>
      </c>
      <c r="P3" s="91" t="n">
        <f aca="false">IF((BREAK-CUM_KWH)&gt;0,BREAK-CUM_KWH,"")</f>
        <v>908.325</v>
      </c>
      <c r="R3" s="22" t="s">
        <v>22</v>
      </c>
      <c r="S3" s="23" t="n">
        <f aca="false">(F2+1000)</f>
        <v>77257.004</v>
      </c>
      <c r="T3" s="24"/>
      <c r="U3" s="0" t="n">
        <v>3</v>
      </c>
      <c r="W3" s="75"/>
      <c r="X3" s="76"/>
      <c r="Y3" s="76"/>
      <c r="Z3" s="77"/>
      <c r="AD3" s="78"/>
    </row>
    <row r="4" s="102" customFormat="true" ht="15" hidden="false" customHeight="true" outlineLevel="0" collapsed="false">
      <c r="A4" s="86" t="n">
        <v>3</v>
      </c>
      <c r="B4" s="86" t="str">
        <f aca="false">TEXT(D4,"ddd")</f>
        <v>Sun</v>
      </c>
      <c r="C4" s="86" t="n">
        <f aca="false">$A$32-$A4</f>
        <v>28</v>
      </c>
      <c r="D4" s="119" t="n">
        <v>44822</v>
      </c>
      <c r="E4" s="119" t="n">
        <v>44823.2690972222</v>
      </c>
      <c r="F4" s="92" t="n">
        <v>76348.679</v>
      </c>
      <c r="G4" s="92" t="n">
        <v>76402.576</v>
      </c>
      <c r="H4" s="92" t="n">
        <v>53.896</v>
      </c>
      <c r="I4" s="87" t="n">
        <f aca="false">IF($H4&gt;0,($I3+$H4),"")</f>
        <v>145.571</v>
      </c>
      <c r="J4" s="87" t="n">
        <f aca="false">IF($H4&gt;0,($I3/$A3),"")</f>
        <v>45.8375</v>
      </c>
      <c r="K4" s="151" t="n">
        <f aca="false">(($H4*$T$7)+$T$8)*(1+$S$9)</f>
        <v>8.54156357995394</v>
      </c>
      <c r="L4" s="88" t="n">
        <f aca="false">IF(CUM_KWH&lt;1000,(L3+K4),(L3+K4-100))</f>
        <v>23.1038838365453</v>
      </c>
      <c r="M4" s="89" t="n">
        <f aca="false">IF($J4&lt;&gt;"",$J4*DAYS-$A4,"")</f>
        <v>1417.9625</v>
      </c>
      <c r="N4" s="151" t="e">
        <f aca="false">IF(KWH&lt;&gt;"",(RATES*PROJ_USAGE)*(1+TAX)+ONCOR_DAILY,"")</f>
        <v>#VALUE!</v>
      </c>
      <c r="O4" s="90" t="n">
        <f aca="false">IF(KWH&lt;&gt;"",IF((BREAK-CUM_KWH)&gt;0,BREAK-CUM_KWH,0),"")</f>
        <v>854.429</v>
      </c>
      <c r="P4" s="91" t="n">
        <f aca="false">IF((BREAK-CUM_KWH)&gt;0,BREAK-CUM_KWH,"")</f>
        <v>854.429</v>
      </c>
      <c r="R4" s="127" t="s">
        <v>25</v>
      </c>
      <c r="S4" s="132"/>
      <c r="T4" s="133" t="n">
        <v>0.001667</v>
      </c>
      <c r="U4" s="102" t="n">
        <v>4</v>
      </c>
      <c r="V4" s="134"/>
      <c r="W4" s="147"/>
      <c r="X4" s="135"/>
      <c r="Y4" s="135"/>
      <c r="Z4" s="135"/>
      <c r="AA4" s="136"/>
      <c r="AD4" s="131"/>
    </row>
    <row r="5" s="45" customFormat="true" ht="15" hidden="false" customHeight="true" outlineLevel="0" collapsed="false">
      <c r="A5" s="86" t="n">
        <v>4</v>
      </c>
      <c r="B5" s="86" t="str">
        <f aca="false">TEXT(D5,"ddd")</f>
        <v>Mon</v>
      </c>
      <c r="C5" s="86" t="n">
        <f aca="false">$A$32-$A5</f>
        <v>27</v>
      </c>
      <c r="D5" s="119" t="n">
        <v>44823</v>
      </c>
      <c r="E5" s="119" t="n">
        <v>44824.2697800926</v>
      </c>
      <c r="F5" s="92" t="n">
        <v>76402.576</v>
      </c>
      <c r="G5" s="92" t="n">
        <v>76445.942</v>
      </c>
      <c r="H5" s="92" t="n">
        <v>43.372</v>
      </c>
      <c r="I5" s="87" t="n">
        <f aca="false">IF($H5&gt;0,($I4+$H5),"")</f>
        <v>188.943</v>
      </c>
      <c r="J5" s="87" t="n">
        <f aca="false">IF($H5&gt;0,($I4/$A5),"")</f>
        <v>36.39275</v>
      </c>
      <c r="K5" s="151" t="n">
        <f aca="false">(($H5*$T$7)+$T$8)*(1+$S$9)</f>
        <v>6.89553939117789</v>
      </c>
      <c r="L5" s="88" t="n">
        <f aca="false">IF(CUM_KWH&lt;1000,(L4+K5),(L4+K5-100))</f>
        <v>29.9994232277232</v>
      </c>
      <c r="M5" s="89" t="n">
        <f aca="false">IF($J5&lt;&gt;"",$J5*DAYS-$A5,"")</f>
        <v>1124.17525</v>
      </c>
      <c r="N5" s="151" t="e">
        <f aca="false">IF(KWH&lt;&gt;"",(RATES*PROJ_USAGE)*(1+TAX)+ONCOR_DAILY,"")</f>
        <v>#VALUE!</v>
      </c>
      <c r="O5" s="90" t="n">
        <f aca="false">IF(KWH&lt;&gt;"",IF((BREAK-CUM_KWH)&gt;0,BREAK-CUM_KWH,0),"")</f>
        <v>811.057</v>
      </c>
      <c r="P5" s="91" t="n">
        <f aca="false">IF((BREAK-CUM_KWH)&gt;0,BREAK-CUM_KWH,"")</f>
        <v>811.057</v>
      </c>
      <c r="Q5" s="27"/>
      <c r="R5" s="22" t="s">
        <v>28</v>
      </c>
      <c r="S5" s="25"/>
      <c r="T5" s="26" t="n">
        <v>0.042</v>
      </c>
      <c r="U5" s="45" t="n">
        <v>5</v>
      </c>
    </row>
    <row r="6" customFormat="false" ht="15" hidden="false" customHeight="true" outlineLevel="0" collapsed="false">
      <c r="A6" s="86" t="n">
        <v>5</v>
      </c>
      <c r="B6" s="86" t="str">
        <f aca="false">TEXT(D6,"ddd")</f>
        <v>Tue</v>
      </c>
      <c r="C6" s="86" t="n">
        <f aca="false">$A$32-$A6</f>
        <v>26</v>
      </c>
      <c r="D6" s="119" t="n">
        <v>44824</v>
      </c>
      <c r="E6" s="119" t="n">
        <v>44825.2717824074</v>
      </c>
      <c r="F6" s="92" t="n">
        <v>76445.942</v>
      </c>
      <c r="G6" s="92" t="n">
        <v>76495.576</v>
      </c>
      <c r="H6" s="92" t="n">
        <v>49.632</v>
      </c>
      <c r="I6" s="87" t="n">
        <f aca="false">IF($H6&gt;0,($I5+$H6),"")</f>
        <v>238.575</v>
      </c>
      <c r="J6" s="87" t="n">
        <f aca="false">IF($H6&gt;0,($I5/$A6),"")</f>
        <v>37.7886</v>
      </c>
      <c r="K6" s="151" t="n">
        <f aca="false">(($H6*$T$7)+$T$8)*(1+$S$9)</f>
        <v>7.87464537956046</v>
      </c>
      <c r="L6" s="88" t="n">
        <f aca="false">IF(CUM_KWH&lt;1000,(L5+K6),(L5+K6-100))</f>
        <v>37.8740686072836</v>
      </c>
      <c r="M6" s="89" t="n">
        <f aca="false">IF($J6&lt;&gt;"",$J6*DAYS-$A6,"")</f>
        <v>1166.4466</v>
      </c>
      <c r="N6" s="151" t="e">
        <f aca="false">IF(KWH&lt;&gt;"",(RATES*PROJ_USAGE)*(1+TAX)+ONCOR_DAILY,"")</f>
        <v>#VALUE!</v>
      </c>
      <c r="O6" s="90" t="n">
        <f aca="false">IF(KWH&lt;&gt;"",IF((BREAK-CUM_KWH)&gt;0,BREAK-CUM_KWH,0),"")</f>
        <v>761.425</v>
      </c>
      <c r="P6" s="91" t="n">
        <f aca="false">IF((BREAK-CUM_KWH)&gt;0,BREAK-CUM_KWH,"")</f>
        <v>761.425</v>
      </c>
      <c r="R6" s="22" t="s">
        <v>31</v>
      </c>
      <c r="S6" s="148"/>
      <c r="T6" s="26" t="n">
        <f aca="false">($S$8/DAYS)</f>
        <v>0.109677419354839</v>
      </c>
      <c r="U6" s="0" t="n">
        <v>6</v>
      </c>
    </row>
    <row r="7" customFormat="false" ht="15" hidden="false" customHeight="true" outlineLevel="0" collapsed="false">
      <c r="A7" s="86" t="n">
        <v>6</v>
      </c>
      <c r="B7" s="86" t="str">
        <f aca="false">TEXT(D7,"ddd")</f>
        <v>Wed</v>
      </c>
      <c r="C7" s="86" t="n">
        <f aca="false">$A$32-$A7</f>
        <v>25</v>
      </c>
      <c r="D7" s="119" t="n">
        <v>44825</v>
      </c>
      <c r="E7" s="119" t="n">
        <v>44826.2705439815</v>
      </c>
      <c r="F7" s="92" t="n">
        <v>76495.576</v>
      </c>
      <c r="G7" s="92" t="n">
        <v>76546.36</v>
      </c>
      <c r="H7" s="92" t="n">
        <v>50.785</v>
      </c>
      <c r="I7" s="87" t="n">
        <f aca="false">IF($H7&gt;0,($I6+$H7),"")</f>
        <v>289.36</v>
      </c>
      <c r="J7" s="87" t="n">
        <f aca="false">IF($H7&gt;0,($I6/$A7),"")</f>
        <v>39.7625</v>
      </c>
      <c r="K7" s="151" t="n">
        <f aca="false">(($H7*$T$7)+$T$8)*(1+$S$9)</f>
        <v>8.05498231320344</v>
      </c>
      <c r="L7" s="88" t="n">
        <f aca="false">IF(CUM_KWH&lt;1000,(L6+K7),(L6+K7-100))</f>
        <v>45.929050920487</v>
      </c>
      <c r="M7" s="89" t="n">
        <f aca="false">IF($J7&lt;&gt;"",$J7*DAYS-$A7,"")</f>
        <v>1226.6375</v>
      </c>
      <c r="N7" s="151" t="e">
        <f aca="false">IF(KWH&lt;&gt;"",(RATES*PROJ_USAGE)*(1+TAX)+ONCOR_DAILY,"")</f>
        <v>#VALUE!</v>
      </c>
      <c r="O7" s="90" t="n">
        <f aca="false">IF(KWH&lt;&gt;"",IF((BREAK-CUM_KWH)&gt;0,BREAK-CUM_KWH,0),"")</f>
        <v>710.64</v>
      </c>
      <c r="P7" s="91" t="n">
        <f aca="false">IF((BREAK-CUM_KWH)&gt;0,BREAK-CUM_KWH,"")</f>
        <v>710.64</v>
      </c>
      <c r="R7" s="22" t="s">
        <v>34</v>
      </c>
      <c r="S7" s="25"/>
      <c r="T7" s="28" t="n">
        <f aca="false">SUM(T4:T6)</f>
        <v>0.153344419354839</v>
      </c>
      <c r="U7" s="102" t="n">
        <v>7</v>
      </c>
      <c r="V7" s="152" t="n">
        <f aca="false">(T7*S13)</f>
        <v>195.894275493</v>
      </c>
      <c r="X7" s="152" t="n">
        <f aca="false">(T7*1000)</f>
        <v>153.344419354839</v>
      </c>
    </row>
    <row r="8" customFormat="false" ht="15" hidden="false" customHeight="false" outlineLevel="0" collapsed="false">
      <c r="A8" s="86" t="n">
        <v>7</v>
      </c>
      <c r="B8" s="86" t="str">
        <f aca="false">TEXT(D8,"ddd")</f>
        <v>Thu</v>
      </c>
      <c r="C8" s="86" t="n">
        <f aca="false">$A$32-$A8</f>
        <v>24</v>
      </c>
      <c r="D8" s="119" t="n">
        <v>44826</v>
      </c>
      <c r="E8" s="119" t="n">
        <v>44827.2693287037</v>
      </c>
      <c r="F8" s="92" t="n">
        <v>76546.36</v>
      </c>
      <c r="G8" s="92" t="n">
        <v>76599.337</v>
      </c>
      <c r="H8" s="92" t="n">
        <v>52.979</v>
      </c>
      <c r="I8" s="87" t="n">
        <f aca="false">IF($H8&gt;0,($I7+$H8),"")</f>
        <v>342.339</v>
      </c>
      <c r="J8" s="87" t="n">
        <f aca="false">IF($H8&gt;0,($I7/$A8),"")</f>
        <v>41.3371428571429</v>
      </c>
      <c r="K8" s="151" t="n">
        <f aca="false">(($H8*$T$7)+$T$8)*(1+$S$9)</f>
        <v>8.39813862925957</v>
      </c>
      <c r="L8" s="88" t="n">
        <f aca="false">IF(CUM_KWH&lt;1000,(L7+K8),(L7+K8-100))</f>
        <v>54.3271895497466</v>
      </c>
      <c r="M8" s="89" t="n">
        <f aca="false">IF($J8&lt;&gt;"",$J8*DAYS-$A8,"")</f>
        <v>1274.45142857143</v>
      </c>
      <c r="N8" s="151" t="e">
        <f aca="false">IF(KWH&lt;&gt;"",(RATES*PROJ_USAGE)*(1+TAX)+ONCOR_DAILY,"")</f>
        <v>#VALUE!</v>
      </c>
      <c r="O8" s="90" t="n">
        <f aca="false">IF(KWH&lt;&gt;"",IF((BREAK-CUM_KWH)&gt;0,BREAK-CUM_KWH,0),"")</f>
        <v>657.661</v>
      </c>
      <c r="P8" s="91" t="n">
        <f aca="false">IF((BREAK-CUM_KWH)&gt;0,BREAK-CUM_KWH,"")</f>
        <v>657.661</v>
      </c>
      <c r="R8" s="22" t="s">
        <v>127</v>
      </c>
      <c r="S8" s="33" t="n">
        <v>3.4</v>
      </c>
      <c r="T8" s="153" t="n">
        <f aca="false">($S$8/$A$32)</f>
        <v>0.109677419354839</v>
      </c>
      <c r="U8" s="0" t="n">
        <v>8</v>
      </c>
      <c r="V8" s="152" t="n">
        <f aca="false">(S8)</f>
        <v>3.4</v>
      </c>
      <c r="X8" s="152" t="n">
        <f aca="false">(V8)</f>
        <v>3.4</v>
      </c>
    </row>
    <row r="9" customFormat="false" ht="15" hidden="false" customHeight="false" outlineLevel="0" collapsed="false">
      <c r="A9" s="86" t="n">
        <v>8</v>
      </c>
      <c r="B9" s="86" t="str">
        <f aca="false">TEXT(D9,"ddd")</f>
        <v>Fri</v>
      </c>
      <c r="C9" s="86" t="n">
        <f aca="false">$A$32-$A9</f>
        <v>23</v>
      </c>
      <c r="D9" s="119" t="n">
        <v>44827</v>
      </c>
      <c r="E9" s="119" t="n">
        <v>44828.2832175926</v>
      </c>
      <c r="F9" s="92" t="n">
        <v>76599.337</v>
      </c>
      <c r="G9" s="92" t="n">
        <v>76647.149</v>
      </c>
      <c r="H9" s="92" t="n">
        <v>47.815</v>
      </c>
      <c r="I9" s="87" t="n">
        <f aca="false">IF($H9&gt;0,($I8+$H9),"")</f>
        <v>390.154</v>
      </c>
      <c r="J9" s="87" t="n">
        <f aca="false">IF($H9&gt;0,($I8/$A9),"")</f>
        <v>42.792375</v>
      </c>
      <c r="K9" s="151" t="n">
        <f aca="false">(($H9*$T$7)+$T$8)*(1+$S$9)</f>
        <v>7.59045439219766</v>
      </c>
      <c r="L9" s="88" t="n">
        <f aca="false">IF(CUM_KWH&lt;1000,(L8+K9),(L8+K9-100))</f>
        <v>61.9176439419443</v>
      </c>
      <c r="M9" s="89" t="n">
        <f aca="false">IF($J9&lt;&gt;"",$J9*DAYS-$A9,"")</f>
        <v>1318.563625</v>
      </c>
      <c r="N9" s="151" t="e">
        <f aca="false">IF(KWH&lt;&gt;"",(RATES*PROJ_USAGE)*(1+TAX)+ONCOR_DAILY,"")</f>
        <v>#VALUE!</v>
      </c>
      <c r="O9" s="90" t="n">
        <f aca="false">IF(KWH&lt;&gt;"",IF((BREAK-CUM_KWH)&gt;0,BREAK-CUM_KWH,0),"")</f>
        <v>609.846</v>
      </c>
      <c r="P9" s="91" t="n">
        <f aca="false">IF((BREAK-CUM_KWH)&gt;0,BREAK-CUM_KWH,"")</f>
        <v>609.846</v>
      </c>
      <c r="R9" s="22" t="s">
        <v>42</v>
      </c>
      <c r="S9" s="30" t="n">
        <v>0.01997</v>
      </c>
      <c r="T9" s="32"/>
      <c r="U9" s="0" t="n">
        <v>9</v>
      </c>
      <c r="V9" s="152" t="n">
        <f aca="false">(V7+V8)*S9+1</f>
        <v>4.97990668159521</v>
      </c>
      <c r="X9" s="152" t="n">
        <f aca="false">(X7+X8)*$S9+1</f>
        <v>4.13018605451613</v>
      </c>
    </row>
    <row r="10" customFormat="false" ht="15" hidden="false" customHeight="false" outlineLevel="0" collapsed="false">
      <c r="A10" s="86" t="n">
        <v>9</v>
      </c>
      <c r="B10" s="86" t="str">
        <f aca="false">TEXT(D10,"ddd")</f>
        <v>Sat</v>
      </c>
      <c r="C10" s="86" t="n">
        <f aca="false">$A$32-$A10</f>
        <v>22</v>
      </c>
      <c r="D10" s="119" t="n">
        <v>44828</v>
      </c>
      <c r="E10" s="119" t="n">
        <v>44829.2882407407</v>
      </c>
      <c r="F10" s="92" t="n">
        <v>76647.149</v>
      </c>
      <c r="G10" s="92" t="n">
        <v>76693.39</v>
      </c>
      <c r="H10" s="92" t="n">
        <v>46.24</v>
      </c>
      <c r="I10" s="87" t="n">
        <f aca="false">IF($H10&gt;0,($I9+$H10),"")</f>
        <v>436.394</v>
      </c>
      <c r="J10" s="87" t="n">
        <f aca="false">IF($H10&gt;0,($I9/$A10),"")</f>
        <v>43.3504444444444</v>
      </c>
      <c r="K10" s="151" t="n">
        <f aca="false">(($H10*$T$7)+$T$8)*(1+$S$9)</f>
        <v>7.34411382802792</v>
      </c>
      <c r="L10" s="88" t="n">
        <f aca="false">IF(CUM_KWH&lt;1000,(L9+K10),(L9+K10-100))</f>
        <v>69.2617577699722</v>
      </c>
      <c r="M10" s="89" t="n">
        <f aca="false">IF($J10&lt;&gt;"",$J10*DAYS-$A10,"")</f>
        <v>1334.86377777778</v>
      </c>
      <c r="N10" s="151" t="e">
        <f aca="false">IF(KWH&lt;&gt;"",(RATES*PROJ_USAGE)*(1+TAX)+ONCOR_DAILY,"")</f>
        <v>#VALUE!</v>
      </c>
      <c r="O10" s="90" t="n">
        <f aca="false">IF(KWH&lt;&gt;"",IF((BREAK-CUM_KWH)&gt;0,BREAK-CUM_KWH,0),"")</f>
        <v>563.606</v>
      </c>
      <c r="P10" s="91" t="n">
        <f aca="false">IF((BREAK-CUM_KWH)&gt;0,BREAK-CUM_KWH,"")</f>
        <v>563.606</v>
      </c>
      <c r="R10" s="22" t="s">
        <v>46</v>
      </c>
      <c r="S10" s="33" t="n">
        <v>100</v>
      </c>
      <c r="T10" s="24" t="n">
        <v>1000</v>
      </c>
      <c r="U10" s="102" t="n">
        <v>10</v>
      </c>
    </row>
    <row r="11" customFormat="false" ht="15" hidden="false" customHeight="false" outlineLevel="0" collapsed="false">
      <c r="A11" s="86" t="n">
        <v>10</v>
      </c>
      <c r="B11" s="86" t="str">
        <f aca="false">TEXT(D11,"ddd")</f>
        <v>Sun</v>
      </c>
      <c r="C11" s="86" t="n">
        <f aca="false">$A$32-$A11</f>
        <v>21</v>
      </c>
      <c r="D11" s="119" t="n">
        <v>44829</v>
      </c>
      <c r="E11" s="119" t="n">
        <v>44830.2662152778</v>
      </c>
      <c r="F11" s="92" t="n">
        <v>76693.39</v>
      </c>
      <c r="G11" s="92" t="n">
        <v>76744.573</v>
      </c>
      <c r="H11" s="92" t="n">
        <v>51.191</v>
      </c>
      <c r="I11" s="87" t="n">
        <f aca="false">IF($H11&gt;0,($I10+$H11),"")</f>
        <v>487.585</v>
      </c>
      <c r="J11" s="87" t="n">
        <f aca="false">IF($H11&gt;0,($I10/$A11),"")</f>
        <v>43.6394</v>
      </c>
      <c r="K11" s="151" t="n">
        <f aca="false">(($H11*$T$7)+$T$8)*(1+$S$9)</f>
        <v>8.11848343641164</v>
      </c>
      <c r="L11" s="88" t="n">
        <f aca="false">IF(CUM_KWH&lt;1000,(L10+K11),(L10+K11-100))</f>
        <v>77.3802412063838</v>
      </c>
      <c r="M11" s="89" t="n">
        <f aca="false">IF($J11&lt;&gt;"",$J11*DAYS-$A11,"")</f>
        <v>1342.8214</v>
      </c>
      <c r="N11" s="151" t="e">
        <f aca="false">IF(KWH&lt;&gt;"",(RATES*PROJ_USAGE)*(1+TAX)+ONCOR_DAILY,"")</f>
        <v>#VALUE!</v>
      </c>
      <c r="O11" s="90" t="n">
        <f aca="false">IF(KWH&lt;&gt;"",IF((BREAK-CUM_KWH)&gt;0,BREAK-CUM_KWH,0),"")</f>
        <v>512.415</v>
      </c>
      <c r="P11" s="91" t="n">
        <f aca="false">IF((BREAK-CUM_KWH)&gt;0,BREAK-CUM_KWH,"")</f>
        <v>512.415</v>
      </c>
      <c r="R11" s="22" t="s">
        <v>49</v>
      </c>
      <c r="S11" s="33" t="n">
        <v>295</v>
      </c>
      <c r="T11" s="32"/>
      <c r="U11" s="0" t="n">
        <v>11</v>
      </c>
    </row>
    <row r="12" customFormat="false" ht="15" hidden="false" customHeight="false" outlineLevel="0" collapsed="false">
      <c r="A12" s="86" t="n">
        <v>11</v>
      </c>
      <c r="B12" s="86" t="str">
        <f aca="false">TEXT(D12,"ddd")</f>
        <v>Mon</v>
      </c>
      <c r="C12" s="86" t="n">
        <f aca="false">$A$32-$A12</f>
        <v>20</v>
      </c>
      <c r="D12" s="119" t="n">
        <v>44830</v>
      </c>
      <c r="E12" s="119" t="n">
        <v>44831.2689236111</v>
      </c>
      <c r="F12" s="92" t="n">
        <v>76744.573</v>
      </c>
      <c r="G12" s="92" t="n">
        <v>76783.58</v>
      </c>
      <c r="H12" s="92" t="n">
        <v>39.005</v>
      </c>
      <c r="I12" s="87" t="n">
        <f aca="false">IF($H12&gt;0,($I11+$H12),"")</f>
        <v>526.59</v>
      </c>
      <c r="J12" s="87" t="n">
        <f aca="false">IF($H12&gt;0,($I11/$A12),"")</f>
        <v>44.3259090909091</v>
      </c>
      <c r="K12" s="151" t="n">
        <f aca="false">(($H12*$T$7)+$T$8)*(1+$S$9)</f>
        <v>6.21251129992124</v>
      </c>
      <c r="L12" s="88" t="n">
        <f aca="false">IF(CUM_KWH&lt;1000,(L11+K12),(L11+K12-100))</f>
        <v>83.5927525063051</v>
      </c>
      <c r="M12" s="89" t="n">
        <f aca="false">IF($J12&lt;&gt;"",$J12*DAYS-$A12,"")</f>
        <v>1363.10318181818</v>
      </c>
      <c r="N12" s="151" t="e">
        <f aca="false">IF(KWH&lt;&gt;"",(RATES*PROJ_USAGE)*(1+TAX)+ONCOR_DAILY,"")</f>
        <v>#VALUE!</v>
      </c>
      <c r="O12" s="90" t="n">
        <f aca="false">IF(KWH&lt;&gt;"",IF((BREAK-CUM_KWH)&gt;0,BREAK-CUM_KWH,0),"")</f>
        <v>473.41</v>
      </c>
      <c r="P12" s="91" t="n">
        <f aca="false">IF((BREAK-CUM_KWH)&gt;0,BREAK-CUM_KWH,"")</f>
        <v>473.41</v>
      </c>
      <c r="R12" s="22" t="s">
        <v>52</v>
      </c>
      <c r="S12" s="97" t="n">
        <v>77.6612292255884</v>
      </c>
      <c r="T12" s="32"/>
      <c r="U12" s="0" t="n">
        <v>12</v>
      </c>
      <c r="V12" s="152" t="n">
        <f aca="false">SUM(V7:V11)</f>
        <v>204.274182174595</v>
      </c>
      <c r="X12" s="152" t="n">
        <f aca="false">SUM(X7:X11)</f>
        <v>160.874605409355</v>
      </c>
    </row>
    <row r="13" customFormat="false" ht="15" hidden="false" customHeight="false" outlineLevel="0" collapsed="false">
      <c r="A13" s="86" t="n">
        <v>12</v>
      </c>
      <c r="B13" s="86" t="str">
        <f aca="false">TEXT(D13,"ddd")</f>
        <v>Tue</v>
      </c>
      <c r="C13" s="86" t="n">
        <f aca="false">$A$32-$A13</f>
        <v>19</v>
      </c>
      <c r="D13" s="119" t="n">
        <v>44831</v>
      </c>
      <c r="E13" s="119" t="n">
        <v>44832.2645717593</v>
      </c>
      <c r="F13" s="92" t="n">
        <v>76783.58</v>
      </c>
      <c r="G13" s="92" t="n">
        <v>76817.568</v>
      </c>
      <c r="H13" s="92" t="n">
        <v>33.988</v>
      </c>
      <c r="I13" s="87" t="n">
        <f aca="false">IF($H13&gt;0,($I12+$H13),"")</f>
        <v>560.578</v>
      </c>
      <c r="J13" s="87" t="n">
        <f aca="false">IF($H13&gt;0,($I12/$A13),"")</f>
        <v>43.8825</v>
      </c>
      <c r="K13" s="151" t="n">
        <f aca="false">(($H13*$T$7)+$T$8)*(1+$S$9)</f>
        <v>5.42781884884851</v>
      </c>
      <c r="L13" s="88" t="n">
        <f aca="false">IF(CUM_KWH&lt;1000,(L12+K13),(L12+K13-100))</f>
        <v>89.0205713551536</v>
      </c>
      <c r="M13" s="89" t="n">
        <f aca="false">IF($J13&lt;&gt;"",$J13*DAYS-$A13,"")</f>
        <v>1348.3575</v>
      </c>
      <c r="N13" s="151" t="e">
        <f aca="false">IF(KWH&lt;&gt;"",(RATES*PROJ_USAGE)*(1+TAX)+ONCOR_DAILY,"")</f>
        <v>#VALUE!</v>
      </c>
      <c r="O13" s="90" t="n">
        <f aca="false">IF(KWH&lt;&gt;"",IF((BREAK-CUM_KWH)&gt;0,BREAK-CUM_KWH,0),"")</f>
        <v>439.422</v>
      </c>
      <c r="P13" s="91" t="n">
        <f aca="false">IF((BREAK-CUM_KWH)&gt;0,BREAK-CUM_KWH,"")</f>
        <v>439.422</v>
      </c>
      <c r="R13" s="22" t="s">
        <v>55</v>
      </c>
      <c r="S13" s="99" t="n">
        <f aca="false">INDEX($I2:$I32,COUNT($I2:$I32))</f>
        <v>1277.479</v>
      </c>
      <c r="T13" s="32"/>
      <c r="U13" s="102" t="n">
        <v>13</v>
      </c>
    </row>
    <row r="14" customFormat="false" ht="15" hidden="false" customHeight="false" outlineLevel="0" collapsed="false">
      <c r="A14" s="86" t="n">
        <v>13</v>
      </c>
      <c r="B14" s="86" t="str">
        <f aca="false">TEXT(D14,"ddd")</f>
        <v>Wed</v>
      </c>
      <c r="C14" s="86" t="n">
        <f aca="false">$A$32-$A14</f>
        <v>18</v>
      </c>
      <c r="D14" s="119" t="n">
        <v>44832</v>
      </c>
      <c r="E14" s="119" t="n">
        <v>44833.2777893519</v>
      </c>
      <c r="F14" s="92" t="n">
        <v>76817.568</v>
      </c>
      <c r="G14" s="92" t="n">
        <v>76856.04</v>
      </c>
      <c r="H14" s="92" t="n">
        <v>38.472</v>
      </c>
      <c r="I14" s="87" t="n">
        <f aca="false">IF($H14&gt;0,($I13+$H14),"")</f>
        <v>599.05</v>
      </c>
      <c r="J14" s="87" t="n">
        <f aca="false">IF($H14&gt;0,($I13/$A14),"")</f>
        <v>43.1213846153846</v>
      </c>
      <c r="K14" s="151" t="n">
        <f aca="false">(($H14*$T$7)+$T$8)*(1+$S$9)</f>
        <v>6.12914652487206</v>
      </c>
      <c r="L14" s="88" t="n">
        <f aca="false">IF(CUM_KWH&lt;1000,(L13+K14),(L13+K14-100))</f>
        <v>95.1497178800256</v>
      </c>
      <c r="M14" s="89" t="n">
        <f aca="false">IF($J14&lt;&gt;"",$J14*DAYS-$A14,"")</f>
        <v>1323.76292307692</v>
      </c>
      <c r="N14" s="151" t="e">
        <f aca="false">IF(KWH&lt;&gt;"",(RATES*PROJ_USAGE)*(1+TAX)+ONCOR_DAILY,"")</f>
        <v>#VALUE!</v>
      </c>
      <c r="O14" s="90" t="n">
        <f aca="false">IF(KWH&lt;&gt;"",IF((BREAK-CUM_KWH)&gt;0,BREAK-CUM_KWH,0),"")</f>
        <v>400.95</v>
      </c>
      <c r="P14" s="91" t="n">
        <f aca="false">IF((BREAK-CUM_KWH)&gt;0,BREAK-CUM_KWH,"")</f>
        <v>400.95</v>
      </c>
      <c r="R14" s="22" t="s">
        <v>131</v>
      </c>
      <c r="S14" s="99" t="n">
        <f aca="false">MAX(H2:H34)</f>
        <v>53.896</v>
      </c>
      <c r="T14" s="32"/>
      <c r="U14" s="0" t="n">
        <v>14</v>
      </c>
    </row>
    <row r="15" customFormat="false" ht="15" hidden="false" customHeight="false" outlineLevel="0" collapsed="false">
      <c r="A15" s="86" t="n">
        <v>14</v>
      </c>
      <c r="B15" s="86" t="str">
        <f aca="false">TEXT(D15,"ddd")</f>
        <v>Thu</v>
      </c>
      <c r="C15" s="86" t="n">
        <f aca="false">$A$32-$A15</f>
        <v>17</v>
      </c>
      <c r="D15" s="119" t="n">
        <v>44833</v>
      </c>
      <c r="E15" s="119" t="n">
        <v>44834.5294791667</v>
      </c>
      <c r="F15" s="92" t="n">
        <v>76856.04</v>
      </c>
      <c r="G15" s="92" t="n">
        <v>76890.684</v>
      </c>
      <c r="H15" s="92" t="n">
        <v>34.644</v>
      </c>
      <c r="I15" s="87" t="n">
        <f aca="false">IF($H15&gt;0,($I14+$H15),"")</f>
        <v>633.694</v>
      </c>
      <c r="J15" s="87" t="n">
        <f aca="false">IF($H15&gt;0,($I14/$A15),"")</f>
        <v>42.7892857142857</v>
      </c>
      <c r="K15" s="151" t="n">
        <f aca="false">(($H15*$T$7)+$T$8)*(1+$S$9)</f>
        <v>5.53042164890904</v>
      </c>
      <c r="L15" s="88" t="n">
        <f aca="false">IF(CUM_KWH&lt;1000,(L14+K15),(L14+K15-100))</f>
        <v>100.680139528935</v>
      </c>
      <c r="M15" s="89" t="n">
        <f aca="false">IF($J15&lt;&gt;"",$J15*DAYS-$A15,"")</f>
        <v>1312.46785714286</v>
      </c>
      <c r="N15" s="151" t="e">
        <f aca="false">IF(KWH&lt;&gt;"",(RATES*PROJ_USAGE)*(1+TAX)+ONCOR_DAILY,"")</f>
        <v>#VALUE!</v>
      </c>
      <c r="O15" s="90" t="n">
        <f aca="false">IF(KWH&lt;&gt;"",IF((BREAK-CUM_KWH)&gt;0,BREAK-CUM_KWH,0),"")</f>
        <v>366.306</v>
      </c>
      <c r="P15" s="91" t="n">
        <f aca="false">IF((BREAK-CUM_KWH)&gt;0,BREAK-CUM_KWH,"")</f>
        <v>366.306</v>
      </c>
      <c r="R15" s="22" t="s">
        <v>132</v>
      </c>
      <c r="S15" s="99" t="n">
        <f aca="false">MIN(H2:H32)</f>
        <v>30.134</v>
      </c>
      <c r="T15" s="32"/>
      <c r="U15" s="0" t="n">
        <v>15</v>
      </c>
    </row>
    <row r="16" customFormat="false" ht="15" hidden="false" customHeight="false" outlineLevel="0" collapsed="false">
      <c r="A16" s="86" t="n">
        <v>15</v>
      </c>
      <c r="B16" s="86" t="str">
        <f aca="false">TEXT(D16,"ddd")</f>
        <v>Fri</v>
      </c>
      <c r="C16" s="86" t="n">
        <f aca="false">$A$32-$A16</f>
        <v>16</v>
      </c>
      <c r="D16" s="119" t="n">
        <v>44834</v>
      </c>
      <c r="E16" s="119" t="n">
        <v>44835.2581018519</v>
      </c>
      <c r="F16" s="92" t="n">
        <v>76890.684</v>
      </c>
      <c r="G16" s="92" t="n">
        <v>76930.562</v>
      </c>
      <c r="H16" s="92" t="n">
        <v>39.88</v>
      </c>
      <c r="I16" s="87" t="n">
        <f aca="false">IF($H16&gt;0,($I15+$H16),"")</f>
        <v>673.574</v>
      </c>
      <c r="J16" s="87" t="n">
        <f aca="false">IF($H16&gt;0,($I15/$A16),"")</f>
        <v>42.2462666666667</v>
      </c>
      <c r="K16" s="151" t="n">
        <f aca="false">(($H16*$T$7)+$T$8)*(1+$S$9)</f>
        <v>6.34936716890443</v>
      </c>
      <c r="L16" s="88" t="n">
        <f aca="false">IF(CUM_KWH&lt;1000,(L15+K16),(L15+K16-100))</f>
        <v>107.029506697839</v>
      </c>
      <c r="M16" s="89" t="n">
        <f aca="false">IF($J16&lt;&gt;"",$J16*DAYS-$A16,"")</f>
        <v>1294.63426666667</v>
      </c>
      <c r="N16" s="151" t="e">
        <f aca="false">IF(KWH&lt;&gt;"",(RATES*PROJ_USAGE)*(1+TAX)+ONCOR_DAILY,"")</f>
        <v>#VALUE!</v>
      </c>
      <c r="O16" s="90" t="n">
        <f aca="false">IF(KWH&lt;&gt;"",IF((BREAK-CUM_KWH)&gt;0,BREAK-CUM_KWH,0),"")</f>
        <v>326.426</v>
      </c>
      <c r="P16" s="91" t="n">
        <f aca="false">IF((BREAK-CUM_KWH)&gt;0,BREAK-CUM_KWH,"")</f>
        <v>326.426</v>
      </c>
      <c r="R16" s="40" t="s">
        <v>58</v>
      </c>
      <c r="S16" s="100" t="n">
        <f aca="false">INDEX(J2:J32,COUNT(J2:J32))</f>
        <v>39.9822580645161</v>
      </c>
      <c r="T16" s="101"/>
      <c r="U16" s="102" t="n">
        <v>16</v>
      </c>
    </row>
    <row r="17" customFormat="false" ht="15" hidden="false" customHeight="false" outlineLevel="0" collapsed="false">
      <c r="A17" s="86" t="n">
        <v>16</v>
      </c>
      <c r="B17" s="86" t="str">
        <f aca="false">TEXT(D17,"ddd")</f>
        <v>Sat</v>
      </c>
      <c r="C17" s="86" t="n">
        <f aca="false">$A$32-$A17</f>
        <v>15</v>
      </c>
      <c r="D17" s="119" t="n">
        <v>44835</v>
      </c>
      <c r="E17" s="119" t="n">
        <v>44836.2787384259</v>
      </c>
      <c r="F17" s="92" t="n">
        <v>76930.562</v>
      </c>
      <c r="G17" s="92" t="n">
        <v>76960.728</v>
      </c>
      <c r="H17" s="92" t="n">
        <v>30.164</v>
      </c>
      <c r="I17" s="87" t="n">
        <f aca="false">IF($H17&gt;0,($I16+$H17),"")</f>
        <v>703.738</v>
      </c>
      <c r="J17" s="87" t="n">
        <f aca="false">IF($H17&gt;0,($I16/$A17),"")</f>
        <v>42.098375</v>
      </c>
      <c r="K17" s="151" t="n">
        <f aca="false">(($H17*$T$7)+$T$8)*(1+$S$9)</f>
        <v>4.82971959971514</v>
      </c>
      <c r="L17" s="88" t="n">
        <f aca="false">IF(CUM_KWH&lt;1000,(L16+K17),(L16+K17-100))</f>
        <v>111.859226297554</v>
      </c>
      <c r="M17" s="89" t="n">
        <f aca="false">IF($J17&lt;&gt;"",$J17*DAYS-$A17,"")</f>
        <v>1289.049625</v>
      </c>
      <c r="N17" s="151" t="e">
        <f aca="false">IF(KWH&lt;&gt;"",(RATES*PROJ_USAGE)*(1+TAX)+ONCOR_DAILY,"")</f>
        <v>#VALUE!</v>
      </c>
      <c r="O17" s="90" t="n">
        <f aca="false">IF(KWH&lt;&gt;"",IF((BREAK-CUM_KWH)&gt;0,BREAK-CUM_KWH,0),"")</f>
        <v>296.262</v>
      </c>
      <c r="P17" s="91" t="n">
        <f aca="false">IF((BREAK-CUM_KWH)&gt;0,BREAK-CUM_KWH,"")</f>
        <v>296.262</v>
      </c>
    </row>
    <row r="18" customFormat="false" ht="15" hidden="false" customHeight="false" outlineLevel="0" collapsed="false">
      <c r="A18" s="86" t="n">
        <v>17</v>
      </c>
      <c r="B18" s="86" t="str">
        <f aca="false">TEXT(D18,"ddd")</f>
        <v>Sun</v>
      </c>
      <c r="C18" s="86" t="n">
        <f aca="false">$A$32-$A18</f>
        <v>14</v>
      </c>
      <c r="D18" s="119" t="n">
        <v>44836</v>
      </c>
      <c r="E18" s="119" t="n">
        <v>44837.2587962963</v>
      </c>
      <c r="F18" s="92" t="n">
        <v>76960.728</v>
      </c>
      <c r="G18" s="92" t="n">
        <v>76990.861</v>
      </c>
      <c r="H18" s="92" t="n">
        <v>30.134</v>
      </c>
      <c r="I18" s="87" t="n">
        <f aca="false">IF($H18&gt;0,($I17+$H18),"")</f>
        <v>733.872</v>
      </c>
      <c r="J18" s="87" t="n">
        <f aca="false">IF($H18&gt;0,($I17/$A18),"")</f>
        <v>41.3963529411765</v>
      </c>
      <c r="K18" s="151" t="n">
        <f aca="false">(($H18*$T$7)+$T$8)*(1+$S$9)</f>
        <v>4.82502739849285</v>
      </c>
      <c r="L18" s="88" t="n">
        <f aca="false">IF(CUM_KWH&lt;1000,(L17+K18),(L17+K18-100))</f>
        <v>116.684253696047</v>
      </c>
      <c r="M18" s="89" t="n">
        <f aca="false">IF($J18&lt;&gt;"",$J18*DAYS-$A18,"")</f>
        <v>1266.28694117647</v>
      </c>
      <c r="N18" s="151" t="e">
        <f aca="false">IF(KWH&lt;&gt;"",(RATES*PROJ_USAGE)*(1+TAX)+ONCOR_DAILY,"")</f>
        <v>#VALUE!</v>
      </c>
      <c r="O18" s="90" t="n">
        <f aca="false">IF(KWH&lt;&gt;"",IF((BREAK-CUM_KWH)&gt;0,BREAK-CUM_KWH,0),"")</f>
        <v>266.128</v>
      </c>
      <c r="P18" s="91" t="n">
        <f aca="false">IF((BREAK-CUM_KWH)&gt;0,BREAK-CUM_KWH,"")</f>
        <v>266.128</v>
      </c>
    </row>
    <row r="19" customFormat="false" ht="15" hidden="false" customHeight="false" outlineLevel="0" collapsed="false">
      <c r="A19" s="86" t="n">
        <v>18</v>
      </c>
      <c r="B19" s="86" t="str">
        <f aca="false">TEXT(D19,"ddd")</f>
        <v>Mon</v>
      </c>
      <c r="C19" s="86" t="n">
        <f aca="false">$A$32-$A19</f>
        <v>13</v>
      </c>
      <c r="D19" s="119" t="n">
        <v>44837</v>
      </c>
      <c r="E19" s="119" t="n">
        <v>44838.2581481482</v>
      </c>
      <c r="F19" s="92" t="n">
        <v>76990.861</v>
      </c>
      <c r="G19" s="92" t="n">
        <v>77029.249</v>
      </c>
      <c r="H19" s="92" t="n">
        <v>38.385</v>
      </c>
      <c r="I19" s="87" t="n">
        <f aca="false">IF($H19&gt;0,($I18+$H19),"")</f>
        <v>772.257</v>
      </c>
      <c r="J19" s="87" t="n">
        <f aca="false">IF($H19&gt;0,($I18/$A19),"")</f>
        <v>40.7706666666667</v>
      </c>
      <c r="K19" s="151" t="n">
        <f aca="false">(($H19*$T$7)+$T$8)*(1+$S$9)</f>
        <v>6.11553914132744</v>
      </c>
      <c r="L19" s="88" t="n">
        <f aca="false">IF(CUM_KWH&lt;1000,(L18+K19),(L18+K19-100))</f>
        <v>122.799792837375</v>
      </c>
      <c r="M19" s="89" t="n">
        <f aca="false">IF($J19&lt;&gt;"",$J19*DAYS-$A19,"")</f>
        <v>1245.89066666667</v>
      </c>
      <c r="N19" s="151" t="e">
        <f aca="false">IF(KWH&lt;&gt;"",(RATES*PROJ_USAGE)*(1+TAX)+ONCOR_DAILY,"")</f>
        <v>#VALUE!</v>
      </c>
      <c r="O19" s="90" t="n">
        <f aca="false">IF(KWH&lt;&gt;"",IF((BREAK-CUM_KWH)&gt;0,BREAK-CUM_KWH,0),"")</f>
        <v>227.743</v>
      </c>
      <c r="P19" s="91" t="n">
        <f aca="false">IF((BREAK-CUM_KWH)&gt;0,BREAK-CUM_KWH,"")</f>
        <v>227.743</v>
      </c>
    </row>
    <row r="20" customFormat="false" ht="15" hidden="false" customHeight="false" outlineLevel="0" collapsed="false">
      <c r="A20" s="86" t="n">
        <v>19</v>
      </c>
      <c r="B20" s="86" t="str">
        <f aca="false">TEXT(D20,"ddd")</f>
        <v>Tue</v>
      </c>
      <c r="C20" s="86" t="n">
        <f aca="false">$A$32-$A20</f>
        <v>12</v>
      </c>
      <c r="D20" s="119" t="n">
        <v>44838</v>
      </c>
      <c r="E20" s="119" t="n">
        <v>44839.2589467593</v>
      </c>
      <c r="F20" s="92" t="n">
        <v>77029.249</v>
      </c>
      <c r="G20" s="92" t="n">
        <v>77069.269</v>
      </c>
      <c r="H20" s="92" t="n">
        <v>40.021</v>
      </c>
      <c r="I20" s="87" t="n">
        <f aca="false">IF($H20&gt;0,($I19+$H20),"")</f>
        <v>812.278</v>
      </c>
      <c r="J20" s="87" t="n">
        <f aca="false">IF($H20&gt;0,($I19/$A20),"")</f>
        <v>40.6451052631579</v>
      </c>
      <c r="K20" s="151" t="n">
        <f aca="false">(($H20*$T$7)+$T$8)*(1+$S$9)</f>
        <v>6.37142051464915</v>
      </c>
      <c r="L20" s="88" t="n">
        <f aca="false">IF(CUM_KWH&lt;1000,(L19+K20),(L19+K20-100))</f>
        <v>129.171213352024</v>
      </c>
      <c r="M20" s="89" t="n">
        <f aca="false">IF($J20&lt;&gt;"",$J20*DAYS-$A20,"")</f>
        <v>1240.99826315789</v>
      </c>
      <c r="N20" s="151" t="e">
        <f aca="false">IF(KWH&lt;&gt;"",(RATES*PROJ_USAGE)*(1+TAX)+ONCOR_DAILY,"")</f>
        <v>#VALUE!</v>
      </c>
      <c r="O20" s="90" t="n">
        <f aca="false">IF(KWH&lt;&gt;"",IF((BREAK-CUM_KWH)&gt;0,BREAK-CUM_KWH,0),"")</f>
        <v>187.722</v>
      </c>
      <c r="P20" s="91" t="n">
        <f aca="false">IF((BREAK-CUM_KWH)&gt;0,BREAK-CUM_KWH,"")</f>
        <v>187.722</v>
      </c>
    </row>
    <row r="21" customFormat="false" ht="15" hidden="false" customHeight="false" outlineLevel="0" collapsed="false">
      <c r="A21" s="86" t="n">
        <v>20</v>
      </c>
      <c r="B21" s="86" t="str">
        <f aca="false">TEXT(D21,"ddd")</f>
        <v>Wed</v>
      </c>
      <c r="C21" s="86" t="n">
        <f aca="false">$A$32-$A21</f>
        <v>11</v>
      </c>
      <c r="D21" s="119" t="n">
        <v>44839</v>
      </c>
      <c r="E21" s="119" t="n">
        <v>44840.2599305556</v>
      </c>
      <c r="F21" s="92" t="n">
        <v>77069.269</v>
      </c>
      <c r="G21" s="92" t="n">
        <v>77106.014</v>
      </c>
      <c r="H21" s="92" t="n">
        <v>36.743</v>
      </c>
      <c r="I21" s="87" t="n">
        <f aca="false">IF($H21&gt;0,($I20+$H21),"")</f>
        <v>849.021</v>
      </c>
      <c r="J21" s="87" t="n">
        <f aca="false">IF($H21&gt;0,($I20/$A21),"")</f>
        <v>40.6139</v>
      </c>
      <c r="K21" s="151" t="n">
        <f aca="false">(($H21*$T$7)+$T$8)*(1+$S$9)</f>
        <v>5.85871932776128</v>
      </c>
      <c r="L21" s="88" t="n">
        <f aca="false">IF(CUM_KWH&lt;1000,(L20+K21),(L20+K21-100))</f>
        <v>135.029932679785</v>
      </c>
      <c r="M21" s="89" t="n">
        <f aca="false">IF($J21&lt;&gt;"",$J21*DAYS-$A21,"")</f>
        <v>1239.0309</v>
      </c>
      <c r="N21" s="151" t="e">
        <f aca="false">IF(KWH&lt;&gt;"",(RATES*PROJ_USAGE)*(1+TAX)+ONCOR_DAILY,"")</f>
        <v>#VALUE!</v>
      </c>
      <c r="O21" s="90" t="n">
        <f aca="false">IF(KWH&lt;&gt;"",IF((BREAK-CUM_KWH)&gt;0,BREAK-CUM_KWH,0),"")</f>
        <v>150.979</v>
      </c>
      <c r="P21" s="91" t="n">
        <f aca="false">IF((BREAK-CUM_KWH)&gt;0,BREAK-CUM_KWH,"")</f>
        <v>150.979</v>
      </c>
    </row>
    <row r="22" customFormat="false" ht="15" hidden="false" customHeight="false" outlineLevel="0" collapsed="false">
      <c r="A22" s="86" t="n">
        <v>21</v>
      </c>
      <c r="B22" s="86" t="str">
        <f aca="false">TEXT(D22,"ddd")</f>
        <v>Thu</v>
      </c>
      <c r="C22" s="86" t="n">
        <f aca="false">$A$32-$A22</f>
        <v>10</v>
      </c>
      <c r="D22" s="119" t="n">
        <v>44840</v>
      </c>
      <c r="E22" s="119" t="n">
        <v>44841.2589467593</v>
      </c>
      <c r="F22" s="92" t="n">
        <v>77106.014</v>
      </c>
      <c r="G22" s="92" t="n">
        <v>77149.144</v>
      </c>
      <c r="H22" s="92" t="n">
        <v>43.131</v>
      </c>
      <c r="I22" s="87" t="n">
        <f aca="false">IF($H22&gt;0,($I21+$H22),"")</f>
        <v>892.152</v>
      </c>
      <c r="J22" s="87" t="n">
        <f aca="false">IF($H22&gt;0,($I21/$A22),"")</f>
        <v>40.4295714285714</v>
      </c>
      <c r="K22" s="151" t="n">
        <f aca="false">(($H22*$T$7)+$T$8)*(1+$S$9)</f>
        <v>6.85784537469224</v>
      </c>
      <c r="L22" s="88" t="n">
        <f aca="false">IF(CUM_KWH&lt;1000,(L21+K22),(L21+K22-100))</f>
        <v>141.887778054477</v>
      </c>
      <c r="M22" s="89" t="n">
        <f aca="false">IF($J22&lt;&gt;"",$J22*DAYS-$A22,"")</f>
        <v>1232.31671428571</v>
      </c>
      <c r="N22" s="151" t="e">
        <f aca="false">IF(KWH&lt;&gt;"",(RATES*PROJ_USAGE)*(1+TAX)+ONCOR_DAILY,"")</f>
        <v>#VALUE!</v>
      </c>
      <c r="O22" s="90" t="n">
        <f aca="false">IF(KWH&lt;&gt;"",IF((BREAK-CUM_KWH)&gt;0,BREAK-CUM_KWH,0),"")</f>
        <v>107.848</v>
      </c>
      <c r="P22" s="91" t="n">
        <f aca="false">IF((BREAK-CUM_KWH)&gt;0,BREAK-CUM_KWH,"")</f>
        <v>107.848</v>
      </c>
    </row>
    <row r="23" customFormat="false" ht="15" hidden="false" customHeight="false" outlineLevel="0" collapsed="false">
      <c r="A23" s="86" t="n">
        <v>22</v>
      </c>
      <c r="B23" s="86" t="str">
        <f aca="false">TEXT(D23,"ddd")</f>
        <v>Fri</v>
      </c>
      <c r="C23" s="86" t="n">
        <f aca="false">$A$32-$A23</f>
        <v>9</v>
      </c>
      <c r="D23" s="119" t="n">
        <v>44841</v>
      </c>
      <c r="E23" s="119" t="n">
        <v>44842.2587268519</v>
      </c>
      <c r="F23" s="92" t="n">
        <v>77149.144</v>
      </c>
      <c r="G23" s="92" t="n">
        <v>77183.765</v>
      </c>
      <c r="H23" s="92" t="n">
        <v>34.622</v>
      </c>
      <c r="I23" s="87" t="n">
        <f aca="false">IF($H23&gt;0,($I22+$H23),"")</f>
        <v>926.774</v>
      </c>
      <c r="J23" s="87" t="n">
        <f aca="false">IF($H23&gt;0,($I22/$A23),"")</f>
        <v>40.5523636363636</v>
      </c>
      <c r="K23" s="151" t="n">
        <f aca="false">(($H23*$T$7)+$T$8)*(1+$S$9)</f>
        <v>5.52698070134604</v>
      </c>
      <c r="L23" s="88" t="n">
        <f aca="false">IF(CUM_KWH&lt;1000,(L22+K23),(L22+K23-100))</f>
        <v>147.414758755823</v>
      </c>
      <c r="M23" s="89" t="n">
        <f aca="false">IF($J23&lt;&gt;"",$J23*DAYS-$A23,"")</f>
        <v>1235.12327272727</v>
      </c>
      <c r="N23" s="151" t="e">
        <f aca="false">IF(KWH&lt;&gt;"",(RATES*PROJ_USAGE)*(1+TAX)+ONCOR_DAILY,"")</f>
        <v>#VALUE!</v>
      </c>
      <c r="O23" s="90" t="n">
        <f aca="false">IF(KWH&lt;&gt;"",IF((BREAK-CUM_KWH)&gt;0,BREAK-CUM_KWH,0),"")</f>
        <v>73.2260000000001</v>
      </c>
      <c r="P23" s="91" t="n">
        <f aca="false">IF((BREAK-CUM_KWH)&gt;0,BREAK-CUM_KWH,"")</f>
        <v>73.2260000000001</v>
      </c>
    </row>
    <row r="24" customFormat="false" ht="15" hidden="false" customHeight="false" outlineLevel="0" collapsed="false">
      <c r="A24" s="86" t="n">
        <v>23</v>
      </c>
      <c r="B24" s="86" t="str">
        <f aca="false">TEXT(D24,"ddd")</f>
        <v>Sat</v>
      </c>
      <c r="C24" s="86" t="n">
        <f aca="false">$A$32-$A24</f>
        <v>8</v>
      </c>
      <c r="D24" s="119" t="n">
        <v>44842</v>
      </c>
      <c r="E24" s="119" t="n">
        <v>44843.2787731482</v>
      </c>
      <c r="F24" s="92" t="n">
        <v>77183.765</v>
      </c>
      <c r="G24" s="92" t="n">
        <v>77217.823</v>
      </c>
      <c r="H24" s="92" t="n">
        <v>34.058</v>
      </c>
      <c r="I24" s="87" t="n">
        <f aca="false">IF($H24&gt;0,($I23+$H24),"")</f>
        <v>960.832</v>
      </c>
      <c r="J24" s="87" t="n">
        <f aca="false">IF($H24&gt;0,($I23/$A24),"")</f>
        <v>40.2945217391304</v>
      </c>
      <c r="K24" s="151" t="n">
        <f aca="false">(($H24*$T$7)+$T$8)*(1+$S$9)</f>
        <v>5.43876731836716</v>
      </c>
      <c r="L24" s="88" t="n">
        <f aca="false">IF(CUM_KWH&lt;1000,(L23+K24),(L23+K24-100))</f>
        <v>152.85352607419</v>
      </c>
      <c r="M24" s="89" t="n">
        <f aca="false">IF($J24&lt;&gt;"",$J24*DAYS-$A24,"")</f>
        <v>1226.13017391304</v>
      </c>
      <c r="N24" s="151" t="e">
        <f aca="false">IF(KWH&lt;&gt;"",(RATES*PROJ_USAGE)*(1+TAX)+ONCOR_DAILY,"")</f>
        <v>#VALUE!</v>
      </c>
      <c r="O24" s="90" t="n">
        <f aca="false">IF(KWH&lt;&gt;"",IF((BREAK-CUM_KWH)&gt;0,BREAK-CUM_KWH,0),"")</f>
        <v>39.1680000000001</v>
      </c>
      <c r="P24" s="91" t="n">
        <f aca="false">IF((BREAK-CUM_KWH)&gt;0,BREAK-CUM_KWH,"")</f>
        <v>39.1680000000001</v>
      </c>
    </row>
    <row r="25" customFormat="false" ht="15" hidden="false" customHeight="false" outlineLevel="0" collapsed="false">
      <c r="A25" s="86" t="n">
        <v>24</v>
      </c>
      <c r="B25" s="86" t="str">
        <f aca="false">TEXT(D25,"ddd")</f>
        <v>Sun</v>
      </c>
      <c r="C25" s="86" t="n">
        <f aca="false">$A$32-$A25</f>
        <v>7</v>
      </c>
      <c r="D25" s="119" t="n">
        <v>44843</v>
      </c>
      <c r="E25" s="119" t="n">
        <v>44844.2580787037</v>
      </c>
      <c r="F25" s="92" t="n">
        <v>77217.823</v>
      </c>
      <c r="G25" s="92" t="n">
        <v>77254.343</v>
      </c>
      <c r="H25" s="92" t="n">
        <v>36.516</v>
      </c>
      <c r="I25" s="87" t="n">
        <f aca="false">IF($H25&gt;0,($I24+$H25),"")</f>
        <v>997.348</v>
      </c>
      <c r="J25" s="87" t="n">
        <f aca="false">IF($H25&gt;0,($I24/$A25),"")</f>
        <v>40.0346666666667</v>
      </c>
      <c r="K25" s="151" t="n">
        <f aca="false">(($H25*$T$7)+$T$8)*(1+$S$9)</f>
        <v>5.82321500517936</v>
      </c>
      <c r="L25" s="88" t="n">
        <f aca="false">IF(CUM_KWH&lt;1000,(L24+K25),(L24+K25-100))</f>
        <v>158.67674107937</v>
      </c>
      <c r="M25" s="89" t="n">
        <f aca="false">IF($J25&lt;&gt;"",$J25*DAYS-$A25,"")</f>
        <v>1217.07466666667</v>
      </c>
      <c r="N25" s="151" t="e">
        <f aca="false">IF(KWH&lt;&gt;"",(RATES*PROJ_USAGE)*(1+TAX)+ONCOR_DAILY,"")</f>
        <v>#VALUE!</v>
      </c>
      <c r="O25" s="90" t="n">
        <f aca="false">IF(KWH&lt;&gt;"",IF((BREAK-CUM_KWH)&gt;0,BREAK-CUM_KWH,0),"")</f>
        <v>2.65200000000016</v>
      </c>
      <c r="P25" s="91" t="n">
        <f aca="false">IF((BREAK-CUM_KWH)&gt;0,BREAK-CUM_KWH,"")</f>
        <v>2.65200000000016</v>
      </c>
    </row>
    <row r="26" customFormat="false" ht="15" hidden="false" customHeight="false" outlineLevel="0" collapsed="false">
      <c r="A26" s="86" t="n">
        <v>25</v>
      </c>
      <c r="B26" s="86" t="str">
        <f aca="false">TEXT(D26,"ddd")</f>
        <v>Mon</v>
      </c>
      <c r="C26" s="86" t="n">
        <f aca="false">$A$32-$A26</f>
        <v>6</v>
      </c>
      <c r="D26" s="119" t="n">
        <v>44844</v>
      </c>
      <c r="E26" s="119" t="n">
        <v>44845.2579166667</v>
      </c>
      <c r="F26" s="92" t="n">
        <v>77254.343</v>
      </c>
      <c r="G26" s="92" t="n">
        <v>77293.686</v>
      </c>
      <c r="H26" s="92" t="n">
        <v>39.341</v>
      </c>
      <c r="I26" s="87" t="n">
        <f aca="false">IF($H26&gt;0,($I25+$H26),"")</f>
        <v>1036.689</v>
      </c>
      <c r="J26" s="87" t="n">
        <f aca="false">IF($H26&gt;0,($I25/$A26),"")</f>
        <v>39.89392</v>
      </c>
      <c r="K26" s="151" t="n">
        <f aca="false">(($H26*$T$7)+$T$8)*(1+$S$9)</f>
        <v>6.26506395361079</v>
      </c>
      <c r="L26" s="88" t="n">
        <f aca="false">IF(CUM_KWH&lt;1000,(L25+K26),(L25+K26-100))</f>
        <v>64.9418050329805</v>
      </c>
      <c r="M26" s="89" t="n">
        <f aca="false">IF($J26&lt;&gt;"",$J26*DAYS-$A26,"")</f>
        <v>1211.71152</v>
      </c>
      <c r="N26" s="151" t="e">
        <f aca="false">IF(KWH&lt;&gt;"",(RATES*PROJ_USAGE)*(1+TAX)+ONCOR_DAILY,"")</f>
        <v>#VALUE!</v>
      </c>
      <c r="O26" s="90" t="n">
        <f aca="false">IF(KWH&lt;&gt;"",IF((BREAK-CUM_KWH)&gt;0,BREAK-CUM_KWH,0),"")</f>
        <v>0</v>
      </c>
      <c r="P26" s="91" t="str">
        <f aca="false">IF((BREAK-CUM_KWH)&gt;0,BREAK-CUM_KWH,"")</f>
        <v/>
      </c>
    </row>
    <row r="27" customFormat="false" ht="15" hidden="false" customHeight="false" outlineLevel="0" collapsed="false">
      <c r="A27" s="86" t="n">
        <v>26</v>
      </c>
      <c r="B27" s="86" t="str">
        <f aca="false">TEXT(D27,"ddd")</f>
        <v>Tue</v>
      </c>
      <c r="C27" s="86" t="n">
        <f aca="false">$A$32-$A27</f>
        <v>5</v>
      </c>
      <c r="D27" s="119" t="n">
        <v>44845</v>
      </c>
      <c r="E27" s="119" t="n">
        <v>44846.2589351852</v>
      </c>
      <c r="F27" s="92" t="n">
        <v>77293.686</v>
      </c>
      <c r="G27" s="92" t="n">
        <v>77333.581</v>
      </c>
      <c r="H27" s="92" t="n">
        <v>39.897</v>
      </c>
      <c r="I27" s="87" t="n">
        <f aca="false">IF($H27&gt;0,($I26+$H27),"")</f>
        <v>1076.586</v>
      </c>
      <c r="J27" s="87" t="n">
        <f aca="false">IF($H27&gt;0,($I26/$A27),"")</f>
        <v>39.8726538461538</v>
      </c>
      <c r="K27" s="151" t="n">
        <f aca="false">(($H27*$T$7)+$T$8)*(1+$S$9)</f>
        <v>6.35202608293039</v>
      </c>
      <c r="L27" s="88" t="n">
        <f aca="false">(L26+K27)</f>
        <v>71.2938311159109</v>
      </c>
      <c r="M27" s="89" t="n">
        <f aca="false">IF($J27&lt;&gt;"",$J27*DAYS-$A27,"")</f>
        <v>1210.05226923077</v>
      </c>
      <c r="N27" s="151" t="e">
        <f aca="false">IF(KWH&lt;&gt;"",(RATES*PROJ_USAGE)*(1+TAX)+ONCOR_DAILY,"")</f>
        <v>#VALUE!</v>
      </c>
      <c r="O27" s="90" t="n">
        <f aca="false">IF(KWH&lt;&gt;"",IF((BREAK-CUM_KWH)&gt;0,BREAK-CUM_KWH,0),"")</f>
        <v>0</v>
      </c>
      <c r="P27" s="91" t="str">
        <f aca="false">IF((BREAK-CUM_KWH)&gt;0,BREAK-CUM_KWH,"")</f>
        <v/>
      </c>
    </row>
    <row r="28" customFormat="false" ht="15" hidden="false" customHeight="false" outlineLevel="0" collapsed="false">
      <c r="A28" s="86" t="n">
        <v>27</v>
      </c>
      <c r="B28" s="86" t="str">
        <f aca="false">TEXT(D28,"ddd")</f>
        <v>Wed</v>
      </c>
      <c r="C28" s="86" t="n">
        <f aca="false">$A$32-$A28</f>
        <v>4</v>
      </c>
      <c r="D28" s="119" t="n">
        <v>44846</v>
      </c>
      <c r="E28" s="119" t="n">
        <v>44847.2596643519</v>
      </c>
      <c r="F28" s="92" t="n">
        <v>77333.581</v>
      </c>
      <c r="G28" s="92" t="n">
        <v>77375.647</v>
      </c>
      <c r="H28" s="92" t="n">
        <v>42.066</v>
      </c>
      <c r="I28" s="87" t="n">
        <f aca="false">IF($H28&gt;0,($I27+$H28),"")</f>
        <v>1118.652</v>
      </c>
      <c r="J28" s="87" t="n">
        <f aca="false">IF($H28&gt;0,($I27/$A28),"")</f>
        <v>39.8735555555556</v>
      </c>
      <c r="K28" s="151" t="n">
        <f aca="false">(($H28*$T$7)+$T$8)*(1+$S$9)</f>
        <v>6.69127223130128</v>
      </c>
      <c r="L28" s="88" t="n">
        <f aca="false">(L27+K28)</f>
        <v>77.9851033472122</v>
      </c>
      <c r="M28" s="89" t="n">
        <f aca="false">IF($J28&lt;&gt;"",$J28*DAYS-$A28,"")</f>
        <v>1209.08022222222</v>
      </c>
      <c r="N28" s="151" t="e">
        <f aca="false">IF(KWH&lt;&gt;"",(RATES*PROJ_USAGE)*(1+TAX)+ONCOR_DAILY,"")</f>
        <v>#VALUE!</v>
      </c>
      <c r="O28" s="90" t="n">
        <f aca="false">IF(KWH&lt;&gt;"",IF((BREAK-CUM_KWH)&gt;0,BREAK-CUM_KWH,0),"")</f>
        <v>0</v>
      </c>
      <c r="P28" s="91" t="str">
        <f aca="false">IF((BREAK-CUM_KWH)&gt;0,BREAK-CUM_KWH,"")</f>
        <v/>
      </c>
    </row>
    <row r="29" customFormat="false" ht="15" hidden="false" customHeight="false" outlineLevel="0" collapsed="false">
      <c r="A29" s="86" t="n">
        <v>28</v>
      </c>
      <c r="B29" s="86" t="str">
        <f aca="false">TEXT(D29,"ddd")</f>
        <v>Thu</v>
      </c>
      <c r="C29" s="86" t="n">
        <f aca="false">$A$32-$A29</f>
        <v>3</v>
      </c>
      <c r="D29" s="119" t="n">
        <v>44847</v>
      </c>
      <c r="E29" s="119" t="n">
        <v>44848.2587847222</v>
      </c>
      <c r="F29" s="92" t="n">
        <v>77375.647</v>
      </c>
      <c r="G29" s="92" t="n">
        <v>77408.027</v>
      </c>
      <c r="H29" s="92" t="n">
        <v>32.383</v>
      </c>
      <c r="I29" s="87" t="n">
        <f aca="false">IF($H29&gt;0,($I28+$H29),"")</f>
        <v>1151.035</v>
      </c>
      <c r="J29" s="87" t="n">
        <f aca="false">IF($H29&gt;0,($I28/$A29),"")</f>
        <v>39.9518571428571</v>
      </c>
      <c r="K29" s="151" t="n">
        <f aca="false">(($H29*$T$7)+$T$8)*(1+$S$9)</f>
        <v>5.17678608345649</v>
      </c>
      <c r="L29" s="88" t="n">
        <f aca="false">(L28+K29)</f>
        <v>83.1618894306687</v>
      </c>
      <c r="M29" s="89" t="n">
        <f aca="false">IF($J29&lt;&gt;"",$J29*DAYS-$A29,"")</f>
        <v>1210.50757142857</v>
      </c>
      <c r="N29" s="151" t="e">
        <f aca="false">IF(KWH&lt;&gt;"",(RATES*PROJ_USAGE)*(1+TAX)+ONCOR_DAILY,"")</f>
        <v>#VALUE!</v>
      </c>
      <c r="O29" s="90" t="n">
        <f aca="false">IF(KWH&lt;&gt;"",IF((BREAK-CUM_KWH)&gt;0,BREAK-CUM_KWH,0),"")</f>
        <v>0</v>
      </c>
      <c r="P29" s="91" t="str">
        <f aca="false">IF((BREAK-CUM_KWH)&gt;0,BREAK-CUM_KWH,"")</f>
        <v/>
      </c>
    </row>
    <row r="30" customFormat="false" ht="15" hidden="false" customHeight="false" outlineLevel="0" collapsed="false">
      <c r="A30" s="86" t="n">
        <v>29</v>
      </c>
      <c r="B30" s="86" t="str">
        <f aca="false">TEXT(D30,"ddd")</f>
        <v>Fri</v>
      </c>
      <c r="C30" s="86" t="n">
        <f aca="false">$A$32-$A30</f>
        <v>2</v>
      </c>
      <c r="D30" s="119" t="n">
        <v>44848</v>
      </c>
      <c r="E30" s="119" t="n">
        <v>44849.2581365741</v>
      </c>
      <c r="F30" s="92" t="n">
        <v>77408.027</v>
      </c>
      <c r="G30" s="92" t="n">
        <v>77450.442</v>
      </c>
      <c r="H30" s="92" t="n">
        <v>42.413</v>
      </c>
      <c r="I30" s="87" t="n">
        <f aca="false">IF($H30&gt;0,($I29+$H30),"")</f>
        <v>1193.448</v>
      </c>
      <c r="J30" s="87" t="n">
        <f aca="false">IF($H30&gt;0,($I29/$A30),"")</f>
        <v>39.6908620689655</v>
      </c>
      <c r="K30" s="151" t="n">
        <f aca="false">(($H30*$T$7)+$T$8)*(1+$S$9)</f>
        <v>6.74554535877232</v>
      </c>
      <c r="L30" s="88" t="n">
        <f aca="false">(L29+K30)</f>
        <v>89.907434789441</v>
      </c>
      <c r="M30" s="89" t="n">
        <f aca="false">IF($J30&lt;&gt;"",$J30*DAYS-$A30,"")</f>
        <v>1201.41672413793</v>
      </c>
      <c r="N30" s="151" t="e">
        <f aca="false">IF(KWH&lt;&gt;"",(RATES*PROJ_USAGE)*(1+TAX)+ONCOR_DAILY,"")</f>
        <v>#VALUE!</v>
      </c>
      <c r="O30" s="90" t="n">
        <f aca="false">IF(KWH&lt;&gt;"",IF((BREAK-CUM_KWH)&gt;0,BREAK-CUM_KWH,0),"")</f>
        <v>0</v>
      </c>
      <c r="P30" s="91" t="str">
        <f aca="false">IF((BREAK-CUM_KWH)&gt;0,BREAK-CUM_KWH,"")</f>
        <v/>
      </c>
    </row>
    <row r="31" customFormat="false" ht="15" hidden="false" customHeight="false" outlineLevel="0" collapsed="false">
      <c r="A31" s="86" t="n">
        <v>30</v>
      </c>
      <c r="B31" s="86" t="str">
        <f aca="false">TEXT(D31,"ddd")</f>
        <v>Sat</v>
      </c>
      <c r="C31" s="86" t="n">
        <f aca="false">$A$32-$A31</f>
        <v>1</v>
      </c>
      <c r="D31" s="119" t="n">
        <v>44849</v>
      </c>
      <c r="E31" s="119" t="n">
        <v>44850.2791435185</v>
      </c>
      <c r="F31" s="92" t="n">
        <v>77450.442</v>
      </c>
      <c r="G31" s="92" t="n">
        <v>77496.448</v>
      </c>
      <c r="H31" s="92" t="n">
        <v>46.002</v>
      </c>
      <c r="I31" s="87" t="n">
        <f aca="false">IF($H31&gt;0,($I30+$H31),"")</f>
        <v>1239.45</v>
      </c>
      <c r="J31" s="87" t="n">
        <f aca="false">IF($H31&gt;0,($I30/$A31),"")</f>
        <v>39.7816</v>
      </c>
      <c r="K31" s="151" t="n">
        <f aca="false">(($H31*$T$7)+$T$8)*(1+$S$9)</f>
        <v>7.3068890316645</v>
      </c>
      <c r="L31" s="88" t="n">
        <f aca="false">(L30+K31)</f>
        <v>97.2143238211055</v>
      </c>
      <c r="M31" s="89" t="n">
        <f aca="false">IF($J31&lt;&gt;"",$J31*DAYS-$A31,"")</f>
        <v>1203.2296</v>
      </c>
      <c r="N31" s="151" t="e">
        <f aca="false">IF(KWH&lt;&gt;"",(RATES*PROJ_USAGE)*(1+TAX)+ONCOR_DAILY,"")</f>
        <v>#VALUE!</v>
      </c>
      <c r="O31" s="90" t="n">
        <f aca="false">IF(KWH&lt;&gt;"",IF((BREAK-CUM_KWH)&gt;0,BREAK-CUM_KWH,0),"")</f>
        <v>0</v>
      </c>
      <c r="P31" s="91" t="str">
        <f aca="false">IF((BREAK-CUM_KWH)&gt;0,BREAK-CUM_KWH,"")</f>
        <v/>
      </c>
    </row>
    <row r="32" customFormat="false" ht="15" hidden="false" customHeight="false" outlineLevel="0" collapsed="false">
      <c r="A32" s="86" t="n">
        <v>31</v>
      </c>
      <c r="B32" s="86" t="str">
        <f aca="false">TEXT(D32,"ddd")</f>
        <v>Sun</v>
      </c>
      <c r="C32" s="86" t="n">
        <f aca="false">$A$32-$A32</f>
        <v>0</v>
      </c>
      <c r="D32" s="119" t="n">
        <v>44850</v>
      </c>
      <c r="E32" s="119" t="n">
        <v>44851.2571875</v>
      </c>
      <c r="F32" s="92" t="n">
        <v>77496.448</v>
      </c>
      <c r="G32" s="92" t="n">
        <v>77534.474</v>
      </c>
      <c r="H32" s="92" t="n">
        <v>38.029</v>
      </c>
      <c r="I32" s="87" t="n">
        <f aca="false">IF($H32&gt;0,($I31+$H32),"")</f>
        <v>1277.479</v>
      </c>
      <c r="J32" s="87" t="n">
        <f aca="false">IF($H32&gt;0,($I31/$A32),"")</f>
        <v>39.9822580645161</v>
      </c>
      <c r="K32" s="151" t="n">
        <f aca="false">(($H32*$T$7)+$T$8)*(1+$S$9)</f>
        <v>6.05985835348971</v>
      </c>
      <c r="L32" s="88" t="n">
        <f aca="false">(L31+K32)</f>
        <v>103.274182174595</v>
      </c>
      <c r="M32" s="89" t="n">
        <f aca="false">IF($J32&lt;&gt;"",$J32*DAYS-$A32,"")</f>
        <v>1208.45</v>
      </c>
      <c r="N32" s="151" t="e">
        <f aca="false">IF(KWH&lt;&gt;"",(RATES*PROJ_USAGE)*(1+TAX)+ONCOR_DAILY,"")</f>
        <v>#VALUE!</v>
      </c>
      <c r="O32" s="90" t="n">
        <f aca="false">IF(KWH&lt;&gt;"",IF((BREAK-CUM_KWH)&gt;0,BREAK-CUM_KWH,0),"")</f>
        <v>0</v>
      </c>
      <c r="P32" s="91"/>
    </row>
    <row r="33" customFormat="false" ht="15" hidden="false" customHeight="false" outlineLevel="0" collapsed="false">
      <c r="A33" s="11"/>
      <c r="B33" s="11"/>
      <c r="C33" s="11"/>
      <c r="H33" s="92"/>
      <c r="I33" s="13"/>
      <c r="J33" s="13"/>
      <c r="K33" s="13"/>
      <c r="L33" s="15"/>
      <c r="M33" s="16"/>
      <c r="N33" s="17"/>
      <c r="O33" s="17"/>
      <c r="P33" s="18"/>
    </row>
    <row r="34" customFormat="false" ht="15" hidden="false" customHeight="false" outlineLevel="0" collapsed="false">
      <c r="H34" s="92"/>
      <c r="M34" s="47"/>
      <c r="N34" s="2"/>
      <c r="O34" s="2"/>
    </row>
    <row r="35" customFormat="false" ht="15" hidden="false" customHeight="false" outlineLevel="0" collapsed="false">
      <c r="H35" s="92"/>
      <c r="M35" s="47"/>
      <c r="N35" s="2"/>
      <c r="O35" s="2"/>
    </row>
    <row r="36" customFormat="false" ht="15" hidden="false" customHeight="false" outlineLevel="0" collapsed="false">
      <c r="H36" s="154" t="n">
        <f aca="false">SUM(H2:H35)</f>
        <v>1277.479</v>
      </c>
      <c r="M36" s="47"/>
      <c r="N36" s="2"/>
      <c r="O36" s="2"/>
    </row>
    <row r="37" customFormat="false" ht="15" hidden="false" customHeight="false" outlineLevel="0" collapsed="false">
      <c r="L37" s="47"/>
      <c r="M37" s="2"/>
      <c r="N37" s="2"/>
    </row>
    <row r="38" customFormat="false" ht="15" hidden="false" customHeight="false" outlineLevel="0" collapsed="false">
      <c r="I38" s="81"/>
      <c r="L38" s="47"/>
      <c r="M38" s="2"/>
      <c r="N38" s="2"/>
    </row>
    <row r="39" customFormat="false" ht="15" hidden="false" customHeight="false" outlineLevel="0" collapsed="false">
      <c r="M39" s="2"/>
      <c r="N39" s="2"/>
    </row>
    <row r="53" customFormat="false" ht="15" hidden="false" customHeight="false" outlineLevel="0" collapsed="false">
      <c r="H53" s="47"/>
    </row>
    <row r="62" customFormat="false" ht="15" hidden="false" customHeight="false" outlineLevel="0" collapsed="false">
      <c r="H62" s="47"/>
    </row>
  </sheetData>
  <conditionalFormatting sqref="R2:R16">
    <cfRule type="expression" priority="2" aboveAverage="0" equalAverage="0" bottom="0" percent="0" rank="0" text="" dxfId="45">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41"/>
  <sheetViews>
    <sheetView showFormulas="false" showGridLines="true" showRowColHeaders="true" showZeros="true" rightToLeft="false" tabSelected="false" showOutlineSymbols="true" defaultGridColor="true" view="normal" topLeftCell="F1" colorId="64" zoomScale="87" zoomScaleNormal="87" zoomScalePageLayoutView="100" workbookViewId="0">
      <selection pane="topLeft" activeCell="Q2" activeCellId="0" sqref="Q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51" width="8.71"/>
    <col collapsed="false" customWidth="true" hidden="false" outlineLevel="0" max="7" min="6" style="47" width="10.71"/>
    <col collapsed="false" customWidth="true" hidden="false" outlineLevel="0" max="8" min="8" style="47" width="9.71"/>
    <col collapsed="false" customWidth="true" hidden="false" outlineLevel="0" max="10" min="10" style="0" width="10.42"/>
    <col collapsed="false" customWidth="true" hidden="false" outlineLevel="0" max="12" min="12" style="0" width="9.71"/>
    <col collapsed="false" customWidth="true" hidden="false" outlineLevel="0" max="14" min="13" style="0" width="11.29"/>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 collapsed="false" customWidth="true" hidden="false" outlineLevel="0" max="21" min="21" style="0" width="64.71"/>
  </cols>
  <sheetData>
    <row r="1" customFormat="false" ht="49.5" hidden="false" customHeight="true" outlineLevel="0" collapsed="false">
      <c r="A1" s="5" t="s">
        <v>0</v>
      </c>
      <c r="B1" s="6" t="s">
        <v>1</v>
      </c>
      <c r="C1" s="6" t="s">
        <v>2</v>
      </c>
      <c r="D1" s="7" t="s">
        <v>3</v>
      </c>
      <c r="E1" s="7" t="s">
        <v>4</v>
      </c>
      <c r="F1" s="6" t="s">
        <v>5</v>
      </c>
      <c r="G1" s="6" t="s">
        <v>6</v>
      </c>
      <c r="H1" s="6" t="s">
        <v>7</v>
      </c>
      <c r="I1" s="6" t="s">
        <v>8</v>
      </c>
      <c r="J1" s="145" t="s">
        <v>9</v>
      </c>
      <c r="K1" s="6" t="s">
        <v>10</v>
      </c>
      <c r="L1" s="6" t="s">
        <v>11</v>
      </c>
      <c r="M1" s="6" t="s">
        <v>12</v>
      </c>
      <c r="N1" s="6" t="s">
        <v>13</v>
      </c>
      <c r="O1" s="9" t="s">
        <v>137</v>
      </c>
      <c r="Q1" s="102" t="s">
        <v>140</v>
      </c>
      <c r="S1" s="10"/>
      <c r="T1" s="71"/>
      <c r="U1" s="72"/>
      <c r="V1" s="72"/>
      <c r="W1" s="71"/>
      <c r="X1" s="71"/>
      <c r="Y1" s="71"/>
      <c r="Z1" s="73"/>
      <c r="AA1" s="71"/>
      <c r="AB1" s="71"/>
      <c r="AC1" s="71"/>
    </row>
    <row r="2" s="102" customFormat="true" ht="15" hidden="false" customHeight="true" outlineLevel="0" collapsed="false">
      <c r="A2" s="86" t="n">
        <v>1</v>
      </c>
      <c r="B2" s="86" t="str">
        <f aca="false">TEXT(D2,"ddd")</f>
        <v>Wed</v>
      </c>
      <c r="C2" s="86" t="n">
        <f aca="false">$A$31-$A2</f>
        <v>29</v>
      </c>
      <c r="D2" s="51" t="n">
        <v>44790</v>
      </c>
      <c r="E2" s="51" t="n">
        <v>44791.2863888889</v>
      </c>
      <c r="F2" s="2" t="n">
        <v>74900.546</v>
      </c>
      <c r="G2" s="2" t="n">
        <v>74961.469</v>
      </c>
      <c r="H2" s="2" t="n">
        <v>60.927</v>
      </c>
      <c r="I2" s="87" t="n">
        <f aca="false">(H2)</f>
        <v>60.927</v>
      </c>
      <c r="J2" s="87" t="n">
        <f aca="false">(I2/A2)</f>
        <v>60.927</v>
      </c>
      <c r="K2" s="87" t="n">
        <f aca="false">IF(KWH&lt;&gt;"",(RATES*KWH)*(1+TAX)+ONCOR_DAILY,"")</f>
        <v>9.72255964233333</v>
      </c>
      <c r="L2" s="88" t="n">
        <f aca="false">IF($H2&lt;&gt;"",K2,"")</f>
        <v>9.72255964233333</v>
      </c>
      <c r="M2" s="89" t="n">
        <f aca="false">IF($J2&lt;&gt;"",$J2*DAYS-$A2,"")</f>
        <v>1826.81</v>
      </c>
      <c r="N2" s="90" t="n">
        <f aca="false">IF(KWH&lt;&gt;"",(RATES*PROJ_USAGE)*(1+TAX)+ONCOR_DAILY,"")</f>
        <v>286.96677927</v>
      </c>
      <c r="O2" s="91" t="n">
        <f aca="false">IF(KWH&lt;&gt;"",IF((BREAK-CUM_KWH)&gt;0,BREAK-CUM_KWH,0),"")</f>
        <v>939.073</v>
      </c>
      <c r="Q2" s="122" t="s">
        <v>18</v>
      </c>
      <c r="R2" s="155" t="s">
        <v>19</v>
      </c>
      <c r="S2" s="124"/>
    </row>
    <row r="3" s="102" customFormat="true" ht="15" hidden="false" customHeight="true" outlineLevel="0" collapsed="false">
      <c r="A3" s="86" t="n">
        <v>2</v>
      </c>
      <c r="B3" s="86" t="str">
        <f aca="false">TEXT(D3,"ddd")</f>
        <v>Thu</v>
      </c>
      <c r="C3" s="86" t="n">
        <f aca="false">$A$31-$A3</f>
        <v>28</v>
      </c>
      <c r="D3" s="51" t="n">
        <v>44791</v>
      </c>
      <c r="E3" s="51" t="n">
        <v>44792.2860763889</v>
      </c>
      <c r="F3" s="2" t="n">
        <v>74961.469</v>
      </c>
      <c r="G3" s="2" t="n">
        <v>75001.061</v>
      </c>
      <c r="H3" s="2" t="n">
        <v>39.593</v>
      </c>
      <c r="I3" s="87" t="n">
        <f aca="false">IF($H3&gt;0,($I2+$H3),"")</f>
        <v>100.52</v>
      </c>
      <c r="J3" s="87" t="n">
        <f aca="false">IF($H3&gt;0,($I2/$A3),"")</f>
        <v>30.4635</v>
      </c>
      <c r="K3" s="87" t="n">
        <f aca="false">IF(KWH&lt;&gt;"",(RATES*KWH)*(1+TAX)+ONCOR_DAILY,"")</f>
        <v>6.373114531</v>
      </c>
      <c r="L3" s="88" t="n">
        <f aca="false">IF(CUM_KWH&lt;1000,(L2+K3),(L2+K3-100))</f>
        <v>16.0956741733333</v>
      </c>
      <c r="M3" s="89" t="n">
        <f aca="false">IF($J3&lt;&gt;"",$J3*DAYS-$A3,"")</f>
        <v>911.905</v>
      </c>
      <c r="N3" s="90" t="n">
        <f aca="false">IF(KWH&lt;&gt;"",(RATES*PROJ_USAGE)*(1+TAX)+ONCOR_DAILY,"")</f>
        <v>143.326389301667</v>
      </c>
      <c r="O3" s="91" t="n">
        <f aca="false">IF(KWH&lt;&gt;"",IF((BREAK-CUM_KWH)&gt;0,BREAK-CUM_KWH,0),"")</f>
        <v>899.48</v>
      </c>
      <c r="Q3" s="127" t="s">
        <v>22</v>
      </c>
      <c r="R3" s="156" t="n">
        <f aca="false">($F$2+$S$10)</f>
        <v>75900.546</v>
      </c>
      <c r="S3" s="129"/>
      <c r="V3" s="72"/>
      <c r="W3" s="71"/>
      <c r="X3" s="71"/>
      <c r="Y3" s="130"/>
      <c r="AC3" s="131"/>
    </row>
    <row r="4" s="102" customFormat="true" ht="15" hidden="false" customHeight="true" outlineLevel="0" collapsed="false">
      <c r="A4" s="86" t="n">
        <v>3</v>
      </c>
      <c r="B4" s="86" t="str">
        <f aca="false">TEXT(D4,"ddd")</f>
        <v>Fri</v>
      </c>
      <c r="C4" s="86" t="n">
        <f aca="false">$A$31-$A4</f>
        <v>27</v>
      </c>
      <c r="D4" s="51" t="n">
        <v>44792</v>
      </c>
      <c r="E4" s="51" t="n">
        <v>44793.2843981482</v>
      </c>
      <c r="F4" s="2" t="n">
        <v>75001.061</v>
      </c>
      <c r="G4" s="2" t="n">
        <v>75041.285</v>
      </c>
      <c r="H4" s="2" t="n">
        <v>40.221</v>
      </c>
      <c r="I4" s="87" t="n">
        <f aca="false">IF($H4&gt;0,($I3+$H4),"")</f>
        <v>140.741</v>
      </c>
      <c r="J4" s="87" t="n">
        <f aca="false">IF($H4&gt;0,($I3/$A4),"")</f>
        <v>33.5066666666667</v>
      </c>
      <c r="K4" s="87" t="n">
        <f aca="false">IF(KWH&lt;&gt;"",(RATES*KWH)*(1+TAX)+ONCOR_DAILY,"")</f>
        <v>6.47171074033333</v>
      </c>
      <c r="L4" s="88" t="n">
        <f aca="false">IF(CUM_KWH&lt;1000,(L3+K4),(L3+K4-100))</f>
        <v>22.5673849136667</v>
      </c>
      <c r="M4" s="89" t="n">
        <f aca="false">IF($J4&lt;&gt;"",$J4*DAYS-$A4,"")</f>
        <v>1002.2</v>
      </c>
      <c r="N4" s="90" t="n">
        <f aca="false">IF(KWH&lt;&gt;"",(RATES*PROJ_USAGE)*(1+TAX)+ONCOR_DAILY,"")</f>
        <v>157.5027344</v>
      </c>
      <c r="O4" s="91" t="n">
        <f aca="false">IF(KWH&lt;&gt;"",IF((BREAK-CUM_KWH)&gt;0,BREAK-CUM_KWH,0),"")</f>
        <v>859.259</v>
      </c>
      <c r="Q4" s="127" t="s">
        <v>25</v>
      </c>
      <c r="R4" s="132"/>
      <c r="S4" s="133" t="n">
        <v>0.001667</v>
      </c>
      <c r="U4" s="134"/>
      <c r="V4" s="147"/>
      <c r="W4" s="135"/>
      <c r="X4" s="135"/>
      <c r="Y4" s="135"/>
      <c r="Z4" s="136"/>
      <c r="AC4" s="131"/>
    </row>
    <row r="5" s="45" customFormat="true" ht="15" hidden="false" customHeight="true" outlineLevel="0" collapsed="false">
      <c r="A5" s="11" t="n">
        <v>4</v>
      </c>
      <c r="B5" s="11" t="str">
        <f aca="false">TEXT(D5,"ddd")</f>
        <v>Sat</v>
      </c>
      <c r="C5" s="11" t="n">
        <f aca="false">$A$31-$A5</f>
        <v>26</v>
      </c>
      <c r="D5" s="51" t="n">
        <v>44793</v>
      </c>
      <c r="E5" s="51" t="n">
        <v>44794.4603819444</v>
      </c>
      <c r="F5" s="2" t="n">
        <v>75041.285</v>
      </c>
      <c r="G5" s="2" t="n">
        <v>75087.85</v>
      </c>
      <c r="H5" s="2" t="n">
        <v>46.565</v>
      </c>
      <c r="I5" s="13" t="n">
        <f aca="false">IF($H5&gt;0,($I4+$H5),"")</f>
        <v>187.306</v>
      </c>
      <c r="J5" s="13" t="n">
        <f aca="false">IF($H5&gt;0,($I4/$A5),"")</f>
        <v>35.18525</v>
      </c>
      <c r="K5" s="13" t="n">
        <f aca="false">IF(KWH&lt;&gt;"",(RATES*KWH)*(1+TAX)+ONCOR_DAILY,"")</f>
        <v>7.467720855</v>
      </c>
      <c r="L5" s="88" t="n">
        <f aca="false">IF(CUM_KWH&lt;1000,(L4+K5),(L4+K5-100))</f>
        <v>30.0351057686667</v>
      </c>
      <c r="M5" s="16" t="n">
        <f aca="false">IF($J5&lt;&gt;"",$J5*DAYS-$A5,"")</f>
        <v>1051.5575</v>
      </c>
      <c r="N5" s="17" t="n">
        <f aca="false">IF(KWH&lt;&gt;"",(RATES*PROJ_USAGE)*(1+TAX)+ONCOR_DAILY,"")</f>
        <v>165.2518783525</v>
      </c>
      <c r="O5" s="18" t="n">
        <f aca="false">IF(KWH&lt;&gt;"",IF((BREAK-CUM_KWH)&gt;0,BREAK-CUM_KWH,0),"")</f>
        <v>812.694</v>
      </c>
      <c r="P5" s="27"/>
      <c r="Q5" s="22" t="s">
        <v>28</v>
      </c>
      <c r="R5" s="25"/>
      <c r="S5" s="26" t="n">
        <v>0.042</v>
      </c>
      <c r="T5" s="83"/>
    </row>
    <row r="6" customFormat="false" ht="15" hidden="false" customHeight="true" outlineLevel="0" collapsed="false">
      <c r="A6" s="11" t="n">
        <v>5</v>
      </c>
      <c r="B6" s="11" t="str">
        <f aca="false">TEXT(D6,"ddd")</f>
        <v>Sun</v>
      </c>
      <c r="C6" s="11" t="n">
        <f aca="false">$A$31-$A6</f>
        <v>25</v>
      </c>
      <c r="D6" s="51" t="n">
        <v>44794</v>
      </c>
      <c r="E6" s="51" t="n">
        <v>44795.2813078704</v>
      </c>
      <c r="F6" s="2" t="n">
        <v>75087.85</v>
      </c>
      <c r="G6" s="2" t="n">
        <v>75141.018</v>
      </c>
      <c r="H6" s="2" t="n">
        <v>53.168</v>
      </c>
      <c r="I6" s="13" t="n">
        <f aca="false">IF($H6&gt;0,($I5+$H6),"")</f>
        <v>240.474</v>
      </c>
      <c r="J6" s="13" t="n">
        <f aca="false">IF($H6&gt;0,($I5/$A6),"")</f>
        <v>37.4612</v>
      </c>
      <c r="K6" s="13" t="n">
        <f aca="false">IF(KWH&lt;&gt;"",(RATES*KWH)*(1+TAX)+ONCOR_DAILY,"")</f>
        <v>8.504394056</v>
      </c>
      <c r="L6" s="88" t="n">
        <f aca="false">IF(CUM_KWH&lt;1000,(L5+K6),(L5+K6-100))</f>
        <v>38.5394998246667</v>
      </c>
      <c r="M6" s="16" t="n">
        <f aca="false">IF($J6&lt;&gt;"",$J6*DAYS-$A6,"")</f>
        <v>1118.836</v>
      </c>
      <c r="N6" s="17" t="n">
        <f aca="false">IF(KWH&lt;&gt;"",(RATES*PROJ_USAGE)*(1+TAX)+ONCOR_DAILY,"")</f>
        <v>175.814625278667</v>
      </c>
      <c r="O6" s="18" t="n">
        <f aca="false">IF(KWH&lt;&gt;"",IF((BREAK-CUM_KWH)&gt;0,BREAK-CUM_KWH,0),"")</f>
        <v>759.526</v>
      </c>
      <c r="Q6" s="22" t="s">
        <v>31</v>
      </c>
      <c r="R6" s="25"/>
      <c r="S6" s="26" t="n">
        <f aca="false">($R$8/DAYS)</f>
        <v>0.113333333333333</v>
      </c>
      <c r="T6" s="83"/>
    </row>
    <row r="7" customFormat="false" ht="15" hidden="false" customHeight="true" outlineLevel="0" collapsed="false">
      <c r="A7" s="11" t="n">
        <v>6</v>
      </c>
      <c r="B7" s="11" t="str">
        <f aca="false">TEXT(D7,"ddd")</f>
        <v>Mon</v>
      </c>
      <c r="C7" s="11" t="n">
        <f aca="false">$A$31-$A7</f>
        <v>24</v>
      </c>
      <c r="D7" s="51" t="n">
        <v>44795</v>
      </c>
      <c r="E7" s="51" t="n">
        <v>44796.2863888889</v>
      </c>
      <c r="F7" s="2" t="n">
        <v>75141.018</v>
      </c>
      <c r="G7" s="2" t="n">
        <v>75178.909</v>
      </c>
      <c r="H7" s="2" t="n">
        <v>37.891</v>
      </c>
      <c r="I7" s="13" t="n">
        <f aca="false">IF($H7&gt;0,($I6+$H7),"")</f>
        <v>278.365</v>
      </c>
      <c r="J7" s="13" t="n">
        <f aca="false">IF($H7&gt;0,($I6/$A7),"")</f>
        <v>40.079</v>
      </c>
      <c r="K7" s="13" t="n">
        <f aca="false">IF(KWH&lt;&gt;"",(RATES*KWH)*(1+TAX)+ONCOR_DAILY,"")</f>
        <v>6.10589996366667</v>
      </c>
      <c r="L7" s="88" t="n">
        <f aca="false">IF(CUM_KWH&lt;1000,(L6+K7),(L6+K7-100))</f>
        <v>44.6453997883333</v>
      </c>
      <c r="M7" s="16" t="n">
        <f aca="false">IF($J7&lt;&gt;"",$J7*DAYS-$A7,"")</f>
        <v>1196.37</v>
      </c>
      <c r="N7" s="17" t="n">
        <f aca="false">IF(KWH&lt;&gt;"",(RATES*PROJ_USAGE)*(1+TAX)+ONCOR_DAILY,"")</f>
        <v>187.987489123333</v>
      </c>
      <c r="O7" s="18" t="n">
        <f aca="false">IF(KWH&lt;&gt;"",IF((BREAK-CUM_KWH)&gt;0,BREAK-CUM_KWH,0),"")</f>
        <v>721.635</v>
      </c>
      <c r="Q7" s="22" t="s">
        <v>34</v>
      </c>
      <c r="R7" s="25"/>
      <c r="S7" s="28" t="n">
        <f aca="false">SUM(S4:S6)</f>
        <v>0.157000333333333</v>
      </c>
      <c r="T7" s="83"/>
    </row>
    <row r="8" customFormat="false" ht="15" hidden="false" customHeight="false" outlineLevel="0" collapsed="false">
      <c r="A8" s="11" t="n">
        <v>7</v>
      </c>
      <c r="B8" s="11" t="str">
        <f aca="false">TEXT(D8,"ddd")</f>
        <v>Tue</v>
      </c>
      <c r="C8" s="11" t="n">
        <f aca="false">$A$31-$A8</f>
        <v>23</v>
      </c>
      <c r="D8" s="51" t="n">
        <v>44796</v>
      </c>
      <c r="E8" s="51" t="n">
        <v>44797.2884606481</v>
      </c>
      <c r="F8" s="2" t="n">
        <v>75178.909</v>
      </c>
      <c r="G8" s="2" t="n">
        <v>75219.265</v>
      </c>
      <c r="H8" s="2" t="n">
        <v>40.356</v>
      </c>
      <c r="I8" s="13" t="n">
        <f aca="false">IF($H8&gt;0,($I7+$H8),"")</f>
        <v>318.721</v>
      </c>
      <c r="J8" s="13" t="n">
        <f aca="false">IF($H8&gt;0,($I7/$A8),"")</f>
        <v>39.7664285714286</v>
      </c>
      <c r="K8" s="13" t="n">
        <f aca="false">IF(KWH&lt;&gt;"",(RATES*KWH)*(1+TAX)+ONCOR_DAILY,"")</f>
        <v>6.49290578533333</v>
      </c>
      <c r="L8" s="88" t="n">
        <f aca="false">IF(CUM_KWH&lt;1000,(L7+K8),(L7+K8-100))</f>
        <v>51.1383055736667</v>
      </c>
      <c r="M8" s="16" t="n">
        <f aca="false">IF($J8&lt;&gt;"",$J8*DAYS-$A8,"")</f>
        <v>1185.99285714286</v>
      </c>
      <c r="N8" s="17" t="n">
        <f aca="false">IF(KWH&lt;&gt;"",(RATES*PROJ_USAGE)*(1+TAX)+ONCOR_DAILY,"")</f>
        <v>186.358274235714</v>
      </c>
      <c r="O8" s="18" t="n">
        <f aca="false">IF(KWH&lt;&gt;"",IF((BREAK-CUM_KWH)&gt;0,BREAK-CUM_KWH,0),"")</f>
        <v>681.279</v>
      </c>
      <c r="Q8" s="22" t="s">
        <v>141</v>
      </c>
      <c r="R8" s="23" t="n">
        <v>3.4</v>
      </c>
      <c r="S8" s="67" t="n">
        <f aca="false">(R8/$A$31)</f>
        <v>0.113333333333333</v>
      </c>
      <c r="T8" s="83"/>
    </row>
    <row r="9" customFormat="false" ht="15" hidden="false" customHeight="false" outlineLevel="0" collapsed="false">
      <c r="A9" s="11" t="n">
        <v>8</v>
      </c>
      <c r="B9" s="11" t="str">
        <f aca="false">TEXT(D9,"ddd")</f>
        <v>Wed</v>
      </c>
      <c r="C9" s="11" t="n">
        <f aca="false">$A$31-$A9</f>
        <v>22</v>
      </c>
      <c r="D9" s="51" t="n">
        <v>44797</v>
      </c>
      <c r="E9" s="51" t="n">
        <v>44798.2856365741</v>
      </c>
      <c r="F9" s="2" t="n">
        <v>75219.265</v>
      </c>
      <c r="G9" s="2" t="n">
        <v>75264.254</v>
      </c>
      <c r="H9" s="2" t="n">
        <v>44.988</v>
      </c>
      <c r="I9" s="13" t="n">
        <f aca="false">IF($H9&gt;0,($I8+$H9),"")</f>
        <v>363.709</v>
      </c>
      <c r="J9" s="13" t="n">
        <f aca="false">IF($H9&gt;0,($I8/$A9),"")</f>
        <v>39.840125</v>
      </c>
      <c r="K9" s="13" t="n">
        <f aca="false">IF(KWH&lt;&gt;"",(RATES*KWH)*(1+TAX)+ONCOR_DAILY,"")</f>
        <v>7.22013132933333</v>
      </c>
      <c r="L9" s="88" t="n">
        <f aca="false">IF(CUM_KWH&lt;1000,(L8+K9),(L8+K9-100))</f>
        <v>58.358436903</v>
      </c>
      <c r="M9" s="16" t="n">
        <f aca="false">IF($J9&lt;&gt;"",$J9*DAYS-$A9,"")</f>
        <v>1187.20375</v>
      </c>
      <c r="N9" s="17" t="n">
        <f aca="false">IF(KWH&lt;&gt;"",(RATES*PROJ_USAGE)*(1+TAX)+ONCOR_DAILY,"")</f>
        <v>186.548384817917</v>
      </c>
      <c r="O9" s="18" t="n">
        <f aca="false">IF(KWH&lt;&gt;"",IF((BREAK-CUM_KWH)&gt;0,BREAK-CUM_KWH,0),"")</f>
        <v>636.291</v>
      </c>
      <c r="Q9" s="22" t="s">
        <v>142</v>
      </c>
      <c r="R9" s="30" t="n">
        <v>0.01997</v>
      </c>
      <c r="S9" s="32"/>
      <c r="T9" s="83"/>
    </row>
    <row r="10" customFormat="false" ht="15" hidden="false" customHeight="false" outlineLevel="0" collapsed="false">
      <c r="A10" s="11" t="n">
        <v>9</v>
      </c>
      <c r="B10" s="11" t="str">
        <f aca="false">TEXT(D10,"ddd")</f>
        <v>Thu</v>
      </c>
      <c r="C10" s="11" t="n">
        <f aca="false">$A$31-$A10</f>
        <v>21</v>
      </c>
      <c r="D10" s="51" t="n">
        <v>44798</v>
      </c>
      <c r="E10" s="51" t="n">
        <v>44799.2866550926</v>
      </c>
      <c r="F10" s="2" t="n">
        <v>75264.254</v>
      </c>
      <c r="G10" s="2" t="n">
        <v>75312.623</v>
      </c>
      <c r="H10" s="2" t="n">
        <v>48.37</v>
      </c>
      <c r="I10" s="13" t="n">
        <f aca="false">IF($H10&gt;0,($I9+$H10),"")</f>
        <v>412.079</v>
      </c>
      <c r="J10" s="13" t="n">
        <f aca="false">IF($H10&gt;0,($I9/$A10),"")</f>
        <v>40.4121111111111</v>
      </c>
      <c r="K10" s="13" t="n">
        <f aca="false">IF(KWH&lt;&gt;"",(RATES*KWH)*(1+TAX)+ONCOR_DAILY,"")</f>
        <v>7.75110645666667</v>
      </c>
      <c r="L10" s="88" t="n">
        <f aca="false">IF(CUM_KWH&lt;1000,(L9+K10),(L9+K10-100))</f>
        <v>66.1095433596667</v>
      </c>
      <c r="M10" s="16" t="n">
        <f aca="false">IF($J10&lt;&gt;"",$J10*DAYS-$A10,"")</f>
        <v>1203.36333333333</v>
      </c>
      <c r="N10" s="17" t="n">
        <f aca="false">IF(KWH&lt;&gt;"",(RATES*PROJ_USAGE)*(1+TAX)+ONCOR_DAILY,"")</f>
        <v>189.085444787778</v>
      </c>
      <c r="O10" s="18" t="n">
        <f aca="false">IF(KWH&lt;&gt;"",IF((BREAK-CUM_KWH)&gt;0,BREAK-CUM_KWH,0),"")</f>
        <v>587.921</v>
      </c>
      <c r="Q10" s="22" t="s">
        <v>46</v>
      </c>
      <c r="R10" s="33" t="n">
        <v>100</v>
      </c>
      <c r="S10" s="30" t="n">
        <v>1000</v>
      </c>
      <c r="T10" s="83"/>
    </row>
    <row r="11" customFormat="false" ht="15" hidden="false" customHeight="false" outlineLevel="0" collapsed="false">
      <c r="A11" s="11" t="n">
        <v>10</v>
      </c>
      <c r="B11" s="11" t="str">
        <f aca="false">TEXT(D11,"ddd")</f>
        <v>Fri</v>
      </c>
      <c r="C11" s="11" t="n">
        <f aca="false">$A$31-$A11</f>
        <v>20</v>
      </c>
      <c r="D11" s="51" t="n">
        <v>44799</v>
      </c>
      <c r="E11" s="51" t="n">
        <v>44800.2848032407</v>
      </c>
      <c r="F11" s="2" t="n">
        <v>75312.623</v>
      </c>
      <c r="G11" s="2" t="n">
        <v>75360.911</v>
      </c>
      <c r="H11" s="2" t="n">
        <v>48.285</v>
      </c>
      <c r="I11" s="13" t="n">
        <f aca="false">IF($H11&gt;0,($I10+$H11),"")</f>
        <v>460.364</v>
      </c>
      <c r="J11" s="13" t="n">
        <f aca="false">IF($H11&gt;0,($I10/$A11),"")</f>
        <v>41.2079</v>
      </c>
      <c r="K11" s="13" t="n">
        <f aca="false">IF(KWH&lt;&gt;"",(RATES*KWH)*(1+TAX)+ONCOR_DAILY,"")</f>
        <v>7.73776142833333</v>
      </c>
      <c r="L11" s="88" t="n">
        <f aca="false">IF(CUM_KWH&lt;1000,(L10+K11),(L10+K11-100))</f>
        <v>73.847304788</v>
      </c>
      <c r="M11" s="16" t="n">
        <f aca="false">IF($J11&lt;&gt;"",$J11*DAYS-$A11,"")</f>
        <v>1226.237</v>
      </c>
      <c r="N11" s="17" t="n">
        <f aca="false">IF(KWH&lt;&gt;"",(RATES*PROJ_USAGE)*(1+TAX)+ONCOR_DAILY,"")</f>
        <v>192.676618079</v>
      </c>
      <c r="O11" s="18" t="n">
        <f aca="false">IF(KWH&lt;&gt;"",IF((BREAK-CUM_KWH)&gt;0,BREAK-CUM_KWH,0),"")</f>
        <v>539.636</v>
      </c>
      <c r="Q11" s="22" t="s">
        <v>49</v>
      </c>
      <c r="R11" s="33" t="n">
        <v>295</v>
      </c>
      <c r="S11" s="32"/>
      <c r="T11" s="83"/>
    </row>
    <row r="12" customFormat="false" ht="15" hidden="false" customHeight="false" outlineLevel="0" collapsed="false">
      <c r="A12" s="11" t="n">
        <v>11</v>
      </c>
      <c r="B12" s="11" t="str">
        <f aca="false">TEXT(D12,"ddd")</f>
        <v>Sat</v>
      </c>
      <c r="C12" s="11" t="n">
        <f aca="false">$A$31-$A12</f>
        <v>19</v>
      </c>
      <c r="D12" s="51" t="n">
        <v>44800</v>
      </c>
      <c r="E12" s="51" t="n">
        <v>44801.3118634259</v>
      </c>
      <c r="F12" s="2" t="n">
        <v>75360.911</v>
      </c>
      <c r="G12" s="2" t="n">
        <v>75409.885</v>
      </c>
      <c r="H12" s="2" t="n">
        <v>48.977</v>
      </c>
      <c r="I12" s="13" t="n">
        <f aca="false">IF($H12&gt;0,($I11+$H12),"")</f>
        <v>509.341</v>
      </c>
      <c r="J12" s="13" t="n">
        <f aca="false">IF($H12&gt;0,($I11/$A12),"")</f>
        <v>41.8512727272727</v>
      </c>
      <c r="K12" s="13" t="n">
        <f aca="false">IF(KWH&lt;&gt;"",(RATES*KWH)*(1+TAX)+ONCOR_DAILY,"")</f>
        <v>7.846405659</v>
      </c>
      <c r="L12" s="88" t="n">
        <f aca="false">IF(CUM_KWH&lt;1000,(L11+K12),(L11+K12-100))</f>
        <v>81.693710447</v>
      </c>
      <c r="M12" s="16" t="n">
        <f aca="false">IF($J12&lt;&gt;"",$J12*DAYS-$A12,"")</f>
        <v>1244.53818181818</v>
      </c>
      <c r="N12" s="17" t="n">
        <f aca="false">IF(KWH&lt;&gt;"",(RATES*PROJ_USAGE)*(1+TAX)+ONCOR_DAILY,"")</f>
        <v>195.549909724848</v>
      </c>
      <c r="O12" s="18" t="n">
        <f aca="false">IF(KWH&lt;&gt;"",IF((BREAK-CUM_KWH)&gt;0,BREAK-CUM_KWH,0),"")</f>
        <v>490.659</v>
      </c>
      <c r="Q12" s="22" t="s">
        <v>52</v>
      </c>
      <c r="R12" s="97" t="n">
        <f aca="false">INDEX(L2:L32,COUNT(L2:L32))</f>
        <v>117.673426150667</v>
      </c>
      <c r="S12" s="32"/>
      <c r="T12" s="83"/>
    </row>
    <row r="13" customFormat="false" ht="15" hidden="false" customHeight="false" outlineLevel="0" collapsed="false">
      <c r="A13" s="11" t="n">
        <v>12</v>
      </c>
      <c r="B13" s="11" t="str">
        <f aca="false">TEXT(D13,"ddd")</f>
        <v>Sun</v>
      </c>
      <c r="C13" s="11" t="n">
        <f aca="false">$A$31-$A13</f>
        <v>18</v>
      </c>
      <c r="D13" s="51" t="n">
        <v>44801</v>
      </c>
      <c r="E13" s="51" t="n">
        <v>44802.3436342593</v>
      </c>
      <c r="F13" s="2" t="n">
        <v>75409.885</v>
      </c>
      <c r="G13" s="2" t="n">
        <v>75462.404</v>
      </c>
      <c r="H13" s="2" t="n">
        <v>52.523</v>
      </c>
      <c r="I13" s="13" t="n">
        <f aca="false">IF($H13&gt;0,($I12+$H13),"")</f>
        <v>561.864</v>
      </c>
      <c r="J13" s="13" t="n">
        <f aca="false">IF($H13&gt;0,($I12/$A13),"")</f>
        <v>42.4450833333333</v>
      </c>
      <c r="K13" s="13" t="n">
        <f aca="false">IF(KWH&lt;&gt;"",(RATES*KWH)*(1+TAX)+ONCOR_DAILY,"")</f>
        <v>8.403128841</v>
      </c>
      <c r="L13" s="88" t="n">
        <f aca="false">IF(CUM_KWH&lt;1000,(L12+K13),(L12+K13-100))</f>
        <v>90.096839288</v>
      </c>
      <c r="M13" s="16" t="n">
        <f aca="false">IF($J13&lt;&gt;"",$J13*DAYS-$A13,"")</f>
        <v>1261.3525</v>
      </c>
      <c r="N13" s="17" t="n">
        <f aca="false">IF(KWH&lt;&gt;"",(RATES*PROJ_USAGE)*(1+TAX)+ONCOR_DAILY,"")</f>
        <v>198.189763284167</v>
      </c>
      <c r="O13" s="18" t="n">
        <f aca="false">IF(KWH&lt;&gt;"",IF((BREAK-CUM_KWH)&gt;0,BREAK-CUM_KWH,0),"")</f>
        <v>438.136</v>
      </c>
      <c r="Q13" s="22" t="s">
        <v>55</v>
      </c>
      <c r="R13" s="99" t="n">
        <f aca="false">INDEX($J2:$J32,COUNT($J2:$J32))</f>
        <v>43.7213</v>
      </c>
      <c r="S13" s="32"/>
      <c r="T13" s="83"/>
    </row>
    <row r="14" customFormat="false" ht="15" hidden="false" customHeight="false" outlineLevel="0" collapsed="false">
      <c r="A14" s="11" t="n">
        <v>13</v>
      </c>
      <c r="B14" s="11" t="str">
        <f aca="false">TEXT(D14,"ddd")</f>
        <v>Mon</v>
      </c>
      <c r="C14" s="11" t="n">
        <f aca="false">$A$31-$A14</f>
        <v>17</v>
      </c>
      <c r="D14" s="51" t="n">
        <v>44802</v>
      </c>
      <c r="E14" s="51" t="n">
        <v>44803.2909375</v>
      </c>
      <c r="F14" s="2" t="n">
        <v>75462.404</v>
      </c>
      <c r="G14" s="2" t="n">
        <v>75512.551</v>
      </c>
      <c r="H14" s="2" t="n">
        <v>50.145</v>
      </c>
      <c r="I14" s="13" t="n">
        <f aca="false">IF($H14&gt;0,($I13+$H14),"")</f>
        <v>612.009</v>
      </c>
      <c r="J14" s="13" t="n">
        <f aca="false">IF($H14&gt;0,($I13/$A14),"")</f>
        <v>43.2203076923077</v>
      </c>
      <c r="K14" s="13" t="n">
        <f aca="false">IF(KWH&lt;&gt;"",(RATES*KWH)*(1+TAX)+ONCOR_DAILY,"")</f>
        <v>8.02978204833333</v>
      </c>
      <c r="L14" s="88" t="n">
        <f aca="false">IF(CUM_KWH&lt;1000,(L13+K14),(L13+K14-100))</f>
        <v>98.1266213363333</v>
      </c>
      <c r="M14" s="16" t="n">
        <f aca="false">IF($J14&lt;&gt;"",$J14*DAYS-$A14,"")</f>
        <v>1283.60923076923</v>
      </c>
      <c r="N14" s="17" t="n">
        <f aca="false">IF(KWH&lt;&gt;"",(RATES*PROJ_USAGE)*(1+TAX)+ONCOR_DAILY,"")</f>
        <v>201.684077433846</v>
      </c>
      <c r="O14" s="18" t="n">
        <f aca="false">IF(KWH&lt;&gt;"",IF((BREAK-CUM_KWH)&gt;0,BREAK-CUM_KWH,0),"")</f>
        <v>387.991</v>
      </c>
      <c r="Q14" s="22" t="s">
        <v>131</v>
      </c>
      <c r="R14" s="99" t="n">
        <f aca="false">MAX(H2:H34)</f>
        <v>60.927</v>
      </c>
      <c r="S14" s="32"/>
      <c r="T14" s="83"/>
    </row>
    <row r="15" customFormat="false" ht="15" hidden="false" customHeight="false" outlineLevel="0" collapsed="false">
      <c r="A15" s="11" t="n">
        <v>14</v>
      </c>
      <c r="B15" s="11" t="str">
        <f aca="false">TEXT(D15,"ddd")</f>
        <v>Tue</v>
      </c>
      <c r="C15" s="11" t="n">
        <f aca="false">$A$31-$A15</f>
        <v>16</v>
      </c>
      <c r="D15" s="51" t="n">
        <v>44803</v>
      </c>
      <c r="E15" s="51" t="n">
        <v>44804.3564699074</v>
      </c>
      <c r="F15" s="2" t="n">
        <v>75512.551</v>
      </c>
      <c r="G15" s="2" t="n">
        <v>75548.513</v>
      </c>
      <c r="H15" s="2" t="n">
        <v>35.967</v>
      </c>
      <c r="I15" s="13" t="n">
        <f aca="false">IF($H15&gt;0,($I14+$H15),"")</f>
        <v>647.976</v>
      </c>
      <c r="J15" s="13" t="n">
        <f aca="false">IF($H15&gt;0,($I14/$A15),"")</f>
        <v>43.7149285714286</v>
      </c>
      <c r="K15" s="13" t="n">
        <f aca="false">IF(KWH&lt;&gt;"",(RATES*KWH)*(1+TAX)+ONCOR_DAILY,"")</f>
        <v>5.80383132233333</v>
      </c>
      <c r="L15" s="88" t="n">
        <f aca="false">IF(CUM_KWH&lt;1000,(L14+K15),(L14+K15-100))</f>
        <v>103.930452658667</v>
      </c>
      <c r="M15" s="16" t="n">
        <f aca="false">IF($J15&lt;&gt;"",$J15*DAYS-$A15,"")</f>
        <v>1297.44785714286</v>
      </c>
      <c r="N15" s="17" t="n">
        <f aca="false">IF(KWH&lt;&gt;"",(RATES*PROJ_USAGE)*(1+TAX)+ONCOR_DAILY,"")</f>
        <v>203.856746387381</v>
      </c>
      <c r="O15" s="18" t="n">
        <f aca="false">IF(KWH&lt;&gt;"",IF((BREAK-CUM_KWH)&gt;0,BREAK-CUM_KWH,0),"")</f>
        <v>352.024</v>
      </c>
      <c r="Q15" s="22" t="s">
        <v>132</v>
      </c>
      <c r="R15" s="99" t="n">
        <f aca="false">MIN(H4:H33)</f>
        <v>35.967</v>
      </c>
      <c r="S15" s="32"/>
      <c r="T15" s="83"/>
    </row>
    <row r="16" customFormat="false" ht="15" hidden="false" customHeight="false" outlineLevel="0" collapsed="false">
      <c r="A16" s="11" t="n">
        <v>15</v>
      </c>
      <c r="B16" s="11" t="str">
        <f aca="false">TEXT(D16,"ddd")</f>
        <v>Wed</v>
      </c>
      <c r="C16" s="11" t="n">
        <f aca="false">$A$31-$A16</f>
        <v>15</v>
      </c>
      <c r="D16" s="51" t="n">
        <v>44804</v>
      </c>
      <c r="E16" s="51" t="n">
        <v>44805.2912268519</v>
      </c>
      <c r="F16" s="2" t="n">
        <v>75548.513</v>
      </c>
      <c r="G16" s="2" t="n">
        <v>75589.144</v>
      </c>
      <c r="H16" s="2" t="n">
        <v>40.631</v>
      </c>
      <c r="I16" s="13" t="n">
        <f aca="false">IF($H16&gt;0,($I15+$H16),"")</f>
        <v>688.607</v>
      </c>
      <c r="J16" s="13" t="n">
        <f aca="false">IF($H16&gt;0,($I15/$A16),"")</f>
        <v>43.1984</v>
      </c>
      <c r="K16" s="13" t="n">
        <f aca="false">IF(KWH&lt;&gt;"",(RATES*KWH)*(1+TAX)+ONCOR_DAILY,"")</f>
        <v>6.536080877</v>
      </c>
      <c r="L16" s="88" t="n">
        <f aca="false">IF(CUM_KWH&lt;1000,(L15+K16),(L15+K16-100))</f>
        <v>110.466533535667</v>
      </c>
      <c r="M16" s="16" t="n">
        <f aca="false">IF($J16&lt;&gt;"",$J16*DAYS-$A16,"")</f>
        <v>1280.952</v>
      </c>
      <c r="N16" s="17" t="n">
        <f aca="false">IF(KWH&lt;&gt;"",(RATES*PROJ_USAGE)*(1+TAX)+ONCOR_DAILY,"")</f>
        <v>201.266891317333</v>
      </c>
      <c r="O16" s="18" t="n">
        <f aca="false">IF(KWH&lt;&gt;"",IF((BREAK-CUM_KWH)&gt;0,BREAK-CUM_KWH,0),"")</f>
        <v>311.393</v>
      </c>
      <c r="Q16" s="40" t="s">
        <v>58</v>
      </c>
      <c r="R16" s="100" t="n">
        <f aca="false">INDEX(J2:J32,COUNT(J2:J32))</f>
        <v>43.7213</v>
      </c>
      <c r="S16" s="101"/>
      <c r="T16" s="83"/>
    </row>
    <row r="17" customFormat="false" ht="15" hidden="false" customHeight="false" outlineLevel="0" collapsed="false">
      <c r="A17" s="11" t="n">
        <v>16</v>
      </c>
      <c r="B17" s="11" t="str">
        <f aca="false">TEXT(D17,"ddd")</f>
        <v>Thu</v>
      </c>
      <c r="C17" s="11" t="n">
        <f aca="false">$A$31-$A17</f>
        <v>14</v>
      </c>
      <c r="D17" s="51" t="n">
        <v>44805</v>
      </c>
      <c r="E17" s="51" t="n">
        <v>44806.2964467593</v>
      </c>
      <c r="F17" s="2" t="n">
        <v>75589.144</v>
      </c>
      <c r="G17" s="2" t="n">
        <v>75634.501</v>
      </c>
      <c r="H17" s="2" t="n">
        <v>45.357</v>
      </c>
      <c r="I17" s="13" t="n">
        <f aca="false">IF($H17&gt;0,($I16+$H17),"")</f>
        <v>733.964</v>
      </c>
      <c r="J17" s="13" t="n">
        <f aca="false">IF($H17&gt;0,($I16/$A17),"")</f>
        <v>43.0379375</v>
      </c>
      <c r="K17" s="13" t="n">
        <f aca="false">IF(KWH&lt;&gt;"",(RATES*KWH)*(1+TAX)+ONCOR_DAILY,"")</f>
        <v>7.27806445233333</v>
      </c>
      <c r="L17" s="88" t="n">
        <f aca="false">IF(CUM_KWH&lt;1000,(L16+K17),(L16+K17-100))</f>
        <v>117.744597988</v>
      </c>
      <c r="M17" s="16" t="n">
        <f aca="false">IF($J17&lt;&gt;"",$J17*DAYS-$A17,"")</f>
        <v>1275.138125</v>
      </c>
      <c r="N17" s="17" t="n">
        <f aca="false">IF(KWH&lt;&gt;"",(RATES*PROJ_USAGE)*(1+TAX)+ONCOR_DAILY,"")</f>
        <v>200.354111004375</v>
      </c>
      <c r="O17" s="18" t="n">
        <f aca="false">IF(KWH&lt;&gt;"",IF((BREAK-CUM_KWH)&gt;0,BREAK-CUM_KWH,0),"")</f>
        <v>266.036</v>
      </c>
    </row>
    <row r="18" customFormat="false" ht="15" hidden="false" customHeight="false" outlineLevel="0" collapsed="false">
      <c r="A18" s="11" t="n">
        <v>17</v>
      </c>
      <c r="B18" s="11" t="str">
        <f aca="false">TEXT(D18,"ddd")</f>
        <v>Fri</v>
      </c>
      <c r="C18" s="11" t="n">
        <f aca="false">$A$31-$A18</f>
        <v>13</v>
      </c>
      <c r="D18" s="51" t="n">
        <v>44806</v>
      </c>
      <c r="E18" s="51" t="n">
        <v>44807.2868634259</v>
      </c>
      <c r="F18" s="2" t="n">
        <v>75634.501</v>
      </c>
      <c r="G18" s="2" t="n">
        <v>75679.288</v>
      </c>
      <c r="H18" s="2" t="n">
        <v>44.787</v>
      </c>
      <c r="I18" s="13" t="n">
        <f aca="false">IF($H18&gt;0,($I17+$H18),"")</f>
        <v>778.751</v>
      </c>
      <c r="J18" s="13" t="n">
        <f aca="false">IF($H18&gt;0,($I17/$A18),"")</f>
        <v>43.1743529411765</v>
      </c>
      <c r="K18" s="13" t="n">
        <f aca="false">IF(KWH&lt;&gt;"",(RATES*KWH)*(1+TAX)+ONCOR_DAILY,"")</f>
        <v>7.18857426233333</v>
      </c>
      <c r="L18" s="88" t="n">
        <f aca="false">IF(CUM_KWH&lt;1000,(L17+K18),(L17+K18-100))</f>
        <v>124.933172250333</v>
      </c>
      <c r="M18" s="16" t="n">
        <f aca="false">IF($J18&lt;&gt;"",$J18*DAYS-$A18,"")</f>
        <v>1278.23058823529</v>
      </c>
      <c r="N18" s="17" t="n">
        <f aca="false">IF(KWH&lt;&gt;"",(RATES*PROJ_USAGE)*(1+TAX)+ONCOR_DAILY,"")</f>
        <v>200.839628763137</v>
      </c>
      <c r="O18" s="18" t="n">
        <f aca="false">IF(KWH&lt;&gt;"",IF((BREAK-CUM_KWH)&gt;0,BREAK-CUM_KWH,0),"")</f>
        <v>221.249</v>
      </c>
    </row>
    <row r="19" customFormat="false" ht="15" hidden="false" customHeight="false" outlineLevel="0" collapsed="false">
      <c r="A19" s="11" t="n">
        <v>18</v>
      </c>
      <c r="B19" s="11" t="str">
        <f aca="false">TEXT(D19,"ddd")</f>
        <v>Sat</v>
      </c>
      <c r="C19" s="11" t="n">
        <f aca="false">$A$31-$A19</f>
        <v>12</v>
      </c>
      <c r="D19" s="51" t="n">
        <v>44807</v>
      </c>
      <c r="E19" s="51" t="n">
        <v>44808.316875</v>
      </c>
      <c r="F19" s="2" t="n">
        <v>75679.288</v>
      </c>
      <c r="G19" s="2" t="n">
        <v>75722.624</v>
      </c>
      <c r="H19" s="2" t="n">
        <v>43.338</v>
      </c>
      <c r="I19" s="13" t="n">
        <f aca="false">IF($H19&gt;0,($I18+$H19),"")</f>
        <v>822.089</v>
      </c>
      <c r="J19" s="13" t="n">
        <f aca="false">IF($H19&gt;0,($I18/$A19),"")</f>
        <v>43.2639444444444</v>
      </c>
      <c r="K19" s="13" t="n">
        <f aca="false">IF(KWH&lt;&gt;"",(RATES*KWH)*(1+TAX)+ONCOR_DAILY,"")</f>
        <v>6.96108077933333</v>
      </c>
      <c r="L19" s="88" t="n">
        <f aca="false">IF(CUM_KWH&lt;1000,(L18+K19),(L18+K19-100))</f>
        <v>131.894253029667</v>
      </c>
      <c r="M19" s="16" t="n">
        <f aca="false">IF($J19&lt;&gt;"",$J19*DAYS-$A19,"")</f>
        <v>1279.91833333333</v>
      </c>
      <c r="N19" s="17" t="n">
        <f aca="false">IF(KWH&lt;&gt;"",(RATES*PROJ_USAGE)*(1+TAX)+ONCOR_DAILY,"")</f>
        <v>201.104605306111</v>
      </c>
      <c r="O19" s="18" t="n">
        <f aca="false">IF(KWH&lt;&gt;"",IF((BREAK-CUM_KWH)&gt;0,BREAK-CUM_KWH,0),"")</f>
        <v>177.911</v>
      </c>
    </row>
    <row r="20" customFormat="false" ht="15" hidden="false" customHeight="false" outlineLevel="0" collapsed="false">
      <c r="A20" s="11" t="n">
        <v>19</v>
      </c>
      <c r="B20" s="11" t="str">
        <f aca="false">TEXT(D20,"ddd")</f>
        <v>Sun</v>
      </c>
      <c r="C20" s="11" t="n">
        <f aca="false">$A$31-$A20</f>
        <v>11</v>
      </c>
      <c r="D20" s="51" t="n">
        <v>44808</v>
      </c>
      <c r="E20" s="51" t="n">
        <v>44809.3488310185</v>
      </c>
      <c r="F20" s="2" t="n">
        <v>75722.624</v>
      </c>
      <c r="G20" s="2" t="n">
        <v>75763.56</v>
      </c>
      <c r="H20" s="2" t="n">
        <v>40.935</v>
      </c>
      <c r="I20" s="13" t="n">
        <f aca="false">IF($H20&gt;0,($I19+$H20),"")</f>
        <v>863.024</v>
      </c>
      <c r="J20" s="13" t="n">
        <f aca="false">IF($H20&gt;0,($I19/$A20),"")</f>
        <v>43.2678421052632</v>
      </c>
      <c r="K20" s="13" t="n">
        <f aca="false">IF(KWH&lt;&gt;"",(RATES*KWH)*(1+TAX)+ONCOR_DAILY,"")</f>
        <v>6.58380897833333</v>
      </c>
      <c r="L20" s="88" t="n">
        <f aca="false">IF(CUM_KWH&lt;1000,(L19+K20),(L19+K20-100))</f>
        <v>138.478062008</v>
      </c>
      <c r="M20" s="16" t="n">
        <f aca="false">IF($J20&lt;&gt;"",$J20*DAYS-$A20,"")</f>
        <v>1279.03526315789</v>
      </c>
      <c r="N20" s="17" t="n">
        <f aca="false">IF(KWH&lt;&gt;"",(RATES*PROJ_USAGE)*(1+TAX)+ONCOR_DAILY,"")</f>
        <v>200.965962994211</v>
      </c>
      <c r="O20" s="18" t="n">
        <f aca="false">IF(KWH&lt;&gt;"",IF((BREAK-CUM_KWH)&gt;0,BREAK-CUM_KWH,0),"")</f>
        <v>136.976</v>
      </c>
    </row>
    <row r="21" customFormat="false" ht="15" hidden="false" customHeight="false" outlineLevel="0" collapsed="false">
      <c r="A21" s="11" t="n">
        <v>20</v>
      </c>
      <c r="B21" s="11" t="str">
        <f aca="false">TEXT(D21,"ddd")</f>
        <v>Mon</v>
      </c>
      <c r="C21" s="11" t="n">
        <f aca="false">$A$31-$A21</f>
        <v>10</v>
      </c>
      <c r="D21" s="51" t="n">
        <v>44809</v>
      </c>
      <c r="E21" s="51" t="n">
        <v>44810.287025463</v>
      </c>
      <c r="F21" s="2" t="n">
        <v>75763.56</v>
      </c>
      <c r="G21" s="2" t="n">
        <v>75817.477</v>
      </c>
      <c r="H21" s="2" t="n">
        <v>53.913</v>
      </c>
      <c r="I21" s="13" t="n">
        <f aca="false">IF($H21&gt;0,($I20+$H21),"")</f>
        <v>916.937</v>
      </c>
      <c r="J21" s="13" t="n">
        <f aca="false">IF($H21&gt;0,($I20/$A21),"")</f>
        <v>43.1512</v>
      </c>
      <c r="K21" s="13" t="n">
        <f aca="false">IF(KWH&lt;&gt;"",(RATES*KWH)*(1+TAX)+ONCOR_DAILY,"")</f>
        <v>8.62135930433333</v>
      </c>
      <c r="L21" s="88" t="n">
        <f aca="false">IF(CUM_KWH&lt;1000,(L20+K21),(L20+K21-100))</f>
        <v>147.099421312333</v>
      </c>
      <c r="M21" s="16" t="n">
        <f aca="false">IF($J21&lt;&gt;"",$J21*DAYS-$A21,"")</f>
        <v>1274.536</v>
      </c>
      <c r="N21" s="17" t="n">
        <f aca="false">IF(KWH&lt;&gt;"",(RATES*PROJ_USAGE)*(1+TAX)+ONCOR_DAILY,"")</f>
        <v>200.259577178667</v>
      </c>
      <c r="O21" s="18" t="n">
        <f aca="false">IF(KWH&lt;&gt;"",IF((BREAK-CUM_KWH)&gt;0,BREAK-CUM_KWH,0),"")</f>
        <v>83.0630000000001</v>
      </c>
    </row>
    <row r="22" customFormat="false" ht="15" hidden="false" customHeight="false" outlineLevel="0" collapsed="false">
      <c r="A22" s="11" t="n">
        <v>21</v>
      </c>
      <c r="B22" s="11" t="str">
        <f aca="false">TEXT(D22,"ddd")</f>
        <v>Tue</v>
      </c>
      <c r="C22" s="11" t="n">
        <f aca="false">$A$31-$A22</f>
        <v>9</v>
      </c>
      <c r="D22" s="51" t="n">
        <v>44810</v>
      </c>
      <c r="E22" s="51" t="n">
        <v>44811.2863310185</v>
      </c>
      <c r="F22" s="2" t="n">
        <v>75817.477</v>
      </c>
      <c r="G22" s="2" t="n">
        <v>75866.494</v>
      </c>
      <c r="H22" s="2" t="n">
        <v>49.009</v>
      </c>
      <c r="I22" s="13" t="n">
        <f aca="false">IF($H22&gt;0,($I21+$H22),"")</f>
        <v>965.946</v>
      </c>
      <c r="J22" s="13" t="n">
        <f aca="false">IF($H22&gt;0,($I21/$A22),"")</f>
        <v>43.6636666666667</v>
      </c>
      <c r="K22" s="13" t="n">
        <f aca="false">IF(KWH&lt;&gt;"",(RATES*KWH)*(1+TAX)+ONCOR_DAILY,"")</f>
        <v>7.85142966966667</v>
      </c>
      <c r="L22" s="88" t="n">
        <f aca="false">IF(CUM_KWH&lt;1000,(L21+K22),(L21+K22-100))</f>
        <v>154.950850982</v>
      </c>
      <c r="M22" s="16" t="n">
        <f aca="false">IF($J22&lt;&gt;"",$J22*DAYS-$A22,"")</f>
        <v>1288.91</v>
      </c>
      <c r="N22" s="17" t="n">
        <f aca="false">IF(KWH&lt;&gt;"",(RATES*PROJ_USAGE)*(1+TAX)+ONCOR_DAILY,"")</f>
        <v>202.51629997</v>
      </c>
      <c r="O22" s="18" t="n">
        <f aca="false">IF(KWH&lt;&gt;"",IF((BREAK-CUM_KWH)&gt;0,BREAK-CUM_KWH,0),"")</f>
        <v>34.0540000000001</v>
      </c>
    </row>
    <row r="23" customFormat="false" ht="15" hidden="false" customHeight="false" outlineLevel="0" collapsed="false">
      <c r="A23" s="11" t="n">
        <v>22</v>
      </c>
      <c r="B23" s="11" t="str">
        <f aca="false">TEXT(D23,"ddd")</f>
        <v>Wed</v>
      </c>
      <c r="C23" s="11" t="n">
        <f aca="false">$A$31-$A23</f>
        <v>8</v>
      </c>
      <c r="D23" s="51" t="n">
        <v>44811</v>
      </c>
      <c r="E23" s="51" t="n">
        <v>44812.286087963</v>
      </c>
      <c r="F23" s="2" t="n">
        <v>75866.494</v>
      </c>
      <c r="G23" s="2" t="n">
        <v>75909.521</v>
      </c>
      <c r="H23" s="2" t="n">
        <v>43.027</v>
      </c>
      <c r="I23" s="13" t="n">
        <f aca="false">IF($H23&gt;0,($I22+$H23),"")</f>
        <v>1008.973</v>
      </c>
      <c r="J23" s="13" t="n">
        <f aca="false">IF($H23&gt;0,($I22/$A23),"")</f>
        <v>43.9066363636364</v>
      </c>
      <c r="K23" s="13" t="n">
        <f aca="false">IF(KWH&lt;&gt;"",(RATES*KWH)*(1+TAX)+ONCOR_DAILY,"")</f>
        <v>6.91225367566667</v>
      </c>
      <c r="L23" s="88" t="n">
        <f aca="false">IF(KWH&gt;0,$L22+$K23-100*AND(I22&lt;=1000,I23&gt;1000),"")</f>
        <v>61.8631046576667</v>
      </c>
      <c r="M23" s="16" t="n">
        <f aca="false">IF($J23&lt;&gt;"",$J23*DAYS-$A23,"")</f>
        <v>1295.19909090909</v>
      </c>
      <c r="N23" s="17" t="n">
        <f aca="false">IF(KWH&lt;&gt;"",(RATES*PROJ_USAGE)*(1+TAX)+ONCOR_DAILY,"")</f>
        <v>203.503689339091</v>
      </c>
      <c r="O23" s="18" t="n">
        <f aca="false">IF(KWH&lt;&gt;"",IF((BREAK-CUM_KWH)&gt;0,BREAK-CUM_KWH,0),"")</f>
        <v>0</v>
      </c>
    </row>
    <row r="24" customFormat="false" ht="15" hidden="false" customHeight="false" outlineLevel="0" collapsed="false">
      <c r="A24" s="11" t="n">
        <v>23</v>
      </c>
      <c r="B24" s="11" t="str">
        <f aca="false">TEXT(D24,"ddd")</f>
        <v>Thu</v>
      </c>
      <c r="C24" s="11" t="n">
        <f aca="false">$A$31-$A24</f>
        <v>7</v>
      </c>
      <c r="D24" s="51" t="n">
        <v>44812</v>
      </c>
      <c r="E24" s="51" t="n">
        <v>44813.2871759259</v>
      </c>
      <c r="F24" s="2" t="n">
        <v>75909.521</v>
      </c>
      <c r="G24" s="2" t="n">
        <v>75952.19</v>
      </c>
      <c r="H24" s="2" t="n">
        <v>42.674</v>
      </c>
      <c r="I24" s="13" t="n">
        <f aca="false">IF($H24&gt;0,($I23+$H24),"")</f>
        <v>1051.647</v>
      </c>
      <c r="J24" s="13" t="n">
        <f aca="false">IF($H24&gt;0,($I23/$A24),"")</f>
        <v>43.8683913043478</v>
      </c>
      <c r="K24" s="13" t="n">
        <f aca="false">IF(KWH&lt;&gt;"",(RATES*KWH)*(1+TAX)+ONCOR_DAILY,"")</f>
        <v>6.856832558</v>
      </c>
      <c r="L24" s="88" t="n">
        <f aca="false">IF(KWH&gt;0,$L23+$K24-100*AND(I23&lt;=1000,I24&gt;1000),"")</f>
        <v>68.7199372156667</v>
      </c>
      <c r="M24" s="16" t="n">
        <f aca="false">IF($J24&lt;&gt;"",$J24*DAYS-$A24,"")</f>
        <v>1293.05173913043</v>
      </c>
      <c r="N24" s="17" t="n">
        <f aca="false">IF(KWH&lt;&gt;"",(RATES*PROJ_USAGE)*(1+TAX)+ONCOR_DAILY,"")</f>
        <v>203.166554394058</v>
      </c>
      <c r="O24" s="18" t="n">
        <f aca="false">IF(KWH&lt;&gt;"",IF((BREAK-CUM_KWH)&gt;0,BREAK-CUM_KWH,0),"")</f>
        <v>0</v>
      </c>
    </row>
    <row r="25" customFormat="false" ht="15" hidden="false" customHeight="false" outlineLevel="0" collapsed="false">
      <c r="A25" s="11" t="n">
        <v>24</v>
      </c>
      <c r="B25" s="11" t="str">
        <f aca="false">TEXT(D25,"ddd")</f>
        <v>Fri</v>
      </c>
      <c r="C25" s="11" t="n">
        <f aca="false">$A$31-$A25</f>
        <v>6</v>
      </c>
      <c r="D25" s="51" t="n">
        <v>44813</v>
      </c>
      <c r="E25" s="51" t="n">
        <v>44814.2845949074</v>
      </c>
      <c r="F25" s="2" t="n">
        <v>75952.19</v>
      </c>
      <c r="G25" s="2" t="n">
        <v>75998.724</v>
      </c>
      <c r="H25" s="2" t="n">
        <v>46.531</v>
      </c>
      <c r="I25" s="13" t="n">
        <f aca="false">IF($H25&gt;0,($I24+$H25),"")</f>
        <v>1098.178</v>
      </c>
      <c r="J25" s="13" t="n">
        <f aca="false">IF($H25&gt;0,($I24/$A25),"")</f>
        <v>43.818625</v>
      </c>
      <c r="K25" s="13" t="n">
        <f aca="false">IF(KWH&lt;&gt;"",(RATES*KWH)*(1+TAX)+ONCOR_DAILY,"")</f>
        <v>7.46238284366667</v>
      </c>
      <c r="L25" s="88" t="n">
        <f aca="false">IF(KWH&gt;0,$L24+$K25-100*AND(I24&lt;=1000,I25&gt;1000),"")</f>
        <v>76.1823200593333</v>
      </c>
      <c r="M25" s="16" t="n">
        <f aca="false">IF($J25&lt;&gt;"",$J25*DAYS-$A25,"")</f>
        <v>1290.55875</v>
      </c>
      <c r="N25" s="17" t="n">
        <f aca="false">IF(KWH&lt;&gt;"",(RATES*PROJ_USAGE)*(1+TAX)+ONCOR_DAILY,"")</f>
        <v>202.775154269583</v>
      </c>
      <c r="O25" s="18" t="n">
        <f aca="false">IF(KWH&lt;&gt;"",IF((BREAK-CUM_KWH)&gt;0,BREAK-CUM_KWH,0),"")</f>
        <v>0</v>
      </c>
    </row>
    <row r="26" customFormat="false" ht="15" hidden="false" customHeight="false" outlineLevel="0" collapsed="false">
      <c r="A26" s="11" t="n">
        <v>25</v>
      </c>
      <c r="B26" s="11" t="str">
        <f aca="false">TEXT(D26,"ddd")</f>
        <v>Sat</v>
      </c>
      <c r="C26" s="11" t="n">
        <f aca="false">$A$31-$A26</f>
        <v>5</v>
      </c>
      <c r="D26" s="51" t="n">
        <v>44814</v>
      </c>
      <c r="E26" s="51" t="n">
        <v>44815.3141550926</v>
      </c>
      <c r="F26" s="2" t="n">
        <v>75998.724</v>
      </c>
      <c r="G26" s="2" t="n">
        <v>76041.432</v>
      </c>
      <c r="H26" s="2" t="n">
        <v>42.707</v>
      </c>
      <c r="I26" s="13" t="n">
        <f aca="false">IF($H26&gt;0,($I25+$H26),"")</f>
        <v>1140.885</v>
      </c>
      <c r="J26" s="13" t="n">
        <f aca="false">IF($H26&gt;0,($I25/$A26),"")</f>
        <v>43.92712</v>
      </c>
      <c r="K26" s="13" t="n">
        <f aca="false">IF(KWH&lt;&gt;"",(RATES*KWH)*(1+TAX)+ONCOR_DAILY,"")</f>
        <v>6.862013569</v>
      </c>
      <c r="L26" s="88" t="n">
        <f aca="false">IF(KWH&gt;0,$L25+$K26-100*AND(I25&lt;=1000,I26&gt;1000),"")</f>
        <v>83.0443336283333</v>
      </c>
      <c r="M26" s="16" t="n">
        <f aca="false">IF($J26&lt;&gt;"",$J26*DAYS-$A26,"")</f>
        <v>1292.8136</v>
      </c>
      <c r="N26" s="17" t="n">
        <f aca="false">IF(KWH&lt;&gt;"",(RATES*PROJ_USAGE)*(1+TAX)+ONCOR_DAILY,"")</f>
        <v>203.1291664712</v>
      </c>
      <c r="O26" s="18" t="n">
        <f aca="false">IF(KWH&lt;&gt;"",IF((BREAK-CUM_KWH)&gt;0,BREAK-CUM_KWH,0),"")</f>
        <v>0</v>
      </c>
    </row>
    <row r="27" customFormat="false" ht="15" hidden="false" customHeight="false" outlineLevel="0" collapsed="false">
      <c r="A27" s="11" t="n">
        <v>26</v>
      </c>
      <c r="B27" s="11" t="str">
        <f aca="false">TEXT(D27,"ddd")</f>
        <v>Sun</v>
      </c>
      <c r="C27" s="11" t="n">
        <f aca="false">$A$31-$A27</f>
        <v>4</v>
      </c>
      <c r="D27" s="51" t="n">
        <v>44815</v>
      </c>
      <c r="E27" s="51" t="n">
        <v>44816.2917939815</v>
      </c>
      <c r="F27" s="2" t="n">
        <v>76041.432</v>
      </c>
      <c r="G27" s="2" t="n">
        <v>76085.698</v>
      </c>
      <c r="H27" s="2" t="n">
        <v>44.26</v>
      </c>
      <c r="I27" s="13" t="n">
        <f aca="false">IF($H27&gt;0,($I26+$H27),"")</f>
        <v>1185.145</v>
      </c>
      <c r="J27" s="13" t="n">
        <f aca="false">IF($H27&gt;0,($I26/$A27),"")</f>
        <v>43.8801923076923</v>
      </c>
      <c r="K27" s="13" t="n">
        <f aca="false">IF(KWH&lt;&gt;"",(RATES*KWH)*(1+TAX)+ONCOR_DAILY,"")</f>
        <v>7.10583508666667</v>
      </c>
      <c r="L27" s="88" t="n">
        <f aca="false">IF(KWH&gt;0,$L26+$K27-100*AND(I26&lt;=1000,I27&gt;1000),"")</f>
        <v>90.150168715</v>
      </c>
      <c r="M27" s="16" t="n">
        <f aca="false">IF($J27&lt;&gt;"",$J27*DAYS-$A27,"")</f>
        <v>1290.40576923077</v>
      </c>
      <c r="N27" s="17" t="n">
        <f aca="false">IF(KWH&lt;&gt;"",(RATES*PROJ_USAGE)*(1+TAX)+ONCOR_DAILY,"")</f>
        <v>202.751136237821</v>
      </c>
      <c r="O27" s="18" t="n">
        <f aca="false">IF(KWH&lt;&gt;"",IF((BREAK-CUM_KWH)&gt;0,BREAK-CUM_KWH,0),"")</f>
        <v>0</v>
      </c>
    </row>
    <row r="28" customFormat="false" ht="15" hidden="false" customHeight="false" outlineLevel="0" collapsed="false">
      <c r="A28" s="11" t="n">
        <v>27</v>
      </c>
      <c r="B28" s="11" t="str">
        <f aca="false">TEXT(D28,"ddd")</f>
        <v>Mon</v>
      </c>
      <c r="C28" s="11" t="n">
        <f aca="false">$A$31-$A28</f>
        <v>3</v>
      </c>
      <c r="D28" s="51" t="n">
        <v>44816</v>
      </c>
      <c r="E28" s="51" t="n">
        <v>44817.8451157407</v>
      </c>
      <c r="F28" s="2" t="n">
        <v>76085.698</v>
      </c>
      <c r="G28" s="2" t="n">
        <v>76128.229</v>
      </c>
      <c r="H28" s="2" t="n">
        <v>42.529</v>
      </c>
      <c r="I28" s="13" t="n">
        <f aca="false">IF($H28&gt;0,($I27+$H28),"")</f>
        <v>1227.674</v>
      </c>
      <c r="J28" s="13" t="n">
        <f aca="false">IF($H28&gt;0,($I27/$A28),"")</f>
        <v>43.8942592592593</v>
      </c>
      <c r="K28" s="13" t="n">
        <f aca="false">IF(KWH&lt;&gt;"",(RATES*KWH)*(1+TAX)+ONCOR_DAILY,"")</f>
        <v>6.83406750966667</v>
      </c>
      <c r="L28" s="88" t="n">
        <f aca="false">IF(KWH&gt;0,$L27+$K28-100*AND(I27&lt;=1000,I28&gt;1000),"")</f>
        <v>96.9842362246667</v>
      </c>
      <c r="M28" s="16" t="n">
        <f aca="false">IF($J28&lt;&gt;"",$J28*DAYS-$A28,"")</f>
        <v>1289.82777777778</v>
      </c>
      <c r="N28" s="17" t="n">
        <f aca="false">IF(KWH&lt;&gt;"",(RATES*PROJ_USAGE)*(1+TAX)+ONCOR_DAILY,"")</f>
        <v>202.660391387037</v>
      </c>
      <c r="O28" s="18" t="n">
        <f aca="false">IF(KWH&lt;&gt;"",IF((BREAK-CUM_KWH)&gt;0,BREAK-CUM_KWH,0),"")</f>
        <v>0</v>
      </c>
    </row>
    <row r="29" customFormat="false" ht="15" hidden="false" customHeight="false" outlineLevel="0" collapsed="false">
      <c r="A29" s="11" t="n">
        <v>28</v>
      </c>
      <c r="B29" s="11" t="str">
        <f aca="false">TEXT(D29,"ddd")</f>
        <v>Tue</v>
      </c>
      <c r="C29" s="11" t="n">
        <f aca="false">$A$31-$A29</f>
        <v>2</v>
      </c>
      <c r="D29" s="51" t="n">
        <v>44817</v>
      </c>
      <c r="E29" s="51" t="n">
        <v>44818.2699074074</v>
      </c>
      <c r="F29" s="2" t="n">
        <v>76128.229</v>
      </c>
      <c r="G29" s="2" t="n">
        <v>76169.966</v>
      </c>
      <c r="H29" s="2" t="n">
        <v>41.741</v>
      </c>
      <c r="I29" s="13" t="n">
        <f aca="false">IF($H29&gt;0,($I28+$H29),"")</f>
        <v>1269.415</v>
      </c>
      <c r="J29" s="13" t="n">
        <f aca="false">IF($H29&gt;0,($I28/$A29),"")</f>
        <v>43.8455</v>
      </c>
      <c r="K29" s="13" t="n">
        <f aca="false">IF(KWH&lt;&gt;"",(RATES*KWH)*(1+TAX)+ONCOR_DAILY,"")</f>
        <v>6.710351247</v>
      </c>
      <c r="L29" s="88" t="n">
        <f aca="false">IF(KWH&gt;0,$L28+$K29-100*AND(I28&lt;=1000,I29&gt;1000),"")</f>
        <v>103.694587471667</v>
      </c>
      <c r="M29" s="16" t="n">
        <f aca="false">IF($J29&lt;&gt;"",$J29*DAYS-$A29,"")</f>
        <v>1287.365</v>
      </c>
      <c r="N29" s="17" t="n">
        <f aca="false">IF(KWH&lt;&gt;"",(RATES*PROJ_USAGE)*(1+TAX)+ONCOR_DAILY,"")</f>
        <v>202.273734455</v>
      </c>
      <c r="O29" s="18" t="n">
        <f aca="false">IF(KWH&lt;&gt;"",IF((BREAK-CUM_KWH)&gt;0,BREAK-CUM_KWH,0),"")</f>
        <v>0</v>
      </c>
    </row>
    <row r="30" customFormat="false" ht="15" hidden="false" customHeight="false" outlineLevel="0" collapsed="false">
      <c r="A30" s="11" t="n">
        <v>29</v>
      </c>
      <c r="B30" s="11" t="str">
        <f aca="false">TEXT(D30,"ddd")</f>
        <v>Wed</v>
      </c>
      <c r="C30" s="11" t="n">
        <f aca="false">$A$31-$A30</f>
        <v>1</v>
      </c>
      <c r="D30" s="51" t="n">
        <v>44818</v>
      </c>
      <c r="E30" s="51" t="n">
        <v>44819.2694791667</v>
      </c>
      <c r="F30" s="2" t="n">
        <v>76169.966</v>
      </c>
      <c r="G30" s="2" t="n">
        <v>76212.194</v>
      </c>
      <c r="H30" s="2" t="n">
        <v>42.224</v>
      </c>
      <c r="I30" s="13" t="n">
        <f aca="false">IF($H30&gt;0,($I29+$H30),"")</f>
        <v>1311.639</v>
      </c>
      <c r="J30" s="13" t="n">
        <f aca="false">IF($H30&gt;0,($I29/$A30),"")</f>
        <v>43.7729310344828</v>
      </c>
      <c r="K30" s="13" t="n">
        <f aca="false">IF(KWH&lt;&gt;"",(RATES*KWH)*(1+TAX)+ONCOR_DAILY,"")</f>
        <v>6.786182408</v>
      </c>
      <c r="L30" s="88" t="n">
        <f aca="false">IF(KWH&gt;0,$L29+$K30-100*AND(I29&lt;=1000,I30&gt;1000),"")</f>
        <v>110.480769879667</v>
      </c>
      <c r="M30" s="16" t="n">
        <f aca="false">IF($J30&lt;&gt;"",$J30*DAYS-$A30,"")</f>
        <v>1284.18793103448</v>
      </c>
      <c r="N30" s="17" t="n">
        <f aca="false">IF(KWH&lt;&gt;"",(RATES*PROJ_USAGE)*(1+TAX)+ONCOR_DAILY,"")</f>
        <v>201.774933568391</v>
      </c>
      <c r="O30" s="18" t="n">
        <f aca="false">IF(KWH&lt;&gt;"",IF((BREAK-CUM_KWH)&gt;0,BREAK-CUM_KWH,0),"")</f>
        <v>0</v>
      </c>
    </row>
    <row r="31" customFormat="false" ht="15" hidden="false" customHeight="false" outlineLevel="0" collapsed="false">
      <c r="A31" s="11" t="n">
        <v>30</v>
      </c>
      <c r="B31" s="11" t="str">
        <f aca="false">TEXT(D31,"ddd")</f>
        <v>Thu</v>
      </c>
      <c r="C31" s="11" t="n">
        <f aca="false">$A$31-$A31</f>
        <v>0</v>
      </c>
      <c r="D31" s="51" t="n">
        <v>44819</v>
      </c>
      <c r="E31" s="51" t="n">
        <v>44820.2727083333</v>
      </c>
      <c r="F31" s="2" t="n">
        <v>76212.194</v>
      </c>
      <c r="G31" s="2" t="n">
        <v>76257.004</v>
      </c>
      <c r="H31" s="2" t="n">
        <v>44.813</v>
      </c>
      <c r="I31" s="13" t="n">
        <f aca="false">IF($H31&gt;0,($I30+$H31),"")</f>
        <v>1356.452</v>
      </c>
      <c r="J31" s="13" t="n">
        <f aca="false">IF($H31&gt;0,($I30/$A31),"")</f>
        <v>43.7213</v>
      </c>
      <c r="K31" s="13" t="n">
        <f aca="false">IF(KWH&lt;&gt;"",(RATES*KWH)*(1+TAX)+ONCOR_DAILY,"")</f>
        <v>7.192656271</v>
      </c>
      <c r="L31" s="88" t="n">
        <f aca="false">IF(KWH&gt;0,$L30+$K31-100*AND(I30&lt;=1000,I31&gt;1000),"")</f>
        <v>117.673426150667</v>
      </c>
      <c r="M31" s="16" t="n">
        <f aca="false">IF($J31&lt;&gt;"",$J31*DAYS-$A31,"")</f>
        <v>1281.639</v>
      </c>
      <c r="N31" s="17" t="n">
        <f aca="false">IF(KWH&lt;&gt;"",(RATES*PROJ_USAGE)*(1+TAX)+ONCOR_DAILY,"")</f>
        <v>201.374750546333</v>
      </c>
      <c r="O31" s="18" t="n">
        <f aca="false">IF(KWH&lt;&gt;"",IF((BREAK-CUM_KWH)&gt;0,BREAK-CUM_KWH,0),"")</f>
        <v>0</v>
      </c>
    </row>
    <row r="32" customFormat="false" ht="15" hidden="false" customHeight="false" outlineLevel="0" collapsed="false">
      <c r="A32" s="4"/>
      <c r="B32" s="11"/>
      <c r="C32" s="4"/>
      <c r="F32" s="2"/>
      <c r="G32" s="2"/>
      <c r="H32" s="2"/>
      <c r="I32" s="13"/>
      <c r="J32" s="13"/>
      <c r="K32" s="13"/>
      <c r="L32" s="88"/>
      <c r="M32" s="16"/>
      <c r="N32" s="17"/>
      <c r="O32" s="18"/>
    </row>
    <row r="33" customFormat="false" ht="15" hidden="false" customHeight="false" outlineLevel="0" collapsed="false">
      <c r="A33" s="4"/>
      <c r="B33" s="11"/>
      <c r="C33" s="4"/>
      <c r="I33" s="13"/>
      <c r="J33" s="13"/>
      <c r="K33" s="13"/>
      <c r="L33" s="15"/>
      <c r="M33" s="16"/>
      <c r="N33" s="17" t="str">
        <f aca="false">IF($M33&lt;&gt;"",IF($M34&gt;1000,((RATES*$M33)+TDU)*1+TAX-(CREDIT),(RATES*$M34)+TDU)*1+TAX,"")</f>
        <v/>
      </c>
      <c r="O33" s="18" t="str">
        <f aca="false">IF(KWH&lt;&gt;"",IF((BREAK-CUM_KWH)&gt;0,BREAK-CUM_KWH,0),"")</f>
        <v/>
      </c>
    </row>
    <row r="34" customFormat="false" ht="15" hidden="false" customHeight="false" outlineLevel="0" collapsed="false">
      <c r="M34" s="47"/>
      <c r="N34" s="2"/>
    </row>
    <row r="35" customFormat="false" ht="15" hidden="false" customHeight="false" outlineLevel="0" collapsed="false">
      <c r="M35" s="47"/>
      <c r="N35" s="2"/>
    </row>
    <row r="36" customFormat="false" ht="15" hidden="false" customHeight="false" outlineLevel="0" collapsed="false">
      <c r="I36" s="81"/>
      <c r="M36" s="47"/>
      <c r="N36" s="2"/>
    </row>
    <row r="37" customFormat="false" ht="15" hidden="false" customHeight="false" outlineLevel="0" collapsed="false">
      <c r="L37" s="47" t="e">
        <f aca="false">(154.95+K23:K32)</f>
        <v>#VALUE!</v>
      </c>
      <c r="M37" s="2"/>
      <c r="N37" s="2"/>
    </row>
    <row r="40" customFormat="false" ht="15" hidden="false" customHeight="false" outlineLevel="0" collapsed="false">
      <c r="I40" s="81"/>
      <c r="L40" s="47"/>
      <c r="M40" s="2"/>
      <c r="N40" s="2"/>
    </row>
    <row r="41" customFormat="false" ht="15" hidden="false" customHeight="false" outlineLevel="0" collapsed="false">
      <c r="M41" s="2"/>
      <c r="N41" s="2"/>
    </row>
  </sheetData>
  <conditionalFormatting sqref="Q2:Q16">
    <cfRule type="expression" priority="2" aboveAverage="0" equalAverage="0" bottom="0" percent="0" rank="0" text="" dxfId="46">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M14" activeCellId="0" sqref="M14"/>
    </sheetView>
  </sheetViews>
  <sheetFormatPr defaultColWidth="8.453125" defaultRowHeight="15" zeroHeight="false" outlineLevelRow="0" outlineLevelCol="0"/>
  <cols>
    <col collapsed="false" customWidth="true" hidden="false" outlineLevel="0" max="1" min="1" style="0" width="6.71"/>
    <col collapsed="false" customWidth="true" hidden="false" outlineLevel="0" max="2" min="2" style="4" width="6.71"/>
    <col collapsed="false" customWidth="true" hidden="false" outlineLevel="0" max="3" min="3" style="0" width="6.71"/>
    <col collapsed="false" customWidth="true" hidden="false" outlineLevel="0" max="5" min="4" style="51" width="9.71"/>
    <col collapsed="false" customWidth="true" hidden="false" outlineLevel="0" max="6" min="6" style="74" width="9.71"/>
    <col collapsed="false" customWidth="true" hidden="false" outlineLevel="0" max="7" min="7" style="0" width="9.71"/>
    <col collapsed="false" customWidth="true" hidden="false" outlineLevel="0" max="8" min="8" style="4" width="8.71"/>
    <col collapsed="false" customWidth="true" hidden="false" outlineLevel="0" max="9" min="9" style="0" width="8.71"/>
    <col collapsed="false" customWidth="true" hidden="false" outlineLevel="0" max="10" min="10" style="0" width="9.42"/>
    <col collapsed="false" customWidth="true" hidden="false" outlineLevel="0" max="14" min="11" style="0" width="8.71"/>
    <col collapsed="false" customWidth="true" hidden="false" outlineLevel="0" max="15" min="15" style="2" width="9.14"/>
    <col collapsed="false" customWidth="true" hidden="false" outlineLevel="0" max="17" min="17" style="0" width="28.71"/>
    <col collapsed="false" customWidth="true" hidden="false" outlineLevel="0" max="19" min="19" style="0" width="10.71"/>
  </cols>
  <sheetData>
    <row r="1" customFormat="false" ht="49.5" hidden="false" customHeight="true" outlineLevel="0" collapsed="false">
      <c r="A1" s="5" t="s">
        <v>0</v>
      </c>
      <c r="B1" s="6" t="s">
        <v>1</v>
      </c>
      <c r="C1" s="6" t="s">
        <v>2</v>
      </c>
      <c r="D1" s="7" t="s">
        <v>3</v>
      </c>
      <c r="E1" s="7" t="s">
        <v>4</v>
      </c>
      <c r="F1" s="114" t="s">
        <v>5</v>
      </c>
      <c r="G1" s="114" t="s">
        <v>6</v>
      </c>
      <c r="H1" s="6" t="s">
        <v>7</v>
      </c>
      <c r="I1" s="6" t="s">
        <v>8</v>
      </c>
      <c r="J1" s="6" t="s">
        <v>9</v>
      </c>
      <c r="K1" s="6" t="s">
        <v>10</v>
      </c>
      <c r="L1" s="6" t="s">
        <v>11</v>
      </c>
      <c r="M1" s="6" t="s">
        <v>12</v>
      </c>
      <c r="N1" s="8" t="s">
        <v>13</v>
      </c>
      <c r="O1" s="9" t="s">
        <v>77</v>
      </c>
      <c r="T1" s="71"/>
      <c r="U1" s="72"/>
      <c r="V1" s="72"/>
      <c r="W1" s="71"/>
      <c r="X1" s="71"/>
      <c r="Y1" s="71"/>
      <c r="Z1" s="73"/>
      <c r="AA1" s="71"/>
      <c r="AB1" s="71"/>
      <c r="AC1" s="71"/>
    </row>
    <row r="2" s="102" customFormat="true" ht="15" hidden="false" customHeight="true" outlineLevel="0" collapsed="false">
      <c r="A2" s="157" t="n">
        <v>1</v>
      </c>
      <c r="B2" s="158" t="str">
        <f aca="false">TEXT(D2,"ddd")</f>
        <v>Mon</v>
      </c>
      <c r="C2" s="157" t="n">
        <f aca="false">$A$34-$A2</f>
        <v>30</v>
      </c>
      <c r="D2" s="119" t="n">
        <v>44760</v>
      </c>
      <c r="E2" s="119" t="n">
        <v>44761.2811111111</v>
      </c>
      <c r="F2" s="92" t="n">
        <v>73113.739</v>
      </c>
      <c r="G2" s="92" t="n">
        <v>73180.29</v>
      </c>
      <c r="H2" s="92" t="n">
        <v>66.554</v>
      </c>
      <c r="I2" s="87" t="n">
        <f aca="false">H2</f>
        <v>66.554</v>
      </c>
      <c r="J2" s="87" t="n">
        <f aca="false">IF($H2&gt;0,AVERAGE($H$2:$H2),"")</f>
        <v>66.554</v>
      </c>
      <c r="K2" s="88" t="n">
        <f aca="false">IF(KWH&gt;0,((RATES*KWH)+TDU_DAILY)*(1+TAX),"")</f>
        <v>7.40914838709677</v>
      </c>
      <c r="L2" s="89" t="n">
        <f aca="false">(K2)</f>
        <v>7.40914838709677</v>
      </c>
      <c r="M2" s="90" t="n">
        <f aca="false">IF(AVERAGE_KWH&lt;&gt;"",AVERAGE_KWH*DAYS-$A2,"")</f>
        <v>2062.174</v>
      </c>
      <c r="N2" s="90" t="n">
        <f aca="false">IF(PROJ_USAGE&lt;&gt;"",IF(PROJ_USAGE&gt;1000,((RATES*PROJ_USAGE)+TDU)*1+TAX-(CREDIT),(RATES*PROJ_USAGE)+TDU)*1+TAX,"")</f>
        <v>126.173922580645</v>
      </c>
      <c r="O2" s="91" t="n">
        <f aca="false">IF(KWH&lt;&gt;"",IF((BREAK-CUM_KWH)&gt;0,BREAK-CUM_KWH,0),"")</f>
        <v>933.446</v>
      </c>
      <c r="Q2" s="122" t="s">
        <v>18</v>
      </c>
      <c r="R2" s="159" t="s">
        <v>19</v>
      </c>
      <c r="S2" s="160"/>
      <c r="T2" s="161"/>
      <c r="U2" s="162"/>
      <c r="V2" s="163"/>
      <c r="W2" s="162"/>
    </row>
    <row r="3" s="102" customFormat="true" ht="15" hidden="false" customHeight="true" outlineLevel="0" collapsed="false">
      <c r="A3" s="157" t="n">
        <v>2</v>
      </c>
      <c r="B3" s="158" t="str">
        <f aca="false">TEXT(D3,"ddd")</f>
        <v>Tue</v>
      </c>
      <c r="C3" s="157" t="n">
        <f aca="false">$A$34-$A3</f>
        <v>29</v>
      </c>
      <c r="D3" s="119" t="n">
        <v>44761</v>
      </c>
      <c r="E3" s="119" t="n">
        <v>44762.2803935185</v>
      </c>
      <c r="F3" s="92" t="n">
        <v>73180.29</v>
      </c>
      <c r="G3" s="92" t="n">
        <v>73246.76</v>
      </c>
      <c r="H3" s="92" t="n">
        <v>66.471</v>
      </c>
      <c r="I3" s="87" t="n">
        <f aca="false">IF($H3&gt;0,($I2+$H3),"")</f>
        <v>133.025</v>
      </c>
      <c r="J3" s="87" t="n">
        <f aca="false">IF($H3&gt;0,AVERAGE($H$2:$H3),"")</f>
        <v>66.5125</v>
      </c>
      <c r="K3" s="88" t="n">
        <f aca="false">IF(KWH&gt;0,((RATES*KWH)+TDU_DAILY)*(1+TAX),"")</f>
        <v>7.40004516129032</v>
      </c>
      <c r="L3" s="89" t="n">
        <f aca="false">IF(KWH&gt;0,$L2+$K3-100*AND(I2&lt;=1000,I3&gt;1000),"")</f>
        <v>14.8091935483871</v>
      </c>
      <c r="M3" s="90" t="n">
        <f aca="false">IF(AVERAGE_KWH&lt;&gt;"",AVERAGE_KWH*DAYS-$A3,"")</f>
        <v>2059.8875</v>
      </c>
      <c r="N3" s="90" t="n">
        <f aca="false">IF(PROJ_USAGE&lt;&gt;"",IF(PROJ_USAGE&gt;1000,((RATES*PROJ_USAGE)+TDU)*1+TAX-(CREDIT),(RATES*PROJ_USAGE)+TDU)*1+TAX,"")</f>
        <v>125.92314516129</v>
      </c>
      <c r="O3" s="91" t="n">
        <f aca="false">IF(KWH&lt;&gt;"",IF((BREAK-CUM_KWH)&gt;0,BREAK-CUM_KWH,0),"")</f>
        <v>866.975</v>
      </c>
      <c r="Q3" s="127" t="s">
        <v>22</v>
      </c>
      <c r="R3" s="164" t="n">
        <f aca="false">(F2+1000)</f>
        <v>74113.739</v>
      </c>
      <c r="S3" s="165"/>
      <c r="T3" s="161"/>
      <c r="U3" s="162"/>
      <c r="V3" s="92"/>
      <c r="W3" s="166"/>
      <c r="X3" s="71"/>
      <c r="Y3" s="130"/>
      <c r="AC3" s="131"/>
    </row>
    <row r="4" s="102" customFormat="true" ht="15" hidden="false" customHeight="true" outlineLevel="0" collapsed="false">
      <c r="A4" s="157" t="n">
        <v>3</v>
      </c>
      <c r="B4" s="158" t="str">
        <f aca="false">TEXT(D4,"ddd")</f>
        <v>Wed</v>
      </c>
      <c r="C4" s="157" t="n">
        <f aca="false">$A$34-$A4</f>
        <v>28</v>
      </c>
      <c r="D4" s="119" t="n">
        <v>44762</v>
      </c>
      <c r="E4" s="119" t="n">
        <v>44763.2815277778</v>
      </c>
      <c r="F4" s="92" t="n">
        <v>73246.76</v>
      </c>
      <c r="G4" s="92" t="n">
        <v>73313.459</v>
      </c>
      <c r="H4" s="92" t="n">
        <v>66.694</v>
      </c>
      <c r="I4" s="87" t="n">
        <f aca="false">IF($H4&gt;0,($I3+$H4),"")</f>
        <v>199.719</v>
      </c>
      <c r="J4" s="87" t="n">
        <f aca="false">IF($H4&gt;0,AVERAGE($H$2:$H4),"")</f>
        <v>66.573</v>
      </c>
      <c r="K4" s="88" t="n">
        <f aca="false">IF(KWH&gt;0,((RATES*KWH)+TDU_DAILY)*(1+TAX),"")</f>
        <v>7.42450322580645</v>
      </c>
      <c r="L4" s="89" t="n">
        <f aca="false">IF(KWH&gt;0,$L3+$K4-100*AND(I3&lt;=1000,I4&gt;1000),"")</f>
        <v>22.2336967741935</v>
      </c>
      <c r="M4" s="90" t="n">
        <f aca="false">IF(AVERAGE_KWH&lt;&gt;"",AVERAGE_KWH*DAYS-$A4,"")</f>
        <v>2060.763</v>
      </c>
      <c r="N4" s="90" t="n">
        <f aca="false">IF(PROJ_USAGE&lt;&gt;"",IF(PROJ_USAGE&gt;1000,((RATES*PROJ_USAGE)+TDU)*1+TAX-(CREDIT),(RATES*PROJ_USAGE)+TDU)*1+TAX,"")</f>
        <v>126.019167741935</v>
      </c>
      <c r="O4" s="91" t="n">
        <f aca="false">IF(KWH&lt;&gt;"",IF((BREAK-CUM_KWH)&gt;0,BREAK-CUM_KWH,0),"")</f>
        <v>800.281</v>
      </c>
      <c r="Q4" s="127" t="s">
        <v>25</v>
      </c>
      <c r="R4" s="165"/>
      <c r="S4" s="167" t="n">
        <v>0.001667</v>
      </c>
      <c r="U4" s="134"/>
      <c r="V4" s="147"/>
      <c r="W4" s="135"/>
      <c r="X4" s="135"/>
      <c r="Y4" s="135"/>
      <c r="Z4" s="136"/>
      <c r="AC4" s="131"/>
    </row>
    <row r="5" s="45" customFormat="true" ht="15" hidden="false" customHeight="true" outlineLevel="0" collapsed="false">
      <c r="A5" s="157" t="n">
        <v>4</v>
      </c>
      <c r="B5" s="158" t="str">
        <f aca="false">TEXT(D5,"ddd")</f>
        <v>Thu</v>
      </c>
      <c r="C5" s="157" t="n">
        <f aca="false">$A$34-$A5</f>
        <v>27</v>
      </c>
      <c r="D5" s="119" t="n">
        <v>44763</v>
      </c>
      <c r="E5" s="119" t="n">
        <v>44764.2845486111</v>
      </c>
      <c r="F5" s="92" t="n">
        <v>73313.459</v>
      </c>
      <c r="G5" s="92" t="n">
        <v>73380.962</v>
      </c>
      <c r="H5" s="92" t="n">
        <v>67.5</v>
      </c>
      <c r="I5" s="87" t="n">
        <f aca="false">IF($H5&gt;0,($I4+$H5),"")</f>
        <v>267.219</v>
      </c>
      <c r="J5" s="87" t="n">
        <f aca="false">IF($H5&gt;0,AVERAGE($H$2:$H5),"")</f>
        <v>66.80475</v>
      </c>
      <c r="K5" s="88" t="n">
        <f aca="false">IF(KWH&gt;0,((RATES*KWH)+TDU_DAILY)*(1+TAX),"")</f>
        <v>7.51290322580645</v>
      </c>
      <c r="L5" s="89" t="n">
        <f aca="false">IF(KWH&gt;0,$L4+$K5-100*AND(I4&lt;=1000,I5&gt;1000),"")</f>
        <v>29.7466</v>
      </c>
      <c r="M5" s="90" t="n">
        <f aca="false">IF(AVERAGE_KWH&lt;&gt;"",AVERAGE_KWH*DAYS-$A5,"")</f>
        <v>2066.94725</v>
      </c>
      <c r="N5" s="90" t="n">
        <f aca="false">IF(PROJ_USAGE&lt;&gt;"",IF(PROJ_USAGE&gt;1000,((RATES*PROJ_USAGE)+TDU)*1+TAX-(CREDIT),(RATES*PROJ_USAGE)+TDU)*1+TAX,"")</f>
        <v>126.697440322581</v>
      </c>
      <c r="O5" s="91" t="n">
        <f aca="false">IF(KWH&lt;&gt;"",IF((BREAK-CUM_KWH)&gt;0,BREAK-CUM_KWH,0),"")</f>
        <v>732.781</v>
      </c>
      <c r="P5" s="27"/>
      <c r="Q5" s="127" t="s">
        <v>28</v>
      </c>
      <c r="R5" s="165"/>
      <c r="S5" s="167" t="n">
        <v>0.042</v>
      </c>
      <c r="T5" s="161"/>
    </row>
    <row r="6" s="102" customFormat="true" ht="15" hidden="false" customHeight="true" outlineLevel="0" collapsed="false">
      <c r="A6" s="157" t="n">
        <v>5</v>
      </c>
      <c r="B6" s="158" t="str">
        <f aca="false">TEXT(D6,"ddd")</f>
        <v>Fri</v>
      </c>
      <c r="C6" s="157" t="n">
        <f aca="false">$A$34-$A6</f>
        <v>26</v>
      </c>
      <c r="D6" s="119" t="n">
        <v>44764</v>
      </c>
      <c r="E6" s="119" t="n">
        <v>44766.3179050926</v>
      </c>
      <c r="F6" s="92" t="n">
        <v>73380.962</v>
      </c>
      <c r="G6" s="92" t="n">
        <v>73446.348</v>
      </c>
      <c r="H6" s="92" t="n">
        <v>65.384</v>
      </c>
      <c r="I6" s="87" t="n">
        <f aca="false">IF($H6&gt;0,($I5+$H6),"")</f>
        <v>332.603</v>
      </c>
      <c r="J6" s="87" t="n">
        <f aca="false">IF($H6&gt;0,AVERAGE($H$2:$H6),"")</f>
        <v>66.5206</v>
      </c>
      <c r="K6" s="88" t="n">
        <f aca="false">IF(KWH&gt;0,((RATES*KWH)+TDU_DAILY)*(1+TAX),"")</f>
        <v>7.28082580645161</v>
      </c>
      <c r="L6" s="89" t="n">
        <f aca="false">IF(KWH&gt;0,$L5+$K6-100*AND(I5&lt;=1000,I6&gt;1000),"")</f>
        <v>37.0274258064516</v>
      </c>
      <c r="M6" s="90" t="n">
        <f aca="false">IF(AVERAGE_KWH&lt;&gt;"",AVERAGE_KWH*DAYS-$A6,"")</f>
        <v>2057.1386</v>
      </c>
      <c r="N6" s="90" t="n">
        <f aca="false">IF(PROJ_USAGE&lt;&gt;"",IF(PROJ_USAGE&gt;1000,((RATES*PROJ_USAGE)+TDU)*1+TAX-(CREDIT),(RATES*PROJ_USAGE)+TDU)*1+TAX,"")</f>
        <v>125.621652903226</v>
      </c>
      <c r="O6" s="91" t="n">
        <f aca="false">IF(KWH&lt;&gt;"",IF((BREAK-CUM_KWH)&gt;0,BREAK-CUM_KWH,0),"")</f>
        <v>667.397</v>
      </c>
      <c r="Q6" s="127" t="s">
        <v>31</v>
      </c>
      <c r="R6" s="165"/>
      <c r="S6" s="168" t="n">
        <v>0.154</v>
      </c>
      <c r="T6" s="161"/>
    </row>
    <row r="7" s="102" customFormat="true" ht="15" hidden="false" customHeight="true" outlineLevel="0" collapsed="false">
      <c r="A7" s="157" t="n">
        <v>6</v>
      </c>
      <c r="B7" s="158" t="str">
        <f aca="false">TEXT(D7,"ddd")</f>
        <v>Sat</v>
      </c>
      <c r="C7" s="157" t="n">
        <f aca="false">$A$34-$A7</f>
        <v>25</v>
      </c>
      <c r="D7" s="119" t="n">
        <v>44765</v>
      </c>
      <c r="E7" s="119" t="n">
        <v>44766.3172106482</v>
      </c>
      <c r="F7" s="92" t="n">
        <v>73446.348</v>
      </c>
      <c r="G7" s="92" t="n">
        <v>73505.755</v>
      </c>
      <c r="H7" s="92" t="n">
        <v>59.412</v>
      </c>
      <c r="I7" s="87" t="n">
        <f aca="false">IF($H7&gt;0,($I6+$H7),"")</f>
        <v>392.015</v>
      </c>
      <c r="J7" s="87" t="n">
        <f aca="false">IF($H7&gt;0,AVERAGE($H$2:$H7),"")</f>
        <v>65.3358333333333</v>
      </c>
      <c r="K7" s="88" t="n">
        <f aca="false">IF(KWH&gt;0,((RATES*KWH)+TDU_DAILY)*(1+TAX),"")</f>
        <v>6.62583225806452</v>
      </c>
      <c r="L7" s="89" t="n">
        <f aca="false">IF(KWH&gt;0,$L6+$K7-100*AND(I6&lt;=1000,I7&gt;1000),"")</f>
        <v>43.6532580645161</v>
      </c>
      <c r="M7" s="90" t="n">
        <f aca="false">IF(AVERAGE_KWH&lt;&gt;"",AVERAGE_KWH*DAYS-$A7,"")</f>
        <v>2019.41083333333</v>
      </c>
      <c r="N7" s="90" t="n">
        <f aca="false">IF(PROJ_USAGE&lt;&gt;"",IF(PROJ_USAGE&gt;1000,((RATES*PROJ_USAGE)+TDU)*1+TAX-(CREDIT),(RATES*PROJ_USAGE)+TDU)*1+TAX,"")</f>
        <v>121.483768817204</v>
      </c>
      <c r="O7" s="91" t="n">
        <f aca="false">IF(KWH&lt;&gt;"",IF((BREAK-CUM_KWH)&gt;0,BREAK-CUM_KWH,0),"")</f>
        <v>607.985</v>
      </c>
      <c r="Q7" s="127" t="s">
        <v>34</v>
      </c>
      <c r="R7" s="165"/>
      <c r="S7" s="169" t="n">
        <f aca="false">SUM(S4:S6)</f>
        <v>0.197667</v>
      </c>
      <c r="T7" s="161"/>
    </row>
    <row r="8" customFormat="false" ht="15" hidden="false" customHeight="true" outlineLevel="0" collapsed="false">
      <c r="A8" s="170" t="n">
        <v>7</v>
      </c>
      <c r="B8" s="14" t="str">
        <f aca="false">TEXT(D8,"ddd")</f>
        <v>Sun</v>
      </c>
      <c r="C8" s="170" t="n">
        <f aca="false">$A$34-$A8</f>
        <v>24</v>
      </c>
      <c r="D8" s="51" t="n">
        <v>44766</v>
      </c>
      <c r="E8" s="51" t="n">
        <v>44767.2923842593</v>
      </c>
      <c r="F8" s="2" t="n">
        <v>73505.755</v>
      </c>
      <c r="G8" s="2" t="n">
        <v>73567.806</v>
      </c>
      <c r="H8" s="2" t="n">
        <v>62.047</v>
      </c>
      <c r="I8" s="13" t="n">
        <f aca="false">IF($H8&gt;0,($I7+$H8),"")</f>
        <v>454.062</v>
      </c>
      <c r="J8" s="13" t="n">
        <f aca="false">IF($H8&gt;0,AVERAGE($H$2:$H8),"")</f>
        <v>64.866</v>
      </c>
      <c r="K8" s="15" t="n">
        <f aca="false">IF(KWH&gt;0,((RATES*KWH)+TDU_DAILY)*(1+TAX),"")</f>
        <v>6.91483225806452</v>
      </c>
      <c r="L8" s="16" t="n">
        <f aca="false">IF(KWH&gt;0,$L7+$K8-100*AND(I7&lt;=1000,I8&gt;1000),"")</f>
        <v>50.5680903225806</v>
      </c>
      <c r="M8" s="17" t="n">
        <f aca="false">IF(AVERAGE_KWH&lt;&gt;"",AVERAGE_KWH*DAYS-$A8,"")</f>
        <v>2003.846</v>
      </c>
      <c r="N8" s="17" t="n">
        <f aca="false">IF(PROJ_USAGE&lt;&gt;"",IF(PROJ_USAGE&gt;1000,((RATES*PROJ_USAGE)+TDU)*1+TAX-(CREDIT),(RATES*PROJ_USAGE)+TDU)*1+TAX,"")</f>
        <v>119.776658064516</v>
      </c>
      <c r="O8" s="18" t="n">
        <f aca="false">IF(KWH&lt;&gt;"",IF((BREAK-CUM_KWH)&gt;0,BREAK-CUM_KWH,0),"")</f>
        <v>545.938</v>
      </c>
      <c r="Q8" s="22" t="s">
        <v>38</v>
      </c>
      <c r="R8" s="171" t="n">
        <v>3.4</v>
      </c>
      <c r="S8" s="172" t="n">
        <f aca="false">($R$8/DAYS)</f>
        <v>0.109677419354839</v>
      </c>
      <c r="T8" s="83"/>
    </row>
    <row r="9" customFormat="false" ht="15" hidden="false" customHeight="true" outlineLevel="0" collapsed="false">
      <c r="A9" s="170" t="n">
        <v>8</v>
      </c>
      <c r="B9" s="14" t="str">
        <f aca="false">TEXT(D9,"ddd")</f>
        <v>Mon</v>
      </c>
      <c r="C9" s="170" t="n">
        <f aca="false">$A$34-$A9</f>
        <v>23</v>
      </c>
      <c r="D9" s="51" t="n">
        <v>44767</v>
      </c>
      <c r="E9" s="51" t="n">
        <v>44768.2831018519</v>
      </c>
      <c r="F9" s="2" t="n">
        <v>73567.806</v>
      </c>
      <c r="G9" s="2" t="n">
        <v>73627.062</v>
      </c>
      <c r="H9" s="2" t="n">
        <v>59.253</v>
      </c>
      <c r="I9" s="13" t="n">
        <f aca="false">IF($H9&gt;0,($I8+$H9),"")</f>
        <v>513.315</v>
      </c>
      <c r="J9" s="13" t="n">
        <f aca="false">IF($H9&gt;0,AVERAGE($H$2:$H9),"")</f>
        <v>64.164375</v>
      </c>
      <c r="K9" s="15" t="n">
        <f aca="false">IF(KWH&gt;0,((RATES*KWH)+TDU_DAILY)*(1+TAX),"")</f>
        <v>6.6083935483871</v>
      </c>
      <c r="L9" s="16" t="n">
        <f aca="false">IF(KWH&gt;0,$L8+$K9-100*AND(I8&lt;=1000,I9&gt;1000),"")</f>
        <v>57.1764838709677</v>
      </c>
      <c r="M9" s="17" t="n">
        <f aca="false">IF(AVERAGE_KWH&lt;&gt;"",AVERAGE_KWH*DAYS-$A9,"")</f>
        <v>1981.095625</v>
      </c>
      <c r="N9" s="17" t="n">
        <f aca="false">IF(PROJ_USAGE&lt;&gt;"",IF(PROJ_USAGE&gt;1000,((RATES*PROJ_USAGE)+TDU)*1+TAX-(CREDIT),(RATES*PROJ_USAGE)+TDU)*1+TAX,"")</f>
        <v>117.281455645161</v>
      </c>
      <c r="O9" s="18" t="n">
        <f aca="false">IF(KWH&lt;&gt;"",IF((BREAK-CUM_KWH)&gt;0,BREAK-CUM_KWH,0),"")</f>
        <v>486.685</v>
      </c>
      <c r="Q9" s="22" t="s">
        <v>42</v>
      </c>
      <c r="R9" s="173"/>
      <c r="S9" s="174" t="n">
        <v>0.01997</v>
      </c>
      <c r="T9" s="83"/>
    </row>
    <row r="10" customFormat="false" ht="15" hidden="false" customHeight="true" outlineLevel="0" collapsed="false">
      <c r="A10" s="170" t="n">
        <v>9</v>
      </c>
      <c r="B10" s="14" t="str">
        <f aca="false">TEXT(D10,"ddd")</f>
        <v>Tue</v>
      </c>
      <c r="C10" s="170" t="n">
        <f aca="false">$A$34-$A10</f>
        <v>22</v>
      </c>
      <c r="D10" s="51" t="n">
        <v>44768</v>
      </c>
      <c r="E10" s="51" t="n">
        <v>44769.2829861111</v>
      </c>
      <c r="F10" s="2" t="n">
        <v>73627.062</v>
      </c>
      <c r="G10" s="2" t="n">
        <v>73684.667</v>
      </c>
      <c r="H10" s="2" t="n">
        <v>57.604</v>
      </c>
      <c r="I10" s="13" t="n">
        <f aca="false">IF($H10&gt;0,($I9+$H10),"")</f>
        <v>570.919</v>
      </c>
      <c r="J10" s="13" t="n">
        <f aca="false">IF($H10&gt;0,AVERAGE($H$2:$H10),"")</f>
        <v>63.4354444444445</v>
      </c>
      <c r="K10" s="15" t="n">
        <f aca="false">IF(KWH&gt;0,((RATES*KWH)+TDU_DAILY)*(1+TAX),"")</f>
        <v>6.42753548387097</v>
      </c>
      <c r="L10" s="16" t="n">
        <f aca="false">IF(KWH&gt;0,$L9+$K10-100*AND(I9&lt;=1000,I10&gt;1000),"")</f>
        <v>63.6040193548387</v>
      </c>
      <c r="M10" s="17" t="n">
        <f aca="false">IF(AVERAGE_KWH&lt;&gt;"",AVERAGE_KWH*DAYS-$A10,"")</f>
        <v>1957.49877777778</v>
      </c>
      <c r="N10" s="17" t="n">
        <f aca="false">IF(PROJ_USAGE&lt;&gt;"",IF(PROJ_USAGE&gt;1000,((RATES*PROJ_USAGE)+TDU)*1+TAX-(CREDIT),(RATES*PROJ_USAGE)+TDU)*1+TAX,"")</f>
        <v>114.693414336918</v>
      </c>
      <c r="O10" s="18" t="n">
        <f aca="false">IF(KWH&lt;&gt;"",IF((BREAK-CUM_KWH)&gt;0,BREAK-CUM_KWH,0),"")</f>
        <v>429.081</v>
      </c>
      <c r="Q10" s="22" t="s">
        <v>46</v>
      </c>
      <c r="R10" s="175" t="n">
        <v>100</v>
      </c>
      <c r="S10" s="174" t="n">
        <v>1000</v>
      </c>
      <c r="T10" s="83"/>
    </row>
    <row r="11" customFormat="false" ht="15" hidden="false" customHeight="true" outlineLevel="0" collapsed="false">
      <c r="A11" s="170" t="n">
        <v>10</v>
      </c>
      <c r="B11" s="14" t="str">
        <f aca="false">TEXT(D11,"ddd")</f>
        <v>Wed</v>
      </c>
      <c r="C11" s="170" t="n">
        <f aca="false">$A$34-$A11</f>
        <v>21</v>
      </c>
      <c r="D11" s="51" t="n">
        <v>44769</v>
      </c>
      <c r="E11" s="51" t="n">
        <v>44770.2830787037</v>
      </c>
      <c r="F11" s="2" t="n">
        <v>73684.667</v>
      </c>
      <c r="G11" s="2" t="n">
        <v>73744.828</v>
      </c>
      <c r="H11" s="2" t="n">
        <v>60.162</v>
      </c>
      <c r="I11" s="13" t="n">
        <f aca="false">IF($H11&gt;0,($I10+$H11),"")</f>
        <v>631.081</v>
      </c>
      <c r="J11" s="13" t="n">
        <f aca="false">IF($H11&gt;0,AVERAGE($H$2:$H11),"")</f>
        <v>63.1081</v>
      </c>
      <c r="K11" s="15" t="n">
        <f aca="false">IF(KWH&gt;0,((RATES*KWH)+TDU_DAILY)*(1+TAX),"")</f>
        <v>6.70809032258065</v>
      </c>
      <c r="L11" s="16" t="n">
        <f aca="false">IF(KWH&gt;0,$L10+$K11-100*AND(I10&lt;=1000,I11&gt;1000),"")</f>
        <v>70.3121096774194</v>
      </c>
      <c r="M11" s="17" t="n">
        <f aca="false">IF(AVERAGE_KWH&lt;&gt;"",AVERAGE_KWH*DAYS-$A11,"")</f>
        <v>1946.3511</v>
      </c>
      <c r="N11" s="17" t="n">
        <f aca="false">IF(PROJ_USAGE&lt;&gt;"",IF(PROJ_USAGE&gt;1000,((RATES*PROJ_USAGE)+TDU)*1+TAX-(CREDIT),(RATES*PROJ_USAGE)+TDU)*1+TAX,"")</f>
        <v>113.470765806452</v>
      </c>
      <c r="O11" s="18" t="n">
        <f aca="false">IF(KWH&lt;&gt;"",IF((BREAK-CUM_KWH)&gt;0,BREAK-CUM_KWH,0),"")</f>
        <v>368.919</v>
      </c>
      <c r="Q11" s="22" t="s">
        <v>49</v>
      </c>
      <c r="R11" s="175" t="n">
        <v>295</v>
      </c>
      <c r="S11" s="176"/>
      <c r="T11" s="83"/>
    </row>
    <row r="12" customFormat="false" ht="15" hidden="false" customHeight="true" outlineLevel="0" collapsed="false">
      <c r="A12" s="170" t="n">
        <v>11</v>
      </c>
      <c r="B12" s="14" t="str">
        <f aca="false">TEXT(D12,"ddd")</f>
        <v>Thu</v>
      </c>
      <c r="C12" s="170" t="n">
        <f aca="false">$A$34-$A12</f>
        <v>20</v>
      </c>
      <c r="D12" s="51" t="n">
        <v>44770</v>
      </c>
      <c r="E12" s="51" t="n">
        <v>44771.2819097222</v>
      </c>
      <c r="F12" s="2" t="n">
        <v>73744.828</v>
      </c>
      <c r="G12" s="2" t="n">
        <v>73810.568</v>
      </c>
      <c r="H12" s="2" t="n">
        <v>65.744</v>
      </c>
      <c r="I12" s="13" t="n">
        <f aca="false">IF($H12&gt;0,($I11+$H12),"")</f>
        <v>696.825</v>
      </c>
      <c r="J12" s="13" t="n">
        <f aca="false">IF($H12&gt;0,AVERAGE($H$2:$H12),"")</f>
        <v>63.3477272727273</v>
      </c>
      <c r="K12" s="15" t="n">
        <f aca="false">IF(KWH&gt;0,((RATES*KWH)+TDU_DAILY)*(1+TAX),"")</f>
        <v>7.32030967741935</v>
      </c>
      <c r="L12" s="16" t="n">
        <f aca="false">IF(KWH&gt;0,$L11+$K12-100*AND(I11&lt;=1000,I12&gt;1000),"")</f>
        <v>77.6324193548387</v>
      </c>
      <c r="M12" s="17" t="n">
        <f aca="false">IF(AVERAGE_KWH&lt;&gt;"",AVERAGE_KWH*DAYS-$A12,"")</f>
        <v>1952.77954545455</v>
      </c>
      <c r="N12" s="17" t="n">
        <f aca="false">IF(PROJ_USAGE&lt;&gt;"",IF(PROJ_USAGE&gt;1000,((RATES*PROJ_USAGE)+TDU)*1+TAX-(CREDIT),(RATES*PROJ_USAGE)+TDU)*1+TAX,"")</f>
        <v>114.17582111437</v>
      </c>
      <c r="O12" s="18" t="n">
        <f aca="false">IF(KWH&lt;&gt;"",IF((BREAK-CUM_KWH)&gt;0,BREAK-CUM_KWH,0),"")</f>
        <v>303.175</v>
      </c>
      <c r="Q12" s="22" t="s">
        <v>52</v>
      </c>
      <c r="R12" s="177" t="n">
        <f aca="false">INDEX(L2:L34,COUNT(L2:L34))</f>
        <v>99.264129032258</v>
      </c>
      <c r="S12" s="176"/>
      <c r="T12" s="83"/>
    </row>
    <row r="13" customFormat="false" ht="15" hidden="false" customHeight="true" outlineLevel="0" collapsed="false">
      <c r="A13" s="170" t="n">
        <v>12</v>
      </c>
      <c r="B13" s="14" t="str">
        <f aca="false">TEXT(D13,"ddd")</f>
        <v>Fri</v>
      </c>
      <c r="C13" s="170" t="n">
        <f aca="false">$A$34-$A13</f>
        <v>19</v>
      </c>
      <c r="D13" s="51" t="n">
        <v>44771</v>
      </c>
      <c r="E13" s="51" t="n">
        <v>44772.281412037</v>
      </c>
      <c r="F13" s="2" t="n">
        <v>73810.568</v>
      </c>
      <c r="G13" s="2" t="n">
        <v>73868.617</v>
      </c>
      <c r="H13" s="2" t="n">
        <v>58.051</v>
      </c>
      <c r="I13" s="13" t="n">
        <f aca="false">IF($H13&gt;0,($I12+$H13),"")</f>
        <v>754.876</v>
      </c>
      <c r="J13" s="13" t="n">
        <f aca="false">IF($H13&gt;0,AVERAGE($H$2:$H13),"")</f>
        <v>62.9063333333334</v>
      </c>
      <c r="K13" s="15" t="n">
        <f aca="false">IF(KWH&gt;0,((RATES*KWH)+TDU_DAILY)*(1+TAX),"")</f>
        <v>6.47656129032258</v>
      </c>
      <c r="L13" s="16" t="n">
        <f aca="false">IF(KWH&gt;0,$L12+$K13-100*AND(I12&lt;=1000,I13&gt;1000),"")</f>
        <v>84.1089806451613</v>
      </c>
      <c r="M13" s="17" t="n">
        <f aca="false">IF(AVERAGE_KWH&lt;&gt;"",AVERAGE_KWH*DAYS-$A13,"")</f>
        <v>1938.09633333333</v>
      </c>
      <c r="N13" s="17" t="n">
        <f aca="false">IF(PROJ_USAGE&lt;&gt;"",IF(PROJ_USAGE&gt;1000,((RATES*PROJ_USAGE)+TDU)*1+TAX-(CREDIT),(RATES*PROJ_USAGE)+TDU)*1+TAX,"")</f>
        <v>112.565404301075</v>
      </c>
      <c r="O13" s="18" t="n">
        <f aca="false">IF(KWH&lt;&gt;"",IF((BREAK-CUM_KWH)&gt;0,BREAK-CUM_KWH,0),"")</f>
        <v>245.124</v>
      </c>
      <c r="Q13" s="22" t="s">
        <v>55</v>
      </c>
      <c r="R13" s="178" t="n">
        <f aca="false">MAX(H2:H31)</f>
        <v>67.5</v>
      </c>
      <c r="S13" s="176"/>
      <c r="T13" s="83"/>
    </row>
    <row r="14" customFormat="false" ht="15" hidden="false" customHeight="true" outlineLevel="0" collapsed="false">
      <c r="A14" s="170" t="n">
        <v>13</v>
      </c>
      <c r="B14" s="14" t="str">
        <f aca="false">TEXT(D14,"ddd")</f>
        <v>Sat</v>
      </c>
      <c r="C14" s="170" t="n">
        <f aca="false">$A$34-$A14</f>
        <v>18</v>
      </c>
      <c r="D14" s="51" t="n">
        <v>44772</v>
      </c>
      <c r="E14" s="51" t="n">
        <v>44773.3035532407</v>
      </c>
      <c r="F14" s="2" t="n">
        <v>73868.617</v>
      </c>
      <c r="G14" s="2" t="n">
        <v>73926.419</v>
      </c>
      <c r="H14" s="2" t="n">
        <v>57.797</v>
      </c>
      <c r="I14" s="13" t="n">
        <f aca="false">IF($H14&gt;0,($I13+$H14),"")</f>
        <v>812.673</v>
      </c>
      <c r="J14" s="13" t="n">
        <f aca="false">IF($H14&gt;0,AVERAGE($H$2:$H14),"")</f>
        <v>62.5133076923077</v>
      </c>
      <c r="K14" s="15" t="n">
        <f aca="false">IF(KWH&gt;0,((RATES*KWH)+TDU_DAILY)*(1+TAX),"")</f>
        <v>6.44870322580645</v>
      </c>
      <c r="L14" s="16" t="n">
        <f aca="false">IF(KWH&gt;0,$L13+$K14-100*AND(I13&lt;=1000,I14&gt;1000),"")</f>
        <v>90.5576838709678</v>
      </c>
      <c r="M14" s="17" t="n">
        <f aca="false">IF(AVERAGE_KWH&lt;&gt;"",AVERAGE_KWH*DAYS-$A14,"")</f>
        <v>1924.91253846154</v>
      </c>
      <c r="N14" s="17" t="n">
        <f aca="false">IF(PROJ_USAGE&lt;&gt;"",IF(PROJ_USAGE&gt;1000,((RATES*PROJ_USAGE)+TDU)*1+TAX-(CREDIT),(RATES*PROJ_USAGE)+TDU)*1+TAX,"")</f>
        <v>111.119439702233</v>
      </c>
      <c r="O14" s="18" t="n">
        <f aca="false">IF(KWH&lt;&gt;"",IF((BREAK-CUM_KWH)&gt;0,BREAK-CUM_KWH,0),"")</f>
        <v>187.327</v>
      </c>
      <c r="Q14" s="22" t="s">
        <v>143</v>
      </c>
      <c r="R14" s="178" t="n">
        <f aca="false">MIN(H2:H32)</f>
        <v>46.296</v>
      </c>
      <c r="S14" s="176"/>
      <c r="T14" s="83"/>
    </row>
    <row r="15" customFormat="false" ht="15" hidden="false" customHeight="true" outlineLevel="0" collapsed="false">
      <c r="A15" s="170" t="n">
        <v>14</v>
      </c>
      <c r="B15" s="14" t="str">
        <f aca="false">TEXT(D15,"ddd")</f>
        <v>Sun</v>
      </c>
      <c r="C15" s="170" t="n">
        <f aca="false">$A$34-$A15</f>
        <v>17</v>
      </c>
      <c r="D15" s="51" t="n">
        <v>44773</v>
      </c>
      <c r="E15" s="51" t="n">
        <v>44774.2825578704</v>
      </c>
      <c r="F15" s="2" t="n">
        <v>73926.419</v>
      </c>
      <c r="G15" s="2" t="n">
        <v>73985.224</v>
      </c>
      <c r="H15" s="2" t="n">
        <v>58.809</v>
      </c>
      <c r="I15" s="13" t="n">
        <f aca="false">IF($H15&gt;0,($I14+$H15),"")</f>
        <v>871.482</v>
      </c>
      <c r="J15" s="13" t="n">
        <f aca="false">IF($H15&gt;0,AVERAGE($H$2:$H15),"")</f>
        <v>62.2487142857143</v>
      </c>
      <c r="K15" s="15" t="n">
        <f aca="false">IF(KWH&gt;0,((RATES*KWH)+TDU_DAILY)*(1+TAX),"")</f>
        <v>6.55969677419355</v>
      </c>
      <c r="L15" s="16" t="n">
        <f aca="false">IF(KWH&gt;0,$L14+$K15-100*AND(I14&lt;=1000,I15&gt;1000),"")</f>
        <v>97.1173806451613</v>
      </c>
      <c r="M15" s="17" t="n">
        <f aca="false">IF(AVERAGE_KWH&lt;&gt;"",AVERAGE_KWH*DAYS-$A15,"")</f>
        <v>1915.71014285714</v>
      </c>
      <c r="N15" s="17" t="n">
        <f aca="false">IF(PROJ_USAGE&lt;&gt;"",IF(PROJ_USAGE&gt;1000,((RATES*PROJ_USAGE)+TDU)*1+TAX-(CREDIT),(RATES*PROJ_USAGE)+TDU)*1+TAX,"")</f>
        <v>110.110144700461</v>
      </c>
      <c r="O15" s="18" t="n">
        <f aca="false">IF(KWH&lt;&gt;"",IF((BREAK-CUM_KWH)&gt;0,BREAK-CUM_KWH,0),"")</f>
        <v>128.518</v>
      </c>
      <c r="Q15" s="22" t="s">
        <v>144</v>
      </c>
      <c r="R15" s="178" t="n">
        <f aca="false">INDEX(I2:I34,COUNT(I2:I34))</f>
        <v>1786.82</v>
      </c>
      <c r="S15" s="176"/>
      <c r="T15" s="83"/>
    </row>
    <row r="16" customFormat="false" ht="15" hidden="false" customHeight="true" outlineLevel="0" collapsed="false">
      <c r="A16" s="170" t="n">
        <v>15</v>
      </c>
      <c r="B16" s="14" t="str">
        <f aca="false">TEXT(D16,"ddd")</f>
        <v>Mon</v>
      </c>
      <c r="C16" s="170" t="n">
        <f aca="false">$A$34-$A16</f>
        <v>16</v>
      </c>
      <c r="D16" s="51" t="n">
        <v>44774</v>
      </c>
      <c r="E16" s="51" t="n">
        <v>44775.356712963</v>
      </c>
      <c r="F16" s="2" t="n">
        <v>73985.224</v>
      </c>
      <c r="G16" s="2" t="n">
        <v>74043.107</v>
      </c>
      <c r="H16" s="2" t="n">
        <v>57.886</v>
      </c>
      <c r="I16" s="13" t="n">
        <f aca="false">IF($H16&gt;0,($I15+$H16),"")</f>
        <v>929.368</v>
      </c>
      <c r="J16" s="13" t="n">
        <f aca="false">IF($H16&gt;0,AVERAGE($H$2:$H16),"")</f>
        <v>61.9578666666667</v>
      </c>
      <c r="K16" s="15" t="n">
        <f aca="false">IF(KWH&gt;0,((RATES*KWH)+TDU_DAILY)*(1+TAX),"")</f>
        <v>6.45846451612903</v>
      </c>
      <c r="L16" s="16" t="n">
        <f aca="false">IF(KWH&gt;0,$L15+$K16-100*AND(I15&lt;=1000,I16&gt;1000),"")</f>
        <v>103.57584516129</v>
      </c>
      <c r="M16" s="17" t="n">
        <f aca="false">IF(AVERAGE_KWH&lt;&gt;"",AVERAGE_KWH*DAYS-$A16,"")</f>
        <v>1905.69386666667</v>
      </c>
      <c r="N16" s="17" t="n">
        <f aca="false">IF(PROJ_USAGE&lt;&gt;"",IF(PROJ_USAGE&gt;1000,((RATES*PROJ_USAGE)+TDU)*1+TAX-(CREDIT),(RATES*PROJ_USAGE)+TDU)*1+TAX,"")</f>
        <v>109.011585376344</v>
      </c>
      <c r="O16" s="18" t="n">
        <f aca="false">IF(KWH&lt;&gt;"",IF((BREAK-CUM_KWH)&gt;0,BREAK-CUM_KWH,0),"")</f>
        <v>70.6319999999998</v>
      </c>
      <c r="Q16" s="40" t="s">
        <v>58</v>
      </c>
      <c r="R16" s="179" t="n">
        <f aca="false">INDEX($J2:$J$34,COUNT($J2:$J$34))</f>
        <v>59.5606666666667</v>
      </c>
      <c r="S16" s="180"/>
      <c r="T16" s="83"/>
    </row>
    <row r="17" customFormat="false" ht="15" hidden="false" customHeight="true" outlineLevel="0" collapsed="false">
      <c r="A17" s="170" t="n">
        <v>16</v>
      </c>
      <c r="B17" s="14" t="str">
        <f aca="false">TEXT(D17,"ddd")</f>
        <v>Tue</v>
      </c>
      <c r="C17" s="170" t="n">
        <f aca="false">$A$34-$A17</f>
        <v>15</v>
      </c>
      <c r="D17" s="51" t="n">
        <v>44775</v>
      </c>
      <c r="E17" s="51" t="n">
        <v>44776.2875694444</v>
      </c>
      <c r="F17" s="2" t="n">
        <v>74043.107</v>
      </c>
      <c r="G17" s="2" t="n">
        <v>74102.773</v>
      </c>
      <c r="H17" s="2" t="n">
        <v>59.665</v>
      </c>
      <c r="I17" s="13" t="n">
        <f aca="false">IF($H17&gt;0,($I16+$H17),"")</f>
        <v>989.033</v>
      </c>
      <c r="J17" s="13" t="n">
        <f aca="false">IF($H17&gt;0,AVERAGE($H$2:$H17),"")</f>
        <v>61.8145625</v>
      </c>
      <c r="K17" s="15" t="n">
        <f aca="false">IF(KWH&gt;0,((RATES*KWH)+TDU_DAILY)+(1*TAX),"")</f>
        <v>6.65358064516129</v>
      </c>
      <c r="L17" s="16" t="n">
        <f aca="false">IF(KWH&gt;0,$L16+$K17-100*AND(I16&lt;=1000,I17&gt;1000),"")</f>
        <v>110.229425806452</v>
      </c>
      <c r="M17" s="17" t="n">
        <f aca="false">IF(AVERAGE_KWH&lt;&gt;"",AVERAGE_KWH*DAYS-$A17,"")</f>
        <v>1900.2514375</v>
      </c>
      <c r="N17" s="17" t="n">
        <f aca="false">IF(PROJ_USAGE&lt;&gt;"",IF(PROJ_USAGE&gt;1000,((RATES*PROJ_USAGE)+TDU)*1+TAX-(CREDIT),(RATES*PROJ_USAGE)+TDU)*1+TAX,"")</f>
        <v>108.414673790323</v>
      </c>
      <c r="O17" s="18" t="n">
        <f aca="false">IF(KWH&lt;&gt;"",IF((BREAK-CUM_KWH)&gt;0,BREAK-CUM_KWH,0),"")</f>
        <v>10.9669999999999</v>
      </c>
    </row>
    <row r="18" customFormat="false" ht="15" hidden="false" customHeight="true" outlineLevel="0" collapsed="false">
      <c r="A18" s="170" t="n">
        <v>17</v>
      </c>
      <c r="B18" s="14" t="str">
        <f aca="false">TEXT(D18,"ddd")</f>
        <v>Wed</v>
      </c>
      <c r="C18" s="170" t="n">
        <f aca="false">$A$34-$A18</f>
        <v>14</v>
      </c>
      <c r="D18" s="51" t="n">
        <v>44776</v>
      </c>
      <c r="E18" s="51" t="n">
        <v>44777.285462963</v>
      </c>
      <c r="F18" s="2" t="n">
        <v>74102.773</v>
      </c>
      <c r="G18" s="2" t="n">
        <v>74163.324</v>
      </c>
      <c r="H18" s="2" t="n">
        <v>60.546</v>
      </c>
      <c r="I18" s="13" t="n">
        <f aca="false">IF($H18&gt;0,($I17+$H18),"")</f>
        <v>1049.579</v>
      </c>
      <c r="J18" s="13" t="n">
        <f aca="false">IF($H18&gt;0,AVERAGE($H$2:$H18),"")</f>
        <v>61.7399411764706</v>
      </c>
      <c r="K18" s="15" t="n">
        <f aca="false">IF(KWH&gt;0,((RATES*KWH)+TDU_DAILY)+(1*TAX),"")</f>
        <v>6.7502064516129</v>
      </c>
      <c r="L18" s="16" t="n">
        <f aca="false">IF(KWH&gt;0,$L17+$K18-100*AND(I17&lt;=1000,I18&gt;1000),"")</f>
        <v>16.9796322580645</v>
      </c>
      <c r="M18" s="17" t="n">
        <f aca="false">IF(AVERAGE_KWH&lt;&gt;"",AVERAGE_KWH*DAYS-$A18,"")</f>
        <v>1896.93817647059</v>
      </c>
      <c r="N18" s="17" t="n">
        <f aca="false">IF(PROJ_USAGE&lt;&gt;"",IF(PROJ_USAGE&gt;1000,((RATES*PROJ_USAGE)+TDU)*1+TAX-(CREDIT),(RATES*PROJ_USAGE)+TDU)*1+TAX,"")</f>
        <v>108.051283870968</v>
      </c>
      <c r="O18" s="18" t="n">
        <f aca="false">IF(KWH&lt;&gt;"",IF((BREAK-CUM_KWH)&gt;0,BREAK-CUM_KWH,0),"")</f>
        <v>0</v>
      </c>
    </row>
    <row r="19" customFormat="false" ht="15" hidden="false" customHeight="true" outlineLevel="0" collapsed="false">
      <c r="A19" s="170" t="n">
        <v>18</v>
      </c>
      <c r="B19" s="14" t="str">
        <f aca="false">TEXT(D19,"ddd")</f>
        <v>Thu</v>
      </c>
      <c r="C19" s="170" t="n">
        <f aca="false">$A$34-$A19</f>
        <v>13</v>
      </c>
      <c r="D19" s="51" t="n">
        <v>44777</v>
      </c>
      <c r="E19" s="51" t="n">
        <v>44778.2831134259</v>
      </c>
      <c r="F19" s="2" t="n">
        <v>74163.324</v>
      </c>
      <c r="G19" s="2" t="n">
        <v>74219.573</v>
      </c>
      <c r="H19" s="2" t="n">
        <v>56.252</v>
      </c>
      <c r="I19" s="13" t="n">
        <f aca="false">IF($H19&gt;0,($I18+$H19),"")</f>
        <v>1105.831</v>
      </c>
      <c r="J19" s="13" t="n">
        <f aca="false">IF($H19&gt;0,AVERAGE($H$2:$H19),"")</f>
        <v>61.4350555555556</v>
      </c>
      <c r="K19" s="15" t="n">
        <f aca="false">IF(KWH&gt;0,((RATES*KWH)+TDU_DAILY)+(1*TAX),"")</f>
        <v>6.27925161290323</v>
      </c>
      <c r="L19" s="16" t="n">
        <f aca="false">IF(KWH&gt;0,$L18+$K19-100*AND(I18&lt;=1000,I19&gt;1000),"")</f>
        <v>23.2588838709677</v>
      </c>
      <c r="M19" s="17" t="n">
        <f aca="false">IF(AVERAGE_KWH&lt;&gt;"",AVERAGE_KWH*DAYS-$A19,"")</f>
        <v>1886.48672222222</v>
      </c>
      <c r="N19" s="17" t="n">
        <f aca="false">IF(PROJ_USAGE&lt;&gt;"",IF(PROJ_USAGE&gt;1000,((RATES*PROJ_USAGE)+TDU)*1+TAX-(CREDIT),(RATES*PROJ_USAGE)+TDU)*1+TAX,"")</f>
        <v>106.904995340502</v>
      </c>
      <c r="O19" s="18" t="n">
        <f aca="false">IF(KWH&lt;&gt;"",IF((BREAK-CUM_KWH)&gt;0,BREAK-CUM_KWH,0),"")</f>
        <v>0</v>
      </c>
    </row>
    <row r="20" customFormat="false" ht="15" hidden="false" customHeight="true" outlineLevel="0" collapsed="false">
      <c r="A20" s="170" t="n">
        <v>19</v>
      </c>
      <c r="B20" s="14" t="str">
        <f aca="false">TEXT(D20,"ddd")</f>
        <v>Fri</v>
      </c>
      <c r="C20" s="170" t="n">
        <f aca="false">$A$34-$A20</f>
        <v>12</v>
      </c>
      <c r="D20" s="51" t="n">
        <v>44778</v>
      </c>
      <c r="E20" s="51" t="n">
        <v>44779.2825115741</v>
      </c>
      <c r="F20" s="2" t="n">
        <v>74219.573</v>
      </c>
      <c r="G20" s="2" t="n">
        <v>74285.597</v>
      </c>
      <c r="H20" s="2" t="n">
        <v>66.029</v>
      </c>
      <c r="I20" s="13" t="n">
        <f aca="false">IF($H20&gt;0,($I19+$H20),"")</f>
        <v>1171.86</v>
      </c>
      <c r="J20" s="13" t="n">
        <f aca="false">IF($H20&gt;0,AVERAGE($H$2:$H20),"")</f>
        <v>61.6768421052632</v>
      </c>
      <c r="K20" s="15" t="n">
        <f aca="false">IF(KWH&gt;0,((RATES*KWH)+TDU_DAILY)+(1*TAX),"")</f>
        <v>7.35156774193548</v>
      </c>
      <c r="L20" s="16" t="n">
        <f aca="false">IF(KWH&gt;0,$L19+$K20-100*AND(I19&lt;=1000,I20&gt;1000),"")</f>
        <v>30.6104516129032</v>
      </c>
      <c r="M20" s="17" t="n">
        <f aca="false">IF(AVERAGE_KWH&lt;&gt;"",AVERAGE_KWH*DAYS-$A20,"")</f>
        <v>1892.98210526316</v>
      </c>
      <c r="N20" s="17" t="n">
        <f aca="false">IF(PROJ_USAGE&lt;&gt;"",IF(PROJ_USAGE&gt;1000,((RATES*PROJ_USAGE)+TDU)*1+TAX-(CREDIT),(RATES*PROJ_USAGE)+TDU)*1+TAX,"")</f>
        <v>107.617392190153</v>
      </c>
      <c r="O20" s="18" t="n">
        <f aca="false">IF(KWH&lt;&gt;"",IF((BREAK-CUM_KWH)&gt;0,BREAK-CUM_KWH,0),"")</f>
        <v>0</v>
      </c>
    </row>
    <row r="21" customFormat="false" ht="15" hidden="false" customHeight="true" outlineLevel="0" collapsed="false">
      <c r="A21" s="170" t="n">
        <v>20</v>
      </c>
      <c r="B21" s="14" t="str">
        <f aca="false">TEXT(D21,"ddd")</f>
        <v>Sat</v>
      </c>
      <c r="C21" s="170" t="n">
        <f aca="false">$A$34-$A21</f>
        <v>11</v>
      </c>
      <c r="D21" s="51" t="n">
        <v>44779</v>
      </c>
      <c r="E21" s="51" t="n">
        <v>44780.3042824074</v>
      </c>
      <c r="F21" s="2" t="n">
        <v>74285.597</v>
      </c>
      <c r="G21" s="2" t="n">
        <v>74341.264</v>
      </c>
      <c r="H21" s="2" t="n">
        <v>55.665</v>
      </c>
      <c r="I21" s="13" t="n">
        <f aca="false">IF($H21&gt;0,($I20+$H21),"")</f>
        <v>1227.525</v>
      </c>
      <c r="J21" s="13" t="n">
        <f aca="false">IF($H21&gt;0,AVERAGE($H$2:$H21),"")</f>
        <v>61.37625</v>
      </c>
      <c r="K21" s="15" t="n">
        <f aca="false">IF(KWH&gt;0,((RATES*KWH)+TDU_DAILY)+(1*TAX),"")</f>
        <v>6.21487096774194</v>
      </c>
      <c r="L21" s="16" t="n">
        <f aca="false">IF(KWH&gt;0,$L20+$K21-100*AND(I20&lt;=1000,I21&gt;1000),"")</f>
        <v>36.8253225806452</v>
      </c>
      <c r="M21" s="17" t="n">
        <f aca="false">IF(AVERAGE_KWH&lt;&gt;"",AVERAGE_KWH*DAYS-$A21,"")</f>
        <v>1882.66375</v>
      </c>
      <c r="N21" s="17" t="n">
        <f aca="false">IF(PROJ_USAGE&lt;&gt;"",IF(PROJ_USAGE&gt;1000,((RATES*PROJ_USAGE)+TDU)*1+TAX-(CREDIT),(RATES*PROJ_USAGE)+TDU)*1+TAX,"")</f>
        <v>106.485701612903</v>
      </c>
      <c r="O21" s="18" t="n">
        <f aca="false">IF(KWH&lt;&gt;"",IF((BREAK-CUM_KWH)&gt;0,BREAK-CUM_KWH,0),"")</f>
        <v>0</v>
      </c>
    </row>
    <row r="22" customFormat="false" ht="15" hidden="false" customHeight="true" outlineLevel="0" collapsed="false">
      <c r="A22" s="170" t="n">
        <v>21</v>
      </c>
      <c r="B22" s="14" t="str">
        <f aca="false">TEXT(D22,"ddd")</f>
        <v>Sun</v>
      </c>
      <c r="C22" s="170" t="n">
        <f aca="false">$A$34-$A22</f>
        <v>10</v>
      </c>
      <c r="D22" s="51" t="n">
        <v>44780</v>
      </c>
      <c r="E22" s="51" t="n">
        <v>44781.2827314815</v>
      </c>
      <c r="F22" s="2" t="n">
        <v>74341.264</v>
      </c>
      <c r="G22" s="2" t="n">
        <v>74395.468</v>
      </c>
      <c r="H22" s="2" t="n">
        <v>54.204</v>
      </c>
      <c r="I22" s="13" t="n">
        <f aca="false">IF($H22&gt;0,($I21+$H22),"")</f>
        <v>1281.729</v>
      </c>
      <c r="J22" s="13" t="n">
        <f aca="false">IF($H22&gt;0,AVERAGE($H$2:$H22),"")</f>
        <v>61.0347142857143</v>
      </c>
      <c r="K22" s="15" t="n">
        <f aca="false">IF(KWH&gt;0,((RATES*KWH)+TDU_DAILY)+(1*TAX),"")</f>
        <v>6.05463225806452</v>
      </c>
      <c r="L22" s="16" t="n">
        <f aca="false">IF(KWH&gt;0,$L21+$K22-100*AND(I21&lt;=1000,I22&gt;1000),"")</f>
        <v>42.8799548387097</v>
      </c>
      <c r="M22" s="17" t="n">
        <f aca="false">IF(AVERAGE_KWH&lt;&gt;"",AVERAGE_KWH*DAYS-$A22,"")</f>
        <v>1871.07614285714</v>
      </c>
      <c r="N22" s="17" t="n">
        <f aca="false">IF(PROJ_USAGE&lt;&gt;"",IF(PROJ_USAGE&gt;1000,((RATES*PROJ_USAGE)+TDU)*1+TAX-(CREDIT),(RATES*PROJ_USAGE)+TDU)*1+TAX,"")</f>
        <v>105.214802764977</v>
      </c>
      <c r="O22" s="18" t="n">
        <f aca="false">IF(KWH&lt;&gt;"",IF((BREAK-CUM_KWH)&gt;0,BREAK-CUM_KWH,0),"")</f>
        <v>0</v>
      </c>
    </row>
    <row r="23" customFormat="false" ht="15" hidden="false" customHeight="true" outlineLevel="0" collapsed="false">
      <c r="A23" s="170" t="n">
        <v>22</v>
      </c>
      <c r="B23" s="14" t="str">
        <f aca="false">TEXT(D23,"ddd")</f>
        <v>Mon</v>
      </c>
      <c r="C23" s="170" t="n">
        <f aca="false">$A$34-$A23</f>
        <v>9</v>
      </c>
      <c r="D23" s="51" t="n">
        <v>44781</v>
      </c>
      <c r="E23" s="51" t="n">
        <v>44782.2825925926</v>
      </c>
      <c r="F23" s="2" t="n">
        <v>74395.468</v>
      </c>
      <c r="G23" s="2" t="n">
        <v>74458.544</v>
      </c>
      <c r="H23" s="2" t="n">
        <v>63.079</v>
      </c>
      <c r="I23" s="13" t="n">
        <f aca="false">IF($H23&gt;0,($I22+$H23),"")</f>
        <v>1344.808</v>
      </c>
      <c r="J23" s="13" t="n">
        <f aca="false">IF($H23&gt;0,AVERAGE($H$2:$H23),"")</f>
        <v>61.1276363636364</v>
      </c>
      <c r="K23" s="15" t="n">
        <f aca="false">IF(KWH&gt;0,((RATES*KWH)+TDU_DAILY)+(1*TAX),"")</f>
        <v>7.02801935483871</v>
      </c>
      <c r="L23" s="16" t="n">
        <f aca="false">IF(KWH&gt;0,$L22+$K23-100*AND(I22&lt;=1000,I23&gt;1000),"")</f>
        <v>49.9079741935484</v>
      </c>
      <c r="M23" s="17" t="n">
        <f aca="false">IF(AVERAGE_KWH&lt;&gt;"",AVERAGE_KWH*DAYS-$A23,"")</f>
        <v>1872.95672727273</v>
      </c>
      <c r="N23" s="17" t="n">
        <f aca="false">IF(PROJ_USAGE&lt;&gt;"",IF(PROJ_USAGE&gt;1000,((RATES*PROJ_USAGE)+TDU)*1+TAX-(CREDIT),(RATES*PROJ_USAGE)+TDU)*1+TAX,"")</f>
        <v>105.421060410557</v>
      </c>
      <c r="O23" s="18" t="n">
        <f aca="false">IF(KWH&lt;&gt;"",IF((BREAK-CUM_KWH)&gt;0,BREAK-CUM_KWH,0),"")</f>
        <v>0</v>
      </c>
    </row>
    <row r="24" customFormat="false" ht="15" hidden="false" customHeight="true" outlineLevel="0" collapsed="false">
      <c r="A24" s="170" t="n">
        <v>23</v>
      </c>
      <c r="B24" s="14" t="str">
        <f aca="false">TEXT(D24,"ddd")</f>
        <v>Tue</v>
      </c>
      <c r="C24" s="170" t="n">
        <f aca="false">$A$34-$A24</f>
        <v>8</v>
      </c>
      <c r="D24" s="51" t="n">
        <v>44782</v>
      </c>
      <c r="E24" s="51" t="n">
        <v>44783.2828356482</v>
      </c>
      <c r="F24" s="2" t="n">
        <v>74458.544</v>
      </c>
      <c r="G24" s="2" t="n">
        <v>74516.795</v>
      </c>
      <c r="H24" s="2" t="n">
        <v>58.253</v>
      </c>
      <c r="I24" s="13" t="n">
        <f aca="false">IF($H24&gt;0,($I23+$H24),"")</f>
        <v>1403.061</v>
      </c>
      <c r="J24" s="13" t="n">
        <f aca="false">IF($H24&gt;0,AVERAGE($H$2:$H24),"")</f>
        <v>61.002652173913</v>
      </c>
      <c r="K24" s="15" t="n">
        <f aca="false">IF(KWH&gt;0,((RATES*KWH)+TDU_DAILY)+(1*TAX),"")</f>
        <v>6.49871612903226</v>
      </c>
      <c r="L24" s="16" t="n">
        <f aca="false">IF(KWH&gt;0,$L23+$K24-100*AND(I23&lt;=1000,I24&gt;1000),"")</f>
        <v>56.4066903225806</v>
      </c>
      <c r="M24" s="17" t="n">
        <f aca="false">IF(AVERAGE_KWH&lt;&gt;"",AVERAGE_KWH*DAYS-$A24,"")</f>
        <v>1868.0822173913</v>
      </c>
      <c r="N24" s="17" t="n">
        <f aca="false">IF(PROJ_USAGE&lt;&gt;"",IF(PROJ_USAGE&gt;1000,((RATES*PROJ_USAGE)+TDU)*1+TAX-(CREDIT),(RATES*PROJ_USAGE)+TDU)*1+TAX,"")</f>
        <v>104.886436746143</v>
      </c>
      <c r="O24" s="18" t="n">
        <f aca="false">IF(KWH&lt;&gt;"",IF((BREAK-CUM_KWH)&gt;0,BREAK-CUM_KWH,0),"")</f>
        <v>0</v>
      </c>
    </row>
    <row r="25" customFormat="false" ht="15" hidden="false" customHeight="true" outlineLevel="0" collapsed="false">
      <c r="A25" s="170" t="n">
        <v>24</v>
      </c>
      <c r="B25" s="14" t="str">
        <f aca="false">TEXT(D25,"ddd")</f>
        <v>Wed</v>
      </c>
      <c r="C25" s="170" t="n">
        <f aca="false">$A$34-$A25</f>
        <v>7</v>
      </c>
      <c r="D25" s="51" t="n">
        <v>44783</v>
      </c>
      <c r="E25" s="51" t="n">
        <v>44784.2870833333</v>
      </c>
      <c r="F25" s="2" t="n">
        <v>74516.795</v>
      </c>
      <c r="G25" s="2" t="n">
        <v>74572.066</v>
      </c>
      <c r="H25" s="2" t="n">
        <v>55.274</v>
      </c>
      <c r="I25" s="13" t="n">
        <f aca="false">IF($H25&gt;0,($I24+$H25),"")</f>
        <v>1458.335</v>
      </c>
      <c r="J25" s="13" t="n">
        <f aca="false">IF($H25&gt;0,AVERAGE($H$2:$H25),"")</f>
        <v>60.7639583333333</v>
      </c>
      <c r="K25" s="15" t="n">
        <f aca="false">IF(KWH&gt;0,((RATES*KWH)+TDU_DAILY)+(1*TAX),"")</f>
        <v>6.17198709677419</v>
      </c>
      <c r="L25" s="16" t="n">
        <f aca="false">IF(KWH&gt;0,$L24+$K25-100*AND(I24&lt;=1000,I25&gt;1000),"")</f>
        <v>62.5786774193548</v>
      </c>
      <c r="M25" s="17" t="n">
        <f aca="false">IF(AVERAGE_KWH&lt;&gt;"",AVERAGE_KWH*DAYS-$A25,"")</f>
        <v>1859.68270833333</v>
      </c>
      <c r="N25" s="17" t="n">
        <f aca="false">IF(PROJ_USAGE&lt;&gt;"",IF(PROJ_USAGE&gt;1000,((RATES*PROJ_USAGE)+TDU)*1+TAX-(CREDIT),(RATES*PROJ_USAGE)+TDU)*1+TAX,"")</f>
        <v>103.965200268817</v>
      </c>
      <c r="O25" s="18" t="n">
        <f aca="false">IF(KWH&lt;&gt;"",IF((BREAK-CUM_KWH)&gt;0,BREAK-CUM_KWH,0),"")</f>
        <v>0</v>
      </c>
    </row>
    <row r="26" customFormat="false" ht="15" hidden="false" customHeight="true" outlineLevel="0" collapsed="false">
      <c r="A26" s="170" t="n">
        <v>25</v>
      </c>
      <c r="B26" s="14" t="str">
        <f aca="false">TEXT(D26,"ddd")</f>
        <v>Thu</v>
      </c>
      <c r="C26" s="170" t="n">
        <f aca="false">$A$34-$A26</f>
        <v>6</v>
      </c>
      <c r="D26" s="51" t="n">
        <v>44784</v>
      </c>
      <c r="E26" s="51" t="n">
        <v>44785.2849652778</v>
      </c>
      <c r="F26" s="2" t="n">
        <v>74572.066</v>
      </c>
      <c r="G26" s="2" t="n">
        <v>74627.885</v>
      </c>
      <c r="H26" s="2" t="n">
        <v>55.822</v>
      </c>
      <c r="I26" s="13" t="n">
        <f aca="false">IF($H26&gt;0,($I25+$H26),"")</f>
        <v>1514.157</v>
      </c>
      <c r="J26" s="13" t="n">
        <f aca="false">IF($H26&gt;0,AVERAGE($H$2:$H26),"")</f>
        <v>60.56628</v>
      </c>
      <c r="K26" s="15" t="n">
        <f aca="false">IF(KWH&gt;0,((RATES*KWH)+TDU_DAILY)+(1*TAX),"")</f>
        <v>6.23209032258065</v>
      </c>
      <c r="L26" s="16" t="n">
        <f aca="false">IF(KWH&gt;0,$L25+$K26-100*AND(I25&lt;=1000,I26&gt;1000),"")</f>
        <v>68.8107677419355</v>
      </c>
      <c r="M26" s="17" t="n">
        <f aca="false">IF(AVERAGE_KWH&lt;&gt;"",AVERAGE_KWH*DAYS-$A26,"")</f>
        <v>1852.55468</v>
      </c>
      <c r="N26" s="17" t="n">
        <f aca="false">IF(PROJ_USAGE&lt;&gt;"",IF(PROJ_USAGE&gt;1000,((RATES*PROJ_USAGE)+TDU)*1+TAX-(CREDIT),(RATES*PROJ_USAGE)+TDU)*1+TAX,"")</f>
        <v>103.183416516129</v>
      </c>
      <c r="O26" s="18" t="n">
        <f aca="false">IF(KWH&lt;&gt;"",IF((BREAK-CUM_KWH)&gt;0,BREAK-CUM_KWH,0),"")</f>
        <v>0</v>
      </c>
    </row>
    <row r="27" customFormat="false" ht="15" hidden="false" customHeight="true" outlineLevel="0" collapsed="false">
      <c r="A27" s="170" t="n">
        <v>26</v>
      </c>
      <c r="B27" s="14" t="str">
        <f aca="false">TEXT(D27,"ddd")</f>
        <v>Fri</v>
      </c>
      <c r="C27" s="170" t="n">
        <f aca="false">$A$34-$A27</f>
        <v>5</v>
      </c>
      <c r="D27" s="51" t="n">
        <v>44785</v>
      </c>
      <c r="E27" s="51" t="n">
        <v>44786.2830555556</v>
      </c>
      <c r="F27" s="2" t="n">
        <v>74627.885</v>
      </c>
      <c r="G27" s="2" t="n">
        <v>74683.732</v>
      </c>
      <c r="H27" s="2" t="n">
        <v>55.846</v>
      </c>
      <c r="I27" s="13" t="n">
        <f aca="false">IF($H27&gt;0,($I26+$H27),"")</f>
        <v>1570.003</v>
      </c>
      <c r="J27" s="13" t="n">
        <f aca="false">IF($H27&gt;0,AVERAGE($H$2:$H27),"")</f>
        <v>60.3847307692308</v>
      </c>
      <c r="K27" s="15" t="n">
        <f aca="false">IF(KWH&gt;0,((RATES*KWH)+TDU_DAILY)+(1*TAX),"")</f>
        <v>6.23472258064516</v>
      </c>
      <c r="L27" s="16" t="n">
        <f aca="false">IF(KWH&gt;0,$L26+$K27-100*AND(I26&lt;=1000,I27&gt;1000),"")</f>
        <v>75.0454903225806</v>
      </c>
      <c r="M27" s="17" t="n">
        <f aca="false">IF(AVERAGE_KWH&lt;&gt;"",AVERAGE_KWH*DAYS-$A27,"")</f>
        <v>1845.92665384615</v>
      </c>
      <c r="N27" s="17" t="n">
        <f aca="false">IF(PROJ_USAGE&lt;&gt;"",IF(PROJ_USAGE&gt;1000,((RATES*PROJ_USAGE)+TDU)*1+TAX-(CREDIT),(RATES*PROJ_USAGE)+TDU)*1+TAX,"")</f>
        <v>102.456471712159</v>
      </c>
      <c r="O27" s="18" t="n">
        <f aca="false">IF(KWH&lt;&gt;"",IF((BREAK-CUM_KWH)&gt;0,BREAK-CUM_KWH,0),"")</f>
        <v>0</v>
      </c>
    </row>
    <row r="28" customFormat="false" ht="15" hidden="false" customHeight="true" outlineLevel="0" collapsed="false">
      <c r="A28" s="170" t="n">
        <v>27</v>
      </c>
      <c r="B28" s="14" t="str">
        <f aca="false">TEXT(D28,"ddd")</f>
        <v>Sat</v>
      </c>
      <c r="C28" s="170" t="n">
        <f aca="false">$A$34-$A28</f>
        <v>4</v>
      </c>
      <c r="D28" s="51" t="n">
        <v>44786</v>
      </c>
      <c r="E28" s="51" t="n">
        <v>44787.3125115741</v>
      </c>
      <c r="F28" s="2" t="n">
        <v>74683.732</v>
      </c>
      <c r="G28" s="2" t="n">
        <v>74743.993</v>
      </c>
      <c r="H28" s="2" t="n">
        <v>60.265</v>
      </c>
      <c r="I28" s="13" t="n">
        <f aca="false">IF($H28&gt;0,($I27+$H28),"")</f>
        <v>1630.268</v>
      </c>
      <c r="J28" s="13" t="n">
        <f aca="false">IF($H28&gt;0,AVERAGE($H$2:$H28),"")</f>
        <v>60.3802962962963</v>
      </c>
      <c r="K28" s="15" t="n">
        <f aca="false">IF(KWH&gt;0,((RATES*KWH)+TDU_DAILY)+(1*TAX),"")</f>
        <v>6.71938709677419</v>
      </c>
      <c r="L28" s="16" t="n">
        <f aca="false">IF(KWH&gt;0,$L27+$K28-100*AND(I27&lt;=1000,I28&gt;1000),"")</f>
        <v>81.7648774193548</v>
      </c>
      <c r="M28" s="17" t="n">
        <f aca="false">IF(AVERAGE_KWH&lt;&gt;"",AVERAGE_KWH*DAYS-$A28,"")</f>
        <v>1844.78918518519</v>
      </c>
      <c r="N28" s="17" t="n">
        <f aca="false">IF(PROJ_USAGE&lt;&gt;"",IF(PROJ_USAGE&gt;1000,((RATES*PROJ_USAGE)+TDU)*1+TAX-(CREDIT),(RATES*PROJ_USAGE)+TDU)*1+TAX,"")</f>
        <v>102.331717084827</v>
      </c>
      <c r="O28" s="18" t="n">
        <f aca="false">IF(KWH&lt;&gt;"",IF((BREAK-CUM_KWH)&gt;0,BREAK-CUM_KWH,0),"")</f>
        <v>0</v>
      </c>
    </row>
    <row r="29" customFormat="false" ht="15" hidden="false" customHeight="true" outlineLevel="0" collapsed="false">
      <c r="A29" s="170" t="n">
        <v>28</v>
      </c>
      <c r="B29" s="14" t="str">
        <f aca="false">TEXT(D29,"ddd")</f>
        <v>Sun</v>
      </c>
      <c r="C29" s="170" t="n">
        <f aca="false">$A$34-$A29</f>
        <v>3</v>
      </c>
      <c r="D29" s="51" t="n">
        <v>44787</v>
      </c>
      <c r="E29" s="51" t="n">
        <v>44788.289212963</v>
      </c>
      <c r="F29" s="2" t="n">
        <v>74743.993</v>
      </c>
      <c r="G29" s="2" t="n">
        <v>74790.292</v>
      </c>
      <c r="H29" s="2" t="n">
        <v>46.296</v>
      </c>
      <c r="I29" s="13" t="n">
        <f aca="false">IF($H29&gt;0,($I28+$H29),"")</f>
        <v>1676.564</v>
      </c>
      <c r="J29" s="13" t="n">
        <f aca="false">IF($H29&gt;0,AVERAGE($H$2:$H29),"")</f>
        <v>59.8772857142857</v>
      </c>
      <c r="K29" s="15" t="n">
        <f aca="false">IF(KWH&gt;0,((RATES*KWH)+TDU_DAILY)+(1*TAX),"")</f>
        <v>5.18730322580645</v>
      </c>
      <c r="L29" s="16" t="n">
        <f aca="false">IF(KWH&gt;0,$L28+$K29-100*AND(I28&lt;=1000,I29&gt;1000),"")</f>
        <v>86.9521806451613</v>
      </c>
      <c r="M29" s="17" t="n">
        <f aca="false">IF(AVERAGE_KWH&lt;&gt;"",AVERAGE_KWH*DAYS-$A29,"")</f>
        <v>1828.19585714286</v>
      </c>
      <c r="N29" s="17" t="n">
        <f aca="false">IF(PROJ_USAGE&lt;&gt;"",IF(PROJ_USAGE&gt;1000,((RATES*PROJ_USAGE)+TDU)*1+TAX-(CREDIT),(RATES*PROJ_USAGE)+TDU)*1+TAX,"")</f>
        <v>100.511803686636</v>
      </c>
      <c r="O29" s="18" t="n">
        <f aca="false">IF(KWH&lt;&gt;"",IF((BREAK-CUM_KWH)&gt;0,BREAK-CUM_KWH,0),"")</f>
        <v>0</v>
      </c>
    </row>
    <row r="30" customFormat="false" ht="15" hidden="false" customHeight="true" outlineLevel="0" collapsed="false">
      <c r="A30" s="170" t="n">
        <v>29</v>
      </c>
      <c r="B30" s="14" t="str">
        <f aca="false">TEXT(D30,"ddd")</f>
        <v>Mon</v>
      </c>
      <c r="C30" s="170" t="n">
        <f aca="false">$A$34-$A30</f>
        <v>2</v>
      </c>
      <c r="D30" s="51" t="n">
        <v>44788</v>
      </c>
      <c r="E30" s="51" t="n">
        <v>44789.2853935185</v>
      </c>
      <c r="F30" s="2" t="n">
        <v>74790.292</v>
      </c>
      <c r="G30" s="2" t="n">
        <v>74843.886</v>
      </c>
      <c r="H30" s="2" t="n">
        <v>53.597</v>
      </c>
      <c r="I30" s="13" t="n">
        <f aca="false">IF($H30&gt;0,($I29+$H30),"")</f>
        <v>1730.161</v>
      </c>
      <c r="J30" s="13" t="n">
        <f aca="false">IF($H30&gt;0,AVERAGE($H$2:$H30),"")</f>
        <v>59.660724137931</v>
      </c>
      <c r="K30" s="15" t="n">
        <f aca="false">IF(KWH&gt;0,((RATES*KWH)+TDU_DAILY)+(1*TAX),"")</f>
        <v>5.98805806451613</v>
      </c>
      <c r="L30" s="16" t="n">
        <f aca="false">IF(KWH&gt;0,$L29+$K30-100*AND(I29&lt;=1000,I30&gt;1000),"")</f>
        <v>92.9402387096774</v>
      </c>
      <c r="M30" s="17" t="n">
        <f aca="false">IF(AVERAGE_KWH&lt;&gt;"",AVERAGE_KWH*DAYS-$A30,"")</f>
        <v>1820.48244827586</v>
      </c>
      <c r="N30" s="17" t="n">
        <f aca="false">IF(PROJ_USAGE&lt;&gt;"",IF(PROJ_USAGE&gt;1000,((RATES*PROJ_USAGE)+TDU)*1+TAX-(CREDIT),(RATES*PROJ_USAGE)+TDU)*1+TAX,"")</f>
        <v>99.6658169076752</v>
      </c>
      <c r="O30" s="18" t="n">
        <f aca="false">IF(KWH&lt;&gt;"",IF((BREAK-CUM_KWH)&gt;0,BREAK-CUM_KWH,0),"")</f>
        <v>0</v>
      </c>
    </row>
    <row r="31" customFormat="false" ht="15" hidden="false" customHeight="true" outlineLevel="0" collapsed="false">
      <c r="A31" s="170" t="n">
        <v>30</v>
      </c>
      <c r="B31" s="14" t="str">
        <f aca="false">TEXT(D31,"ddd")</f>
        <v>Tue</v>
      </c>
      <c r="C31" s="170" t="n">
        <f aca="false">$A$34-$A31</f>
        <v>1</v>
      </c>
      <c r="D31" s="51" t="n">
        <v>44789</v>
      </c>
      <c r="E31" s="51" t="n">
        <v>44790.2869560185</v>
      </c>
      <c r="F31" s="2" t="n">
        <v>74843.886</v>
      </c>
      <c r="G31" s="2" t="n">
        <v>74900.546</v>
      </c>
      <c r="H31" s="2" t="n">
        <v>56.659</v>
      </c>
      <c r="I31" s="13" t="n">
        <f aca="false">IF($H31&gt;0,($I30+$H31),"")</f>
        <v>1786.82</v>
      </c>
      <c r="J31" s="13" t="n">
        <f aca="false">IF($H31&gt;0,AVERAGE($H$2:$H31),"")</f>
        <v>59.5606666666667</v>
      </c>
      <c r="K31" s="15" t="n">
        <f aca="false">IF(KWH&gt;0,((RATES*KWH)+TDU_DAILY)+(1*TAX),"")</f>
        <v>6.32389032258065</v>
      </c>
      <c r="L31" s="16" t="n">
        <f aca="false">IF(KWH&gt;0,$L30+$K31-100*AND(I30&lt;=1000,I31&gt;1000),"")</f>
        <v>99.264129032258</v>
      </c>
      <c r="M31" s="17" t="n">
        <f aca="false">IF(AVERAGE_KWH&lt;&gt;"",AVERAGE_KWH*DAYS-$A31,"")</f>
        <v>1816.38066666667</v>
      </c>
      <c r="N31" s="17" t="n">
        <f aca="false">IF(PROJ_USAGE&lt;&gt;"",IF(PROJ_USAGE&gt;1000,((RATES*PROJ_USAGE)+TDU)*1+TAX-(CREDIT),(RATES*PROJ_USAGE)+TDU)*1+TAX,"")</f>
        <v>99.2159440860215</v>
      </c>
      <c r="O31" s="18" t="n">
        <f aca="false">IF(KWH&lt;&gt;"",IF((BREAK-CUM_KWH)&gt;0,BREAK-CUM_KWH,0),"")</f>
        <v>0</v>
      </c>
    </row>
    <row r="34" customFormat="false" ht="15" hidden="false" customHeight="true" outlineLevel="0" collapsed="false">
      <c r="A34" s="170" t="n">
        <v>31</v>
      </c>
      <c r="B34" s="14" t="str">
        <f aca="false">TEXT(D34,"ddd")</f>
        <v>Wed</v>
      </c>
      <c r="C34" s="170" t="n">
        <f aca="false">$A$34-$A34</f>
        <v>0</v>
      </c>
      <c r="D34" s="51" t="n">
        <v>44790</v>
      </c>
      <c r="E34" s="51" t="n">
        <v>44791</v>
      </c>
      <c r="F34" s="2"/>
      <c r="G34" s="2"/>
      <c r="H34" s="2"/>
      <c r="I34" s="13" t="str">
        <f aca="false">IF($H34&gt;0,($I31+$H34),"")</f>
        <v/>
      </c>
      <c r="J34" s="13" t="str">
        <f aca="false">IF($H34&gt;0,AVERAGE($H$2:$H34),"")</f>
        <v/>
      </c>
      <c r="K34" s="15" t="str">
        <f aca="false">IF(KWH&gt;0,((RATES*KWH)+TDU_DAILY)+(1*TAX),"")</f>
        <v/>
      </c>
      <c r="L34" s="16" t="str">
        <f aca="false">IF(KWH&gt;0,$L31+$K34-100*AND(I31&lt;=1000,I34&gt;1000),"")</f>
        <v/>
      </c>
      <c r="M34" s="17" t="str">
        <f aca="false">IF(AVERAGE_KWH&lt;&gt;"",AVERAGE_KWH*DAYS-$A34,"")</f>
        <v/>
      </c>
      <c r="N34" s="17" t="str">
        <f aca="false">IF(PROJ_USAGE&lt;&gt;"",IF(PROJ_USAGE&gt;1000,((RATES*PROJ_USAGE)+TDU)*1+TAX-(CREDIT),(RATES*PROJ_USAGE)+TDU)*1+TAX,"")</f>
        <v/>
      </c>
      <c r="O34" s="18" t="str">
        <f aca="false">IF(KWH&lt;&gt;"",IF((BREAK-CUM_KWH)&gt;0,BREAK-CUM_KWH,0),"")</f>
        <v/>
      </c>
    </row>
    <row r="35" customFormat="false" ht="15" hidden="false" customHeight="true" outlineLevel="0" collapsed="false">
      <c r="A35" s="170" t="n">
        <v>32</v>
      </c>
      <c r="B35" s="14" t="str">
        <f aca="false">TEXT(D34,"ddd")</f>
        <v>Wed</v>
      </c>
      <c r="C35" s="13"/>
      <c r="D35" s="1"/>
      <c r="E35" s="1"/>
      <c r="F35" s="3"/>
      <c r="G35" s="3"/>
    </row>
    <row r="36" customFormat="false" ht="15" hidden="false" customHeight="true" outlineLevel="0" collapsed="false">
      <c r="D36" s="1"/>
      <c r="E36" s="1"/>
      <c r="G36" s="74"/>
      <c r="L36" s="47"/>
      <c r="M36" s="2"/>
      <c r="N36" s="2"/>
    </row>
    <row r="37" customFormat="false" ht="15" hidden="false" customHeight="true" outlineLevel="0" collapsed="false">
      <c r="D37" s="1"/>
      <c r="E37" s="1" t="s">
        <v>124</v>
      </c>
      <c r="G37" s="74"/>
      <c r="L37" s="47"/>
      <c r="M37" s="2"/>
      <c r="N37" s="2"/>
    </row>
    <row r="38" customFormat="false" ht="15" hidden="false" customHeight="true" outlineLevel="0" collapsed="false">
      <c r="G38" s="74"/>
      <c r="H38" s="181" t="n">
        <f aca="false">SUM(H2:H37)</f>
        <v>1786.82</v>
      </c>
      <c r="I38" s="149"/>
      <c r="L38" s="47"/>
      <c r="M38" s="2"/>
      <c r="N38" s="2"/>
    </row>
    <row r="39" customFormat="false" ht="15" hidden="false" customHeight="true" outlineLevel="0" collapsed="false">
      <c r="K39" s="47"/>
      <c r="L39" s="2"/>
      <c r="M39" s="2"/>
    </row>
    <row r="40" customFormat="false" ht="15" hidden="false" customHeight="true" outlineLevel="0" collapsed="false">
      <c r="H40" s="3"/>
      <c r="I40" s="81"/>
      <c r="K40" s="47"/>
      <c r="L40" s="2"/>
      <c r="M40" s="2"/>
    </row>
    <row r="41" customFormat="false" ht="15" hidden="false" customHeight="true" outlineLevel="0" collapsed="false">
      <c r="L41" s="2"/>
      <c r="M41" s="2"/>
    </row>
    <row r="1048576" customFormat="false" ht="15" hidden="false" customHeight="false" outlineLevel="0" collapsed="false"/>
  </sheetData>
  <sheetProtection algorithmName="SHA-512" hashValue="DXNLDbD1pZm+3ocVZtHwAuuFFR3jj0+zQTf0cdKlYpJlVlbi2O04RDnTFTAxUdoLGVJy+Essipf+Jd137e/ZSA==" saltValue="Rmy+bh8uvK7B1pIU1iCtGQ==" spinCount="100000" sheet="true" objects="true" scenarios="true"/>
  <conditionalFormatting sqref="Q2:XFD16">
    <cfRule type="expression" priority="2" aboveAverage="0" equalAverage="0" bottom="0" percent="0" rank="0" text="" dxfId="47">
      <formula>" =CELL(“Protect”,A1)=1"</formula>
    </cfRule>
    <cfRule type="expression" priority="3" aboveAverage="0" equalAverage="0" bottom="0" percent="0" rank="0" text="" dxfId="1">
      <formula>" =CELL(“Protect”,A1)=1"</formula>
    </cfRule>
  </conditionalFormatting>
  <conditionalFormatting sqref="E1:I1 K1:XFD1 A1:D31 N2:P14 E2:M31 P15:P16 N15:O31 P17:XFD33 A34:XFD1048576">
    <cfRule type="expression" priority="4" aboveAverage="0" equalAverage="0" bottom="0" percent="0" rank="0" text="" dxfId="48">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S14" activeCellId="0" sqref="S14"/>
    </sheetView>
  </sheetViews>
  <sheetFormatPr defaultColWidth="8.859375" defaultRowHeight="15" zeroHeight="false" outlineLevelRow="0" outlineLevelCol="0"/>
  <cols>
    <col collapsed="false" customWidth="true" hidden="false" outlineLevel="0" max="2" min="1" style="0" width="8.71"/>
    <col collapsed="false" customWidth="true" hidden="false" outlineLevel="0" max="4" min="4" style="0" width="14.86"/>
    <col collapsed="false" customWidth="true" hidden="false" outlineLevel="0" max="5" min="5" style="0" width="13.71"/>
    <col collapsed="false" customWidth="true" hidden="false" outlineLevel="0" max="6" min="6" style="0" width="14.71"/>
    <col collapsed="false" customWidth="true" hidden="false" outlineLevel="0" max="7" min="7" style="0" width="10.29"/>
    <col collapsed="false" customWidth="false" hidden="false" outlineLevel="0" max="8" min="8" style="47" width="8.86"/>
    <col collapsed="false" customWidth="true" hidden="false" outlineLevel="0" max="11" min="11" style="0" width="10.85"/>
    <col collapsed="false" customWidth="true" hidden="false" outlineLevel="0" max="13" min="13" style="0" width="10"/>
    <col collapsed="false" customWidth="true" hidden="false" outlineLevel="0" max="14" min="14" style="0" width="10.85"/>
    <col collapsed="false" customWidth="true" hidden="false" outlineLevel="0" max="18" min="18" style="0" width="28.71"/>
    <col collapsed="false" customWidth="true" hidden="false" outlineLevel="0" max="19" min="19" style="0" width="8.71"/>
    <col collapsed="false" customWidth="true" hidden="false" outlineLevel="0" max="20" min="20" style="0" width="10.71"/>
  </cols>
  <sheetData>
    <row r="1" s="45" customFormat="true" ht="36.5" hidden="false" customHeight="false" outlineLevel="0" collapsed="false">
      <c r="A1" s="5" t="s">
        <v>0</v>
      </c>
      <c r="B1" s="6" t="s">
        <v>2</v>
      </c>
      <c r="C1" s="6" t="s">
        <v>1</v>
      </c>
      <c r="D1" s="114" t="s">
        <v>145</v>
      </c>
      <c r="E1" s="114" t="s">
        <v>146</v>
      </c>
      <c r="F1" s="114" t="s">
        <v>5</v>
      </c>
      <c r="G1" s="114" t="s">
        <v>6</v>
      </c>
      <c r="H1" s="6" t="s">
        <v>7</v>
      </c>
      <c r="I1" s="6" t="s">
        <v>8</v>
      </c>
      <c r="J1" s="145" t="s">
        <v>147</v>
      </c>
      <c r="K1" s="6" t="s">
        <v>148</v>
      </c>
      <c r="L1" s="6" t="s">
        <v>149</v>
      </c>
      <c r="M1" s="6" t="s">
        <v>150</v>
      </c>
      <c r="N1" s="6" t="s">
        <v>12</v>
      </c>
      <c r="O1" s="8" t="s">
        <v>151</v>
      </c>
      <c r="P1" s="9" t="s">
        <v>137</v>
      </c>
      <c r="T1" s="10"/>
      <c r="U1" s="71"/>
      <c r="V1" s="72"/>
    </row>
    <row r="2" customFormat="false" ht="15" hidden="false" customHeight="false" outlineLevel="0" collapsed="false">
      <c r="A2" s="4" t="n">
        <v>1</v>
      </c>
      <c r="B2" s="4" t="n">
        <f aca="false">$A$33-$A2</f>
        <v>31</v>
      </c>
      <c r="C2" s="11" t="str">
        <f aca="false">TEXT(D2,"ddd")</f>
        <v>Thu</v>
      </c>
      <c r="D2" s="1" t="n">
        <v>44728</v>
      </c>
      <c r="E2" s="1" t="n">
        <v>44729.2879861111</v>
      </c>
      <c r="F2" s="3" t="n">
        <v>71279.796</v>
      </c>
      <c r="G2" s="3" t="n">
        <v>71336.074</v>
      </c>
      <c r="H2" s="2" t="n">
        <v>56.28</v>
      </c>
      <c r="I2" s="13" t="n">
        <f aca="false">H2</f>
        <v>56.28</v>
      </c>
      <c r="J2" s="13" t="n">
        <f aca="false">(I2/A2)</f>
        <v>56.28</v>
      </c>
      <c r="K2" s="182"/>
      <c r="L2" s="15" t="str">
        <f aca="false">IF(KWH&gt;0,((RATES*KWH)+TDU_DAILY)+(1*TAX),"")</f>
        <v/>
      </c>
      <c r="M2" s="16" t="str">
        <f aca="false">(L2)</f>
        <v/>
      </c>
      <c r="N2" s="183" t="s">
        <v>124</v>
      </c>
      <c r="O2" s="183" t="s">
        <v>124</v>
      </c>
      <c r="P2" s="18" t="n">
        <f aca="false">IF(BREAK-CUM_KWH&gt;0,BREAK-CUM_KWH,"")</f>
        <v>943.72</v>
      </c>
      <c r="R2" s="19" t="s">
        <v>18</v>
      </c>
      <c r="S2" s="184" t="s">
        <v>19</v>
      </c>
      <c r="T2" s="185"/>
      <c r="V2" s="74"/>
    </row>
    <row r="3" customFormat="false" ht="15" hidden="false" customHeight="false" outlineLevel="0" collapsed="false">
      <c r="A3" s="4" t="n">
        <v>2</v>
      </c>
      <c r="B3" s="4" t="n">
        <f aca="false">$A$33-$A3</f>
        <v>30</v>
      </c>
      <c r="C3" s="11" t="str">
        <f aca="false">TEXT(D3,"ddd")</f>
        <v>Fri</v>
      </c>
      <c r="D3" s="1" t="n">
        <v>44729</v>
      </c>
      <c r="E3" s="1" t="n">
        <v>44730.2869560185</v>
      </c>
      <c r="F3" s="3" t="n">
        <v>71336.074</v>
      </c>
      <c r="G3" s="3" t="n">
        <v>71390.089</v>
      </c>
      <c r="H3" s="2" t="n">
        <v>54.017</v>
      </c>
      <c r="I3" s="13" t="n">
        <f aca="false">(I2+H3)</f>
        <v>110.297</v>
      </c>
      <c r="J3" s="13" t="n">
        <f aca="false">(I3/A3)</f>
        <v>55.1485</v>
      </c>
      <c r="K3" s="182"/>
      <c r="L3" s="15" t="str">
        <f aca="false">IF(KWH&gt;0,((RATES*KWH)+TDU_DAILY)+(1*TAX),"")</f>
        <v/>
      </c>
      <c r="M3" s="16" t="e">
        <f aca="false">(M2+L3)</f>
        <v>#VALUE!</v>
      </c>
      <c r="N3" s="183"/>
      <c r="O3" s="183"/>
      <c r="P3" s="18" t="n">
        <f aca="false">IF(BREAK-CUM_KWH&gt;0,BREAK-CUM_KWH,"")</f>
        <v>889.703</v>
      </c>
      <c r="R3" s="22" t="s">
        <v>22</v>
      </c>
      <c r="S3" s="171" t="n">
        <f aca="false">(F2+1000)</f>
        <v>72279.796</v>
      </c>
      <c r="T3" s="173"/>
    </row>
    <row r="4" customFormat="false" ht="15" hidden="false" customHeight="true" outlineLevel="0" collapsed="false">
      <c r="A4" s="4" t="n">
        <v>3</v>
      </c>
      <c r="B4" s="4" t="n">
        <f aca="false">$A$33-$A4</f>
        <v>29</v>
      </c>
      <c r="C4" s="11" t="str">
        <f aca="false">TEXT(D4,"ddd")</f>
        <v>Sat</v>
      </c>
      <c r="D4" s="1" t="n">
        <v>44730</v>
      </c>
      <c r="E4" s="1" t="n">
        <v>44731.3068287037</v>
      </c>
      <c r="F4" s="3" t="n">
        <v>71390.089</v>
      </c>
      <c r="G4" s="3" t="n">
        <v>71445.272</v>
      </c>
      <c r="H4" s="2" t="n">
        <v>55.181</v>
      </c>
      <c r="I4" s="13" t="n">
        <f aca="false">(I3+H4)</f>
        <v>165.478</v>
      </c>
      <c r="J4" s="13" t="n">
        <f aca="false">(I4/A4)</f>
        <v>55.1593333333333</v>
      </c>
      <c r="K4" s="13" t="n">
        <f aca="false">IF($H4&gt;0,AVERAGE($H$2:$H4),"")</f>
        <v>55.1593333333333</v>
      </c>
      <c r="L4" s="15" t="str">
        <f aca="false">IF(KWH&gt;0,((RATES*KWH)+TDU_DAILY)+(1*TAX),"")</f>
        <v/>
      </c>
      <c r="M4" s="16" t="e">
        <f aca="false">(M3+L4)</f>
        <v>#VALUE!</v>
      </c>
      <c r="N4" s="17" t="n">
        <f aca="false">IF(MOVING_AVERAGE&lt;&gt;"",MOVING_AVERAGE*DAYS-$A3,$N3)</f>
        <v>1707.93933333333</v>
      </c>
      <c r="O4" s="17" t="e">
        <f aca="false">IF(PROJ_USAGE&gt;1000,((RATES*PROJ_USAGE)+TDU)*1+TAX-(CREDIT),"")</f>
        <v>#VALUE!</v>
      </c>
      <c r="P4" s="18" t="n">
        <f aca="false">IF(BREAK-CUM_KWH&gt;0,BREAK-CUM_KWH,"")</f>
        <v>834.522</v>
      </c>
      <c r="R4" s="22" t="s">
        <v>25</v>
      </c>
      <c r="S4" s="173"/>
      <c r="T4" s="172" t="n">
        <v>0.001667</v>
      </c>
      <c r="V4" s="79"/>
    </row>
    <row r="5" customFormat="false" ht="15" hidden="false" customHeight="false" outlineLevel="0" collapsed="false">
      <c r="A5" s="4" t="n">
        <v>4</v>
      </c>
      <c r="B5" s="4" t="n">
        <f aca="false">$A$33-$A5</f>
        <v>28</v>
      </c>
      <c r="C5" s="11" t="str">
        <f aca="false">TEXT(D5,"ddd")</f>
        <v>Sun</v>
      </c>
      <c r="D5" s="1" t="n">
        <v>44731</v>
      </c>
      <c r="E5" s="1" t="n">
        <v>44732.2871412037</v>
      </c>
      <c r="F5" s="3" t="n">
        <v>71445.272</v>
      </c>
      <c r="G5" s="3" t="n">
        <v>71499.134</v>
      </c>
      <c r="H5" s="2" t="n">
        <v>53.862</v>
      </c>
      <c r="I5" s="13" t="n">
        <f aca="false">(I4+H5)</f>
        <v>219.34</v>
      </c>
      <c r="J5" s="13" t="n">
        <f aca="false">(I5/A5)</f>
        <v>54.835</v>
      </c>
      <c r="K5" s="13" t="n">
        <f aca="false">IF($H5&gt;0,AVERAGE($H$2:$H5),"")</f>
        <v>54.835</v>
      </c>
      <c r="L5" s="15" t="str">
        <f aca="false">IF(KWH&gt;0,((RATES*KWH)+TDU_DAILY)+(1*TAX),"")</f>
        <v/>
      </c>
      <c r="M5" s="16" t="e">
        <f aca="false">(M4+L5)</f>
        <v>#VALUE!</v>
      </c>
      <c r="N5" s="17" t="n">
        <f aca="false">IF(MOVING_AVERAGE&lt;&gt;"",MOVING_AVERAGE*DAYS-$A4,$N4)</f>
        <v>1706.93933333333</v>
      </c>
      <c r="O5" s="17" t="e">
        <f aca="false">IF(PROJ_USAGE&gt;1000,((RATES*PROJ_USAGE)+TDU)*1+TAX-(CREDIT),"")</f>
        <v>#VALUE!</v>
      </c>
      <c r="P5" s="18" t="n">
        <f aca="false">IF(BREAK-CUM_KWH&gt;0,BREAK-CUM_KWH,"")</f>
        <v>780.66</v>
      </c>
      <c r="Q5" s="27"/>
      <c r="R5" s="22" t="s">
        <v>28</v>
      </c>
      <c r="S5" s="173"/>
      <c r="T5" s="172" t="n">
        <v>0.042</v>
      </c>
      <c r="U5" s="83"/>
      <c r="V5" s="45"/>
    </row>
    <row r="6" customFormat="false" ht="15" hidden="false" customHeight="false" outlineLevel="0" collapsed="false">
      <c r="A6" s="4" t="n">
        <v>5</v>
      </c>
      <c r="B6" s="4" t="n">
        <f aca="false">$A$33-$A6</f>
        <v>27</v>
      </c>
      <c r="C6" s="11" t="str">
        <f aca="false">TEXT(D6,"ddd")</f>
        <v>Mon</v>
      </c>
      <c r="D6" s="1" t="n">
        <v>44732</v>
      </c>
      <c r="E6" s="1" t="n">
        <v>44733.290162037</v>
      </c>
      <c r="F6" s="3" t="n">
        <v>71499.134</v>
      </c>
      <c r="G6" s="3" t="n">
        <v>71558.312</v>
      </c>
      <c r="H6" s="2" t="n">
        <v>59.175</v>
      </c>
      <c r="I6" s="13" t="n">
        <f aca="false">(I5+H6)</f>
        <v>278.515</v>
      </c>
      <c r="J6" s="13" t="n">
        <f aca="false">(I6/A6)</f>
        <v>55.703</v>
      </c>
      <c r="K6" s="13" t="n">
        <f aca="false">IF($H6&gt;0,AVERAGE($H$2:$H6),"")</f>
        <v>55.703</v>
      </c>
      <c r="L6" s="15" t="str">
        <f aca="false">IF(KWH&gt;0,((RATES*KWH)+TDU_DAILY)+(1*TAX),"")</f>
        <v/>
      </c>
      <c r="M6" s="16" t="e">
        <f aca="false">(M5+L6)</f>
        <v>#VALUE!</v>
      </c>
      <c r="N6" s="17" t="n">
        <f aca="false">IF(MOVING_AVERAGE&lt;&gt;"",MOVING_AVERAGE*DAYS-$A5,$N5)</f>
        <v>1705.93933333333</v>
      </c>
      <c r="O6" s="17" t="e">
        <f aca="false">IF(PROJ_USAGE&gt;1000,((RATES*PROJ_USAGE)+TDU)*1+TAX-(CREDIT),"")</f>
        <v>#VALUE!</v>
      </c>
      <c r="P6" s="18" t="n">
        <f aca="false">IF(BREAK-CUM_KWH&gt;0,BREAK-CUM_KWH,"")</f>
        <v>721.485</v>
      </c>
      <c r="R6" s="22" t="s">
        <v>31</v>
      </c>
      <c r="S6" s="173"/>
      <c r="T6" s="186" t="n">
        <v>0.154</v>
      </c>
      <c r="U6" s="83"/>
    </row>
    <row r="7" customFormat="false" ht="15" hidden="false" customHeight="false" outlineLevel="0" collapsed="false">
      <c r="A7" s="4" t="n">
        <v>6</v>
      </c>
      <c r="B7" s="4" t="n">
        <f aca="false">$A$33-$A7</f>
        <v>26</v>
      </c>
      <c r="C7" s="11" t="str">
        <f aca="false">TEXT(D7,"ddd")</f>
        <v>Tue</v>
      </c>
      <c r="D7" s="1" t="n">
        <v>44733</v>
      </c>
      <c r="E7" s="1" t="n">
        <v>44734.2919791667</v>
      </c>
      <c r="F7" s="3" t="n">
        <v>71558.312</v>
      </c>
      <c r="G7" s="3" t="n">
        <v>71613.173</v>
      </c>
      <c r="H7" s="2" t="n">
        <v>54.861</v>
      </c>
      <c r="I7" s="13" t="n">
        <f aca="false">(I6+H7)</f>
        <v>333.376</v>
      </c>
      <c r="J7" s="13" t="n">
        <f aca="false">(I7/A7)</f>
        <v>55.5626666666667</v>
      </c>
      <c r="K7" s="13" t="n">
        <f aca="false">IF($H7&gt;0,AVERAGE($H$2:$H7),"")</f>
        <v>55.5626666666667</v>
      </c>
      <c r="L7" s="15" t="str">
        <f aca="false">IF(KWH&gt;0,((RATES*KWH)+TDU_DAILY)+(1*TAX),"")</f>
        <v/>
      </c>
      <c r="M7" s="16" t="e">
        <f aca="false">(M6+L7)</f>
        <v>#VALUE!</v>
      </c>
      <c r="N7" s="17" t="n">
        <f aca="false">IF(MOVING_AVERAGE&lt;&gt;"",MOVING_AVERAGE*DAYS-$A6,$N6)</f>
        <v>1704.93933333333</v>
      </c>
      <c r="O7" s="17" t="e">
        <f aca="false">IF(PROJ_USAGE&gt;1000,((RATES*PROJ_USAGE)+TDU)*1+TAX-(CREDIT),"")</f>
        <v>#VALUE!</v>
      </c>
      <c r="P7" s="18" t="n">
        <f aca="false">IF(BREAK-CUM_KWH&gt;0,BREAK-CUM_KWH,"")</f>
        <v>666.624</v>
      </c>
      <c r="R7" s="22" t="s">
        <v>34</v>
      </c>
      <c r="S7" s="173"/>
      <c r="T7" s="187" t="n">
        <f aca="false">SUM(T4:T6)</f>
        <v>0.197667</v>
      </c>
      <c r="U7" s="83"/>
    </row>
    <row r="8" customFormat="false" ht="15" hidden="false" customHeight="false" outlineLevel="0" collapsed="false">
      <c r="A8" s="4" t="n">
        <v>7</v>
      </c>
      <c r="B8" s="4" t="n">
        <f aca="false">$A$33-$A8</f>
        <v>25</v>
      </c>
      <c r="C8" s="11" t="str">
        <f aca="false">TEXT(D8,"ddd")</f>
        <v>Wed</v>
      </c>
      <c r="D8" s="1" t="n">
        <v>44734</v>
      </c>
      <c r="E8" s="1" t="n">
        <v>44735.2875347222</v>
      </c>
      <c r="F8" s="3" t="n">
        <v>71613.173</v>
      </c>
      <c r="G8" s="3" t="n">
        <v>71673.625</v>
      </c>
      <c r="H8" s="2" t="n">
        <v>60.458</v>
      </c>
      <c r="I8" s="13" t="n">
        <f aca="false">(I7+H8)</f>
        <v>393.834</v>
      </c>
      <c r="J8" s="13" t="n">
        <f aca="false">(I8/A8)</f>
        <v>56.262</v>
      </c>
      <c r="K8" s="13" t="n">
        <f aca="false">IF($H8&gt;0,AVERAGE($H$2:$H8),"")</f>
        <v>56.262</v>
      </c>
      <c r="L8" s="15" t="str">
        <f aca="false">IF(KWH&gt;0,((RATES*KWH)+TDU_DAILY)+(1*TAX),"")</f>
        <v/>
      </c>
      <c r="M8" s="16" t="e">
        <f aca="false">(M7+L8)</f>
        <v>#VALUE!</v>
      </c>
      <c r="N8" s="17" t="n">
        <f aca="false">IF(MOVING_AVERAGE&lt;&gt;"",MOVING_AVERAGE*DAYS-$A7,$N7)</f>
        <v>1703.93933333333</v>
      </c>
      <c r="O8" s="17" t="e">
        <f aca="false">IF(PROJ_USAGE&gt;1000,((RATES*PROJ_USAGE)+TDU)*1+TAX-(CREDIT),"")</f>
        <v>#VALUE!</v>
      </c>
      <c r="P8" s="18" t="n">
        <f aca="false">IF(BREAK-CUM_KWH&gt;0,BREAK-CUM_KWH,"")</f>
        <v>606.166</v>
      </c>
      <c r="R8" s="22" t="s">
        <v>38</v>
      </c>
      <c r="S8" s="171" t="n">
        <v>3.4</v>
      </c>
      <c r="T8" s="172" t="n">
        <f aca="false">($S$8/DAYS)</f>
        <v>0.109677419354839</v>
      </c>
      <c r="U8" s="83"/>
    </row>
    <row r="9" customFormat="false" ht="15" hidden="false" customHeight="false" outlineLevel="0" collapsed="false">
      <c r="A9" s="4" t="n">
        <v>8</v>
      </c>
      <c r="B9" s="4" t="n">
        <f aca="false">$A$33-$A9</f>
        <v>24</v>
      </c>
      <c r="C9" s="11" t="str">
        <f aca="false">TEXT(D9,"ddd")</f>
        <v>Thu</v>
      </c>
      <c r="D9" s="1" t="n">
        <v>44735</v>
      </c>
      <c r="E9" s="1" t="n">
        <v>44736.2878356481</v>
      </c>
      <c r="F9" s="3" t="n">
        <v>71673.625</v>
      </c>
      <c r="G9" s="3" t="n">
        <v>71730.113</v>
      </c>
      <c r="H9" s="2" t="n">
        <v>56.483</v>
      </c>
      <c r="I9" s="13" t="n">
        <f aca="false">(I8+H9)</f>
        <v>450.317</v>
      </c>
      <c r="J9" s="13" t="n">
        <f aca="false">(I9/A9)</f>
        <v>56.289625</v>
      </c>
      <c r="K9" s="13" t="n">
        <f aca="false">IF($H9&gt;0,AVERAGE($H$2:$H9),"")</f>
        <v>56.289625</v>
      </c>
      <c r="L9" s="15" t="str">
        <f aca="false">IF(KWH&gt;0,((RATES*KWH)+TDU_DAILY)+(1*TAX),"")</f>
        <v/>
      </c>
      <c r="M9" s="16" t="e">
        <f aca="false">(M8+L9)</f>
        <v>#VALUE!</v>
      </c>
      <c r="N9" s="17" t="n">
        <f aca="false">IF(MOVING_AVERAGE&lt;&gt;"",MOVING_AVERAGE*DAYS-$A8,$N8)</f>
        <v>1702.93933333333</v>
      </c>
      <c r="O9" s="17" t="e">
        <f aca="false">IF(PROJ_USAGE&gt;1000,((RATES*PROJ_USAGE)+TDU)*1+TAX-(CREDIT),"")</f>
        <v>#VALUE!</v>
      </c>
      <c r="P9" s="18" t="n">
        <f aca="false">IF(BREAK-CUM_KWH&gt;0,BREAK-CUM_KWH,"")</f>
        <v>549.683</v>
      </c>
      <c r="R9" s="22" t="s">
        <v>42</v>
      </c>
      <c r="S9" s="173"/>
      <c r="T9" s="174" t="n">
        <v>0.01997</v>
      </c>
      <c r="U9" s="83"/>
    </row>
    <row r="10" customFormat="false" ht="15" hidden="false" customHeight="false" outlineLevel="0" collapsed="false">
      <c r="A10" s="4" t="n">
        <v>9</v>
      </c>
      <c r="B10" s="4" t="n">
        <f aca="false">$A$33-$A10</f>
        <v>23</v>
      </c>
      <c r="C10" s="11" t="str">
        <f aca="false">TEXT(D10,"ddd")</f>
        <v>Fri</v>
      </c>
      <c r="D10" s="1" t="n">
        <v>44736</v>
      </c>
      <c r="E10" s="1" t="n">
        <v>44737.2885069444</v>
      </c>
      <c r="F10" s="3" t="n">
        <v>71730.113</v>
      </c>
      <c r="G10" s="3" t="n">
        <v>71788.999</v>
      </c>
      <c r="H10" s="2" t="n">
        <v>58.886</v>
      </c>
      <c r="I10" s="13" t="n">
        <f aca="false">(I9+H10)</f>
        <v>509.203</v>
      </c>
      <c r="J10" s="13" t="n">
        <f aca="false">(I10/A10)</f>
        <v>56.5781111111111</v>
      </c>
      <c r="K10" s="13" t="n">
        <f aca="false">IF($H10&gt;0,AVERAGE($H$2:$H10),"")</f>
        <v>56.5781111111111</v>
      </c>
      <c r="L10" s="15" t="str">
        <f aca="false">IF(KWH&gt;0,((RATES*KWH)+TDU_DAILY)+(1*TAX),"")</f>
        <v/>
      </c>
      <c r="M10" s="16" t="e">
        <f aca="false">(M9+L10)</f>
        <v>#VALUE!</v>
      </c>
      <c r="N10" s="17" t="n">
        <f aca="false">IF(MOVING_AVERAGE&lt;&gt;"",MOVING_AVERAGE*DAYS-$A9,$N9)</f>
        <v>1701.93933333333</v>
      </c>
      <c r="O10" s="17" t="e">
        <f aca="false">IF(PROJ_USAGE&gt;1000,((RATES*PROJ_USAGE)+TDU)*1+TAX-(CREDIT),"")</f>
        <v>#VALUE!</v>
      </c>
      <c r="P10" s="18" t="n">
        <f aca="false">IF(BREAK-CUM_KWH&gt;0,BREAK-CUM_KWH,"")</f>
        <v>490.797</v>
      </c>
      <c r="R10" s="22" t="s">
        <v>46</v>
      </c>
      <c r="S10" s="175" t="n">
        <v>100</v>
      </c>
      <c r="T10" s="174" t="n">
        <v>1000</v>
      </c>
      <c r="U10" s="83"/>
    </row>
    <row r="11" customFormat="false" ht="15" hidden="false" customHeight="false" outlineLevel="0" collapsed="false">
      <c r="A11" s="4" t="n">
        <v>10</v>
      </c>
      <c r="B11" s="4" t="n">
        <f aca="false">$A$33-$A11</f>
        <v>22</v>
      </c>
      <c r="C11" s="11" t="str">
        <f aca="false">TEXT(D11,"ddd")</f>
        <v>Sat</v>
      </c>
      <c r="D11" s="1" t="n">
        <v>44737</v>
      </c>
      <c r="E11" s="1" t="n">
        <v>44738.302025463</v>
      </c>
      <c r="F11" s="3" t="n">
        <v>71788.999</v>
      </c>
      <c r="G11" s="3" t="n">
        <v>71845.999</v>
      </c>
      <c r="H11" s="2" t="n">
        <v>56.999</v>
      </c>
      <c r="I11" s="13" t="n">
        <f aca="false">(I10+H11)</f>
        <v>566.202</v>
      </c>
      <c r="J11" s="13" t="n">
        <f aca="false">(I11/A11)</f>
        <v>56.6202</v>
      </c>
      <c r="K11" s="13" t="n">
        <f aca="false">IF($H11&gt;0,AVERAGE($H$2:$H11),"")</f>
        <v>56.6202</v>
      </c>
      <c r="L11" s="15" t="str">
        <f aca="false">IF(KWH&gt;0,((RATES*KWH)+TDU_DAILY)+(1*TAX),"")</f>
        <v/>
      </c>
      <c r="M11" s="16" t="e">
        <f aca="false">(M10+L11)</f>
        <v>#VALUE!</v>
      </c>
      <c r="N11" s="17" t="n">
        <f aca="false">IF(MOVING_AVERAGE&lt;&gt;"",MOVING_AVERAGE*DAYS-$A10,$N10)</f>
        <v>1700.93933333333</v>
      </c>
      <c r="O11" s="17" t="e">
        <f aca="false">IF(PROJ_USAGE&gt;1000,((RATES*PROJ_USAGE)+TDU)*1+TAX-(CREDIT),"")</f>
        <v>#VALUE!</v>
      </c>
      <c r="P11" s="18" t="n">
        <f aca="false">IF(BREAK-CUM_KWH&gt;0,BREAK-CUM_KWH,"")</f>
        <v>433.798</v>
      </c>
      <c r="R11" s="22" t="s">
        <v>49</v>
      </c>
      <c r="S11" s="175" t="n">
        <v>295</v>
      </c>
      <c r="T11" s="176"/>
      <c r="U11" s="83"/>
    </row>
    <row r="12" customFormat="false" ht="15" hidden="false" customHeight="false" outlineLevel="0" collapsed="false">
      <c r="A12" s="4" t="n">
        <v>11</v>
      </c>
      <c r="B12" s="4" t="n">
        <f aca="false">$A$33-$A12</f>
        <v>21</v>
      </c>
      <c r="C12" s="11" t="str">
        <f aca="false">TEXT(D12,"ddd")</f>
        <v>Sun</v>
      </c>
      <c r="D12" s="1" t="n">
        <v>44738</v>
      </c>
      <c r="E12" s="1" t="n">
        <v>44739.3292708333</v>
      </c>
      <c r="F12" s="3" t="n">
        <v>71845.999</v>
      </c>
      <c r="G12" s="3" t="n">
        <v>71900.062</v>
      </c>
      <c r="H12" s="2" t="n">
        <v>54.062</v>
      </c>
      <c r="I12" s="13" t="n">
        <f aca="false">(I11+H12)</f>
        <v>620.264</v>
      </c>
      <c r="J12" s="13" t="n">
        <f aca="false">(I12/A12)</f>
        <v>56.3876363636364</v>
      </c>
      <c r="K12" s="13" t="n">
        <f aca="false">IF($H12&gt;0,AVERAGE($H$2:$H12),"")</f>
        <v>56.3876363636364</v>
      </c>
      <c r="L12" s="15" t="str">
        <f aca="false">IF(KWH&gt;0,((RATES*KWH)+TDU_DAILY)+(1*TAX),"")</f>
        <v/>
      </c>
      <c r="M12" s="16" t="e">
        <f aca="false">(M11+L12)</f>
        <v>#VALUE!</v>
      </c>
      <c r="N12" s="17" t="n">
        <f aca="false">IF(MOVING_AVERAGE&lt;&gt;"",MOVING_AVERAGE*DAYS-$A11,$N11)</f>
        <v>1699.93933333333</v>
      </c>
      <c r="O12" s="17" t="e">
        <f aca="false">IF(PROJ_USAGE&gt;1000,((RATES*PROJ_USAGE)+TDU)*1+TAX-(CREDIT),"")</f>
        <v>#VALUE!</v>
      </c>
      <c r="P12" s="18" t="n">
        <f aca="false">IF(BREAK-CUM_KWH&gt;0,BREAK-CUM_KWH,"")</f>
        <v>379.736</v>
      </c>
      <c r="R12" s="22" t="s">
        <v>52</v>
      </c>
      <c r="S12" s="177" t="e">
        <f aca="false">INDEX(M2:M32,COUNT(M2:M32))</f>
        <v>#VALUE!</v>
      </c>
      <c r="T12" s="176"/>
      <c r="U12" s="83"/>
    </row>
    <row r="13" customFormat="false" ht="15" hidden="false" customHeight="false" outlineLevel="0" collapsed="false">
      <c r="A13" s="4" t="n">
        <v>12</v>
      </c>
      <c r="B13" s="4" t="n">
        <f aca="false">$A$33-$A13</f>
        <v>20</v>
      </c>
      <c r="C13" s="11" t="str">
        <f aca="false">TEXT(D13,"ddd")</f>
        <v>Mon</v>
      </c>
      <c r="D13" s="1" t="n">
        <v>44739</v>
      </c>
      <c r="E13" s="1" t="n">
        <v>44740.2791782407</v>
      </c>
      <c r="F13" s="3" t="n">
        <v>71900.062</v>
      </c>
      <c r="G13" s="3" t="n">
        <v>71952.226</v>
      </c>
      <c r="H13" s="2" t="n">
        <v>52.167</v>
      </c>
      <c r="I13" s="13" t="n">
        <f aca="false">(I12+H13)</f>
        <v>672.431</v>
      </c>
      <c r="J13" s="13" t="n">
        <f aca="false">(I13/A13)</f>
        <v>56.0359166666667</v>
      </c>
      <c r="K13" s="13" t="n">
        <f aca="false">IF($H13&gt;0,AVERAGE($H$2:$H13),"")</f>
        <v>56.0359166666667</v>
      </c>
      <c r="L13" s="15" t="str">
        <f aca="false">IF(KWH&gt;0,((RATES*KWH)+TDU_DAILY)+(1*TAX),"")</f>
        <v/>
      </c>
      <c r="M13" s="16" t="e">
        <f aca="false">(M12+L13)</f>
        <v>#VALUE!</v>
      </c>
      <c r="N13" s="17" t="n">
        <f aca="false">IF(MOVING_AVERAGE&lt;&gt;"",MOVING_AVERAGE*DAYS-$A12,$N12)</f>
        <v>1698.93933333333</v>
      </c>
      <c r="O13" s="17" t="e">
        <f aca="false">IF(PROJ_USAGE&gt;1000,((RATES*PROJ_USAGE)+TDU)*1+TAX-(CREDIT),"")</f>
        <v>#VALUE!</v>
      </c>
      <c r="P13" s="18" t="n">
        <f aca="false">IF(BREAK-CUM_KWH&gt;0,BREAK-CUM_KWH,"")</f>
        <v>327.569</v>
      </c>
      <c r="R13" s="22" t="s">
        <v>55</v>
      </c>
      <c r="S13" s="178" t="n">
        <f aca="false">INDEX(I2:I32,COUNT(I2:I32))</f>
        <v>1769.522</v>
      </c>
      <c r="T13" s="176"/>
      <c r="U13" s="83"/>
    </row>
    <row r="14" customFormat="false" ht="15" hidden="false" customHeight="false" outlineLevel="0" collapsed="false">
      <c r="A14" s="4" t="n">
        <v>13</v>
      </c>
      <c r="B14" s="4" t="n">
        <f aca="false">$A$33-$A14</f>
        <v>19</v>
      </c>
      <c r="C14" s="11" t="str">
        <f aca="false">TEXT(D14,"ddd")</f>
        <v>Tue</v>
      </c>
      <c r="D14" s="1" t="n">
        <v>44740</v>
      </c>
      <c r="E14" s="1" t="n">
        <v>44741.2802199074</v>
      </c>
      <c r="F14" s="3" t="n">
        <v>71952.226</v>
      </c>
      <c r="G14" s="3" t="n">
        <v>71992.336</v>
      </c>
      <c r="H14" s="2" t="n">
        <v>40.112</v>
      </c>
      <c r="I14" s="13" t="n">
        <f aca="false">(I13+H14)</f>
        <v>712.543</v>
      </c>
      <c r="J14" s="13" t="n">
        <f aca="false">(I14/A14)</f>
        <v>54.811</v>
      </c>
      <c r="K14" s="13" t="n">
        <f aca="false">IF($H14&gt;0,AVERAGE($H$2:$H14),"")</f>
        <v>54.811</v>
      </c>
      <c r="L14" s="15" t="str">
        <f aca="false">IF(KWH&gt;0,((RATES*KWH)+TDU_DAILY)+(1*TAX),"")</f>
        <v/>
      </c>
      <c r="M14" s="16" t="e">
        <f aca="false">(M13+L14)</f>
        <v>#VALUE!</v>
      </c>
      <c r="N14" s="17" t="n">
        <f aca="false">IF(MOVING_AVERAGE&lt;&gt;"",MOVING_AVERAGE*DAYS-$A13,$N13)</f>
        <v>1697.93933333333</v>
      </c>
      <c r="O14" s="17" t="e">
        <f aca="false">IF(PROJ_USAGE&gt;1000,((RATES*PROJ_USAGE)+TDU)*1+TAX-(CREDIT),"")</f>
        <v>#VALUE!</v>
      </c>
      <c r="P14" s="18" t="n">
        <f aca="false">IF(BREAK-CUM_KWH&gt;0,BREAK-CUM_KWH,"")</f>
        <v>287.457</v>
      </c>
      <c r="R14" s="40" t="s">
        <v>58</v>
      </c>
      <c r="S14" s="179" t="n">
        <f aca="false">INDEX(J2:J32,COUNT(J2:J32))</f>
        <v>57.0813548387097</v>
      </c>
      <c r="T14" s="180"/>
      <c r="U14" s="83"/>
    </row>
    <row r="15" customFormat="false" ht="15" hidden="false" customHeight="false" outlineLevel="0" collapsed="false">
      <c r="A15" s="4" t="n">
        <v>14</v>
      </c>
      <c r="B15" s="4" t="n">
        <f aca="false">$A$33-$A15</f>
        <v>18</v>
      </c>
      <c r="C15" s="11" t="str">
        <f aca="false">TEXT(D15,"ddd")</f>
        <v>Wed</v>
      </c>
      <c r="D15" s="1" t="n">
        <v>44741</v>
      </c>
      <c r="E15" s="1" t="n">
        <v>44742.2793865741</v>
      </c>
      <c r="F15" s="3" t="n">
        <v>71992.336</v>
      </c>
      <c r="G15" s="3" t="n">
        <v>72040.342</v>
      </c>
      <c r="H15" s="2" t="n">
        <v>48.003</v>
      </c>
      <c r="I15" s="13" t="n">
        <f aca="false">(I14+H15)</f>
        <v>760.546</v>
      </c>
      <c r="J15" s="13" t="n">
        <f aca="false">(I15/A15)</f>
        <v>54.3247142857143</v>
      </c>
      <c r="K15" s="13" t="n">
        <f aca="false">IF($H15&gt;0,AVERAGE($H$2:$H15),"")</f>
        <v>54.3247142857143</v>
      </c>
      <c r="L15" s="15" t="str">
        <f aca="false">IF(KWH&gt;0,((RATES*KWH)+TDU_DAILY)+(1*TAX),"")</f>
        <v/>
      </c>
      <c r="M15" s="16" t="e">
        <f aca="false">(M14+L15)</f>
        <v>#VALUE!</v>
      </c>
      <c r="N15" s="17" t="n">
        <f aca="false">IF(MOVING_AVERAGE&lt;&gt;"",MOVING_AVERAGE*DAYS-$A14,$N14)</f>
        <v>1696.93933333333</v>
      </c>
      <c r="O15" s="17" t="e">
        <f aca="false">IF(PROJ_USAGE&gt;1000,((RATES*PROJ_USAGE)+TDU)*1+TAX-(CREDIT),"")</f>
        <v>#VALUE!</v>
      </c>
      <c r="P15" s="18" t="n">
        <f aca="false">IF(BREAK-CUM_KWH&gt;0,BREAK-CUM_KWH,"")</f>
        <v>239.454</v>
      </c>
    </row>
    <row r="16" customFormat="false" ht="15" hidden="false" customHeight="false" outlineLevel="0" collapsed="false">
      <c r="A16" s="4" t="n">
        <v>15</v>
      </c>
      <c r="B16" s="4" t="n">
        <f aca="false">$A$33-$A16</f>
        <v>17</v>
      </c>
      <c r="C16" s="11" t="str">
        <f aca="false">TEXT(D16,"ddd")</f>
        <v>Thu</v>
      </c>
      <c r="D16" s="1" t="n">
        <v>44742</v>
      </c>
      <c r="E16" s="1" t="n">
        <v>44743.2800115741</v>
      </c>
      <c r="F16" s="3" t="n">
        <v>72040.342</v>
      </c>
      <c r="G16" s="3" t="n">
        <v>72094.572</v>
      </c>
      <c r="H16" s="2" t="n">
        <v>54.231</v>
      </c>
      <c r="I16" s="13" t="n">
        <f aca="false">(I15+H16)</f>
        <v>814.777</v>
      </c>
      <c r="J16" s="13" t="n">
        <f aca="false">(I16/A16)</f>
        <v>54.3184666666667</v>
      </c>
      <c r="K16" s="13" t="n">
        <f aca="false">IF($H16&gt;0,AVERAGE($H$2:$H16),"")</f>
        <v>54.3184666666667</v>
      </c>
      <c r="L16" s="15" t="str">
        <f aca="false">IF(KWH&gt;0,((RATES*KWH)+TDU_DAILY)+(1*TAX),"")</f>
        <v/>
      </c>
      <c r="M16" s="16" t="e">
        <f aca="false">(M15+L16)</f>
        <v>#VALUE!</v>
      </c>
      <c r="N16" s="17" t="n">
        <f aca="false">IF(MOVING_AVERAGE&lt;&gt;"",MOVING_AVERAGE*DAYS-$A15,$N15)</f>
        <v>1695.93933333333</v>
      </c>
      <c r="O16" s="17" t="e">
        <f aca="false">IF(PROJ_USAGE&gt;1000,((RATES*PROJ_USAGE)+TDU)*1+TAX-(CREDIT),"")</f>
        <v>#VALUE!</v>
      </c>
      <c r="P16" s="18" t="n">
        <f aca="false">IF(BREAK-CUM_KWH&gt;0,BREAK-CUM_KWH,"")</f>
        <v>185.223</v>
      </c>
    </row>
    <row r="17" customFormat="false" ht="15" hidden="false" customHeight="false" outlineLevel="0" collapsed="false">
      <c r="A17" s="4" t="n">
        <v>16</v>
      </c>
      <c r="B17" s="4" t="n">
        <f aca="false">$A$33-$A17</f>
        <v>16</v>
      </c>
      <c r="C17" s="11" t="str">
        <f aca="false">TEXT(D17,"ddd")</f>
        <v>Fri</v>
      </c>
      <c r="D17" s="1" t="n">
        <v>44743</v>
      </c>
      <c r="E17" s="1" t="n">
        <v>44744.2780902778</v>
      </c>
      <c r="F17" s="3" t="n">
        <v>72094.572</v>
      </c>
      <c r="G17" s="3" t="n">
        <v>72146.38</v>
      </c>
      <c r="H17" s="2" t="n">
        <v>51.802</v>
      </c>
      <c r="I17" s="13" t="n">
        <f aca="false">(I16+H17)</f>
        <v>866.579</v>
      </c>
      <c r="J17" s="13" t="n">
        <f aca="false">(I17/A17)</f>
        <v>54.1611875</v>
      </c>
      <c r="K17" s="13" t="n">
        <f aca="false">IF($H17&gt;0,AVERAGE($H$2:$H17),"")</f>
        <v>54.1611875</v>
      </c>
      <c r="L17" s="15" t="str">
        <f aca="false">IF(KWH&gt;0,((RATES*KWH)+TDU_DAILY)+(1*TAX),"")</f>
        <v/>
      </c>
      <c r="M17" s="16" t="e">
        <f aca="false">(M16+L17)</f>
        <v>#VALUE!</v>
      </c>
      <c r="N17" s="17" t="n">
        <f aca="false">IF(MOVING_AVERAGE&lt;&gt;"",MOVING_AVERAGE*DAYS-$A16,$N16)</f>
        <v>1694.93933333333</v>
      </c>
      <c r="O17" s="17" t="e">
        <f aca="false">IF(PROJ_USAGE&gt;1000,((RATES*PROJ_USAGE)+TDU)*1+TAX-(CREDIT),"")</f>
        <v>#VALUE!</v>
      </c>
      <c r="P17" s="18" t="n">
        <f aca="false">IF(BREAK-CUM_KWH&gt;0,BREAK-CUM_KWH,"")</f>
        <v>133.421</v>
      </c>
    </row>
    <row r="18" customFormat="false" ht="15" hidden="false" customHeight="false" outlineLevel="0" collapsed="false">
      <c r="A18" s="4" t="n">
        <v>17</v>
      </c>
      <c r="B18" s="4" t="n">
        <f aca="false">$A$33-$A18</f>
        <v>15</v>
      </c>
      <c r="C18" s="11" t="str">
        <f aca="false">TEXT(D18,"ddd")</f>
        <v>Sat</v>
      </c>
      <c r="D18" s="1" t="n">
        <v>44744</v>
      </c>
      <c r="E18" s="1" t="n">
        <v>44745.298587963</v>
      </c>
      <c r="F18" s="3" t="n">
        <v>72146.38</v>
      </c>
      <c r="G18" s="3" t="n">
        <v>72198.688</v>
      </c>
      <c r="H18" s="2" t="n">
        <v>52.311</v>
      </c>
      <c r="I18" s="13" t="n">
        <f aca="false">(I17+H18)</f>
        <v>918.89</v>
      </c>
      <c r="J18" s="13" t="n">
        <f aca="false">(I18/A18)</f>
        <v>54.0523529411765</v>
      </c>
      <c r="K18" s="13" t="n">
        <f aca="false">IF($H18&gt;0,AVERAGE($H$2:$H18),"")</f>
        <v>54.0523529411765</v>
      </c>
      <c r="L18" s="15" t="str">
        <f aca="false">IF(KWH&gt;0,((RATES*KWH)+TDU_DAILY)+(1*TAX),"")</f>
        <v/>
      </c>
      <c r="M18" s="16" t="e">
        <f aca="false">(M17+L18)</f>
        <v>#VALUE!</v>
      </c>
      <c r="N18" s="17" t="n">
        <f aca="false">IF(MOVING_AVERAGE&lt;&gt;"",MOVING_AVERAGE*DAYS-$A17,$N17)</f>
        <v>1693.93933333333</v>
      </c>
      <c r="O18" s="17" t="e">
        <f aca="false">IF(PROJ_USAGE&gt;1000,((RATES*PROJ_USAGE)+TDU)*1+TAX-(CREDIT),"")</f>
        <v>#VALUE!</v>
      </c>
      <c r="P18" s="18" t="n">
        <f aca="false">IF(BREAK-CUM_KWH&gt;0,BREAK-CUM_KWH,"")</f>
        <v>81.1099999999999</v>
      </c>
    </row>
    <row r="19" customFormat="false" ht="15" hidden="false" customHeight="false" outlineLevel="0" collapsed="false">
      <c r="A19" s="4" t="n">
        <v>18</v>
      </c>
      <c r="B19" s="4" t="n">
        <f aca="false">$A$33-$A19</f>
        <v>14</v>
      </c>
      <c r="C19" s="11" t="str">
        <f aca="false">TEXT(D19,"ddd")</f>
        <v>Sun</v>
      </c>
      <c r="D19" s="1" t="n">
        <v>44745</v>
      </c>
      <c r="E19" s="1" t="n">
        <v>44746.2779282407</v>
      </c>
      <c r="F19" s="3" t="n">
        <v>72198.688</v>
      </c>
      <c r="G19" s="3" t="n">
        <v>72256.3</v>
      </c>
      <c r="H19" s="2" t="n">
        <v>57.615</v>
      </c>
      <c r="I19" s="13" t="n">
        <f aca="false">(I18+H19)</f>
        <v>976.505</v>
      </c>
      <c r="J19" s="13" t="n">
        <f aca="false">(I19/A19)</f>
        <v>54.2502777777778</v>
      </c>
      <c r="K19" s="13" t="n">
        <f aca="false">IF($H19&gt;0,AVERAGE($H$2:$H19),"")</f>
        <v>54.2502777777778</v>
      </c>
      <c r="L19" s="15" t="str">
        <f aca="false">IF(KWH&gt;0,((RATES*KWH)+TDU_DAILY)+(1*TAX),"")</f>
        <v/>
      </c>
      <c r="M19" s="16" t="e">
        <f aca="false">(M18+L19)</f>
        <v>#VALUE!</v>
      </c>
      <c r="N19" s="17" t="n">
        <f aca="false">IF(MOVING_AVERAGE&lt;&gt;"",MOVING_AVERAGE*DAYS-$A18,$N18)</f>
        <v>1692.93933333333</v>
      </c>
      <c r="O19" s="17" t="e">
        <f aca="false">IF(PROJ_USAGE&gt;1000,((RATES*PROJ_USAGE)+TDU)*1+TAX-(CREDIT),"")</f>
        <v>#VALUE!</v>
      </c>
      <c r="P19" s="18" t="n">
        <f aca="false">IF(BREAK-CUM_KWH&gt;0,BREAK-CUM_KWH,"")</f>
        <v>23.4949999999999</v>
      </c>
    </row>
    <row r="20" customFormat="false" ht="15" hidden="false" customHeight="false" outlineLevel="0" collapsed="false">
      <c r="A20" s="4" t="n">
        <v>19</v>
      </c>
      <c r="B20" s="4" t="n">
        <f aca="false">$A$33-$A20</f>
        <v>13</v>
      </c>
      <c r="C20" s="11" t="str">
        <f aca="false">TEXT(D20,"ddd")</f>
        <v>Mon</v>
      </c>
      <c r="D20" s="1" t="n">
        <v>44746</v>
      </c>
      <c r="E20" s="1" t="n">
        <v>44747.2780092593</v>
      </c>
      <c r="F20" s="3" t="n">
        <v>72256.3</v>
      </c>
      <c r="G20" s="3" t="n">
        <v>72306.818</v>
      </c>
      <c r="H20" s="2" t="n">
        <v>50.521</v>
      </c>
      <c r="I20" s="13" t="n">
        <f aca="false">(I19+H20)</f>
        <v>1027.026</v>
      </c>
      <c r="J20" s="13" t="n">
        <f aca="false">(I20/A20)</f>
        <v>54.054</v>
      </c>
      <c r="K20" s="13" t="n">
        <f aca="false">IF($H20&gt;0,AVERAGE($H$2:$H20),"")</f>
        <v>54.054</v>
      </c>
      <c r="L20" s="15" t="str">
        <f aca="false">IF(KWH&gt;0,((RATES*KWH)+TDU_DAILY)+(1*TAX),"")</f>
        <v/>
      </c>
      <c r="M20" s="16" t="e">
        <f aca="false">(M19+L20)</f>
        <v>#VALUE!</v>
      </c>
      <c r="N20" s="17" t="n">
        <f aca="false">IF(MOVING_AVERAGE&lt;&gt;"",MOVING_AVERAGE*DAYS-$A19,$N19)</f>
        <v>1691.93933333333</v>
      </c>
      <c r="O20" s="17" t="e">
        <f aca="false">IF(PROJ_USAGE&gt;1000,((RATES*PROJ_USAGE)+TDU)*1+TAX-(CREDIT),"")</f>
        <v>#VALUE!</v>
      </c>
      <c r="P20" s="18" t="str">
        <f aca="false">IF(BREAK-CUM_KWH&gt;0,BREAK-CUM_KWH,"")</f>
        <v/>
      </c>
    </row>
    <row r="21" customFormat="false" ht="15" hidden="false" customHeight="false" outlineLevel="0" collapsed="false">
      <c r="A21" s="4" t="n">
        <v>20</v>
      </c>
      <c r="B21" s="4" t="n">
        <f aca="false">$A$33-$A21</f>
        <v>12</v>
      </c>
      <c r="C21" s="11" t="str">
        <f aca="false">TEXT(D21,"ddd")</f>
        <v>Tue</v>
      </c>
      <c r="D21" s="1" t="n">
        <v>44747</v>
      </c>
      <c r="E21" s="1" t="n">
        <v>44748.2802430556</v>
      </c>
      <c r="F21" s="3" t="n">
        <v>72306.818</v>
      </c>
      <c r="G21" s="3" t="n">
        <v>72363.34</v>
      </c>
      <c r="H21" s="2" t="n">
        <v>56.524</v>
      </c>
      <c r="I21" s="13" t="n">
        <f aca="false">(I20+H21)</f>
        <v>1083.55</v>
      </c>
      <c r="J21" s="13" t="n">
        <f aca="false">(I21/A21)</f>
        <v>54.1775</v>
      </c>
      <c r="K21" s="13" t="n">
        <f aca="false">IF($H21&gt;0,AVERAGE($H$2:$H21),"")</f>
        <v>54.1775</v>
      </c>
      <c r="L21" s="15" t="str">
        <f aca="false">IF(KWH&gt;0,((RATES*KWH)+TDU_DAILY)+(1*TAX),"")</f>
        <v/>
      </c>
      <c r="M21" s="16" t="e">
        <f aca="false">(M20+L21)</f>
        <v>#VALUE!</v>
      </c>
      <c r="N21" s="17" t="n">
        <f aca="false">IF(MOVING_AVERAGE&lt;&gt;"",MOVING_AVERAGE*DAYS-$A20,$N20)</f>
        <v>1690.93933333333</v>
      </c>
      <c r="O21" s="17" t="e">
        <f aca="false">IF(PROJ_USAGE&gt;1000,((RATES*PROJ_USAGE)+TDU)*1+TAX-(CREDIT),"")</f>
        <v>#VALUE!</v>
      </c>
      <c r="P21" s="18" t="str">
        <f aca="false">IF(BREAK-CUM_KWH&gt;0,BREAK-CUM_KWH,"")</f>
        <v/>
      </c>
    </row>
    <row r="22" customFormat="false" ht="15" hidden="false" customHeight="false" outlineLevel="0" collapsed="false">
      <c r="A22" s="4" t="n">
        <v>21</v>
      </c>
      <c r="B22" s="4" t="n">
        <f aca="false">$A$33-$A22</f>
        <v>11</v>
      </c>
      <c r="C22" s="11" t="str">
        <f aca="false">TEXT(D22,"ddd")</f>
        <v>Wed</v>
      </c>
      <c r="D22" s="1" t="n">
        <v>44748</v>
      </c>
      <c r="E22" s="1" t="n">
        <v>44749.2801388889</v>
      </c>
      <c r="F22" s="3" t="n">
        <v>72363.34</v>
      </c>
      <c r="G22" s="3" t="n">
        <v>72424.879</v>
      </c>
      <c r="H22" s="2" t="n">
        <v>61.542</v>
      </c>
      <c r="I22" s="13" t="n">
        <f aca="false">(I21+H22)</f>
        <v>1145.092</v>
      </c>
      <c r="J22" s="13" t="n">
        <f aca="false">(I22/A22)</f>
        <v>54.5281904761905</v>
      </c>
      <c r="K22" s="13" t="n">
        <f aca="false">IF($H22&gt;0,AVERAGE($H$2:$H22),"")</f>
        <v>54.5281904761905</v>
      </c>
      <c r="L22" s="15" t="str">
        <f aca="false">IF(KWH&gt;0,((RATES*KWH)+TDU_DAILY)+(1*TAX),"")</f>
        <v/>
      </c>
      <c r="M22" s="16" t="e">
        <f aca="false">(M21+L22)</f>
        <v>#VALUE!</v>
      </c>
      <c r="N22" s="17" t="n">
        <f aca="false">IF(MOVING_AVERAGE&lt;&gt;"",MOVING_AVERAGE*DAYS-$A21,$N21)</f>
        <v>1689.93933333333</v>
      </c>
      <c r="O22" s="17" t="e">
        <f aca="false">IF(PROJ_USAGE&gt;1000,((RATES*PROJ_USAGE)+TDU)*1+TAX-(CREDIT),"")</f>
        <v>#VALUE!</v>
      </c>
      <c r="P22" s="18" t="str">
        <f aca="false">IF(BREAK-CUM_KWH&gt;0,BREAK-CUM_KWH,"")</f>
        <v/>
      </c>
    </row>
    <row r="23" customFormat="false" ht="15" hidden="false" customHeight="false" outlineLevel="0" collapsed="false">
      <c r="A23" s="4" t="n">
        <v>22</v>
      </c>
      <c r="B23" s="4" t="n">
        <f aca="false">$A$33-$A23</f>
        <v>10</v>
      </c>
      <c r="C23" s="11" t="str">
        <f aca="false">TEXT(D23,"ddd")</f>
        <v>Thu</v>
      </c>
      <c r="D23" s="1" t="n">
        <v>44749</v>
      </c>
      <c r="E23" s="1" t="n">
        <v>44750.2854282407</v>
      </c>
      <c r="F23" s="3" t="n">
        <v>72424.879</v>
      </c>
      <c r="G23" s="3" t="n">
        <v>72483.602</v>
      </c>
      <c r="H23" s="2" t="n">
        <v>58.726</v>
      </c>
      <c r="I23" s="13" t="n">
        <f aca="false">(I22+H23)</f>
        <v>1203.818</v>
      </c>
      <c r="J23" s="13" t="n">
        <f aca="false">(I23/A23)</f>
        <v>54.719</v>
      </c>
      <c r="K23" s="13" t="n">
        <f aca="false">IF($H23&gt;0,AVERAGE($H$2:$H23),"")</f>
        <v>54.719</v>
      </c>
      <c r="L23" s="15" t="str">
        <f aca="false">IF(KWH&gt;0,((RATES*KWH)+TDU_DAILY)+(1*TAX),"")</f>
        <v/>
      </c>
      <c r="M23" s="16" t="e">
        <f aca="false">(M22+L23)</f>
        <v>#VALUE!</v>
      </c>
      <c r="N23" s="17" t="n">
        <f aca="false">IF(MOVING_AVERAGE&lt;&gt;"",MOVING_AVERAGE*DAYS-$A22,$N22)</f>
        <v>1688.93933333333</v>
      </c>
      <c r="O23" s="17" t="e">
        <f aca="false">IF(PROJ_USAGE&gt;1000,((RATES*PROJ_USAGE)+TDU)*1+TAX-(CREDIT),"")</f>
        <v>#VALUE!</v>
      </c>
      <c r="P23" s="18" t="str">
        <f aca="false">IF(BREAK-CUM_KWH&gt;0,BREAK-CUM_KWH,"")</f>
        <v/>
      </c>
    </row>
    <row r="24" customFormat="false" ht="15" hidden="false" customHeight="false" outlineLevel="0" collapsed="false">
      <c r="A24" s="4" t="n">
        <v>23</v>
      </c>
      <c r="B24" s="4" t="n">
        <f aca="false">$A$33-$A24</f>
        <v>9</v>
      </c>
      <c r="C24" s="11" t="str">
        <f aca="false">TEXT(D24,"ddd")</f>
        <v>Fri</v>
      </c>
      <c r="D24" s="1" t="n">
        <v>44750</v>
      </c>
      <c r="E24" s="1" t="n">
        <v>44751.2853240741</v>
      </c>
      <c r="F24" s="3" t="n">
        <v>72483.602</v>
      </c>
      <c r="G24" s="3" t="n">
        <v>72545.388</v>
      </c>
      <c r="H24" s="2" t="n">
        <v>61.784</v>
      </c>
      <c r="I24" s="13" t="n">
        <f aca="false">(I23+H24)</f>
        <v>1265.602</v>
      </c>
      <c r="J24" s="13" t="n">
        <f aca="false">(I24/A24)</f>
        <v>55.0261739130435</v>
      </c>
      <c r="K24" s="13" t="n">
        <f aca="false">IF($H24&gt;0,AVERAGE($H$2:$H24),"")</f>
        <v>55.0261739130435</v>
      </c>
      <c r="L24" s="15" t="str">
        <f aca="false">IF(KWH&gt;0,((RATES*KWH)+TDU_DAILY)+(1*TAX),"")</f>
        <v/>
      </c>
      <c r="M24" s="16" t="e">
        <f aca="false">(M23+L24)</f>
        <v>#VALUE!</v>
      </c>
      <c r="N24" s="17" t="n">
        <f aca="false">IF(MOVING_AVERAGE&lt;&gt;"",MOVING_AVERAGE*DAYS-$A23,$N23)</f>
        <v>1687.93933333333</v>
      </c>
      <c r="O24" s="17" t="e">
        <f aca="false">IF(PROJ_USAGE&gt;1000,((RATES*PROJ_USAGE)+TDU)*1+TAX-(CREDIT),"")</f>
        <v>#VALUE!</v>
      </c>
      <c r="P24" s="18" t="str">
        <f aca="false">IF(BREAK-CUM_KWH&gt;0,BREAK-CUM_KWH,"")</f>
        <v/>
      </c>
    </row>
    <row r="25" customFormat="false" ht="15" hidden="false" customHeight="false" outlineLevel="0" collapsed="false">
      <c r="A25" s="4" t="n">
        <v>24</v>
      </c>
      <c r="B25" s="4" t="n">
        <f aca="false">$A$33-$A25</f>
        <v>8</v>
      </c>
      <c r="C25" s="11" t="str">
        <f aca="false">TEXT(D25,"ddd")</f>
        <v>Sat</v>
      </c>
      <c r="D25" s="1" t="n">
        <v>44751</v>
      </c>
      <c r="E25" s="1" t="n">
        <v>44752.2987731482</v>
      </c>
      <c r="F25" s="3" t="n">
        <v>72545.388</v>
      </c>
      <c r="G25" s="3" t="n">
        <v>72610.751</v>
      </c>
      <c r="H25" s="2" t="n">
        <v>65.358</v>
      </c>
      <c r="I25" s="13" t="n">
        <f aca="false">(I24+H25)</f>
        <v>1330.96</v>
      </c>
      <c r="J25" s="13" t="n">
        <f aca="false">(I25/A25)</f>
        <v>55.4566666666667</v>
      </c>
      <c r="K25" s="13" t="n">
        <f aca="false">IF($H25&gt;0,AVERAGE($H$2:$H25),"")</f>
        <v>55.4566666666667</v>
      </c>
      <c r="L25" s="15" t="str">
        <f aca="false">IF(KWH&gt;0,((RATES*KWH)+TDU_DAILY)+(1*TAX),"")</f>
        <v/>
      </c>
      <c r="M25" s="16" t="e">
        <f aca="false">(M24+L25)</f>
        <v>#VALUE!</v>
      </c>
      <c r="N25" s="17" t="n">
        <f aca="false">IF(MOVING_AVERAGE&lt;&gt;"",MOVING_AVERAGE*DAYS-$A24,$N24)</f>
        <v>1686.93933333333</v>
      </c>
      <c r="O25" s="17" t="e">
        <f aca="false">IF(PROJ_USAGE&gt;1000,((RATES*PROJ_USAGE)+TDU)*1+TAX-(CREDIT),"")</f>
        <v>#VALUE!</v>
      </c>
      <c r="P25" s="18" t="str">
        <f aca="false">IF(BREAK-CUM_KWH&gt;0,BREAK-CUM_KWH,"")</f>
        <v/>
      </c>
    </row>
    <row r="26" customFormat="false" ht="15" hidden="false" customHeight="false" outlineLevel="0" collapsed="false">
      <c r="A26" s="4" t="n">
        <v>25</v>
      </c>
      <c r="B26" s="4" t="n">
        <f aca="false">$A$33-$A26</f>
        <v>7</v>
      </c>
      <c r="C26" s="11" t="str">
        <f aca="false">TEXT(D26,"ddd")</f>
        <v>Sun</v>
      </c>
      <c r="D26" s="1" t="n">
        <v>44752</v>
      </c>
      <c r="E26" s="1" t="n">
        <v>44753.2801851852</v>
      </c>
      <c r="F26" s="3" t="n">
        <v>72610.751</v>
      </c>
      <c r="G26" s="3" t="n">
        <v>72679.226</v>
      </c>
      <c r="H26" s="2" t="n">
        <v>68.472</v>
      </c>
      <c r="I26" s="13" t="n">
        <f aca="false">(I25+H26)</f>
        <v>1399.432</v>
      </c>
      <c r="J26" s="13" t="n">
        <f aca="false">(I26/A26)</f>
        <v>55.97728</v>
      </c>
      <c r="K26" s="13" t="n">
        <f aca="false">IF($H26&gt;0,AVERAGE($H$2:$H26),"")</f>
        <v>55.97728</v>
      </c>
      <c r="L26" s="15" t="str">
        <f aca="false">IF(KWH&gt;0,((RATES*KWH)+TDU_DAILY)+(1*TAX),"")</f>
        <v/>
      </c>
      <c r="M26" s="16" t="e">
        <f aca="false">(M25+L26)</f>
        <v>#VALUE!</v>
      </c>
      <c r="N26" s="17" t="n">
        <f aca="false">IF(MOVING_AVERAGE&lt;&gt;"",MOVING_AVERAGE*DAYS-$A25,$N25)</f>
        <v>1685.93933333333</v>
      </c>
      <c r="O26" s="17" t="e">
        <f aca="false">IF(PROJ_USAGE&gt;1000,((RATES*PROJ_USAGE)+TDU)*1+TAX-(CREDIT),"")</f>
        <v>#VALUE!</v>
      </c>
      <c r="P26" s="18" t="str">
        <f aca="false">IF(BREAK-CUM_KWH&gt;0,BREAK-CUM_KWH,"")</f>
        <v/>
      </c>
    </row>
    <row r="27" customFormat="false" ht="15" hidden="false" customHeight="false" outlineLevel="0" collapsed="false">
      <c r="A27" s="4" t="n">
        <v>26</v>
      </c>
      <c r="B27" s="4" t="n">
        <f aca="false">$A$33-$A27</f>
        <v>6</v>
      </c>
      <c r="C27" s="11" t="str">
        <f aca="false">TEXT(D27,"ddd")</f>
        <v>Mon</v>
      </c>
      <c r="D27" s="1" t="n">
        <v>44753</v>
      </c>
      <c r="E27" s="1" t="n">
        <v>44754.2808796296</v>
      </c>
      <c r="F27" s="3" t="n">
        <v>72679.226</v>
      </c>
      <c r="G27" s="3" t="n">
        <v>72746.002</v>
      </c>
      <c r="H27" s="2" t="n">
        <v>66.774</v>
      </c>
      <c r="I27" s="13" t="n">
        <f aca="false">(I26+H27)</f>
        <v>1466.206</v>
      </c>
      <c r="J27" s="13" t="n">
        <f aca="false">(I27/A27)</f>
        <v>56.3925384615385</v>
      </c>
      <c r="K27" s="13" t="n">
        <f aca="false">IF($H27&gt;0,AVERAGE($H$2:$H27),"")</f>
        <v>56.3925384615385</v>
      </c>
      <c r="L27" s="15" t="str">
        <f aca="false">IF(KWH&gt;0,((RATES*KWH)+TDU_DAILY)+(1*TAX),"")</f>
        <v/>
      </c>
      <c r="M27" s="16" t="e">
        <f aca="false">(M26+L27)</f>
        <v>#VALUE!</v>
      </c>
      <c r="N27" s="17" t="n">
        <f aca="false">IF(MOVING_AVERAGE&lt;&gt;"",MOVING_AVERAGE*DAYS-$A26,$N26)</f>
        <v>1684.93933333333</v>
      </c>
      <c r="O27" s="17" t="e">
        <f aca="false">IF(PROJ_USAGE&gt;1000,((RATES*PROJ_USAGE)+TDU)*1+TAX-(CREDIT),"")</f>
        <v>#VALUE!</v>
      </c>
      <c r="P27" s="18" t="str">
        <f aca="false">IF(BREAK-CUM_KWH&gt;0,BREAK-CUM_KWH,"")</f>
        <v/>
      </c>
    </row>
    <row r="28" customFormat="false" ht="15" hidden="false" customHeight="false" outlineLevel="0" collapsed="false">
      <c r="A28" s="4" t="n">
        <v>27</v>
      </c>
      <c r="B28" s="4" t="n">
        <f aca="false">$A$33-$A28</f>
        <v>5</v>
      </c>
      <c r="C28" s="11" t="str">
        <f aca="false">TEXT(D28,"ddd")</f>
        <v>Tue</v>
      </c>
      <c r="D28" s="1" t="n">
        <v>44754</v>
      </c>
      <c r="E28" s="1" t="n">
        <v>44756.2805324074</v>
      </c>
      <c r="F28" s="3" t="n">
        <v>72746.002</v>
      </c>
      <c r="G28" s="3" t="n">
        <v>72813.82</v>
      </c>
      <c r="H28" s="2" t="n">
        <v>67.816</v>
      </c>
      <c r="I28" s="13" t="n">
        <f aca="false">(I27+H28)</f>
        <v>1534.022</v>
      </c>
      <c r="J28" s="13" t="n">
        <f aca="false">(I28/A28)</f>
        <v>56.8156296296296</v>
      </c>
      <c r="K28" s="13" t="n">
        <f aca="false">IF($H28&gt;0,AVERAGE($H$2:$H28),"")</f>
        <v>56.8156296296296</v>
      </c>
      <c r="L28" s="15" t="str">
        <f aca="false">IF(KWH&gt;0,((RATES*KWH)+TDU_DAILY)+(1*TAX),"")</f>
        <v/>
      </c>
      <c r="M28" s="16" t="e">
        <f aca="false">(M27+L28)</f>
        <v>#VALUE!</v>
      </c>
      <c r="N28" s="17" t="n">
        <f aca="false">IF(MOVING_AVERAGE&lt;&gt;"",MOVING_AVERAGE*DAYS-$A27,$N27)</f>
        <v>1683.93933333333</v>
      </c>
      <c r="O28" s="17" t="e">
        <f aca="false">IF(PROJ_USAGE&gt;1000,((RATES*PROJ_USAGE)+TDU)*1+TAX-(CREDIT),"")</f>
        <v>#VALUE!</v>
      </c>
      <c r="P28" s="18" t="str">
        <f aca="false">IF(BREAK-CUM_KWH&gt;0,BREAK-CUM_KWH,"")</f>
        <v/>
      </c>
    </row>
    <row r="29" customFormat="false" ht="15" hidden="false" customHeight="false" outlineLevel="0" collapsed="false">
      <c r="A29" s="4" t="n">
        <v>28</v>
      </c>
      <c r="B29" s="4" t="n">
        <f aca="false">$A$33-$A29</f>
        <v>4</v>
      </c>
      <c r="C29" s="11" t="str">
        <f aca="false">TEXT(D29,"ddd")</f>
        <v>Wed</v>
      </c>
      <c r="D29" s="1" t="n">
        <v>44755</v>
      </c>
      <c r="E29" s="1" t="n">
        <v>44756.2799884259</v>
      </c>
      <c r="F29" s="3" t="n">
        <v>72813.82</v>
      </c>
      <c r="G29" s="3" t="n">
        <v>72885.246</v>
      </c>
      <c r="H29" s="2" t="n">
        <v>71.426</v>
      </c>
      <c r="I29" s="13" t="n">
        <f aca="false">(I28+H29)</f>
        <v>1605.448</v>
      </c>
      <c r="J29" s="13" t="n">
        <f aca="false">(I29/A29)</f>
        <v>57.3374285714286</v>
      </c>
      <c r="K29" s="13" t="n">
        <f aca="false">IF($H29&gt;0,AVERAGE($H$2:$H29),"")</f>
        <v>57.3374285714286</v>
      </c>
      <c r="L29" s="15" t="str">
        <f aca="false">IF(KWH&gt;0,((RATES*KWH)+TDU_DAILY)+(1*TAX),"")</f>
        <v/>
      </c>
      <c r="M29" s="16" t="e">
        <f aca="false">(M28+L29)</f>
        <v>#VALUE!</v>
      </c>
      <c r="N29" s="17" t="n">
        <f aca="false">IF(MOVING_AVERAGE&lt;&gt;"",MOVING_AVERAGE*DAYS-$A28,$N28)</f>
        <v>1682.93933333333</v>
      </c>
      <c r="O29" s="17" t="e">
        <f aca="false">IF(PROJ_USAGE&gt;1000,((RATES*PROJ_USAGE)+TDU)*1+TAX-(CREDIT),"")</f>
        <v>#VALUE!</v>
      </c>
      <c r="P29" s="18" t="str">
        <f aca="false">IF(BREAK-CUM_KWH&gt;0,BREAK-CUM_KWH,"")</f>
        <v/>
      </c>
    </row>
    <row r="30" customFormat="false" ht="15" hidden="false" customHeight="false" outlineLevel="0" collapsed="false">
      <c r="A30" s="4" t="n">
        <v>29</v>
      </c>
      <c r="B30" s="4" t="n">
        <f aca="false">$A$33-$A30</f>
        <v>3</v>
      </c>
      <c r="C30" s="11" t="str">
        <f aca="false">TEXT(D30,"ddd")</f>
        <v>Thu</v>
      </c>
      <c r="D30" s="1" t="n">
        <v>44756</v>
      </c>
      <c r="E30" s="1" t="n">
        <v>44757.2907523148</v>
      </c>
      <c r="F30" s="3" t="n">
        <v>72885.246</v>
      </c>
      <c r="G30" s="3" t="n">
        <v>72938.237</v>
      </c>
      <c r="H30" s="2" t="n">
        <v>52.991</v>
      </c>
      <c r="I30" s="13" t="n">
        <f aca="false">(I29+H30)</f>
        <v>1658.439</v>
      </c>
      <c r="J30" s="13" t="n">
        <f aca="false">(I30/A30)</f>
        <v>57.1875517241379</v>
      </c>
      <c r="K30" s="13" t="n">
        <f aca="false">IF($H30&gt;0,AVERAGE($H$2:$H30),"")</f>
        <v>57.1875517241379</v>
      </c>
      <c r="L30" s="15" t="str">
        <f aca="false">IF(KWH&gt;0,((RATES*KWH)+TDU_DAILY)+(1*TAX),"")</f>
        <v/>
      </c>
      <c r="M30" s="16" t="e">
        <f aca="false">(M29+L30)</f>
        <v>#VALUE!</v>
      </c>
      <c r="N30" s="17" t="n">
        <f aca="false">IF(MOVING_AVERAGE&lt;&gt;"",MOVING_AVERAGE*DAYS-$A29,$N29)</f>
        <v>1681.93933333333</v>
      </c>
      <c r="O30" s="17" t="e">
        <f aca="false">IF(PROJ_USAGE&gt;1000,((RATES*PROJ_USAGE)+TDU)*1+TAX-(CREDIT),"")</f>
        <v>#VALUE!</v>
      </c>
      <c r="P30" s="18" t="str">
        <f aca="false">IF(BREAK-CUM_KWH&gt;0,BREAK-CUM_KWH,"")</f>
        <v/>
      </c>
    </row>
    <row r="31" customFormat="false" ht="15" hidden="false" customHeight="false" outlineLevel="0" collapsed="false">
      <c r="A31" s="4" t="n">
        <v>30</v>
      </c>
      <c r="B31" s="4" t="n">
        <f aca="false">$A$33-$A31</f>
        <v>2</v>
      </c>
      <c r="C31" s="11" t="str">
        <f aca="false">TEXT(D31,"ddd")</f>
        <v>Fri</v>
      </c>
      <c r="D31" s="1" t="n">
        <v>44757</v>
      </c>
      <c r="E31" s="1" t="n">
        <v>44758.2798842593</v>
      </c>
      <c r="F31" s="3" t="n">
        <v>72938.237</v>
      </c>
      <c r="G31" s="3" t="n">
        <v>72991.415</v>
      </c>
      <c r="H31" s="2" t="n">
        <v>53.177</v>
      </c>
      <c r="I31" s="13" t="n">
        <f aca="false">(I30+H31)</f>
        <v>1711.616</v>
      </c>
      <c r="J31" s="13" t="n">
        <f aca="false">(I31/A31)</f>
        <v>57.0538666666667</v>
      </c>
      <c r="K31" s="13" t="n">
        <f aca="false">IF($H31&gt;0,AVERAGE($H$2:$H31),"")</f>
        <v>57.0538666666667</v>
      </c>
      <c r="L31" s="15" t="str">
        <f aca="false">IF(KWH&gt;0,((RATES*KWH)+TDU_DAILY)+(1*TAX),"")</f>
        <v/>
      </c>
      <c r="M31" s="16" t="e">
        <f aca="false">(M30+L31)</f>
        <v>#VALUE!</v>
      </c>
      <c r="N31" s="17" t="n">
        <f aca="false">IF(MOVING_AVERAGE&lt;&gt;"",MOVING_AVERAGE*DAYS-$A30,$N30)</f>
        <v>1680.93933333333</v>
      </c>
      <c r="O31" s="17" t="e">
        <f aca="false">IF(PROJ_USAGE&gt;1000,((RATES*PROJ_USAGE)+TDU)*1+TAX-(CREDIT),"")</f>
        <v>#VALUE!</v>
      </c>
      <c r="P31" s="18" t="str">
        <f aca="false">IF(BREAK-CUM_KWH&gt;0,BREAK-CUM_KWH,"")</f>
        <v/>
      </c>
    </row>
    <row r="32" customFormat="false" ht="15" hidden="false" customHeight="false" outlineLevel="0" collapsed="false">
      <c r="A32" s="4" t="n">
        <v>31</v>
      </c>
      <c r="B32" s="4" t="n">
        <f aca="false">$A$33-$A32</f>
        <v>1</v>
      </c>
      <c r="C32" s="11" t="str">
        <f aca="false">TEXT(D32,"ddd")</f>
        <v>Sat</v>
      </c>
      <c r="D32" s="1" t="n">
        <v>44758</v>
      </c>
      <c r="E32" s="1" t="n">
        <v>44759.3012268519</v>
      </c>
      <c r="F32" s="3" t="n">
        <v>72991.415</v>
      </c>
      <c r="G32" s="3" t="n">
        <v>73049.317</v>
      </c>
      <c r="H32" s="2" t="n">
        <v>57.906</v>
      </c>
      <c r="I32" s="13" t="n">
        <f aca="false">(I31+H32)</f>
        <v>1769.522</v>
      </c>
      <c r="J32" s="13" t="n">
        <f aca="false">(I32/A32)</f>
        <v>57.0813548387097</v>
      </c>
      <c r="K32" s="13" t="n">
        <f aca="false">IF($H32&gt;0,AVERAGE($H$2:$H32),"")</f>
        <v>57.0813548387097</v>
      </c>
      <c r="L32" s="15" t="str">
        <f aca="false">IF(KWH&gt;0,((RATES*KWH)+TDU_DAILY)+(1*TAX),"")</f>
        <v/>
      </c>
      <c r="M32" s="16" t="e">
        <f aca="false">(M31+L32)</f>
        <v>#VALUE!</v>
      </c>
      <c r="N32" s="17" t="n">
        <f aca="false">IF(MOVING_AVERAGE&lt;&gt;"",MOVING_AVERAGE*DAYS-$A31,$N31)</f>
        <v>1679.93933333333</v>
      </c>
      <c r="O32" s="17" t="e">
        <f aca="false">IF(PROJ_USAGE&gt;1000,((RATES*PROJ_USAGE)+TDU)*1+TAX-(CREDIT),"")</f>
        <v>#VALUE!</v>
      </c>
      <c r="P32" s="18" t="str">
        <f aca="false">IF(BREAK-CUM_KWH&gt;0,BREAK-CUM_KWH,"")</f>
        <v/>
      </c>
    </row>
    <row r="33" customFormat="false" ht="15" hidden="false" customHeight="false" outlineLevel="0" collapsed="false">
      <c r="A33" s="4" t="n">
        <v>32</v>
      </c>
      <c r="B33" s="4" t="n">
        <f aca="false">$A$33-$A33</f>
        <v>0</v>
      </c>
      <c r="C33" s="11" t="str">
        <f aca="false">TEXT(D33,"ddd")</f>
        <v>Sun</v>
      </c>
      <c r="D33" s="1" t="n">
        <v>44759</v>
      </c>
      <c r="E33" s="1" t="n">
        <v>44760.2800810185</v>
      </c>
      <c r="F33" s="3" t="n">
        <v>73049.317</v>
      </c>
      <c r="G33" s="3" t="n">
        <v>73113.739</v>
      </c>
      <c r="H33" s="47" t="n">
        <v>64.421</v>
      </c>
      <c r="I33" s="13" t="n">
        <f aca="false">(I32+H33)</f>
        <v>1833.943</v>
      </c>
      <c r="J33" s="13" t="n">
        <f aca="false">(I33/A33)</f>
        <v>57.31071875</v>
      </c>
      <c r="K33" s="13" t="n">
        <f aca="false">IF($H33&gt;0,AVERAGE($H$2:$H33),"")</f>
        <v>57.31071875</v>
      </c>
      <c r="L33" s="15" t="str">
        <f aca="false">IF(KWH&gt;0,((RATES*KWH)+TDU_DAILY)+(1*TAX),"")</f>
        <v/>
      </c>
      <c r="M33" s="16" t="e">
        <f aca="false">(M32+L33)</f>
        <v>#VALUE!</v>
      </c>
      <c r="N33" s="17" t="n">
        <f aca="false">IF(MOVING_AVERAGE&lt;&gt;"",MOVING_AVERAGE*DAYS-$A32,$N32)</f>
        <v>1678.93933333333</v>
      </c>
      <c r="O33" s="17" t="e">
        <f aca="false">IF(PROJ_USAGE&gt;1000,((RATES*PROJ_USAGE)+TDU)*1+TAX-(CREDIT),"")</f>
        <v>#VALUE!</v>
      </c>
      <c r="P33" s="18" t="str">
        <f aca="false">IF(BREAK-CUM_KWH&gt;0,BREAK-CUM_KWH,"")</f>
        <v/>
      </c>
    </row>
    <row r="34" customFormat="false" ht="15" hidden="false" customHeight="false" outlineLevel="0" collapsed="false">
      <c r="D34" s="1"/>
      <c r="E34" s="1"/>
      <c r="F34" s="74"/>
      <c r="G34" s="74"/>
      <c r="M34" s="47"/>
      <c r="N34" s="2"/>
      <c r="O34" s="2"/>
    </row>
    <row r="35" customFormat="false" ht="15" hidden="false" customHeight="false" outlineLevel="0" collapsed="false">
      <c r="D35" s="1"/>
      <c r="E35" s="1" t="s">
        <v>124</v>
      </c>
      <c r="F35" s="74"/>
      <c r="G35" s="74"/>
      <c r="M35" s="47"/>
      <c r="N35" s="2"/>
      <c r="O35" s="2"/>
    </row>
    <row r="36" customFormat="false" ht="15" hidden="false" customHeight="false" outlineLevel="0" collapsed="false">
      <c r="F36" s="74"/>
      <c r="G36" s="74"/>
      <c r="H36" s="188" t="n">
        <f aca="false">SUM(H2:H35)</f>
        <v>1833.943</v>
      </c>
      <c r="I36" s="149"/>
      <c r="M36" s="47"/>
      <c r="N36" s="2"/>
      <c r="O36" s="2"/>
    </row>
    <row r="37" customFormat="false" ht="15" hidden="false" customHeight="false" outlineLevel="0" collapsed="false">
      <c r="D37" s="34"/>
      <c r="E37" s="34"/>
      <c r="F37" s="74"/>
      <c r="L37" s="47"/>
      <c r="M37" s="2"/>
      <c r="N37" s="2"/>
      <c r="P37" s="2"/>
    </row>
    <row r="38" customFormat="false" ht="15" hidden="false" customHeight="false" outlineLevel="0" collapsed="false">
      <c r="E38" s="34"/>
      <c r="G38" s="47"/>
      <c r="I38" s="2"/>
      <c r="J38" s="81"/>
      <c r="M38" s="47"/>
      <c r="O38" s="2"/>
    </row>
    <row r="39" customFormat="false" ht="15" hidden="false" customHeight="false" outlineLevel="0" collapsed="false">
      <c r="E39" s="34"/>
      <c r="G39" s="47"/>
      <c r="N39" s="2"/>
    </row>
  </sheetData>
  <sheetProtection algorithmName="SHA-512" hashValue="bhajwVWZ7jDBgAq24MHKcFaVAz2MDWR0NDjbwG/pkabK1G3bpC1D1Gzcg1/8LoFOcXmB/aErMnAhLNGM3yB22Q==" saltValue="+x6YcEzYggWjt6ubP2OXzA==" spinCount="100000" sheet="true" objects="true" scenarios="true"/>
  <conditionalFormatting sqref="R2:T14">
    <cfRule type="expression" priority="2" aboveAverage="0" equalAverage="0" bottom="0" percent="0" rank="0" text="" dxfId="49">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D2" activeCellId="0" sqref="D2"/>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5.42"/>
    <col collapsed="false" customWidth="true" hidden="false" outlineLevel="0" max="3" min="3" style="0" width="6.14"/>
    <col collapsed="false" customWidth="true" hidden="false" outlineLevel="0" max="5" min="4" style="0" width="10.71"/>
    <col collapsed="false" customWidth="true" hidden="false" outlineLevel="0" max="6" min="6" style="74" width="10.85"/>
    <col collapsed="false" customWidth="true" hidden="false" outlineLevel="0" max="7" min="7" style="0" width="10.42"/>
    <col collapsed="false" customWidth="true" hidden="false" outlineLevel="0" max="8" min="8" style="0" width="9.71"/>
    <col collapsed="false" customWidth="true" hidden="false" outlineLevel="0" max="10" min="10" style="0" width="10.42"/>
    <col collapsed="false" customWidth="true" hidden="false" outlineLevel="0" max="12" min="11" style="0" width="9.71"/>
    <col collapsed="false" customWidth="true" hidden="false" outlineLevel="0" max="13" min="13" style="0" width="11.29"/>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2</v>
      </c>
      <c r="C1" s="6" t="s">
        <v>1</v>
      </c>
      <c r="D1" s="114" t="s">
        <v>145</v>
      </c>
      <c r="E1" s="114" t="s">
        <v>146</v>
      </c>
      <c r="F1" s="114" t="s">
        <v>5</v>
      </c>
      <c r="G1" s="114" t="s">
        <v>6</v>
      </c>
      <c r="H1" s="6" t="s">
        <v>7</v>
      </c>
      <c r="I1" s="6" t="s">
        <v>8</v>
      </c>
      <c r="J1" s="145" t="s">
        <v>9</v>
      </c>
      <c r="K1" s="6" t="s">
        <v>149</v>
      </c>
      <c r="L1" s="6" t="s">
        <v>150</v>
      </c>
      <c r="M1" s="6" t="s">
        <v>12</v>
      </c>
      <c r="N1" s="8" t="s">
        <v>151</v>
      </c>
      <c r="O1" s="9" t="s">
        <v>137</v>
      </c>
      <c r="S1" s="10"/>
      <c r="T1" s="71"/>
      <c r="U1" s="72"/>
      <c r="V1" s="72"/>
      <c r="W1" s="71"/>
      <c r="X1" s="71"/>
      <c r="Y1" s="71"/>
      <c r="Z1" s="73"/>
      <c r="AA1" s="71"/>
      <c r="AB1" s="71"/>
      <c r="AC1" s="71"/>
    </row>
    <row r="2" s="102" customFormat="true" ht="15" hidden="false" customHeight="true" outlineLevel="0" collapsed="false">
      <c r="A2" s="45" t="n">
        <v>1</v>
      </c>
      <c r="B2" s="45" t="n">
        <f aca="false">$A$32-$A2</f>
        <v>30</v>
      </c>
      <c r="C2" s="86" t="str">
        <f aca="false">TEXT(D2,"ddd")</f>
        <v>Thu</v>
      </c>
      <c r="D2" s="189" t="n">
        <v>44728</v>
      </c>
      <c r="E2" s="189" t="n">
        <v>44729.2879861111</v>
      </c>
      <c r="F2" s="190" t="n">
        <v>71279.796</v>
      </c>
      <c r="G2" s="190" t="n">
        <v>71336.074</v>
      </c>
      <c r="H2" s="191" t="n">
        <v>56.28</v>
      </c>
      <c r="I2" s="87" t="n">
        <f aca="false">H2</f>
        <v>56.28</v>
      </c>
      <c r="J2" s="87" t="n">
        <f aca="false">(I2/A2)</f>
        <v>56.28</v>
      </c>
      <c r="K2" s="88" t="n">
        <f aca="false">IF(KWH&gt;0,((RATES*KWH)+ONCOR_DAILY)+(1*TAX),"")</f>
        <v>6.32664516129032</v>
      </c>
      <c r="L2" s="89" t="n">
        <f aca="false">(K2)</f>
        <v>6.32664516129032</v>
      </c>
      <c r="M2" s="192" t="n">
        <f aca="false">IF(AVERAGE_KWH&lt;&gt;"",AVERAGE_KWH*$A$33,$M1)</f>
        <v>1800.96</v>
      </c>
      <c r="N2" s="192" t="n">
        <f aca="false">IF(PROJ_USAGE&gt;1000,((RATES*PROJ_USAGE)+ONCOR)*1+TAX-(CREDIT),"")</f>
        <v>97.5666451612903</v>
      </c>
      <c r="O2" s="91" t="n">
        <f aca="false">IF(BREAK-CUM_KWH&gt;0,BREAK-CUM_KWH,"")</f>
        <v>943.72</v>
      </c>
      <c r="Q2" s="122" t="s">
        <v>18</v>
      </c>
      <c r="R2" s="159" t="s">
        <v>19</v>
      </c>
      <c r="S2" s="160"/>
      <c r="U2" s="126"/>
      <c r="V2" s="126"/>
    </row>
    <row r="3" s="102" customFormat="true" ht="15" hidden="false" customHeight="true" outlineLevel="0" collapsed="false">
      <c r="A3" s="45" t="n">
        <v>2</v>
      </c>
      <c r="B3" s="45" t="n">
        <f aca="false">$A$32-$A3</f>
        <v>29</v>
      </c>
      <c r="C3" s="86" t="str">
        <f aca="false">TEXT(D3,"ddd")</f>
        <v>Fri</v>
      </c>
      <c r="D3" s="189" t="n">
        <v>44729</v>
      </c>
      <c r="E3" s="189" t="n">
        <v>44730.2869560185</v>
      </c>
      <c r="F3" s="190" t="n">
        <v>71336.074</v>
      </c>
      <c r="G3" s="190" t="n">
        <v>71390.089</v>
      </c>
      <c r="H3" s="191" t="n">
        <v>54.017</v>
      </c>
      <c r="I3" s="87" t="n">
        <f aca="false">(I2+H3)</f>
        <v>110.297</v>
      </c>
      <c r="J3" s="87" t="n">
        <f aca="false">(I3/A3)</f>
        <v>55.1485</v>
      </c>
      <c r="K3" s="88" t="n">
        <f aca="false">IF(KWH&gt;0,((RATES*KWH)+TDU_DAILY)+(1*TAX),"")</f>
        <v>6.03412258064516</v>
      </c>
      <c r="L3" s="89" t="n">
        <f aca="false">(L2+K3)</f>
        <v>12.3607677419355</v>
      </c>
      <c r="M3" s="90" t="n">
        <f aca="false">IF(AVERAGE_KWH&lt;&gt;"",AVERAGE_KWH*$A$33,$M2)</f>
        <v>1764.752</v>
      </c>
      <c r="N3" s="90" t="n">
        <f aca="false">IF(PROJ_USAGE&gt;1000,((RATES*PROJ_USAGE)+ONCOR)*1+TAX-(CREDIT),"")</f>
        <v>93.5954451612903</v>
      </c>
      <c r="O3" s="91" t="n">
        <f aca="false">IF(BREAK-CUM_KWH&gt;0,BREAK-CUM_KWH,"")</f>
        <v>889.703</v>
      </c>
      <c r="Q3" s="127" t="s">
        <v>22</v>
      </c>
      <c r="R3" s="164" t="n">
        <f aca="false">(F2+1000)</f>
        <v>72279.796</v>
      </c>
      <c r="S3" s="165"/>
      <c r="V3" s="72"/>
      <c r="W3" s="71"/>
      <c r="X3" s="71"/>
      <c r="Y3" s="130"/>
      <c r="AC3" s="131"/>
    </row>
    <row r="4" s="102" customFormat="true" ht="15" hidden="false" customHeight="true" outlineLevel="0" collapsed="false">
      <c r="A4" s="45" t="n">
        <v>3</v>
      </c>
      <c r="B4" s="45" t="n">
        <f aca="false">$A$32-$A4</f>
        <v>28</v>
      </c>
      <c r="C4" s="86" t="str">
        <f aca="false">TEXT(D4,"ddd")</f>
        <v>Sat</v>
      </c>
      <c r="D4" s="189" t="n">
        <v>44730</v>
      </c>
      <c r="E4" s="189" t="n">
        <v>44731.3068287037</v>
      </c>
      <c r="F4" s="190" t="n">
        <v>71390.089</v>
      </c>
      <c r="G4" s="190" t="n">
        <v>71445.272</v>
      </c>
      <c r="H4" s="191" t="n">
        <v>55.181</v>
      </c>
      <c r="I4" s="87" t="n">
        <f aca="false">(I3+H4)</f>
        <v>165.478</v>
      </c>
      <c r="J4" s="87" t="n">
        <f aca="false">(I4/A4)</f>
        <v>55.1593333333333</v>
      </c>
      <c r="K4" s="88" t="n">
        <f aca="false">IF(KWH&gt;0,((RATES*KWH)+TDU_DAILY)+(1*TAX),"")</f>
        <v>6.16178709677419</v>
      </c>
      <c r="L4" s="89" t="n">
        <f aca="false">(L3+K4)</f>
        <v>18.5225548387097</v>
      </c>
      <c r="M4" s="90" t="n">
        <f aca="false">IF(AVERAGE_KWH&lt;&gt;"",AVERAGE_KWH*$A$33,$M3)</f>
        <v>1765.09866666667</v>
      </c>
      <c r="N4" s="90" t="n">
        <f aca="false">IF(PROJ_USAGE&gt;1000,((RATES*PROJ_USAGE)+ONCOR)*1+TAX-(CREDIT),"")</f>
        <v>93.6334666666667</v>
      </c>
      <c r="O4" s="91" t="n">
        <f aca="false">IF(BREAK-CUM_KWH&gt;0,BREAK-CUM_KWH,"")</f>
        <v>834.522</v>
      </c>
      <c r="Q4" s="127" t="s">
        <v>25</v>
      </c>
      <c r="R4" s="165"/>
      <c r="S4" s="167" t="n">
        <v>0.001667</v>
      </c>
      <c r="U4" s="134"/>
      <c r="V4" s="147"/>
      <c r="W4" s="135"/>
      <c r="X4" s="135"/>
      <c r="Y4" s="135"/>
      <c r="Z4" s="136"/>
      <c r="AC4" s="131"/>
    </row>
    <row r="5" s="45" customFormat="true" ht="15" hidden="false" customHeight="true" outlineLevel="0" collapsed="false">
      <c r="A5" s="45" t="n">
        <v>4</v>
      </c>
      <c r="B5" s="45" t="n">
        <f aca="false">$A$32-$A5</f>
        <v>27</v>
      </c>
      <c r="C5" s="86" t="str">
        <f aca="false">TEXT(D5,"ddd")</f>
        <v>Sun</v>
      </c>
      <c r="D5" s="189" t="n">
        <v>44731</v>
      </c>
      <c r="E5" s="189" t="n">
        <v>44732.2871412037</v>
      </c>
      <c r="F5" s="190" t="n">
        <v>71445.272</v>
      </c>
      <c r="G5" s="190" t="n">
        <v>71499.134</v>
      </c>
      <c r="H5" s="191" t="n">
        <v>53.862</v>
      </c>
      <c r="I5" s="87" t="n">
        <f aca="false">(I4+H5)</f>
        <v>219.34</v>
      </c>
      <c r="J5" s="87" t="n">
        <f aca="false">(I5/A5)</f>
        <v>54.835</v>
      </c>
      <c r="K5" s="88" t="n">
        <f aca="false">IF(KWH&gt;0,((RATES*KWH)+TDU_DAILY)+(1*TAX),"")</f>
        <v>6.01712258064516</v>
      </c>
      <c r="L5" s="89" t="n">
        <f aca="false">(L4+K5)</f>
        <v>24.5396774193548</v>
      </c>
      <c r="M5" s="90" t="n">
        <f aca="false">IF(AVERAGE_KWH&lt;&gt;"",AVERAGE_KWH*$A$33,$M4)</f>
        <v>1754.72</v>
      </c>
      <c r="N5" s="90" t="n">
        <f aca="false">IF(PROJ_USAGE&gt;1000,((RATES*PROJ_USAGE)+ONCOR)*1+TAX-(CREDIT),"")</f>
        <v>92.4951612903226</v>
      </c>
      <c r="O5" s="91" t="n">
        <f aca="false">IF(BREAK-CUM_KWH&gt;0,BREAK-CUM_KWH,"")</f>
        <v>780.66</v>
      </c>
      <c r="P5" s="27"/>
      <c r="Q5" s="127" t="s">
        <v>28</v>
      </c>
      <c r="R5" s="165"/>
      <c r="S5" s="167" t="n">
        <v>0.042</v>
      </c>
      <c r="T5" s="161"/>
    </row>
    <row r="6" customFormat="false" ht="15" hidden="false" customHeight="true" outlineLevel="0" collapsed="false">
      <c r="A6" s="4" t="n">
        <v>5</v>
      </c>
      <c r="B6" s="4" t="n">
        <f aca="false">$A$32-$A6</f>
        <v>26</v>
      </c>
      <c r="C6" s="11" t="str">
        <f aca="false">TEXT(D6,"ddd")</f>
        <v>Mon</v>
      </c>
      <c r="D6" s="193" t="n">
        <v>44732</v>
      </c>
      <c r="E6" s="193" t="n">
        <v>44733.290162037</v>
      </c>
      <c r="F6" s="194" t="n">
        <v>71499.134</v>
      </c>
      <c r="G6" s="194" t="n">
        <v>71558.312</v>
      </c>
      <c r="H6" s="195" t="n">
        <v>59.175</v>
      </c>
      <c r="I6" s="13" t="n">
        <f aca="false">(I5+H6)</f>
        <v>278.515</v>
      </c>
      <c r="J6" s="13" t="n">
        <f aca="false">(I6/A6)</f>
        <v>55.703</v>
      </c>
      <c r="K6" s="15" t="n">
        <f aca="false">IF(KWH&gt;0,((RATES*KWH)+TDU_DAILY)+(1*TAX),"")</f>
        <v>6.59983870967742</v>
      </c>
      <c r="L6" s="16" t="n">
        <f aca="false">(L5+K6)</f>
        <v>31.1395161290323</v>
      </c>
      <c r="M6" s="17" t="n">
        <f aca="false">IF(AVERAGE_KWH&lt;&gt;"",AVERAGE_KWH*$A$33,$M5)</f>
        <v>1782.496</v>
      </c>
      <c r="N6" s="17" t="n">
        <f aca="false">IF(PROJ_USAGE&gt;1000,((RATES*PROJ_USAGE)+ONCOR)*1+TAX-(CREDIT),"")</f>
        <v>95.5415612903226</v>
      </c>
      <c r="O6" s="18" t="n">
        <f aca="false">IF(BREAK-CUM_KWH&gt;0,BREAK-CUM_KWH,"")</f>
        <v>721.485</v>
      </c>
      <c r="Q6" s="22" t="s">
        <v>31</v>
      </c>
      <c r="R6" s="173"/>
      <c r="S6" s="186" t="n">
        <v>0.154</v>
      </c>
      <c r="T6" s="83"/>
    </row>
    <row r="7" customFormat="false" ht="15" hidden="false" customHeight="true" outlineLevel="0" collapsed="false">
      <c r="A7" s="4" t="n">
        <v>6</v>
      </c>
      <c r="B7" s="4" t="n">
        <f aca="false">$A$32-$A7</f>
        <v>25</v>
      </c>
      <c r="C7" s="11" t="str">
        <f aca="false">TEXT(D7,"ddd")</f>
        <v>Tue</v>
      </c>
      <c r="D7" s="193" t="n">
        <v>44733</v>
      </c>
      <c r="E7" s="193" t="n">
        <v>44734.2919791667</v>
      </c>
      <c r="F7" s="194" t="n">
        <v>71558.312</v>
      </c>
      <c r="G7" s="194" t="n">
        <v>71613.173</v>
      </c>
      <c r="H7" s="195" t="n">
        <v>54.861</v>
      </c>
      <c r="I7" s="13" t="n">
        <f aca="false">(I6+H7)</f>
        <v>333.376</v>
      </c>
      <c r="J7" s="13" t="n">
        <f aca="false">(I7/A7)</f>
        <v>55.5626666666667</v>
      </c>
      <c r="K7" s="15" t="n">
        <f aca="false">IF(KWH&gt;0,((RATES*KWH)+TDU_DAILY)+(1*TAX),"")</f>
        <v>6.12669032258065</v>
      </c>
      <c r="L7" s="16" t="n">
        <f aca="false">(L6+K7)</f>
        <v>37.2662064516129</v>
      </c>
      <c r="M7" s="17" t="n">
        <f aca="false">IF(AVERAGE_KWH&lt;&gt;"",AVERAGE_KWH*$A$33,$M6)</f>
        <v>1778.00533333333</v>
      </c>
      <c r="N7" s="17" t="n">
        <f aca="false">IF(PROJ_USAGE&gt;1000,((RATES*PROJ_USAGE)+ONCOR)*1+TAX-(CREDIT),"")</f>
        <v>95.0490365591398</v>
      </c>
      <c r="O7" s="18" t="n">
        <f aca="false">IF(BREAK-CUM_KWH&gt;0,BREAK-CUM_KWH,"")</f>
        <v>666.624</v>
      </c>
      <c r="Q7" s="22" t="s">
        <v>34</v>
      </c>
      <c r="R7" s="173"/>
      <c r="S7" s="187" t="n">
        <f aca="false">SUM(S4:S6)</f>
        <v>0.197667</v>
      </c>
      <c r="T7" s="83"/>
    </row>
    <row r="8" customFormat="false" ht="15" hidden="false" customHeight="false" outlineLevel="0" collapsed="false">
      <c r="A8" s="4" t="n">
        <v>7</v>
      </c>
      <c r="B8" s="4" t="n">
        <f aca="false">$A$32-$A8</f>
        <v>24</v>
      </c>
      <c r="C8" s="11" t="str">
        <f aca="false">TEXT(D8,"ddd")</f>
        <v>Wed</v>
      </c>
      <c r="D8" s="193" t="n">
        <v>44734</v>
      </c>
      <c r="E8" s="193" t="n">
        <v>44735.2875347222</v>
      </c>
      <c r="F8" s="194" t="n">
        <v>71613.173</v>
      </c>
      <c r="G8" s="194" t="n">
        <v>71673.625</v>
      </c>
      <c r="H8" s="195" t="n">
        <v>60.458</v>
      </c>
      <c r="I8" s="13" t="n">
        <f aca="false">(I7+H8)</f>
        <v>393.834</v>
      </c>
      <c r="J8" s="13" t="n">
        <f aca="false">(I8/A8)</f>
        <v>56.262</v>
      </c>
      <c r="K8" s="15" t="n">
        <f aca="false">IF(KWH&gt;0,((RATES*KWH)+TDU_DAILY)+(1*TAX),"")</f>
        <v>6.74055483870968</v>
      </c>
      <c r="L8" s="16" t="n">
        <f aca="false">(L7+K8)</f>
        <v>44.0067612903226</v>
      </c>
      <c r="M8" s="17" t="n">
        <f aca="false">IF(AVERAGE_KWH&lt;&gt;"",AVERAGE_KWH*$A$33,$M7)</f>
        <v>1800.384</v>
      </c>
      <c r="N8" s="17" t="n">
        <f aca="false">IF(PROJ_USAGE&gt;1000,((RATES*PROJ_USAGE)+ONCOR)*1+TAX-(CREDIT),"")</f>
        <v>97.5034709677419</v>
      </c>
      <c r="O8" s="18" t="n">
        <f aca="false">IF(BREAK-CUM_KWH&gt;0,BREAK-CUM_KWH,"")</f>
        <v>606.166</v>
      </c>
      <c r="Q8" s="22" t="s">
        <v>38</v>
      </c>
      <c r="R8" s="171" t="n">
        <v>3.4</v>
      </c>
      <c r="S8" s="172" t="n">
        <f aca="false">($R$8/DAYS)</f>
        <v>0.109677419354839</v>
      </c>
      <c r="T8" s="83"/>
    </row>
    <row r="9" customFormat="false" ht="15" hidden="false" customHeight="false" outlineLevel="0" collapsed="false">
      <c r="A9" s="4" t="n">
        <v>8</v>
      </c>
      <c r="B9" s="4" t="n">
        <f aca="false">$A$32-$A9</f>
        <v>23</v>
      </c>
      <c r="C9" s="11" t="str">
        <f aca="false">TEXT(D9,"ddd")</f>
        <v>Thu</v>
      </c>
      <c r="D9" s="193" t="n">
        <v>44735</v>
      </c>
      <c r="E9" s="193" t="n">
        <v>44736.2878356481</v>
      </c>
      <c r="F9" s="194" t="n">
        <v>71673.625</v>
      </c>
      <c r="G9" s="194" t="n">
        <v>71730.113</v>
      </c>
      <c r="H9" s="195" t="n">
        <v>56.483</v>
      </c>
      <c r="I9" s="13" t="n">
        <f aca="false">(I8+H9)</f>
        <v>450.317</v>
      </c>
      <c r="J9" s="13" t="n">
        <f aca="false">(I9/A9)</f>
        <v>56.289625</v>
      </c>
      <c r="K9" s="15" t="n">
        <f aca="false">IF(KWH&gt;0,((RATES*KWH)+TDU_DAILY)+(1*TAX),"")</f>
        <v>6.30458709677419</v>
      </c>
      <c r="L9" s="16" t="n">
        <f aca="false">(L8+K9)</f>
        <v>50.3113483870968</v>
      </c>
      <c r="M9" s="17" t="n">
        <f aca="false">IF(AVERAGE_KWH&lt;&gt;"",AVERAGE_KWH*$A$33,$M8)</f>
        <v>1801.268</v>
      </c>
      <c r="N9" s="17" t="n">
        <f aca="false">IF(PROJ_USAGE&gt;1000,((RATES*PROJ_USAGE)+ONCOR)*1+TAX-(CREDIT),"")</f>
        <v>97.6004258064516</v>
      </c>
      <c r="O9" s="18" t="n">
        <f aca="false">IF(BREAK-CUM_KWH&gt;0,BREAK-CUM_KWH,"")</f>
        <v>549.683</v>
      </c>
      <c r="Q9" s="22" t="s">
        <v>42</v>
      </c>
      <c r="R9" s="173"/>
      <c r="S9" s="174" t="n">
        <v>0.01997</v>
      </c>
      <c r="T9" s="83"/>
    </row>
    <row r="10" customFormat="false" ht="15" hidden="false" customHeight="false" outlineLevel="0" collapsed="false">
      <c r="A10" s="4" t="n">
        <v>9</v>
      </c>
      <c r="B10" s="4" t="n">
        <f aca="false">$A$32-$A10</f>
        <v>22</v>
      </c>
      <c r="C10" s="11" t="str">
        <f aca="false">TEXT(D10,"ddd")</f>
        <v>Fri</v>
      </c>
      <c r="D10" s="193" t="n">
        <v>44736</v>
      </c>
      <c r="E10" s="193" t="n">
        <v>44737.2885069444</v>
      </c>
      <c r="F10" s="194" t="n">
        <v>71730.113</v>
      </c>
      <c r="G10" s="194" t="n">
        <v>71788.999</v>
      </c>
      <c r="H10" s="195" t="n">
        <v>58.886</v>
      </c>
      <c r="I10" s="13" t="n">
        <f aca="false">(I9+H10)</f>
        <v>509.203</v>
      </c>
      <c r="J10" s="13" t="n">
        <f aca="false">(I10/A10)</f>
        <v>56.5781111111111</v>
      </c>
      <c r="K10" s="15" t="n">
        <f aca="false">IF(KWH&gt;0,((RATES*KWH)+TDU_DAILY)+(1*TAX),"")</f>
        <v>6.56814193548387</v>
      </c>
      <c r="L10" s="16" t="n">
        <f aca="false">(L9+K10)</f>
        <v>56.8794903225806</v>
      </c>
      <c r="M10" s="17" t="n">
        <f aca="false">IF(AVERAGE_KWH&lt;&gt;"",AVERAGE_KWH*$A$33,$M9)</f>
        <v>1810.49955555556</v>
      </c>
      <c r="N10" s="17" t="n">
        <f aca="false">IF(PROJ_USAGE&gt;1000,((RATES*PROJ_USAGE)+ONCOR)*1+TAX-(CREDIT),"")</f>
        <v>98.6129189964158</v>
      </c>
      <c r="O10" s="18" t="n">
        <f aca="false">IF(BREAK-CUM_KWH&gt;0,BREAK-CUM_KWH,"")</f>
        <v>490.797</v>
      </c>
      <c r="Q10" s="22" t="s">
        <v>46</v>
      </c>
      <c r="R10" s="175" t="n">
        <v>100</v>
      </c>
      <c r="S10" s="174" t="n">
        <v>1000</v>
      </c>
      <c r="T10" s="83"/>
    </row>
    <row r="11" customFormat="false" ht="15" hidden="false" customHeight="false" outlineLevel="0" collapsed="false">
      <c r="A11" s="4" t="n">
        <v>10</v>
      </c>
      <c r="B11" s="4" t="n">
        <f aca="false">$A$32-$A11</f>
        <v>21</v>
      </c>
      <c r="C11" s="11" t="str">
        <f aca="false">TEXT(D11,"ddd")</f>
        <v>Sat</v>
      </c>
      <c r="D11" s="193" t="n">
        <v>44737</v>
      </c>
      <c r="E11" s="193" t="n">
        <v>44738.302025463</v>
      </c>
      <c r="F11" s="194" t="n">
        <v>71788.999</v>
      </c>
      <c r="G11" s="194" t="n">
        <v>71845.999</v>
      </c>
      <c r="H11" s="195" t="n">
        <v>56.999</v>
      </c>
      <c r="I11" s="13" t="n">
        <f aca="false">(I10+H11)</f>
        <v>566.202</v>
      </c>
      <c r="J11" s="13" t="n">
        <f aca="false">(I11/A11)</f>
        <v>56.6202</v>
      </c>
      <c r="K11" s="15" t="n">
        <f aca="false">IF(KWH&gt;0,((RATES*KWH)+TDU_DAILY)+(1*TAX),"")</f>
        <v>6.36118064516129</v>
      </c>
      <c r="L11" s="16" t="n">
        <f aca="false">(L10+K11)</f>
        <v>63.2406709677419</v>
      </c>
      <c r="M11" s="17" t="n">
        <f aca="false">IF(AVERAGE_KWH&lt;&gt;"",AVERAGE_KWH*$A$33,$M10)</f>
        <v>1811.8464</v>
      </c>
      <c r="N11" s="17" t="n">
        <f aca="false">IF(PROJ_USAGE&gt;1000,((RATES*PROJ_USAGE)+ONCOR)*1+TAX-(CREDIT),"")</f>
        <v>98.7606374193548</v>
      </c>
      <c r="O11" s="18" t="n">
        <f aca="false">IF(BREAK-CUM_KWH&gt;0,BREAK-CUM_KWH,"")</f>
        <v>433.798</v>
      </c>
      <c r="Q11" s="22" t="s">
        <v>49</v>
      </c>
      <c r="R11" s="175" t="n">
        <v>295</v>
      </c>
      <c r="S11" s="176"/>
      <c r="T11" s="83"/>
    </row>
    <row r="12" customFormat="false" ht="15" hidden="false" customHeight="false" outlineLevel="0" collapsed="false">
      <c r="A12" s="4" t="n">
        <v>11</v>
      </c>
      <c r="B12" s="4" t="n">
        <f aca="false">$A$32-$A12</f>
        <v>20</v>
      </c>
      <c r="C12" s="11" t="str">
        <f aca="false">TEXT(D12,"ddd")</f>
        <v>Sun</v>
      </c>
      <c r="D12" s="193" t="n">
        <v>44738</v>
      </c>
      <c r="E12" s="193" t="n">
        <v>44739.3292708333</v>
      </c>
      <c r="F12" s="194" t="n">
        <v>71845.999</v>
      </c>
      <c r="G12" s="194" t="n">
        <v>71900.062</v>
      </c>
      <c r="H12" s="195" t="n">
        <v>54.062</v>
      </c>
      <c r="I12" s="13" t="n">
        <f aca="false">(I11+H12)</f>
        <v>620.264</v>
      </c>
      <c r="J12" s="13" t="n">
        <f aca="false">(I12/A12)</f>
        <v>56.3876363636364</v>
      </c>
      <c r="K12" s="15" t="n">
        <f aca="false">IF(KWH&gt;0,((RATES*KWH)+TDU_DAILY)+(1*TAX),"")</f>
        <v>6.03905806451613</v>
      </c>
      <c r="L12" s="16" t="n">
        <f aca="false">(L11+K12)</f>
        <v>69.2797290322581</v>
      </c>
      <c r="M12" s="17" t="n">
        <f aca="false">IF(AVERAGE_KWH&lt;&gt;"",AVERAGE_KWH*$A$33,$M11)</f>
        <v>1804.40436363636</v>
      </c>
      <c r="N12" s="17" t="n">
        <f aca="false">IF(PROJ_USAGE&gt;1000,((RATES*PROJ_USAGE)+ONCOR)*1+TAX-(CREDIT),"")</f>
        <v>97.9444140762464</v>
      </c>
      <c r="O12" s="18" t="n">
        <f aca="false">IF(BREAK-CUM_KWH&gt;0,BREAK-CUM_KWH,"")</f>
        <v>379.736</v>
      </c>
      <c r="Q12" s="22" t="s">
        <v>52</v>
      </c>
      <c r="R12" s="177" t="n">
        <f aca="false">INDEX(L2:L32,COUNT(L2:L32))</f>
        <v>197.520929032258</v>
      </c>
      <c r="S12" s="176"/>
      <c r="T12" s="83"/>
    </row>
    <row r="13" customFormat="false" ht="15" hidden="false" customHeight="false" outlineLevel="0" collapsed="false">
      <c r="A13" s="4" t="n">
        <v>12</v>
      </c>
      <c r="B13" s="4" t="n">
        <f aca="false">$A$32-$A13</f>
        <v>19</v>
      </c>
      <c r="C13" s="11" t="str">
        <f aca="false">TEXT(D13,"ddd")</f>
        <v>Mon</v>
      </c>
      <c r="D13" s="193" t="n">
        <v>44739</v>
      </c>
      <c r="E13" s="193" t="n">
        <v>44740.2791782407</v>
      </c>
      <c r="F13" s="194" t="n">
        <v>71900.062</v>
      </c>
      <c r="G13" s="194" t="n">
        <v>71952.226</v>
      </c>
      <c r="H13" s="195" t="n">
        <v>52.167</v>
      </c>
      <c r="I13" s="13" t="n">
        <f aca="false">(I12+H13)</f>
        <v>672.431</v>
      </c>
      <c r="J13" s="13" t="n">
        <f aca="false">(I13/A13)</f>
        <v>56.0359166666667</v>
      </c>
      <c r="K13" s="15" t="n">
        <f aca="false">IF(KWH&gt;0,((RATES*KWH)+TDU_DAILY)+(1*TAX),"")</f>
        <v>5.83121935483871</v>
      </c>
      <c r="L13" s="16" t="n">
        <f aca="false">(L12+K13)</f>
        <v>75.1109483870968</v>
      </c>
      <c r="M13" s="17" t="n">
        <f aca="false">IF(AVERAGE_KWH&lt;&gt;"",AVERAGE_KWH*$A$33,$M12)</f>
        <v>1793.14933333333</v>
      </c>
      <c r="N13" s="17" t="n">
        <f aca="false">IF(PROJ_USAGE&gt;1000,((RATES*PROJ_USAGE)+ONCOR)*1+TAX-(CREDIT),"")</f>
        <v>96.7099913978495</v>
      </c>
      <c r="O13" s="18" t="n">
        <f aca="false">IF(BREAK-CUM_KWH&gt;0,BREAK-CUM_KWH,"")</f>
        <v>327.569</v>
      </c>
      <c r="Q13" s="22" t="s">
        <v>55</v>
      </c>
      <c r="R13" s="178" t="n">
        <f aca="false">INDEX(I2:I32,COUNT(I2:I32))</f>
        <v>1769.522</v>
      </c>
      <c r="S13" s="176"/>
      <c r="T13" s="83"/>
    </row>
    <row r="14" customFormat="false" ht="15" hidden="false" customHeight="false" outlineLevel="0" collapsed="false">
      <c r="A14" s="4" t="n">
        <v>13</v>
      </c>
      <c r="B14" s="4" t="n">
        <f aca="false">$A$32-$A14</f>
        <v>18</v>
      </c>
      <c r="C14" s="11" t="str">
        <f aca="false">TEXT(D14,"ddd")</f>
        <v>Tue</v>
      </c>
      <c r="D14" s="193" t="n">
        <v>44740</v>
      </c>
      <c r="E14" s="193" t="n">
        <v>44741.2802199074</v>
      </c>
      <c r="F14" s="194" t="n">
        <v>71952.226</v>
      </c>
      <c r="G14" s="194" t="n">
        <v>71992.336</v>
      </c>
      <c r="H14" s="195" t="n">
        <v>40.112</v>
      </c>
      <c r="I14" s="13" t="n">
        <f aca="false">(I13+H14)</f>
        <v>712.543</v>
      </c>
      <c r="J14" s="13" t="n">
        <f aca="false">(I14/A14)</f>
        <v>54.811</v>
      </c>
      <c r="K14" s="15" t="n">
        <f aca="false">IF(KWH&gt;0,((RATES*KWH)+TDU_DAILY)+(1*TAX),"")</f>
        <v>4.50905806451613</v>
      </c>
      <c r="L14" s="16" t="n">
        <f aca="false">(L13+K14)</f>
        <v>79.6200064516129</v>
      </c>
      <c r="M14" s="17" t="n">
        <f aca="false">IF(AVERAGE_KWH&lt;&gt;"",AVERAGE_KWH*$A$33,$M13)</f>
        <v>1753.952</v>
      </c>
      <c r="N14" s="17" t="n">
        <f aca="false">IF(PROJ_USAGE&gt;1000,((RATES*PROJ_USAGE)+ONCOR)*1+TAX-(CREDIT),"")</f>
        <v>92.4109290322581</v>
      </c>
      <c r="O14" s="18" t="n">
        <f aca="false">IF(BREAK-CUM_KWH&gt;0,BREAK-CUM_KWH,"")</f>
        <v>287.457</v>
      </c>
      <c r="Q14" s="40" t="s">
        <v>58</v>
      </c>
      <c r="R14" s="179" t="n">
        <f aca="false">INDEX(J2:J32,COUNT(J2:J32))</f>
        <v>57.0813548387097</v>
      </c>
      <c r="S14" s="180"/>
      <c r="T14" s="83"/>
    </row>
    <row r="15" customFormat="false" ht="15" hidden="false" customHeight="false" outlineLevel="0" collapsed="false">
      <c r="A15" s="4" t="n">
        <v>14</v>
      </c>
      <c r="B15" s="4" t="n">
        <f aca="false">$A$32-$A15</f>
        <v>17</v>
      </c>
      <c r="C15" s="11" t="str">
        <f aca="false">TEXT(D15,"ddd")</f>
        <v>Wed</v>
      </c>
      <c r="D15" s="193" t="n">
        <v>44741</v>
      </c>
      <c r="E15" s="193" t="n">
        <v>44742.2793865741</v>
      </c>
      <c r="F15" s="194" t="n">
        <v>71992.336</v>
      </c>
      <c r="G15" s="194" t="n">
        <v>72040.342</v>
      </c>
      <c r="H15" s="195" t="n">
        <v>48.003</v>
      </c>
      <c r="I15" s="13" t="n">
        <f aca="false">(I14+H15)</f>
        <v>760.546</v>
      </c>
      <c r="J15" s="13" t="n">
        <f aca="false">(I15/A15)</f>
        <v>54.3247142857143</v>
      </c>
      <c r="K15" s="15" t="n">
        <f aca="false">IF(KWH&gt;0,((RATES*KWH)+TDU_DAILY)+(1*TAX),"")</f>
        <v>5.37452258064516</v>
      </c>
      <c r="L15" s="16" t="n">
        <f aca="false">(L14+K15)</f>
        <v>84.9945290322581</v>
      </c>
      <c r="M15" s="17" t="n">
        <f aca="false">IF(AVERAGE_KWH&lt;&gt;"",AVERAGE_KWH*$A$33,$M14)</f>
        <v>1738.39085714286</v>
      </c>
      <c r="N15" s="17" t="n">
        <f aca="false">IF(PROJ_USAGE&gt;1000,((RATES*PROJ_USAGE)+ONCOR)*1+TAX-(CREDIT),"")</f>
        <v>90.7042230414747</v>
      </c>
      <c r="O15" s="18" t="n">
        <f aca="false">IF(BREAK-CUM_KWH&gt;0,BREAK-CUM_KWH,"")</f>
        <v>239.454</v>
      </c>
    </row>
    <row r="16" customFormat="false" ht="15" hidden="false" customHeight="false" outlineLevel="0" collapsed="false">
      <c r="A16" s="4" t="n">
        <v>15</v>
      </c>
      <c r="B16" s="4" t="n">
        <f aca="false">$A$32-$A16</f>
        <v>16</v>
      </c>
      <c r="C16" s="11" t="str">
        <f aca="false">TEXT(D16,"ddd")</f>
        <v>Thu</v>
      </c>
      <c r="D16" s="193" t="n">
        <v>44742</v>
      </c>
      <c r="E16" s="193" t="n">
        <v>44743.2800115741</v>
      </c>
      <c r="F16" s="194" t="n">
        <v>72040.342</v>
      </c>
      <c r="G16" s="194" t="n">
        <v>72094.572</v>
      </c>
      <c r="H16" s="195" t="n">
        <v>54.231</v>
      </c>
      <c r="I16" s="13" t="n">
        <f aca="false">(I15+H16)</f>
        <v>814.777</v>
      </c>
      <c r="J16" s="13" t="n">
        <f aca="false">(I16/A16)</f>
        <v>54.3184666666667</v>
      </c>
      <c r="K16" s="15" t="n">
        <f aca="false">IF(KWH&gt;0,((RATES*KWH)+TDU_DAILY)+(1*TAX),"")</f>
        <v>6.0575935483871</v>
      </c>
      <c r="L16" s="16" t="n">
        <f aca="false">(L15+K16)</f>
        <v>91.0521225806452</v>
      </c>
      <c r="M16" s="17" t="n">
        <f aca="false">IF(AVERAGE_KWH&lt;&gt;"",AVERAGE_KWH*$A$33,$M15)</f>
        <v>1738.19093333333</v>
      </c>
      <c r="N16" s="17" t="n">
        <f aca="false">IF(PROJ_USAGE&gt;1000,((RATES*PROJ_USAGE)+ONCOR)*1+TAX-(CREDIT),"")</f>
        <v>90.6822959139785</v>
      </c>
      <c r="O16" s="18" t="n">
        <f aca="false">IF(BREAK-CUM_KWH&gt;0,BREAK-CUM_KWH,"")</f>
        <v>185.223</v>
      </c>
    </row>
    <row r="17" customFormat="false" ht="15" hidden="false" customHeight="false" outlineLevel="0" collapsed="false">
      <c r="A17" s="4" t="n">
        <v>16</v>
      </c>
      <c r="B17" s="4" t="n">
        <f aca="false">$A$32-$A17</f>
        <v>15</v>
      </c>
      <c r="C17" s="11" t="str">
        <f aca="false">TEXT(D17,"ddd")</f>
        <v>Fri</v>
      </c>
      <c r="D17" s="193" t="n">
        <v>44743</v>
      </c>
      <c r="E17" s="193" t="n">
        <v>44744.2780902778</v>
      </c>
      <c r="F17" s="194" t="n">
        <v>72094.572</v>
      </c>
      <c r="G17" s="194" t="n">
        <v>72146.38</v>
      </c>
      <c r="H17" s="195" t="n">
        <v>51.802</v>
      </c>
      <c r="I17" s="13" t="n">
        <f aca="false">(I16+H17)</f>
        <v>866.579</v>
      </c>
      <c r="J17" s="13" t="n">
        <f aca="false">(I17/A17)</f>
        <v>54.1611875</v>
      </c>
      <c r="K17" s="15" t="n">
        <f aca="false">IF(KWH&gt;0,((RATES*KWH)+TDU_DAILY)+(1*TAX),"")</f>
        <v>5.79118709677419</v>
      </c>
      <c r="L17" s="16" t="n">
        <f aca="false">(L16+K17)</f>
        <v>96.8433096774193</v>
      </c>
      <c r="M17" s="17" t="n">
        <f aca="false">IF(AVERAGE_KWH&lt;&gt;"",AVERAGE_KWH*$A$33,$M16)</f>
        <v>1733.158</v>
      </c>
      <c r="N17" s="17" t="n">
        <f aca="false">IF(PROJ_USAGE&gt;1000,((RATES*PROJ_USAGE)+ONCOR)*1+TAX-(CREDIT),"")</f>
        <v>90.1302967741936</v>
      </c>
      <c r="O17" s="18" t="n">
        <f aca="false">IF(BREAK-CUM_KWH&gt;0,BREAK-CUM_KWH,"")</f>
        <v>133.421</v>
      </c>
    </row>
    <row r="18" customFormat="false" ht="15" hidden="false" customHeight="false" outlineLevel="0" collapsed="false">
      <c r="A18" s="4" t="n">
        <v>17</v>
      </c>
      <c r="B18" s="4" t="n">
        <f aca="false">$A$32-$A18</f>
        <v>14</v>
      </c>
      <c r="C18" s="11" t="str">
        <f aca="false">TEXT(D18,"ddd")</f>
        <v>Sat</v>
      </c>
      <c r="D18" s="193" t="n">
        <v>44744</v>
      </c>
      <c r="E18" s="193" t="n">
        <v>44745.298587963</v>
      </c>
      <c r="F18" s="194" t="n">
        <v>72146.38</v>
      </c>
      <c r="G18" s="194" t="n">
        <v>72198.688</v>
      </c>
      <c r="H18" s="195" t="n">
        <v>52.311</v>
      </c>
      <c r="I18" s="13" t="n">
        <f aca="false">(I17+H18)</f>
        <v>918.89</v>
      </c>
      <c r="J18" s="13" t="n">
        <f aca="false">(I18/A18)</f>
        <v>54.0523529411765</v>
      </c>
      <c r="K18" s="15" t="n">
        <f aca="false">IF(KWH&gt;0,((RATES*KWH)+TDU_DAILY)+(1*TAX),"")</f>
        <v>5.84701290322581</v>
      </c>
      <c r="L18" s="16" t="n">
        <f aca="false">(L17+K18)</f>
        <v>102.690322580645</v>
      </c>
      <c r="M18" s="17" t="n">
        <f aca="false">IF(AVERAGE_KWH&lt;&gt;"",AVERAGE_KWH*$A$33,$M17)</f>
        <v>1729.67529411765</v>
      </c>
      <c r="N18" s="17" t="n">
        <f aca="false">IF(PROJ_USAGE&gt;1000,((RATES*PROJ_USAGE)+ONCOR)*1+TAX-(CREDIT),"")</f>
        <v>89.7483225806452</v>
      </c>
      <c r="O18" s="18" t="n">
        <f aca="false">IF(BREAK-CUM_KWH&gt;0,BREAK-CUM_KWH,"")</f>
        <v>81.1099999999999</v>
      </c>
    </row>
    <row r="19" customFormat="false" ht="15" hidden="false" customHeight="false" outlineLevel="0" collapsed="false">
      <c r="A19" s="4" t="n">
        <v>18</v>
      </c>
      <c r="B19" s="4" t="n">
        <f aca="false">$A$32-$A19</f>
        <v>13</v>
      </c>
      <c r="C19" s="11" t="str">
        <f aca="false">TEXT(D19,"ddd")</f>
        <v>Sun</v>
      </c>
      <c r="D19" s="193" t="n">
        <v>44745</v>
      </c>
      <c r="E19" s="193" t="n">
        <v>44746.2779282407</v>
      </c>
      <c r="F19" s="194" t="n">
        <v>72198.688</v>
      </c>
      <c r="G19" s="194" t="n">
        <v>72256.3</v>
      </c>
      <c r="H19" s="195" t="n">
        <v>57.615</v>
      </c>
      <c r="I19" s="13" t="n">
        <f aca="false">(I18+H19)</f>
        <v>976.505</v>
      </c>
      <c r="J19" s="13" t="n">
        <f aca="false">(I19/A19)</f>
        <v>54.2502777777778</v>
      </c>
      <c r="K19" s="15" t="n">
        <f aca="false">IF(KWH&gt;0,((RATES*KWH)+TDU_DAILY)+(1*TAX),"")</f>
        <v>6.42874193548387</v>
      </c>
      <c r="L19" s="16" t="n">
        <f aca="false">(L18+K19)</f>
        <v>109.119064516129</v>
      </c>
      <c r="M19" s="17" t="n">
        <f aca="false">IF(AVERAGE_KWH&lt;&gt;"",AVERAGE_KWH*$A$33,$M18)</f>
        <v>1736.00888888889</v>
      </c>
      <c r="N19" s="17" t="n">
        <f aca="false">IF(PROJ_USAGE&gt;1000,((RATES*PROJ_USAGE)+ONCOR)*1+TAX-(CREDIT),"")</f>
        <v>90.4429749103943</v>
      </c>
      <c r="O19" s="18" t="n">
        <f aca="false">IF(BREAK-CUM_KWH&gt;0,BREAK-CUM_KWH,"")</f>
        <v>23.4949999999999</v>
      </c>
    </row>
    <row r="20" customFormat="false" ht="15" hidden="false" customHeight="false" outlineLevel="0" collapsed="false">
      <c r="A20" s="4" t="n">
        <v>19</v>
      </c>
      <c r="B20" s="4" t="n">
        <f aca="false">$A$32-$A20</f>
        <v>12</v>
      </c>
      <c r="C20" s="11" t="str">
        <f aca="false">TEXT(D20,"ddd")</f>
        <v>Mon</v>
      </c>
      <c r="D20" s="193" t="n">
        <v>44746</v>
      </c>
      <c r="E20" s="193" t="n">
        <v>44747.2780092593</v>
      </c>
      <c r="F20" s="194" t="n">
        <v>72256.3</v>
      </c>
      <c r="G20" s="194" t="n">
        <v>72306.818</v>
      </c>
      <c r="H20" s="195" t="n">
        <v>50.521</v>
      </c>
      <c r="I20" s="13" t="n">
        <f aca="false">(I19+H20)</f>
        <v>1027.026</v>
      </c>
      <c r="J20" s="13" t="n">
        <f aca="false">(I20/A20)</f>
        <v>54.054</v>
      </c>
      <c r="K20" s="15" t="n">
        <f aca="false">IF(KWH&gt;0,((RATES*KWH)+TDU_DAILY)+(1*TAX),"")</f>
        <v>5.65069032258065</v>
      </c>
      <c r="L20" s="16" t="n">
        <f aca="false">(L19+K20)</f>
        <v>114.76975483871</v>
      </c>
      <c r="M20" s="17" t="n">
        <f aca="false">IF(AVERAGE_KWH&lt;&gt;"",AVERAGE_KWH*$A$33,$M19)</f>
        <v>1729.728</v>
      </c>
      <c r="N20" s="17" t="n">
        <f aca="false">IF(PROJ_USAGE&gt;1000,((RATES*PROJ_USAGE)+ONCOR)*1+TAX-(CREDIT),"")</f>
        <v>89.7541032258065</v>
      </c>
      <c r="O20" s="18" t="str">
        <f aca="false">IF(BREAK-CUM_KWH&gt;0,BREAK-CUM_KWH,"")</f>
        <v/>
      </c>
    </row>
    <row r="21" customFormat="false" ht="15" hidden="false" customHeight="false" outlineLevel="0" collapsed="false">
      <c r="A21" s="4" t="n">
        <v>20</v>
      </c>
      <c r="B21" s="4" t="n">
        <f aca="false">$A$32-$A21</f>
        <v>11</v>
      </c>
      <c r="C21" s="11" t="str">
        <f aca="false">TEXT(D21,"ddd")</f>
        <v>Tue</v>
      </c>
      <c r="D21" s="193" t="n">
        <v>44747</v>
      </c>
      <c r="E21" s="193" t="n">
        <v>44748.2802430556</v>
      </c>
      <c r="F21" s="194" t="n">
        <v>72306.818</v>
      </c>
      <c r="G21" s="194" t="n">
        <v>72363.34</v>
      </c>
      <c r="H21" s="195" t="n">
        <v>56.524</v>
      </c>
      <c r="I21" s="13" t="n">
        <f aca="false">(I20+H21)</f>
        <v>1083.55</v>
      </c>
      <c r="J21" s="13" t="n">
        <f aca="false">(I21/A21)</f>
        <v>54.1775</v>
      </c>
      <c r="K21" s="15" t="n">
        <f aca="false">IF(KWH&gt;0,((RATES*KWH)+TDU_DAILY)+(1*TAX),"")</f>
        <v>6.30908387096774</v>
      </c>
      <c r="L21" s="16" t="n">
        <f aca="false">(L20+K21)</f>
        <v>121.078838709677</v>
      </c>
      <c r="M21" s="17" t="n">
        <f aca="false">IF(AVERAGE_KWH&lt;&gt;"",AVERAGE_KWH*$A$33,$M20)</f>
        <v>1733.68</v>
      </c>
      <c r="N21" s="17" t="n">
        <f aca="false">IF(PROJ_USAGE&gt;1000,((RATES*PROJ_USAGE)+ONCOR)*1+TAX-(CREDIT),"")</f>
        <v>90.1875483870968</v>
      </c>
      <c r="O21" s="18" t="str">
        <f aca="false">IF(BREAK-CUM_KWH&gt;0,BREAK-CUM_KWH,"")</f>
        <v/>
      </c>
    </row>
    <row r="22" customFormat="false" ht="15" hidden="false" customHeight="false" outlineLevel="0" collapsed="false">
      <c r="A22" s="4" t="n">
        <v>21</v>
      </c>
      <c r="B22" s="4" t="n">
        <f aca="false">$A$32-$A22</f>
        <v>10</v>
      </c>
      <c r="C22" s="11" t="str">
        <f aca="false">TEXT(D22,"ddd")</f>
        <v>Wed</v>
      </c>
      <c r="D22" s="193" t="n">
        <v>44748</v>
      </c>
      <c r="E22" s="193" t="n">
        <v>44749.2801388889</v>
      </c>
      <c r="F22" s="194" t="n">
        <v>72363.34</v>
      </c>
      <c r="G22" s="194" t="n">
        <v>72424.879</v>
      </c>
      <c r="H22" s="195" t="n">
        <v>61.542</v>
      </c>
      <c r="I22" s="13" t="n">
        <f aca="false">(I21+H22)</f>
        <v>1145.092</v>
      </c>
      <c r="J22" s="13" t="n">
        <f aca="false">(I22/A22)</f>
        <v>54.5281904761905</v>
      </c>
      <c r="K22" s="15" t="n">
        <f aca="false">IF(KWH&gt;0,((RATES*KWH)+TDU_DAILY)+(1*TAX),"")</f>
        <v>6.85944516129032</v>
      </c>
      <c r="L22" s="16" t="n">
        <f aca="false">(L21+K22)</f>
        <v>127.938283870968</v>
      </c>
      <c r="M22" s="17" t="n">
        <f aca="false">IF(AVERAGE_KWH&lt;&gt;"",AVERAGE_KWH*$A$33,$M21)</f>
        <v>1744.9020952381</v>
      </c>
      <c r="N22" s="17" t="n">
        <f aca="false">IF(PROJ_USAGE&gt;1000,((RATES*PROJ_USAGE)+ONCOR)*1+TAX-(CREDIT),"")</f>
        <v>91.4183588325653</v>
      </c>
      <c r="O22" s="18" t="str">
        <f aca="false">IF(BREAK-CUM_KWH&gt;0,BREAK-CUM_KWH,"")</f>
        <v/>
      </c>
    </row>
    <row r="23" customFormat="false" ht="15" hidden="false" customHeight="false" outlineLevel="0" collapsed="false">
      <c r="A23" s="4" t="n">
        <v>22</v>
      </c>
      <c r="B23" s="4" t="n">
        <f aca="false">$A$32-$A23</f>
        <v>9</v>
      </c>
      <c r="C23" s="11" t="str">
        <f aca="false">TEXT(D23,"ddd")</f>
        <v>Thu</v>
      </c>
      <c r="D23" s="193" t="n">
        <v>44749</v>
      </c>
      <c r="E23" s="193" t="n">
        <v>44750.2854282407</v>
      </c>
      <c r="F23" s="194" t="n">
        <v>72424.879</v>
      </c>
      <c r="G23" s="194" t="n">
        <v>72483.602</v>
      </c>
      <c r="H23" s="195" t="n">
        <v>58.726</v>
      </c>
      <c r="I23" s="13" t="n">
        <f aca="false">(I22+H23)</f>
        <v>1203.818</v>
      </c>
      <c r="J23" s="13" t="n">
        <f aca="false">(I23/A23)</f>
        <v>54.719</v>
      </c>
      <c r="K23" s="15" t="n">
        <f aca="false">IF(KWH&gt;0,((RATES*KWH)+TDU_DAILY)+(1*TAX),"")</f>
        <v>6.5505935483871</v>
      </c>
      <c r="L23" s="16" t="n">
        <f aca="false">(L22+K23)</f>
        <v>134.488877419355</v>
      </c>
      <c r="M23" s="17" t="n">
        <f aca="false">IF(AVERAGE_KWH&lt;&gt;"",AVERAGE_KWH*$A$33,$M22)</f>
        <v>1751.008</v>
      </c>
      <c r="N23" s="17" t="n">
        <f aca="false">IF(PROJ_USAGE&gt;1000,((RATES*PROJ_USAGE)+ONCOR)*1+TAX-(CREDIT),"")</f>
        <v>92.0880387096775</v>
      </c>
      <c r="O23" s="18" t="str">
        <f aca="false">IF(BREAK-CUM_KWH&gt;0,BREAK-CUM_KWH,"")</f>
        <v/>
      </c>
    </row>
    <row r="24" customFormat="false" ht="15" hidden="false" customHeight="false" outlineLevel="0" collapsed="false">
      <c r="A24" s="4" t="n">
        <v>23</v>
      </c>
      <c r="B24" s="4" t="n">
        <f aca="false">$A$32-$A24</f>
        <v>8</v>
      </c>
      <c r="C24" s="11" t="str">
        <f aca="false">TEXT(D24,"ddd")</f>
        <v>Fri</v>
      </c>
      <c r="D24" s="193" t="n">
        <v>44750</v>
      </c>
      <c r="E24" s="193" t="n">
        <v>44751.2853240741</v>
      </c>
      <c r="F24" s="194" t="n">
        <v>72483.602</v>
      </c>
      <c r="G24" s="194" t="n">
        <v>72545.388</v>
      </c>
      <c r="H24" s="195" t="n">
        <v>61.784</v>
      </c>
      <c r="I24" s="13" t="n">
        <f aca="false">(I23+H24)</f>
        <v>1265.602</v>
      </c>
      <c r="J24" s="13" t="n">
        <f aca="false">(I24/A24)</f>
        <v>55.0261739130435</v>
      </c>
      <c r="K24" s="15" t="n">
        <f aca="false">IF(KWH&gt;0,((RATES*KWH)+TDU_DAILY)+(1*TAX),"")</f>
        <v>6.88598709677419</v>
      </c>
      <c r="L24" s="16" t="n">
        <f aca="false">(L23+K24)</f>
        <v>141.374864516129</v>
      </c>
      <c r="M24" s="17" t="n">
        <f aca="false">IF(AVERAGE_KWH&lt;&gt;"",AVERAGE_KWH*$A$33,$M23)</f>
        <v>1760.83756521739</v>
      </c>
      <c r="N24" s="17" t="n">
        <f aca="false">IF(PROJ_USAGE&gt;1000,((RATES*PROJ_USAGE)+ONCOR)*1+TAX-(CREDIT),"")</f>
        <v>93.1661200561011</v>
      </c>
      <c r="O24" s="18" t="str">
        <f aca="false">IF(BREAK-CUM_KWH&gt;0,BREAK-CUM_KWH,"")</f>
        <v/>
      </c>
    </row>
    <row r="25" customFormat="false" ht="15" hidden="false" customHeight="false" outlineLevel="0" collapsed="false">
      <c r="A25" s="4" t="n">
        <v>24</v>
      </c>
      <c r="B25" s="4" t="n">
        <f aca="false">$A$32-$A25</f>
        <v>7</v>
      </c>
      <c r="C25" s="11" t="str">
        <f aca="false">TEXT(D25,"ddd")</f>
        <v>Sat</v>
      </c>
      <c r="D25" s="193" t="n">
        <v>44751</v>
      </c>
      <c r="E25" s="193" t="n">
        <v>44752.2987731482</v>
      </c>
      <c r="F25" s="194" t="n">
        <v>72545.388</v>
      </c>
      <c r="G25" s="194" t="n">
        <v>72610.751</v>
      </c>
      <c r="H25" s="195" t="n">
        <v>65.358</v>
      </c>
      <c r="I25" s="13" t="n">
        <f aca="false">(I24+H25)</f>
        <v>1330.96</v>
      </c>
      <c r="J25" s="13" t="n">
        <f aca="false">(I25/A25)</f>
        <v>55.4566666666667</v>
      </c>
      <c r="K25" s="15" t="n">
        <f aca="false">IF(KWH&gt;0,((RATES*KWH)+TDU_DAILY)+(1*TAX),"")</f>
        <v>7.27797419354839</v>
      </c>
      <c r="L25" s="16" t="n">
        <f aca="false">(L24+K25)</f>
        <v>148.652838709677</v>
      </c>
      <c r="M25" s="17" t="n">
        <f aca="false">IF(AVERAGE_KWH&lt;&gt;"",AVERAGE_KWH*$A$33,$M24)</f>
        <v>1774.61333333333</v>
      </c>
      <c r="N25" s="17" t="n">
        <f aca="false">IF(PROJ_USAGE&gt;1000,((RATES*PROJ_USAGE)+ONCOR)*1+TAX-(CREDIT),"")</f>
        <v>94.6770107526882</v>
      </c>
      <c r="O25" s="18" t="str">
        <f aca="false">IF(BREAK-CUM_KWH&gt;0,BREAK-CUM_KWH,"")</f>
        <v/>
      </c>
    </row>
    <row r="26" customFormat="false" ht="15" hidden="false" customHeight="false" outlineLevel="0" collapsed="false">
      <c r="A26" s="4" t="n">
        <v>25</v>
      </c>
      <c r="B26" s="4" t="n">
        <f aca="false">$A$32-$A26</f>
        <v>6</v>
      </c>
      <c r="C26" s="11" t="str">
        <f aca="false">TEXT(D26,"ddd")</f>
        <v>Sun</v>
      </c>
      <c r="D26" s="193" t="n">
        <v>44752</v>
      </c>
      <c r="E26" s="193" t="n">
        <v>44753.2801851852</v>
      </c>
      <c r="F26" s="194" t="n">
        <v>72610.751</v>
      </c>
      <c r="G26" s="194" t="n">
        <v>72679.226</v>
      </c>
      <c r="H26" s="195" t="n">
        <v>68.472</v>
      </c>
      <c r="I26" s="13" t="n">
        <f aca="false">(I25+H26)</f>
        <v>1399.432</v>
      </c>
      <c r="J26" s="13" t="n">
        <f aca="false">(I26/A26)</f>
        <v>55.97728</v>
      </c>
      <c r="K26" s="15" t="n">
        <f aca="false">IF(KWH&gt;0,((RATES*KWH)+TDU_DAILY)+(1*TAX),"")</f>
        <v>7.61950967741935</v>
      </c>
      <c r="L26" s="16" t="n">
        <f aca="false">(L25+K26)</f>
        <v>156.272348387097</v>
      </c>
      <c r="M26" s="17" t="n">
        <f aca="false">IF(AVERAGE_KWH&lt;&gt;"",AVERAGE_KWH*$A$33,$M25)</f>
        <v>1791.27296</v>
      </c>
      <c r="N26" s="17" t="n">
        <f aca="false">IF(PROJ_USAGE&gt;1000,((RATES*PROJ_USAGE)+ONCOR)*1+TAX-(CREDIT),"")</f>
        <v>96.5041956129033</v>
      </c>
      <c r="O26" s="18" t="str">
        <f aca="false">IF(BREAK-CUM_KWH&gt;0,BREAK-CUM_KWH,"")</f>
        <v/>
      </c>
    </row>
    <row r="27" customFormat="false" ht="15" hidden="false" customHeight="false" outlineLevel="0" collapsed="false">
      <c r="A27" s="4" t="n">
        <v>26</v>
      </c>
      <c r="B27" s="4" t="n">
        <f aca="false">$A$32-$A27</f>
        <v>5</v>
      </c>
      <c r="C27" s="11" t="str">
        <f aca="false">TEXT(D27,"ddd")</f>
        <v>Mon</v>
      </c>
      <c r="D27" s="193" t="n">
        <v>44753</v>
      </c>
      <c r="E27" s="193" t="n">
        <v>44754.2808796296</v>
      </c>
      <c r="F27" s="194" t="n">
        <v>72679.226</v>
      </c>
      <c r="G27" s="194" t="n">
        <v>72746.002</v>
      </c>
      <c r="H27" s="195" t="n">
        <v>66.774</v>
      </c>
      <c r="I27" s="13" t="n">
        <f aca="false">(I26+H27)</f>
        <v>1466.206</v>
      </c>
      <c r="J27" s="13" t="n">
        <f aca="false">(I27/A27)</f>
        <v>56.3925384615385</v>
      </c>
      <c r="K27" s="15" t="n">
        <f aca="false">IF(KWH&gt;0,((RATES*KWH)+TDU_DAILY)+(1*TAX),"")</f>
        <v>7.43327741935484</v>
      </c>
      <c r="L27" s="16" t="n">
        <f aca="false">(L26+K27)</f>
        <v>163.705625806452</v>
      </c>
      <c r="M27" s="17" t="n">
        <f aca="false">IF(AVERAGE_KWH&lt;&gt;"",AVERAGE_KWH*$A$33,$M26)</f>
        <v>1804.56123076923</v>
      </c>
      <c r="N27" s="17" t="n">
        <f aca="false">IF(PROJ_USAGE&gt;1000,((RATES*PROJ_USAGE)+ONCOR)*1+TAX-(CREDIT),"")</f>
        <v>97.9616188585608</v>
      </c>
      <c r="O27" s="18" t="str">
        <f aca="false">IF(BREAK-CUM_KWH&gt;0,BREAK-CUM_KWH,"")</f>
        <v/>
      </c>
    </row>
    <row r="28" customFormat="false" ht="15" hidden="false" customHeight="false" outlineLevel="0" collapsed="false">
      <c r="A28" s="4" t="n">
        <v>27</v>
      </c>
      <c r="B28" s="4" t="n">
        <f aca="false">$A$32-$A28</f>
        <v>4</v>
      </c>
      <c r="C28" s="11" t="str">
        <f aca="false">TEXT(D28,"ddd")</f>
        <v>Tue</v>
      </c>
      <c r="D28" s="193" t="n">
        <v>44754</v>
      </c>
      <c r="E28" s="193" t="n">
        <v>44756.2805324074</v>
      </c>
      <c r="F28" s="194" t="n">
        <v>72746.002</v>
      </c>
      <c r="G28" s="194" t="n">
        <v>72813.82</v>
      </c>
      <c r="H28" s="195" t="n">
        <v>67.816</v>
      </c>
      <c r="I28" s="13" t="n">
        <f aca="false">(I27+H28)</f>
        <v>1534.022</v>
      </c>
      <c r="J28" s="13" t="n">
        <f aca="false">(I28/A28)</f>
        <v>56.8156296296296</v>
      </c>
      <c r="K28" s="15" t="n">
        <f aca="false">IF(KWH&gt;0,((RATES*KWH)+TDU_DAILY)+(1*TAX),"")</f>
        <v>7.54756129032258</v>
      </c>
      <c r="L28" s="16" t="n">
        <f aca="false">(L27+K28)</f>
        <v>171.253187096774</v>
      </c>
      <c r="M28" s="17" t="n">
        <f aca="false">IF(AVERAGE_KWH&lt;&gt;"",AVERAGE_KWH*$A$33,$M27)</f>
        <v>1818.10014814815</v>
      </c>
      <c r="N28" s="17" t="n">
        <f aca="false">IF(PROJ_USAGE&gt;1000,((RATES*PROJ_USAGE)+ONCOR)*1+TAX-(CREDIT),"")</f>
        <v>99.4465323775389</v>
      </c>
      <c r="O28" s="18" t="str">
        <f aca="false">IF(BREAK-CUM_KWH&gt;0,BREAK-CUM_KWH,"")</f>
        <v/>
      </c>
    </row>
    <row r="29" customFormat="false" ht="15" hidden="false" customHeight="false" outlineLevel="0" collapsed="false">
      <c r="A29" s="4" t="n">
        <v>28</v>
      </c>
      <c r="B29" s="4" t="n">
        <f aca="false">$A$32-$A29</f>
        <v>3</v>
      </c>
      <c r="C29" s="11" t="str">
        <f aca="false">TEXT(D29,"ddd")</f>
        <v>Wed</v>
      </c>
      <c r="D29" s="193" t="n">
        <v>44755</v>
      </c>
      <c r="E29" s="193" t="n">
        <v>44756.2799884259</v>
      </c>
      <c r="F29" s="194" t="n">
        <v>72813.82</v>
      </c>
      <c r="G29" s="194" t="n">
        <v>72885.246</v>
      </c>
      <c r="H29" s="195" t="n">
        <v>71.426</v>
      </c>
      <c r="I29" s="13" t="n">
        <f aca="false">(I28+H29)</f>
        <v>1605.448</v>
      </c>
      <c r="J29" s="13" t="n">
        <f aca="false">(I29/A29)</f>
        <v>57.3374285714286</v>
      </c>
      <c r="K29" s="15" t="n">
        <f aca="false">IF(KWH&gt;0,((RATES*KWH)+TDU_DAILY)+(1*TAX),"")</f>
        <v>7.94349677419355</v>
      </c>
      <c r="L29" s="16" t="n">
        <f aca="false">(L28+K29)</f>
        <v>179.196683870968</v>
      </c>
      <c r="M29" s="17" t="n">
        <f aca="false">IF(AVERAGE_KWH&lt;&gt;"",AVERAGE_KWH*$A$33,$M28)</f>
        <v>1834.79771428571</v>
      </c>
      <c r="N29" s="17" t="n">
        <f aca="false">IF(PROJ_USAGE&gt;1000,((RATES*PROJ_USAGE)+ONCOR)*1+TAX-(CREDIT),"")</f>
        <v>101.277878341014</v>
      </c>
      <c r="O29" s="18" t="str">
        <f aca="false">IF(BREAK-CUM_KWH&gt;0,BREAK-CUM_KWH,"")</f>
        <v/>
      </c>
    </row>
    <row r="30" customFormat="false" ht="15" hidden="false" customHeight="false" outlineLevel="0" collapsed="false">
      <c r="A30" s="4" t="n">
        <v>29</v>
      </c>
      <c r="B30" s="4" t="n">
        <f aca="false">$A$32-$A30</f>
        <v>2</v>
      </c>
      <c r="C30" s="11" t="str">
        <f aca="false">TEXT(D30,"ddd")</f>
        <v>Thu</v>
      </c>
      <c r="D30" s="193" t="n">
        <v>44756</v>
      </c>
      <c r="E30" s="193" t="n">
        <v>44757.2907523148</v>
      </c>
      <c r="F30" s="194" t="n">
        <v>72885.246</v>
      </c>
      <c r="G30" s="194" t="n">
        <v>72938.237</v>
      </c>
      <c r="H30" s="195" t="n">
        <v>52.991</v>
      </c>
      <c r="I30" s="13" t="n">
        <f aca="false">(I29+H30)</f>
        <v>1658.439</v>
      </c>
      <c r="J30" s="13" t="n">
        <f aca="false">(I30/A30)</f>
        <v>57.1875517241379</v>
      </c>
      <c r="K30" s="15" t="n">
        <f aca="false">IF(KWH&gt;0,((RATES*KWH)+TDU_DAILY)+(1*TAX),"")</f>
        <v>5.9215935483871</v>
      </c>
      <c r="L30" s="16" t="n">
        <f aca="false">(L29+K30)</f>
        <v>185.118277419355</v>
      </c>
      <c r="M30" s="17" t="n">
        <f aca="false">IF(AVERAGE_KWH&lt;&gt;"",AVERAGE_KWH*$A$33,$M29)</f>
        <v>1830.00165517241</v>
      </c>
      <c r="N30" s="17" t="n">
        <f aca="false">IF(PROJ_USAGE&gt;1000,((RATES*PROJ_USAGE)+ONCOR)*1+TAX-(CREDIT),"")</f>
        <v>100.751858954394</v>
      </c>
      <c r="O30" s="18" t="str">
        <f aca="false">IF(BREAK-CUM_KWH&gt;0,BREAK-CUM_KWH,"")</f>
        <v/>
      </c>
    </row>
    <row r="31" customFormat="false" ht="15" hidden="false" customHeight="false" outlineLevel="0" collapsed="false">
      <c r="A31" s="4" t="n">
        <v>30</v>
      </c>
      <c r="B31" s="4" t="n">
        <f aca="false">$A$32-$A31</f>
        <v>1</v>
      </c>
      <c r="C31" s="11" t="str">
        <f aca="false">TEXT(D31,"ddd")</f>
        <v>Fri</v>
      </c>
      <c r="D31" s="193" t="n">
        <v>44757</v>
      </c>
      <c r="E31" s="193" t="n">
        <v>44758.2798842593</v>
      </c>
      <c r="F31" s="194" t="n">
        <v>72938.237</v>
      </c>
      <c r="G31" s="194" t="n">
        <v>72991.415</v>
      </c>
      <c r="H31" s="195" t="n">
        <v>53.177</v>
      </c>
      <c r="I31" s="13" t="n">
        <f aca="false">(I30+H31)</f>
        <v>1711.616</v>
      </c>
      <c r="J31" s="13" t="n">
        <f aca="false">(I31/A31)</f>
        <v>57.0538666666667</v>
      </c>
      <c r="K31" s="15" t="n">
        <f aca="false">IF(KWH&gt;0,((RATES*KWH)+TDU_DAILY)+(1*TAX),"")</f>
        <v>5.9419935483871</v>
      </c>
      <c r="L31" s="16" t="n">
        <f aca="false">(L30+K31)</f>
        <v>191.060270967742</v>
      </c>
      <c r="M31" s="17" t="n">
        <f aca="false">IF(AVERAGE_KWH&lt;&gt;"",AVERAGE_KWH*$A$33,$M30)</f>
        <v>1825.72373333333</v>
      </c>
      <c r="N31" s="17" t="n">
        <f aca="false">IF(PROJ_USAGE&gt;1000,((RATES*PROJ_USAGE)+ONCOR)*1+TAX-(CREDIT),"")</f>
        <v>100.282667526882</v>
      </c>
      <c r="O31" s="18" t="str">
        <f aca="false">IF(BREAK-CUM_KWH&gt;0,BREAK-CUM_KWH,"")</f>
        <v/>
      </c>
    </row>
    <row r="32" customFormat="false" ht="15" hidden="false" customHeight="false" outlineLevel="0" collapsed="false">
      <c r="A32" s="4" t="n">
        <v>31</v>
      </c>
      <c r="B32" s="4" t="n">
        <f aca="false">$A$32-$A32</f>
        <v>0</v>
      </c>
      <c r="C32" s="11" t="str">
        <f aca="false">TEXT(D32,"ddd")</f>
        <v>Sat</v>
      </c>
      <c r="D32" s="193" t="n">
        <v>44758</v>
      </c>
      <c r="E32" s="193" t="n">
        <v>44759.3012268519</v>
      </c>
      <c r="F32" s="194" t="n">
        <v>72991.415</v>
      </c>
      <c r="G32" s="194" t="n">
        <v>73049.317</v>
      </c>
      <c r="H32" s="195" t="n">
        <v>57.906</v>
      </c>
      <c r="I32" s="13" t="n">
        <f aca="false">(I31+H32)</f>
        <v>1769.522</v>
      </c>
      <c r="J32" s="13" t="n">
        <f aca="false">(I32/A32)</f>
        <v>57.0813548387097</v>
      </c>
      <c r="K32" s="15" t="n">
        <f aca="false">IF(KWH&gt;0,((RATES*KWH)+TDU_DAILY)+(1*TAX),"")</f>
        <v>6.46065806451613</v>
      </c>
      <c r="L32" s="16" t="n">
        <f aca="false">(L31+K32)</f>
        <v>197.520929032258</v>
      </c>
      <c r="M32" s="17" t="n">
        <f aca="false">IF(AVERAGE_KWH&lt;&gt;"",AVERAGE_KWH*$A$33,$M31)</f>
        <v>1826.60335483871</v>
      </c>
      <c r="N32" s="17" t="n">
        <f aca="false">IF(PROJ_USAGE&gt;1000,((RATES*PROJ_USAGE)+ONCOR)*1+TAX-(CREDIT),"")</f>
        <v>100.3791421436</v>
      </c>
      <c r="O32" s="18" t="str">
        <f aca="false">IF(BREAK-CUM_KWH&gt;0,BREAK-CUM_KWH,"")</f>
        <v/>
      </c>
    </row>
    <row r="33" customFormat="false" ht="15" hidden="false" customHeight="false" outlineLevel="0" collapsed="false">
      <c r="A33" s="4" t="n">
        <v>32</v>
      </c>
      <c r="B33" s="4" t="n">
        <f aca="false">$A$32-$A33</f>
        <v>-1</v>
      </c>
      <c r="C33" s="11" t="str">
        <f aca="false">TEXT(D33,"ddd")</f>
        <v>Sun</v>
      </c>
      <c r="D33" s="193" t="n">
        <v>44759</v>
      </c>
      <c r="E33" s="193" t="n">
        <v>44760.2800810185</v>
      </c>
      <c r="F33" s="194" t="n">
        <v>73049.317</v>
      </c>
      <c r="G33" s="194" t="n">
        <v>73113.739</v>
      </c>
      <c r="H33" s="195" t="n">
        <v>64.421</v>
      </c>
      <c r="I33" s="13" t="n">
        <f aca="false">(I32+H33)</f>
        <v>1833.943</v>
      </c>
      <c r="J33" s="13" t="n">
        <f aca="false">(I33/A33)</f>
        <v>57.31071875</v>
      </c>
      <c r="K33" s="15" t="n">
        <f aca="false">IF(KWH&gt;0,((RATES*KWH)+TDU_DAILY)+(1*TAX),"")</f>
        <v>7.1752064516129</v>
      </c>
      <c r="L33" s="16" t="n">
        <f aca="false">(L32+K33)</f>
        <v>204.696135483871</v>
      </c>
      <c r="M33" s="17" t="n">
        <f aca="false">IF(AVERAGE_KWH&lt;&gt;"",AVERAGE_KWH*$A$33,$M32)</f>
        <v>1833.943</v>
      </c>
      <c r="N33" s="17" t="n">
        <f aca="false">IF(PROJ_USAGE&gt;1000,((RATES*PROJ_USAGE)+ONCOR)*1+TAX-(CREDIT),"")</f>
        <v>101.184135483871</v>
      </c>
      <c r="O33" s="18" t="str">
        <f aca="false">IF(BREAK-CUM_KWH&gt;0,BREAK-CUM_KWH,"")</f>
        <v/>
      </c>
    </row>
    <row r="34" customFormat="false" ht="15" hidden="false" customHeight="false" outlineLevel="0" collapsed="false">
      <c r="D34" s="193"/>
      <c r="E34" s="193"/>
      <c r="F34" s="196"/>
      <c r="G34" s="196"/>
      <c r="H34" s="197"/>
      <c r="L34" s="47"/>
      <c r="M34" s="2"/>
      <c r="N34" s="2"/>
    </row>
    <row r="35" customFormat="false" ht="15" hidden="false" customHeight="false" outlineLevel="0" collapsed="false">
      <c r="D35" s="1"/>
      <c r="E35" s="1" t="s">
        <v>124</v>
      </c>
      <c r="G35" s="74"/>
      <c r="L35" s="47"/>
      <c r="M35" s="2"/>
      <c r="N35" s="2"/>
    </row>
    <row r="36" customFormat="false" ht="15" hidden="false" customHeight="false" outlineLevel="0" collapsed="false">
      <c r="G36" s="74"/>
      <c r="H36" s="188" t="n">
        <f aca="false">SUM(H2:H35)</f>
        <v>1833.943</v>
      </c>
      <c r="I36" s="149"/>
      <c r="L36" s="47"/>
      <c r="M36" s="2"/>
      <c r="N36" s="2"/>
    </row>
    <row r="37" customFormat="false" ht="15.75" hidden="false" customHeight="false" outlineLevel="0" collapsed="false">
      <c r="D37" s="34"/>
      <c r="E37" s="34"/>
      <c r="K37" s="47"/>
      <c r="L37" s="2"/>
      <c r="M37" s="2"/>
    </row>
    <row r="38" customFormat="false" ht="15" hidden="false" customHeight="false" outlineLevel="0" collapsed="false">
      <c r="D38" s="34"/>
      <c r="E38" s="34"/>
      <c r="H38" s="2"/>
      <c r="I38" s="81"/>
      <c r="K38" s="47"/>
      <c r="L38" s="2"/>
      <c r="M38" s="2"/>
    </row>
    <row r="39" customFormat="false" ht="15" hidden="false" customHeight="false" outlineLevel="0" collapsed="false">
      <c r="D39" s="34"/>
      <c r="E39" s="34"/>
      <c r="L39" s="2"/>
      <c r="M39" s="2"/>
    </row>
  </sheetData>
  <sheetProtection algorithmName="SHA-512" hashValue="2wtsahu+M87BzdJrMfSetDTcKXnID9mX2PNoGHKsaaWCeezes49wa0HF+SAaj3MIsh5n+xSH752ZvfFRqImJiw==" saltValue="wtsn3NejVsRq4iTkZyqgIw==" spinCount="100000" sheet="true" objects="true" scenarios="true"/>
  <conditionalFormatting sqref="Q2:S14">
    <cfRule type="expression" priority="2" aboveAverage="0" equalAverage="0" bottom="0" percent="0" rank="0" text="" dxfId="50">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0" activeCellId="0" sqref="I30"/>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5.42"/>
    <col collapsed="false" customWidth="true" hidden="false" outlineLevel="0" max="3" min="3" style="0" width="6.14"/>
    <col collapsed="false" customWidth="true" hidden="false" outlineLevel="0" max="5" min="4" style="0" width="9.71"/>
    <col collapsed="false" customWidth="true" hidden="false" outlineLevel="0" max="6" min="6" style="74" width="10.85"/>
    <col collapsed="false" customWidth="true" hidden="false" outlineLevel="0" max="7" min="7" style="0" width="10.42"/>
    <col collapsed="false" customWidth="true" hidden="false" outlineLevel="0" max="8" min="8" style="0" width="9.71"/>
    <col collapsed="false" customWidth="true" hidden="false" outlineLevel="0" max="10" min="10" style="0" width="10.42"/>
    <col collapsed="false" customWidth="true" hidden="false" outlineLevel="0" max="11" min="11" style="0" width="11"/>
    <col collapsed="false" customWidth="true" hidden="false" outlineLevel="0" max="13" min="12" style="0" width="11.29"/>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2</v>
      </c>
      <c r="C1" s="6" t="s">
        <v>1</v>
      </c>
      <c r="D1" s="114" t="s">
        <v>145</v>
      </c>
      <c r="E1" s="114" t="s">
        <v>146</v>
      </c>
      <c r="F1" s="114" t="s">
        <v>5</v>
      </c>
      <c r="G1" s="114" t="s">
        <v>6</v>
      </c>
      <c r="H1" s="6" t="s">
        <v>7</v>
      </c>
      <c r="I1" s="6" t="s">
        <v>8</v>
      </c>
      <c r="J1" s="145" t="s">
        <v>147</v>
      </c>
      <c r="K1" s="6" t="s">
        <v>149</v>
      </c>
      <c r="L1" s="6" t="s">
        <v>150</v>
      </c>
      <c r="M1" s="6" t="s">
        <v>12</v>
      </c>
      <c r="N1" s="8" t="s">
        <v>151</v>
      </c>
      <c r="O1" s="9" t="s">
        <v>137</v>
      </c>
      <c r="S1" s="10"/>
      <c r="T1" s="71"/>
      <c r="U1" s="72"/>
      <c r="V1" s="72"/>
      <c r="W1" s="71"/>
      <c r="X1" s="71"/>
      <c r="Y1" s="71"/>
      <c r="Z1" s="73"/>
      <c r="AA1" s="71"/>
      <c r="AB1" s="71"/>
      <c r="AC1" s="71"/>
    </row>
    <row r="2" s="102" customFormat="true" ht="15" hidden="false" customHeight="true" outlineLevel="0" collapsed="false">
      <c r="A2" s="45" t="n">
        <v>1</v>
      </c>
      <c r="B2" s="45" t="n">
        <f aca="false">$A$30-$A2</f>
        <v>28</v>
      </c>
      <c r="C2" s="86" t="str">
        <f aca="false">TEXT(D2,"ddd")</f>
        <v>Mon</v>
      </c>
      <c r="D2" s="189" t="n">
        <v>44669</v>
      </c>
      <c r="E2" s="189" t="n">
        <v>44670.2745949074</v>
      </c>
      <c r="F2" s="190" t="n">
        <v>68832.378</v>
      </c>
      <c r="G2" s="190" t="n">
        <v>68860.051</v>
      </c>
      <c r="H2" s="191" t="n">
        <v>27.676</v>
      </c>
      <c r="I2" s="87" t="n">
        <f aca="false">H2</f>
        <v>27.676</v>
      </c>
      <c r="J2" s="87" t="n">
        <f aca="false">(I2/A2)</f>
        <v>27.676</v>
      </c>
      <c r="K2" s="88" t="str">
        <f aca="false">IF(KWH&gt;0,((RATES*KWH)+TDU_DAILY)+(1*TAX),"")</f>
        <v/>
      </c>
      <c r="L2" s="89" t="str">
        <f aca="false">(K2)</f>
        <v/>
      </c>
      <c r="M2" s="198" t="s">
        <v>124</v>
      </c>
      <c r="N2" s="198" t="s">
        <v>124</v>
      </c>
      <c r="O2" s="91" t="n">
        <f aca="false">IF((BREAK-CUM_KWH)&gt;0,BREAK-CUM_KWH,"")</f>
        <v>972.324</v>
      </c>
      <c r="Q2" s="122" t="s">
        <v>18</v>
      </c>
      <c r="R2" s="159" t="s">
        <v>19</v>
      </c>
      <c r="S2" s="160"/>
      <c r="U2" s="126"/>
      <c r="V2" s="126"/>
    </row>
    <row r="3" s="102" customFormat="true" ht="15" hidden="false" customHeight="true" outlineLevel="0" collapsed="false">
      <c r="A3" s="45" t="n">
        <v>2</v>
      </c>
      <c r="B3" s="45" t="n">
        <f aca="false">$A$30-$A3</f>
        <v>27</v>
      </c>
      <c r="C3" s="86" t="str">
        <f aca="false">TEXT(D3,"ddd")</f>
        <v>Tue</v>
      </c>
      <c r="D3" s="189" t="n">
        <v>44670</v>
      </c>
      <c r="E3" s="189" t="n">
        <v>44671.2798611111</v>
      </c>
      <c r="F3" s="190" t="n">
        <v>68860.051</v>
      </c>
      <c r="G3" s="190" t="n">
        <v>68883.485</v>
      </c>
      <c r="H3" s="191" t="n">
        <v>23.433</v>
      </c>
      <c r="I3" s="87" t="n">
        <f aca="false">(I2+H3)</f>
        <v>51.109</v>
      </c>
      <c r="J3" s="87" t="n">
        <f aca="false">(I3/A3)</f>
        <v>25.5545</v>
      </c>
      <c r="K3" s="88" t="str">
        <f aca="false">IF(KWH&gt;0,((RATES*KWH)+TDU_DAILY)+(1*TAX),"")</f>
        <v/>
      </c>
      <c r="L3" s="89" t="e">
        <f aca="false">(L2+K3)</f>
        <v>#VALUE!</v>
      </c>
      <c r="M3" s="198"/>
      <c r="N3" s="198"/>
      <c r="O3" s="91" t="n">
        <f aca="false">IF((BREAK-CUM_KWH)&gt;0,BREAK-CUM_KWH,"")</f>
        <v>948.891</v>
      </c>
      <c r="Q3" s="127" t="s">
        <v>22</v>
      </c>
      <c r="R3" s="164" t="n">
        <f aca="false">(F2+1000)</f>
        <v>69832.378</v>
      </c>
      <c r="S3" s="165"/>
      <c r="V3" s="72"/>
      <c r="W3" s="71"/>
      <c r="X3" s="71"/>
      <c r="Y3" s="130"/>
      <c r="AC3" s="131"/>
    </row>
    <row r="4" s="102" customFormat="true" ht="15" hidden="false" customHeight="true" outlineLevel="0" collapsed="false">
      <c r="A4" s="45" t="n">
        <v>3</v>
      </c>
      <c r="B4" s="45" t="n">
        <f aca="false">$A$30-$A4</f>
        <v>26</v>
      </c>
      <c r="C4" s="86" t="str">
        <f aca="false">TEXT(D4,"ddd")</f>
        <v>Wed</v>
      </c>
      <c r="D4" s="189" t="n">
        <v>44671</v>
      </c>
      <c r="E4" s="189" t="n">
        <v>44672.2798148148</v>
      </c>
      <c r="F4" s="190" t="n">
        <v>68883.485</v>
      </c>
      <c r="G4" s="190" t="n">
        <v>68919.619</v>
      </c>
      <c r="H4" s="191" t="n">
        <v>36.131</v>
      </c>
      <c r="I4" s="87" t="n">
        <f aca="false">(I3+H4)</f>
        <v>87.24</v>
      </c>
      <c r="J4" s="87" t="n">
        <f aca="false">(I4/A4)</f>
        <v>29.08</v>
      </c>
      <c r="K4" s="88" t="str">
        <f aca="false">IF(KWH&gt;0,((RATES*KWH)+TDU_DAILY)+(1*TAX),"")</f>
        <v/>
      </c>
      <c r="L4" s="89" t="e">
        <f aca="false">(L3+K4)</f>
        <v>#VALUE!</v>
      </c>
      <c r="M4" s="90" t="n">
        <f aca="false">IF(AVERAGE_KWH&lt;&gt;"",AVERAGE_KWH*$A$33,$M3)</f>
        <v>0</v>
      </c>
      <c r="N4" s="90" t="str">
        <f aca="false">IF(PROJ_USAGE&gt;1000,((RATES*PROJ_USAGE)+ONCOR)*1+TAX-(CREDIT),"")</f>
        <v/>
      </c>
      <c r="O4" s="91" t="n">
        <f aca="false">IF((BREAK-CUM_KWH)&gt;0,BREAK-CUM_KWH,"")</f>
        <v>912.76</v>
      </c>
      <c r="Q4" s="127" t="s">
        <v>25</v>
      </c>
      <c r="R4" s="165"/>
      <c r="S4" s="167" t="n">
        <v>0.001667</v>
      </c>
      <c r="U4" s="134"/>
      <c r="V4" s="147"/>
      <c r="W4" s="135"/>
      <c r="X4" s="135"/>
      <c r="Y4" s="135"/>
      <c r="Z4" s="136"/>
      <c r="AC4" s="131"/>
    </row>
    <row r="5" s="45" customFormat="true" ht="15" hidden="false" customHeight="true" outlineLevel="0" collapsed="false">
      <c r="A5" s="45" t="n">
        <v>4</v>
      </c>
      <c r="B5" s="45" t="n">
        <f aca="false">$A$30-$A5</f>
        <v>25</v>
      </c>
      <c r="C5" s="86" t="str">
        <f aca="false">TEXT(D5,"ddd")</f>
        <v>Thu</v>
      </c>
      <c r="D5" s="189" t="n">
        <v>44672</v>
      </c>
      <c r="E5" s="189" t="n">
        <v>44673.2742708333</v>
      </c>
      <c r="F5" s="190" t="n">
        <v>68919.619</v>
      </c>
      <c r="G5" s="190" t="n">
        <v>68953.21</v>
      </c>
      <c r="H5" s="191" t="n">
        <v>33.592</v>
      </c>
      <c r="I5" s="87" t="n">
        <f aca="false">(I4+H5)</f>
        <v>120.832</v>
      </c>
      <c r="J5" s="87" t="n">
        <f aca="false">(I5/A5)</f>
        <v>30.208</v>
      </c>
      <c r="K5" s="88" t="str">
        <f aca="false">IF(KWH&gt;0,((RATES*KWH)+TDU_DAILY)+(1*TAX),"")</f>
        <v/>
      </c>
      <c r="L5" s="89" t="e">
        <f aca="false">(L4+K5)</f>
        <v>#VALUE!</v>
      </c>
      <c r="M5" s="90" t="n">
        <f aca="false">IF(AVERAGE_KWH&lt;&gt;"",AVERAGE_KWH*$A$33,$M4)</f>
        <v>0</v>
      </c>
      <c r="N5" s="90" t="str">
        <f aca="false">IF(PROJ_USAGE&gt;1000,((RATES*PROJ_USAGE)+ONCOR)*1+TAX-(CREDIT),"")</f>
        <v/>
      </c>
      <c r="O5" s="91" t="n">
        <f aca="false">IF((BREAK-CUM_KWH)&gt;0,BREAK-CUM_KWH,"")</f>
        <v>879.168</v>
      </c>
      <c r="P5" s="27"/>
      <c r="Q5" s="127" t="s">
        <v>28</v>
      </c>
      <c r="R5" s="165"/>
      <c r="S5" s="167" t="n">
        <v>0.042</v>
      </c>
      <c r="T5" s="161"/>
    </row>
    <row r="6" customFormat="false" ht="15" hidden="false" customHeight="true" outlineLevel="0" collapsed="false">
      <c r="A6" s="4" t="n">
        <v>5</v>
      </c>
      <c r="B6" s="4" t="n">
        <f aca="false">$A$30-$A6</f>
        <v>24</v>
      </c>
      <c r="C6" s="11" t="str">
        <f aca="false">TEXT(D6,"ddd")</f>
        <v>Fri</v>
      </c>
      <c r="D6" s="193" t="n">
        <v>44673</v>
      </c>
      <c r="E6" s="193" t="n">
        <v>44674.2751967593</v>
      </c>
      <c r="F6" s="194" t="n">
        <v>68953.21</v>
      </c>
      <c r="G6" s="194" t="n">
        <v>68988.419</v>
      </c>
      <c r="H6" s="195" t="n">
        <v>35.211</v>
      </c>
      <c r="I6" s="13" t="n">
        <f aca="false">(I5+H6)</f>
        <v>156.043</v>
      </c>
      <c r="J6" s="13" t="n">
        <f aca="false">(I6/A6)</f>
        <v>31.2086</v>
      </c>
      <c r="K6" s="15" t="str">
        <f aca="false">IF(KWH&gt;0,((RATES*KWH)+TDU_DAILY)+(1*TAX),"")</f>
        <v/>
      </c>
      <c r="L6" s="16" t="e">
        <f aca="false">(L5+K6)</f>
        <v>#VALUE!</v>
      </c>
      <c r="M6" s="17" t="n">
        <f aca="false">IF(AVERAGE_KWH&lt;&gt;"",AVERAGE_KWH*$A$33,$M5)</f>
        <v>0</v>
      </c>
      <c r="N6" s="17" t="str">
        <f aca="false">IF(PROJ_USAGE&gt;1000,((RATES*PROJ_USAGE)+ONCOR)*1+TAX-(CREDIT),"")</f>
        <v/>
      </c>
      <c r="O6" s="18" t="n">
        <f aca="false">IF((BREAK-CUM_KWH)&gt;0,BREAK-CUM_KWH,"")</f>
        <v>843.957</v>
      </c>
      <c r="Q6" s="22" t="s">
        <v>31</v>
      </c>
      <c r="R6" s="173"/>
      <c r="S6" s="186" t="n">
        <v>0.154</v>
      </c>
      <c r="T6" s="83"/>
    </row>
    <row r="7" customFormat="false" ht="15" hidden="false" customHeight="true" outlineLevel="0" collapsed="false">
      <c r="A7" s="4" t="n">
        <v>6</v>
      </c>
      <c r="B7" s="4" t="n">
        <f aca="false">$A$30-$A7</f>
        <v>23</v>
      </c>
      <c r="C7" s="11" t="str">
        <f aca="false">TEXT(D7,"ddd")</f>
        <v>Sat</v>
      </c>
      <c r="D7" s="193" t="n">
        <v>44674</v>
      </c>
      <c r="E7" s="193" t="n">
        <v>44675.2938888889</v>
      </c>
      <c r="F7" s="194" t="n">
        <v>68988.419</v>
      </c>
      <c r="G7" s="194" t="n">
        <v>69022.925</v>
      </c>
      <c r="H7" s="195" t="n">
        <v>34.504</v>
      </c>
      <c r="I7" s="13" t="n">
        <f aca="false">(I6+H7)</f>
        <v>190.547</v>
      </c>
      <c r="J7" s="13" t="n">
        <f aca="false">(I7/A7)</f>
        <v>31.7578333333333</v>
      </c>
      <c r="K7" s="15" t="str">
        <f aca="false">IF(KWH&gt;0,((RATES*KWH)+TDU_DAILY)+(1*TAX),"")</f>
        <v/>
      </c>
      <c r="L7" s="16" t="e">
        <f aca="false">(L6+K7)</f>
        <v>#VALUE!</v>
      </c>
      <c r="M7" s="17" t="n">
        <f aca="false">IF(AVERAGE_KWH&lt;&gt;"",AVERAGE_KWH*$A$33,$M6)</f>
        <v>0</v>
      </c>
      <c r="N7" s="17" t="str">
        <f aca="false">IF(PROJ_USAGE&gt;1000,((RATES*PROJ_USAGE)+ONCOR)*1+TAX-(CREDIT),"")</f>
        <v/>
      </c>
      <c r="O7" s="18" t="n">
        <f aca="false">IF((BREAK-CUM_KWH)&gt;0,BREAK-CUM_KWH,"")</f>
        <v>809.453</v>
      </c>
      <c r="Q7" s="22" t="s">
        <v>34</v>
      </c>
      <c r="R7" s="173"/>
      <c r="S7" s="187" t="n">
        <f aca="false">SUM(S4:S6)</f>
        <v>0.197667</v>
      </c>
      <c r="T7" s="83"/>
    </row>
    <row r="8" customFormat="false" ht="15" hidden="false" customHeight="false" outlineLevel="0" collapsed="false">
      <c r="A8" s="4" t="n">
        <v>7</v>
      </c>
      <c r="B8" s="4" t="n">
        <f aca="false">$A$30-$A8</f>
        <v>22</v>
      </c>
      <c r="C8" s="11" t="str">
        <f aca="false">TEXT(D8,"ddd")</f>
        <v>Sun</v>
      </c>
      <c r="D8" s="193" t="n">
        <v>44675</v>
      </c>
      <c r="E8" s="193" t="n">
        <v>44676.2917476852</v>
      </c>
      <c r="F8" s="194" t="n">
        <v>69022.925</v>
      </c>
      <c r="G8" s="194" t="n">
        <v>69058.724</v>
      </c>
      <c r="H8" s="195" t="n">
        <v>35.798</v>
      </c>
      <c r="I8" s="13" t="n">
        <f aca="false">(I7+H8)</f>
        <v>226.345</v>
      </c>
      <c r="J8" s="13" t="n">
        <f aca="false">(I8/A8)</f>
        <v>32.335</v>
      </c>
      <c r="K8" s="15" t="str">
        <f aca="false">IF(KWH&gt;0,((RATES*KWH)+TDU_DAILY)+(1*TAX),"")</f>
        <v/>
      </c>
      <c r="L8" s="16" t="e">
        <f aca="false">(L7+K8)</f>
        <v>#VALUE!</v>
      </c>
      <c r="M8" s="17" t="n">
        <f aca="false">IF(AVERAGE_KWH&lt;&gt;"",AVERAGE_KWH*$A$33,$M7)</f>
        <v>0</v>
      </c>
      <c r="N8" s="17" t="str">
        <f aca="false">IF(PROJ_USAGE&gt;1000,((RATES*PROJ_USAGE)+ONCOR)*1+TAX-(CREDIT),"")</f>
        <v/>
      </c>
      <c r="O8" s="18" t="n">
        <f aca="false">IF((BREAK-CUM_KWH)&gt;0,BREAK-CUM_KWH,"")</f>
        <v>773.655</v>
      </c>
      <c r="Q8" s="22" t="s">
        <v>38</v>
      </c>
      <c r="R8" s="171" t="n">
        <v>3.4</v>
      </c>
      <c r="S8" s="172" t="n">
        <f aca="false">($R$8/DAYS)</f>
        <v>0.109677419354839</v>
      </c>
      <c r="T8" s="83"/>
    </row>
    <row r="9" customFormat="false" ht="15" hidden="false" customHeight="false" outlineLevel="0" collapsed="false">
      <c r="A9" s="4" t="n">
        <v>8</v>
      </c>
      <c r="B9" s="4" t="n">
        <f aca="false">$A$30-$A9</f>
        <v>21</v>
      </c>
      <c r="C9" s="11" t="str">
        <f aca="false">TEXT(D9,"ddd")</f>
        <v>Mon</v>
      </c>
      <c r="D9" s="193" t="n">
        <v>44676</v>
      </c>
      <c r="E9" s="193" t="n">
        <v>44677.2625</v>
      </c>
      <c r="F9" s="194" t="n">
        <v>69058.724</v>
      </c>
      <c r="G9" s="194" t="n">
        <v>69092.384</v>
      </c>
      <c r="H9" s="195" t="n">
        <v>33.661</v>
      </c>
      <c r="I9" s="13" t="n">
        <f aca="false">(I8+H9)</f>
        <v>260.006</v>
      </c>
      <c r="J9" s="13" t="n">
        <f aca="false">(I9/A9)</f>
        <v>32.50075</v>
      </c>
      <c r="K9" s="15" t="str">
        <f aca="false">IF(KWH&gt;0,((RATES*KWH)+TDU_DAILY)+(1*TAX),"")</f>
        <v/>
      </c>
      <c r="L9" s="16" t="e">
        <f aca="false">(L8+K9)</f>
        <v>#VALUE!</v>
      </c>
      <c r="M9" s="17" t="n">
        <f aca="false">IF(AVERAGE_KWH&lt;&gt;"",AVERAGE_KWH*$A$33,$M8)</f>
        <v>0</v>
      </c>
      <c r="N9" s="17" t="str">
        <f aca="false">IF(PROJ_USAGE&gt;1000,((RATES*PROJ_USAGE)+ONCOR)*1+TAX-(CREDIT),"")</f>
        <v/>
      </c>
      <c r="O9" s="18" t="n">
        <f aca="false">IF((BREAK-CUM_KWH)&gt;0,BREAK-CUM_KWH,"")</f>
        <v>739.994</v>
      </c>
      <c r="Q9" s="22" t="s">
        <v>42</v>
      </c>
      <c r="R9" s="173"/>
      <c r="S9" s="174" t="n">
        <v>0.01997</v>
      </c>
      <c r="T9" s="83"/>
    </row>
    <row r="10" customFormat="false" ht="15" hidden="false" customHeight="false" outlineLevel="0" collapsed="false">
      <c r="A10" s="4" t="n">
        <v>9</v>
      </c>
      <c r="B10" s="4" t="n">
        <f aca="false">$A$30-$A10</f>
        <v>20</v>
      </c>
      <c r="C10" s="11" t="str">
        <f aca="false">TEXT(D10,"ddd")</f>
        <v>Tue</v>
      </c>
      <c r="D10" s="193" t="n">
        <v>44677</v>
      </c>
      <c r="E10" s="193" t="n">
        <v>44678.2666435185</v>
      </c>
      <c r="F10" s="194" t="n">
        <v>69092.384</v>
      </c>
      <c r="G10" s="194" t="n">
        <v>69124.205</v>
      </c>
      <c r="H10" s="195" t="n">
        <v>31.823</v>
      </c>
      <c r="I10" s="13" t="n">
        <f aca="false">(I9+H10)</f>
        <v>291.829</v>
      </c>
      <c r="J10" s="13" t="n">
        <f aca="false">(I10/A10)</f>
        <v>32.4254444444444</v>
      </c>
      <c r="K10" s="15" t="str">
        <f aca="false">IF(KWH&gt;0,((RATES*KWH)+TDU_DAILY)+(1*TAX),"")</f>
        <v/>
      </c>
      <c r="L10" s="16" t="e">
        <f aca="false">(L9+K10)</f>
        <v>#VALUE!</v>
      </c>
      <c r="M10" s="17" t="n">
        <f aca="false">IF(AVERAGE_KWH&lt;&gt;"",AVERAGE_KWH*$A$33,$M9)</f>
        <v>0</v>
      </c>
      <c r="N10" s="17" t="str">
        <f aca="false">IF(PROJ_USAGE&gt;1000,((RATES*PROJ_USAGE)+ONCOR)*1+TAX-(CREDIT),"")</f>
        <v/>
      </c>
      <c r="O10" s="18" t="n">
        <f aca="false">IF((BREAK-CUM_KWH)&gt;0,BREAK-CUM_KWH,"")</f>
        <v>708.171</v>
      </c>
      <c r="Q10" s="22" t="s">
        <v>46</v>
      </c>
      <c r="R10" s="175" t="n">
        <v>100</v>
      </c>
      <c r="S10" s="174" t="n">
        <v>1000</v>
      </c>
      <c r="T10" s="83"/>
    </row>
    <row r="11" customFormat="false" ht="15" hidden="false" customHeight="false" outlineLevel="0" collapsed="false">
      <c r="A11" s="4" t="n">
        <v>10</v>
      </c>
      <c r="B11" s="4" t="n">
        <f aca="false">$A$30-$A11</f>
        <v>19</v>
      </c>
      <c r="C11" s="11" t="str">
        <f aca="false">TEXT(D11,"ddd")</f>
        <v>Wed</v>
      </c>
      <c r="D11" s="193" t="n">
        <v>44678</v>
      </c>
      <c r="E11" s="193" t="n">
        <v>44679.2633449074</v>
      </c>
      <c r="F11" s="194" t="n">
        <v>69124.205</v>
      </c>
      <c r="G11" s="194" t="n">
        <v>69151.148</v>
      </c>
      <c r="H11" s="195" t="n">
        <v>26.946</v>
      </c>
      <c r="I11" s="13" t="n">
        <f aca="false">(I10+H11)</f>
        <v>318.775</v>
      </c>
      <c r="J11" s="13" t="n">
        <f aca="false">(I11/A11)</f>
        <v>31.8775</v>
      </c>
      <c r="K11" s="15" t="str">
        <f aca="false">IF(KWH&gt;0,((RATES*KWH)+TDU_DAILY)+(1*TAX),"")</f>
        <v/>
      </c>
      <c r="L11" s="16" t="e">
        <f aca="false">(L10+K11)</f>
        <v>#VALUE!</v>
      </c>
      <c r="M11" s="17" t="n">
        <f aca="false">IF(AVERAGE_KWH&lt;&gt;"",AVERAGE_KWH*$A$33,$M10)</f>
        <v>0</v>
      </c>
      <c r="N11" s="17" t="str">
        <f aca="false">IF(PROJ_USAGE&gt;1000,((RATES*PROJ_USAGE)+ONCOR)*1+TAX-(CREDIT),"")</f>
        <v/>
      </c>
      <c r="O11" s="18" t="n">
        <f aca="false">IF((BREAK-CUM_KWH)&gt;0,BREAK-CUM_KWH,"")</f>
        <v>681.225</v>
      </c>
      <c r="Q11" s="22" t="s">
        <v>49</v>
      </c>
      <c r="R11" s="175" t="n">
        <v>295</v>
      </c>
      <c r="S11" s="176"/>
      <c r="T11" s="83"/>
    </row>
    <row r="12" customFormat="false" ht="15" hidden="false" customHeight="false" outlineLevel="0" collapsed="false">
      <c r="A12" s="4" t="n">
        <v>11</v>
      </c>
      <c r="B12" s="4" t="n">
        <f aca="false">$A$30-$A12</f>
        <v>18</v>
      </c>
      <c r="C12" s="11" t="str">
        <f aca="false">TEXT(D12,"ddd")</f>
        <v>Thu</v>
      </c>
      <c r="D12" s="193" t="n">
        <v>44679</v>
      </c>
      <c r="E12" s="193" t="n">
        <v>44680.2649189815</v>
      </c>
      <c r="F12" s="194" t="n">
        <v>69151.148</v>
      </c>
      <c r="G12" s="194" t="n">
        <v>69187.621</v>
      </c>
      <c r="H12" s="195" t="n">
        <v>36.473</v>
      </c>
      <c r="I12" s="13" t="n">
        <f aca="false">(I11+H12)</f>
        <v>355.248</v>
      </c>
      <c r="J12" s="13" t="n">
        <f aca="false">(I12/A12)</f>
        <v>32.2952727272727</v>
      </c>
      <c r="K12" s="15" t="str">
        <f aca="false">IF(KWH&gt;0,((RATES*KWH)+TDU_DAILY)+(1*TAX),"")</f>
        <v/>
      </c>
      <c r="L12" s="16" t="e">
        <f aca="false">(L11+K12)</f>
        <v>#VALUE!</v>
      </c>
      <c r="M12" s="17" t="n">
        <f aca="false">IF(AVERAGE_KWH&lt;&gt;"",AVERAGE_KWH*$A$33,$M11)</f>
        <v>0</v>
      </c>
      <c r="N12" s="17" t="str">
        <f aca="false">IF(PROJ_USAGE&gt;1000,((RATES*PROJ_USAGE)+ONCOR)*1+TAX-(CREDIT),"")</f>
        <v/>
      </c>
      <c r="O12" s="18" t="n">
        <f aca="false">IF((BREAK-CUM_KWH)&gt;0,BREAK-CUM_KWH,"")</f>
        <v>644.752</v>
      </c>
      <c r="Q12" s="22" t="s">
        <v>52</v>
      </c>
      <c r="R12" s="177" t="e">
        <f aca="false">INDEX(L2:L32,COUNT(L2:L32))</f>
        <v>#VALUE!</v>
      </c>
      <c r="S12" s="176"/>
      <c r="T12" s="83"/>
    </row>
    <row r="13" customFormat="false" ht="15" hidden="false" customHeight="false" outlineLevel="0" collapsed="false">
      <c r="A13" s="4" t="n">
        <v>12</v>
      </c>
      <c r="B13" s="4" t="n">
        <f aca="false">$A$30-$A13</f>
        <v>17</v>
      </c>
      <c r="C13" s="11" t="str">
        <f aca="false">TEXT(D13,"ddd")</f>
        <v>Fri</v>
      </c>
      <c r="D13" s="193" t="n">
        <v>44680</v>
      </c>
      <c r="E13" s="193" t="n">
        <v>44681.2677662037</v>
      </c>
      <c r="F13" s="194" t="n">
        <v>69187.621</v>
      </c>
      <c r="G13" s="194" t="n">
        <v>69222.683</v>
      </c>
      <c r="H13" s="195" t="n">
        <v>35.063</v>
      </c>
      <c r="I13" s="13" t="n">
        <f aca="false">(I12+H13)</f>
        <v>390.311</v>
      </c>
      <c r="J13" s="13" t="n">
        <f aca="false">(I13/A13)</f>
        <v>32.5259166666667</v>
      </c>
      <c r="K13" s="15" t="str">
        <f aca="false">IF(KWH&gt;0,((RATES*KWH)+TDU_DAILY)+(1*TAX),"")</f>
        <v/>
      </c>
      <c r="L13" s="16" t="e">
        <f aca="false">(L12+K13)</f>
        <v>#VALUE!</v>
      </c>
      <c r="M13" s="17" t="n">
        <f aca="false">IF(AVERAGE_KWH&lt;&gt;"",AVERAGE_KWH*$A$33,$M12)</f>
        <v>0</v>
      </c>
      <c r="N13" s="17" t="str">
        <f aca="false">IF(PROJ_USAGE&gt;1000,((RATES*PROJ_USAGE)+ONCOR)*1+TAX-(CREDIT),"")</f>
        <v/>
      </c>
      <c r="O13" s="18" t="n">
        <f aca="false">IF((BREAK-CUM_KWH)&gt;0,BREAK-CUM_KWH,"")</f>
        <v>609.689</v>
      </c>
      <c r="Q13" s="22" t="s">
        <v>55</v>
      </c>
      <c r="R13" s="178" t="n">
        <f aca="false">INDEX(I2:I32,COUNT(I2:I32))</f>
        <v>1101.811</v>
      </c>
      <c r="S13" s="176"/>
      <c r="T13" s="83"/>
    </row>
    <row r="14" customFormat="false" ht="15" hidden="false" customHeight="false" outlineLevel="0" collapsed="false">
      <c r="A14" s="4" t="n">
        <v>13</v>
      </c>
      <c r="B14" s="4" t="n">
        <f aca="false">$A$30-$A14</f>
        <v>16</v>
      </c>
      <c r="C14" s="11" t="str">
        <f aca="false">TEXT(D14,"ddd")</f>
        <v>Sat</v>
      </c>
      <c r="D14" s="193" t="n">
        <v>44681</v>
      </c>
      <c r="E14" s="193" t="n">
        <v>44682.4581481482</v>
      </c>
      <c r="F14" s="194" t="n">
        <v>69222.683</v>
      </c>
      <c r="G14" s="194" t="n">
        <v>69260.982</v>
      </c>
      <c r="H14" s="195" t="n">
        <v>38.298</v>
      </c>
      <c r="I14" s="13" t="n">
        <f aca="false">(I13+H14)</f>
        <v>428.609</v>
      </c>
      <c r="J14" s="13" t="n">
        <f aca="false">(I14/A14)</f>
        <v>32.9699230769231</v>
      </c>
      <c r="K14" s="15" t="str">
        <f aca="false">IF(KWH&gt;0,((RATES*KWH)+TDU_DAILY)+(1*TAX),"")</f>
        <v/>
      </c>
      <c r="L14" s="16" t="e">
        <f aca="false">(L13+K14)</f>
        <v>#VALUE!</v>
      </c>
      <c r="M14" s="17" t="n">
        <f aca="false">IF(AVERAGE_KWH&lt;&gt;"",AVERAGE_KWH*$A$33,$M13)</f>
        <v>0</v>
      </c>
      <c r="N14" s="17" t="str">
        <f aca="false">IF(PROJ_USAGE&gt;1000,((RATES*PROJ_USAGE)+ONCOR)*1+TAX-(CREDIT),"")</f>
        <v/>
      </c>
      <c r="O14" s="18" t="n">
        <f aca="false">IF((BREAK-CUM_KWH)&gt;0,BREAK-CUM_KWH,"")</f>
        <v>571.391</v>
      </c>
      <c r="Q14" s="40" t="s">
        <v>58</v>
      </c>
      <c r="R14" s="179" t="n">
        <f aca="false">INDEX(J2:J32,COUNT(J2:J32))</f>
        <v>37.9934827586207</v>
      </c>
      <c r="S14" s="180"/>
      <c r="T14" s="83"/>
    </row>
    <row r="15" customFormat="false" ht="15" hidden="false" customHeight="false" outlineLevel="0" collapsed="false">
      <c r="A15" s="4" t="n">
        <v>14</v>
      </c>
      <c r="B15" s="4" t="n">
        <f aca="false">$A$30-$A15</f>
        <v>15</v>
      </c>
      <c r="C15" s="11" t="str">
        <f aca="false">TEXT(D15,"ddd")</f>
        <v>Sun</v>
      </c>
      <c r="D15" s="193" t="n">
        <v>44682</v>
      </c>
      <c r="E15" s="193" t="n">
        <v>44683.285462963</v>
      </c>
      <c r="F15" s="194" t="n">
        <v>69260.982</v>
      </c>
      <c r="G15" s="194" t="n">
        <v>69296.668</v>
      </c>
      <c r="H15" s="195" t="n">
        <v>35.688</v>
      </c>
      <c r="I15" s="13" t="n">
        <f aca="false">(I14+H15)</f>
        <v>464.297</v>
      </c>
      <c r="J15" s="13" t="n">
        <f aca="false">(I15/A15)</f>
        <v>33.1640714285714</v>
      </c>
      <c r="K15" s="15" t="str">
        <f aca="false">IF(KWH&gt;0,((RATES*KWH)+TDU_DAILY)+(1*TAX),"")</f>
        <v/>
      </c>
      <c r="L15" s="16" t="e">
        <f aca="false">(L14+K15)</f>
        <v>#VALUE!</v>
      </c>
      <c r="M15" s="17" t="n">
        <f aca="false">IF(AVERAGE_KWH&lt;&gt;"",AVERAGE_KWH*$A$33,$M14)</f>
        <v>0</v>
      </c>
      <c r="N15" s="17" t="str">
        <f aca="false">IF(PROJ_USAGE&gt;1000,((RATES*PROJ_USAGE)+ONCOR)*1+TAX-(CREDIT),"")</f>
        <v/>
      </c>
      <c r="O15" s="18" t="n">
        <f aca="false">IF((BREAK-CUM_KWH)&gt;0,BREAK-CUM_KWH,"")</f>
        <v>535.703</v>
      </c>
    </row>
    <row r="16" customFormat="false" ht="15" hidden="false" customHeight="false" outlineLevel="0" collapsed="false">
      <c r="A16" s="4" t="n">
        <v>15</v>
      </c>
      <c r="B16" s="4" t="n">
        <f aca="false">$A$30-$A16</f>
        <v>14</v>
      </c>
      <c r="C16" s="11" t="str">
        <f aca="false">TEXT(D16,"ddd")</f>
        <v>Mon</v>
      </c>
      <c r="D16" s="193" t="n">
        <v>44683</v>
      </c>
      <c r="E16" s="193" t="n">
        <v>44684.2911342593</v>
      </c>
      <c r="F16" s="194" t="n">
        <v>69296.668</v>
      </c>
      <c r="G16" s="194" t="n">
        <v>69337.397</v>
      </c>
      <c r="H16" s="195" t="n">
        <v>40.727</v>
      </c>
      <c r="I16" s="13" t="n">
        <f aca="false">(I15+H16)</f>
        <v>505.024</v>
      </c>
      <c r="J16" s="13" t="n">
        <f aca="false">(I16/A16)</f>
        <v>33.6682666666667</v>
      </c>
      <c r="K16" s="15" t="str">
        <f aca="false">IF(KWH&gt;0,((RATES*KWH)+TDU_DAILY)+(1*TAX),"")</f>
        <v/>
      </c>
      <c r="L16" s="16" t="e">
        <f aca="false">(L15+K16)</f>
        <v>#VALUE!</v>
      </c>
      <c r="M16" s="17" t="n">
        <f aca="false">IF(AVERAGE_KWH&lt;&gt;"",AVERAGE_KWH*$A$33,$M15)</f>
        <v>0</v>
      </c>
      <c r="N16" s="17" t="str">
        <f aca="false">IF(PROJ_USAGE&gt;1000,((RATES*PROJ_USAGE)+ONCOR)*1+TAX-(CREDIT),"")</f>
        <v/>
      </c>
      <c r="O16" s="18" t="n">
        <f aca="false">IF((BREAK-CUM_KWH)&gt;0,BREAK-CUM_KWH,"")</f>
        <v>494.976</v>
      </c>
    </row>
    <row r="17" customFormat="false" ht="15" hidden="false" customHeight="false" outlineLevel="0" collapsed="false">
      <c r="A17" s="4" t="n">
        <v>16</v>
      </c>
      <c r="B17" s="4" t="n">
        <f aca="false">$A$30-$A17</f>
        <v>13</v>
      </c>
      <c r="C17" s="11" t="str">
        <f aca="false">TEXT(D17,"ddd")</f>
        <v>Tue</v>
      </c>
      <c r="D17" s="193" t="n">
        <v>44684</v>
      </c>
      <c r="E17" s="193" t="n">
        <v>44685.2731597222</v>
      </c>
      <c r="F17" s="194" t="n">
        <v>69337.397</v>
      </c>
      <c r="G17" s="194" t="n">
        <v>69368.047</v>
      </c>
      <c r="H17" s="195" t="n">
        <v>30.649</v>
      </c>
      <c r="I17" s="13" t="n">
        <f aca="false">(I16+H17)</f>
        <v>535.673</v>
      </c>
      <c r="J17" s="13" t="n">
        <f aca="false">(I17/A17)</f>
        <v>33.4795625</v>
      </c>
      <c r="K17" s="15" t="str">
        <f aca="false">IF(KWH&gt;0,((RATES*KWH)+TDU_DAILY)+(1*TAX),"")</f>
        <v/>
      </c>
      <c r="L17" s="16" t="e">
        <f aca="false">(L16+K17)</f>
        <v>#VALUE!</v>
      </c>
      <c r="M17" s="17" t="n">
        <f aca="false">IF(AVERAGE_KWH&lt;&gt;"",AVERAGE_KWH*$A$33,$M16)</f>
        <v>0</v>
      </c>
      <c r="N17" s="17" t="str">
        <f aca="false">IF(PROJ_USAGE&gt;1000,((RATES*PROJ_USAGE)+ONCOR)*1+TAX-(CREDIT),"")</f>
        <v/>
      </c>
      <c r="O17" s="18" t="n">
        <f aca="false">IF((BREAK-CUM_KWH)&gt;0,BREAK-CUM_KWH,"")</f>
        <v>464.327</v>
      </c>
    </row>
    <row r="18" customFormat="false" ht="15" hidden="false" customHeight="false" outlineLevel="0" collapsed="false">
      <c r="A18" s="4" t="n">
        <v>17</v>
      </c>
      <c r="B18" s="4" t="n">
        <f aca="false">$A$30-$A18</f>
        <v>12</v>
      </c>
      <c r="C18" s="11" t="str">
        <f aca="false">TEXT(D18,"ddd")</f>
        <v>Wed</v>
      </c>
      <c r="D18" s="193" t="n">
        <v>44685</v>
      </c>
      <c r="E18" s="193" t="n">
        <v>44686.2637962963</v>
      </c>
      <c r="F18" s="194" t="n">
        <v>69368.047</v>
      </c>
      <c r="G18" s="194" t="n">
        <v>69410.66</v>
      </c>
      <c r="H18" s="195" t="n">
        <v>42.611</v>
      </c>
      <c r="I18" s="13" t="n">
        <f aca="false">(I17+H18)</f>
        <v>578.284</v>
      </c>
      <c r="J18" s="13" t="n">
        <f aca="false">(I18/A18)</f>
        <v>34.0167058823529</v>
      </c>
      <c r="K18" s="15" t="str">
        <f aca="false">IF(KWH&gt;0,((RATES*KWH)+TDU_DAILY)+(1*TAX),"")</f>
        <v/>
      </c>
      <c r="L18" s="16" t="e">
        <f aca="false">(L17+K18)</f>
        <v>#VALUE!</v>
      </c>
      <c r="M18" s="17" t="n">
        <f aca="false">IF(AVERAGE_KWH&lt;&gt;"",AVERAGE_KWH*$A$33,$M17)</f>
        <v>0</v>
      </c>
      <c r="N18" s="17" t="str">
        <f aca="false">IF(PROJ_USAGE&gt;1000,((RATES*PROJ_USAGE)+ONCOR)*1+TAX-(CREDIT),"")</f>
        <v/>
      </c>
      <c r="O18" s="18" t="n">
        <f aca="false">IF((BREAK-CUM_KWH)&gt;0,BREAK-CUM_KWH,"")</f>
        <v>421.716</v>
      </c>
    </row>
    <row r="19" customFormat="false" ht="15" hidden="false" customHeight="false" outlineLevel="0" collapsed="false">
      <c r="A19" s="4" t="n">
        <v>18</v>
      </c>
      <c r="B19" s="4" t="n">
        <f aca="false">$A$30-$A19</f>
        <v>11</v>
      </c>
      <c r="C19" s="11" t="str">
        <f aca="false">TEXT(D19,"ddd")</f>
        <v>Thu</v>
      </c>
      <c r="D19" s="193" t="n">
        <v>44686</v>
      </c>
      <c r="E19" s="193" t="n">
        <v>44687.2650231481</v>
      </c>
      <c r="F19" s="194" t="n">
        <v>69410.66</v>
      </c>
      <c r="G19" s="194" t="n">
        <v>69439.049</v>
      </c>
      <c r="H19" s="195" t="n">
        <v>28.387</v>
      </c>
      <c r="I19" s="13" t="n">
        <f aca="false">(I18+H19)</f>
        <v>606.671</v>
      </c>
      <c r="J19" s="13" t="n">
        <f aca="false">(I19/A19)</f>
        <v>33.7039444444444</v>
      </c>
      <c r="K19" s="15" t="str">
        <f aca="false">IF(KWH&gt;0,((RATES*KWH)+TDU_DAILY)+(1*TAX),"")</f>
        <v/>
      </c>
      <c r="L19" s="16" t="e">
        <f aca="false">(L18+K19)</f>
        <v>#VALUE!</v>
      </c>
      <c r="M19" s="17" t="n">
        <f aca="false">IF(AVERAGE_KWH&lt;&gt;"",AVERAGE_KWH*$A$33,$M18)</f>
        <v>0</v>
      </c>
      <c r="N19" s="17" t="str">
        <f aca="false">IF(PROJ_USAGE&gt;1000,((RATES*PROJ_USAGE)+ONCOR)*1+TAX-(CREDIT),"")</f>
        <v/>
      </c>
      <c r="O19" s="18" t="n">
        <f aca="false">IF((BREAK-CUM_KWH)&gt;0,BREAK-CUM_KWH,"")</f>
        <v>393.329</v>
      </c>
    </row>
    <row r="20" customFormat="false" ht="15" hidden="false" customHeight="false" outlineLevel="0" collapsed="false">
      <c r="A20" s="4" t="n">
        <v>19</v>
      </c>
      <c r="B20" s="4" t="n">
        <f aca="false">$A$30-$A20</f>
        <v>10</v>
      </c>
      <c r="C20" s="11" t="str">
        <f aca="false">TEXT(D20,"ddd")</f>
        <v>Fri</v>
      </c>
      <c r="D20" s="193" t="n">
        <v>44687</v>
      </c>
      <c r="E20" s="193" t="n">
        <v>44688.2642708333</v>
      </c>
      <c r="F20" s="194" t="n">
        <v>69439.049</v>
      </c>
      <c r="G20" s="194" t="n">
        <v>69480.479</v>
      </c>
      <c r="H20" s="195" t="n">
        <v>41.429</v>
      </c>
      <c r="I20" s="13" t="n">
        <f aca="false">(I19+H20)</f>
        <v>648.1</v>
      </c>
      <c r="J20" s="13" t="n">
        <f aca="false">(I20/A20)</f>
        <v>34.1105263157895</v>
      </c>
      <c r="K20" s="15" t="str">
        <f aca="false">IF(KWH&gt;0,((RATES*KWH)+TDU_DAILY)+(1*TAX),"")</f>
        <v/>
      </c>
      <c r="L20" s="16" t="e">
        <f aca="false">(L19+K20)</f>
        <v>#VALUE!</v>
      </c>
      <c r="M20" s="17" t="n">
        <f aca="false">IF(AVERAGE_KWH&lt;&gt;"",AVERAGE_KWH*$A$33,$M19)</f>
        <v>0</v>
      </c>
      <c r="N20" s="17" t="str">
        <f aca="false">IF(PROJ_USAGE&gt;1000,((RATES*PROJ_USAGE)+ONCOR)*1+TAX-(CREDIT),"")</f>
        <v/>
      </c>
      <c r="O20" s="18" t="n">
        <f aca="false">IF((BREAK-CUM_KWH)&gt;0,BREAK-CUM_KWH,"")</f>
        <v>351.9</v>
      </c>
    </row>
    <row r="21" customFormat="false" ht="15" hidden="false" customHeight="false" outlineLevel="0" collapsed="false">
      <c r="A21" s="4" t="n">
        <v>20</v>
      </c>
      <c r="B21" s="4" t="n">
        <f aca="false">$A$30-$A21</f>
        <v>9</v>
      </c>
      <c r="C21" s="11" t="str">
        <f aca="false">TEXT(D21,"ddd")</f>
        <v>Sat</v>
      </c>
      <c r="D21" s="193" t="n">
        <v>44688</v>
      </c>
      <c r="E21" s="193" t="n">
        <v>44689.2876157407</v>
      </c>
      <c r="F21" s="194" t="n">
        <v>69480.479</v>
      </c>
      <c r="G21" s="194" t="n">
        <v>69524.878</v>
      </c>
      <c r="H21" s="195" t="n">
        <v>44.397</v>
      </c>
      <c r="I21" s="13" t="n">
        <f aca="false">(I20+H21)</f>
        <v>692.497</v>
      </c>
      <c r="J21" s="13" t="n">
        <f aca="false">(I21/A21)</f>
        <v>34.62485</v>
      </c>
      <c r="K21" s="15" t="str">
        <f aca="false">IF(KWH&gt;0,((RATES*KWH)+TDU_DAILY)+(1*TAX),"")</f>
        <v/>
      </c>
      <c r="L21" s="16" t="e">
        <f aca="false">(L20+K21)</f>
        <v>#VALUE!</v>
      </c>
      <c r="M21" s="17" t="n">
        <f aca="false">IF(AVERAGE_KWH&lt;&gt;"",AVERAGE_KWH*$A$33,$M20)</f>
        <v>0</v>
      </c>
      <c r="N21" s="17" t="str">
        <f aca="false">IF(PROJ_USAGE&gt;1000,((RATES*PROJ_USAGE)+ONCOR)*1+TAX-(CREDIT),"")</f>
        <v/>
      </c>
      <c r="O21" s="18" t="n">
        <f aca="false">IF((BREAK-CUM_KWH)&gt;0,BREAK-CUM_KWH,"")</f>
        <v>307.503</v>
      </c>
    </row>
    <row r="22" customFormat="false" ht="15" hidden="false" customHeight="false" outlineLevel="0" collapsed="false">
      <c r="A22" s="4" t="n">
        <v>21</v>
      </c>
      <c r="B22" s="4" t="n">
        <f aca="false">$A$30-$A22</f>
        <v>8</v>
      </c>
      <c r="C22" s="11" t="str">
        <f aca="false">TEXT(D22,"ddd")</f>
        <v>Sun</v>
      </c>
      <c r="D22" s="193" t="n">
        <v>44689</v>
      </c>
      <c r="E22" s="193" t="n">
        <v>44690.285150463</v>
      </c>
      <c r="F22" s="194" t="n">
        <v>69524.878</v>
      </c>
      <c r="G22" s="194" t="n">
        <v>69572.984</v>
      </c>
      <c r="H22" s="195" t="n">
        <v>48.106</v>
      </c>
      <c r="I22" s="13" t="n">
        <f aca="false">(I21+H22)</f>
        <v>740.603</v>
      </c>
      <c r="J22" s="13" t="n">
        <f aca="false">(I22/A22)</f>
        <v>35.2668095238095</v>
      </c>
      <c r="K22" s="15" t="str">
        <f aca="false">IF(KWH&gt;0,((RATES*KWH)+TDU_DAILY)+(1*TAX),"")</f>
        <v/>
      </c>
      <c r="L22" s="16" t="e">
        <f aca="false">(L21+K22)</f>
        <v>#VALUE!</v>
      </c>
      <c r="M22" s="17" t="n">
        <f aca="false">IF(AVERAGE_KWH&lt;&gt;"",AVERAGE_KWH*$A$33,$M21)</f>
        <v>0</v>
      </c>
      <c r="N22" s="17" t="str">
        <f aca="false">IF(PROJ_USAGE&gt;1000,((RATES*PROJ_USAGE)+ONCOR)*1+TAX-(CREDIT),"")</f>
        <v/>
      </c>
      <c r="O22" s="18" t="n">
        <f aca="false">IF((BREAK-CUM_KWH)&gt;0,BREAK-CUM_KWH,"")</f>
        <v>259.397</v>
      </c>
    </row>
    <row r="23" customFormat="false" ht="15" hidden="false" customHeight="false" outlineLevel="0" collapsed="false">
      <c r="A23" s="4" t="n">
        <v>22</v>
      </c>
      <c r="B23" s="4" t="n">
        <f aca="false">$A$30-$A23</f>
        <v>7</v>
      </c>
      <c r="C23" s="11" t="str">
        <f aca="false">TEXT(D23,"ddd")</f>
        <v>Mon</v>
      </c>
      <c r="D23" s="193" t="n">
        <v>44690</v>
      </c>
      <c r="E23" s="193" t="n">
        <v>44691.270787037</v>
      </c>
      <c r="F23" s="194" t="n">
        <v>69572.984</v>
      </c>
      <c r="G23" s="194" t="n">
        <v>69619.363</v>
      </c>
      <c r="H23" s="195" t="n">
        <v>46.379</v>
      </c>
      <c r="I23" s="13" t="n">
        <f aca="false">(I22+H23)</f>
        <v>786.982</v>
      </c>
      <c r="J23" s="13" t="n">
        <f aca="false">(I23/A23)</f>
        <v>35.7719090909091</v>
      </c>
      <c r="K23" s="15" t="str">
        <f aca="false">IF(KWH&gt;0,((RATES*KWH)+TDU_DAILY)+(1*TAX),"")</f>
        <v/>
      </c>
      <c r="L23" s="16" t="e">
        <f aca="false">(L22+K23)</f>
        <v>#VALUE!</v>
      </c>
      <c r="M23" s="17" t="n">
        <f aca="false">IF(AVERAGE_KWH&lt;&gt;"",AVERAGE_KWH*$A$33,$M22)</f>
        <v>0</v>
      </c>
      <c r="N23" s="17" t="str">
        <f aca="false">IF(PROJ_USAGE&gt;1000,((RATES*PROJ_USAGE)+ONCOR)*1+TAX-(CREDIT),"")</f>
        <v/>
      </c>
      <c r="O23" s="18" t="n">
        <f aca="false">IF((BREAK-CUM_KWH)&gt;0,BREAK-CUM_KWH,"")</f>
        <v>213.018</v>
      </c>
    </row>
    <row r="24" customFormat="false" ht="15" hidden="false" customHeight="false" outlineLevel="0" collapsed="false">
      <c r="A24" s="4" t="n">
        <v>23</v>
      </c>
      <c r="B24" s="4" t="n">
        <f aca="false">$A$30-$A24</f>
        <v>6</v>
      </c>
      <c r="C24" s="11" t="str">
        <f aca="false">TEXT(D24,"ddd")</f>
        <v>Tue</v>
      </c>
      <c r="D24" s="193" t="n">
        <v>44691</v>
      </c>
      <c r="E24" s="193" t="n">
        <v>44692.2687847222</v>
      </c>
      <c r="F24" s="194" t="n">
        <v>69619.363</v>
      </c>
      <c r="G24" s="194" t="n">
        <v>69665.714</v>
      </c>
      <c r="H24" s="195" t="n">
        <v>46.352</v>
      </c>
      <c r="I24" s="13" t="n">
        <f aca="false">(I23+H24)</f>
        <v>833.334</v>
      </c>
      <c r="J24" s="13" t="n">
        <f aca="false">(I24/A24)</f>
        <v>36.2319130434783</v>
      </c>
      <c r="K24" s="15" t="str">
        <f aca="false">IF(KWH&gt;0,((RATES*KWH)+TDU_DAILY)+(1*TAX),"")</f>
        <v/>
      </c>
      <c r="L24" s="16" t="e">
        <f aca="false">(L23+K24)</f>
        <v>#VALUE!</v>
      </c>
      <c r="M24" s="17" t="n">
        <f aca="false">IF(AVERAGE_KWH&lt;&gt;"",AVERAGE_KWH*$A$33,$M23)</f>
        <v>0</v>
      </c>
      <c r="N24" s="17" t="str">
        <f aca="false">IF(PROJ_USAGE&gt;1000,((RATES*PROJ_USAGE)+ONCOR)*1+TAX-(CREDIT),"")</f>
        <v/>
      </c>
      <c r="O24" s="18" t="n">
        <f aca="false">IF((BREAK-CUM_KWH)&gt;0,BREAK-CUM_KWH,"")</f>
        <v>166.666</v>
      </c>
    </row>
    <row r="25" customFormat="false" ht="15" hidden="false" customHeight="false" outlineLevel="0" collapsed="false">
      <c r="A25" s="4" t="n">
        <v>24</v>
      </c>
      <c r="B25" s="4" t="n">
        <f aca="false">$A$30-$A25</f>
        <v>5</v>
      </c>
      <c r="C25" s="11" t="str">
        <f aca="false">TEXT(D25,"ddd")</f>
        <v>Wed</v>
      </c>
      <c r="D25" s="193" t="n">
        <v>44692</v>
      </c>
      <c r="E25" s="193" t="n">
        <v>44693.271400463</v>
      </c>
      <c r="F25" s="194" t="n">
        <v>69665.714</v>
      </c>
      <c r="G25" s="194" t="n">
        <v>69708.32</v>
      </c>
      <c r="H25" s="195" t="n">
        <v>42.607</v>
      </c>
      <c r="I25" s="13" t="n">
        <f aca="false">(I24+H25)</f>
        <v>875.941</v>
      </c>
      <c r="J25" s="13" t="n">
        <f aca="false">(I25/A25)</f>
        <v>36.4975416666667</v>
      </c>
      <c r="K25" s="15" t="str">
        <f aca="false">IF(KWH&gt;0,((RATES*KWH)+TDU_DAILY)+(1*TAX),"")</f>
        <v/>
      </c>
      <c r="L25" s="16" t="e">
        <f aca="false">(L24+K25)</f>
        <v>#VALUE!</v>
      </c>
      <c r="M25" s="17" t="n">
        <f aca="false">IF(AVERAGE_KWH&lt;&gt;"",AVERAGE_KWH*$A$33,$M24)</f>
        <v>0</v>
      </c>
      <c r="N25" s="17" t="str">
        <f aca="false">IF(PROJ_USAGE&gt;1000,((RATES*PROJ_USAGE)+ONCOR)*1+TAX-(CREDIT),"")</f>
        <v/>
      </c>
      <c r="O25" s="18" t="n">
        <f aca="false">IF((BREAK-CUM_KWH)&gt;0,BREAK-CUM_KWH,"")</f>
        <v>124.059</v>
      </c>
    </row>
    <row r="26" customFormat="false" ht="15" hidden="false" customHeight="false" outlineLevel="0" collapsed="false">
      <c r="A26" s="4" t="n">
        <v>25</v>
      </c>
      <c r="B26" s="4" t="n">
        <f aca="false">$A$30-$A26</f>
        <v>4</v>
      </c>
      <c r="C26" s="11" t="str">
        <f aca="false">TEXT(D26,"ddd")</f>
        <v>Thu</v>
      </c>
      <c r="D26" s="193" t="n">
        <v>44693</v>
      </c>
      <c r="E26" s="193" t="n">
        <v>44694.2674189815</v>
      </c>
      <c r="F26" s="194" t="n">
        <v>69708.32</v>
      </c>
      <c r="G26" s="194" t="n">
        <v>69751.888</v>
      </c>
      <c r="H26" s="195" t="n">
        <v>43.569</v>
      </c>
      <c r="I26" s="13" t="n">
        <f aca="false">(I25+H26)</f>
        <v>919.51</v>
      </c>
      <c r="J26" s="13" t="n">
        <f aca="false">(I26/A26)</f>
        <v>36.7804</v>
      </c>
      <c r="K26" s="15" t="str">
        <f aca="false">IF(KWH&gt;0,((RATES*KWH)+TDU_DAILY)+(1*TAX),"")</f>
        <v/>
      </c>
      <c r="L26" s="16" t="e">
        <f aca="false">(L25+K26)</f>
        <v>#VALUE!</v>
      </c>
      <c r="M26" s="17" t="n">
        <f aca="false">IF(AVERAGE_KWH&lt;&gt;"",AVERAGE_KWH*$A$33,$M25)</f>
        <v>0</v>
      </c>
      <c r="N26" s="17" t="str">
        <f aca="false">IF(PROJ_USAGE&gt;1000,((RATES*PROJ_USAGE)+ONCOR)*1+TAX-(CREDIT),"")</f>
        <v/>
      </c>
      <c r="O26" s="18" t="n">
        <f aca="false">IF((BREAK-CUM_KWH)&gt;0,BREAK-CUM_KWH,"")</f>
        <v>80.49</v>
      </c>
    </row>
    <row r="27" customFormat="false" ht="15" hidden="false" customHeight="false" outlineLevel="0" collapsed="false">
      <c r="A27" s="4" t="n">
        <v>26</v>
      </c>
      <c r="B27" s="4" t="n">
        <f aca="false">$A$30-$A27</f>
        <v>3</v>
      </c>
      <c r="C27" s="11" t="str">
        <f aca="false">TEXT(D27,"ddd")</f>
        <v>Fri</v>
      </c>
      <c r="D27" s="193" t="n">
        <v>44694</v>
      </c>
      <c r="E27" s="193" t="n">
        <v>44695.2673032407</v>
      </c>
      <c r="F27" s="194" t="n">
        <v>69751.888</v>
      </c>
      <c r="G27" s="194" t="n">
        <v>69791.222</v>
      </c>
      <c r="H27" s="195" t="n">
        <v>39.334</v>
      </c>
      <c r="I27" s="13" t="n">
        <f aca="false">(I26+H27)</f>
        <v>958.844</v>
      </c>
      <c r="J27" s="13" t="n">
        <f aca="false">(I27/A27)</f>
        <v>36.8786153846154</v>
      </c>
      <c r="K27" s="15" t="str">
        <f aca="false">IF(KWH&gt;0,((RATES*KWH)+TDU_DAILY)+(1*TAX),"")</f>
        <v/>
      </c>
      <c r="L27" s="16" t="e">
        <f aca="false">(L26+K27)</f>
        <v>#VALUE!</v>
      </c>
      <c r="M27" s="17" t="n">
        <f aca="false">IF(AVERAGE_KWH&lt;&gt;"",AVERAGE_KWH*$A$33,$M26)</f>
        <v>0</v>
      </c>
      <c r="N27" s="17" t="str">
        <f aca="false">IF(PROJ_USAGE&gt;1000,((RATES*PROJ_USAGE)+ONCOR)*1+TAX-(CREDIT),"")</f>
        <v/>
      </c>
      <c r="O27" s="18" t="n">
        <f aca="false">IF((BREAK-CUM_KWH)&gt;0,BREAK-CUM_KWH,"")</f>
        <v>41.156</v>
      </c>
    </row>
    <row r="28" customFormat="false" ht="15" hidden="false" customHeight="false" outlineLevel="0" collapsed="false">
      <c r="A28" s="4" t="n">
        <v>27</v>
      </c>
      <c r="B28" s="4" t="n">
        <f aca="false">$A$30-$A28</f>
        <v>2</v>
      </c>
      <c r="C28" s="11" t="str">
        <f aca="false">TEXT(D28,"ddd")</f>
        <v>Sat</v>
      </c>
      <c r="D28" s="193" t="n">
        <v>44695</v>
      </c>
      <c r="E28" s="193" t="n">
        <v>44696.2916782407</v>
      </c>
      <c r="F28" s="194" t="n">
        <v>69791.222</v>
      </c>
      <c r="G28" s="194" t="n">
        <v>69838.265</v>
      </c>
      <c r="H28" s="195" t="n">
        <v>47.043</v>
      </c>
      <c r="I28" s="13" t="n">
        <f aca="false">(I27+H28)</f>
        <v>1005.887</v>
      </c>
      <c r="J28" s="13" t="n">
        <f aca="false">(I28/A28)</f>
        <v>37.2550740740741</v>
      </c>
      <c r="K28" s="15" t="str">
        <f aca="false">IF(KWH&gt;0,((RATES*KWH)+TDU_DAILY)+(1*TAX),"")</f>
        <v/>
      </c>
      <c r="L28" s="16" t="e">
        <f aca="false">(L27+K28)</f>
        <v>#VALUE!</v>
      </c>
      <c r="M28" s="17" t="n">
        <f aca="false">IF(AVERAGE_KWH&lt;&gt;"",AVERAGE_KWH*$A$33,$M27)</f>
        <v>0</v>
      </c>
      <c r="N28" s="17" t="str">
        <f aca="false">IF(PROJ_USAGE&gt;1000,((RATES*PROJ_USAGE)+ONCOR)*1+TAX-(CREDIT),"")</f>
        <v/>
      </c>
      <c r="O28" s="18" t="str">
        <f aca="false">IF((BREAK-CUM_KWH)&gt;0,BREAK-CUM_KWH,"")</f>
        <v/>
      </c>
    </row>
    <row r="29" customFormat="false" ht="15" hidden="false" customHeight="false" outlineLevel="0" collapsed="false">
      <c r="A29" s="4" t="n">
        <v>28</v>
      </c>
      <c r="B29" s="4" t="n">
        <f aca="false">$A$30-$A29</f>
        <v>1</v>
      </c>
      <c r="C29" s="11" t="str">
        <f aca="false">TEXT(D29,"ddd")</f>
        <v>Sun</v>
      </c>
      <c r="D29" s="193" t="n">
        <v>44696</v>
      </c>
      <c r="E29" s="193" t="n">
        <v>44697.2718055556</v>
      </c>
      <c r="F29" s="194" t="n">
        <v>69838.265</v>
      </c>
      <c r="G29" s="194" t="n">
        <v>69887.267</v>
      </c>
      <c r="H29" s="195" t="n">
        <v>49.004</v>
      </c>
      <c r="I29" s="13" t="n">
        <f aca="false">(I28+H29)</f>
        <v>1054.891</v>
      </c>
      <c r="J29" s="13" t="n">
        <f aca="false">(I29/A29)</f>
        <v>37.6746785714286</v>
      </c>
      <c r="K29" s="15" t="str">
        <f aca="false">IF(KWH&gt;0,((RATES*KWH)+TDU_DAILY)+(1*TAX),"")</f>
        <v/>
      </c>
      <c r="L29" s="16" t="e">
        <f aca="false">(L28+K29)</f>
        <v>#VALUE!</v>
      </c>
      <c r="M29" s="17" t="n">
        <f aca="false">IF(AVERAGE_KWH&lt;&gt;"",AVERAGE_KWH*$A$33,$M28)</f>
        <v>0</v>
      </c>
      <c r="N29" s="17" t="str">
        <f aca="false">IF(PROJ_USAGE&gt;1000,((RATES*PROJ_USAGE)+ONCOR)*1+TAX-(CREDIT),"")</f>
        <v/>
      </c>
      <c r="O29" s="18" t="str">
        <f aca="false">IF((BREAK-CUM_KWH)&gt;0,BREAK-CUM_KWH,"")</f>
        <v/>
      </c>
    </row>
    <row r="30" customFormat="false" ht="15" hidden="false" customHeight="false" outlineLevel="0" collapsed="false">
      <c r="A30" s="4" t="n">
        <v>29</v>
      </c>
      <c r="B30" s="4" t="n">
        <f aca="false">$A$30-$A30</f>
        <v>0</v>
      </c>
      <c r="C30" s="11" t="str">
        <f aca="false">TEXT(D30,"ddd")</f>
        <v>Mon</v>
      </c>
      <c r="D30" s="193" t="n">
        <v>44697</v>
      </c>
      <c r="E30" s="193" t="n">
        <v>44698.2708912037</v>
      </c>
      <c r="F30" s="194" t="n">
        <v>69887.267</v>
      </c>
      <c r="G30" s="194" t="n">
        <v>69934.189</v>
      </c>
      <c r="H30" s="195" t="n">
        <v>46.92</v>
      </c>
      <c r="I30" s="13" t="n">
        <f aca="false">(I29+H30)</f>
        <v>1101.811</v>
      </c>
      <c r="J30" s="13" t="n">
        <f aca="false">(I30/A30)</f>
        <v>37.9934827586207</v>
      </c>
      <c r="K30" s="15" t="str">
        <f aca="false">IF(KWH&gt;0,((RATES*KWH)+TDU_DAILY)+(1*TAX),"")</f>
        <v/>
      </c>
      <c r="L30" s="16" t="e">
        <f aca="false">(L29+K30)</f>
        <v>#VALUE!</v>
      </c>
      <c r="M30" s="17" t="n">
        <f aca="false">IF(AVERAGE_KWH&lt;&gt;"",AVERAGE_KWH*$A$33,$M29)</f>
        <v>0</v>
      </c>
      <c r="N30" s="17" t="str">
        <f aca="false">IF(PROJ_USAGE&gt;1000,((RATES*PROJ_USAGE)+ONCOR)*1+TAX-(CREDIT),"")</f>
        <v/>
      </c>
      <c r="O30" s="18" t="str">
        <f aca="false">IF((BREAK-CUM_KWH)&gt;0,BREAK-CUM_KWH,"")</f>
        <v/>
      </c>
    </row>
    <row r="31" customFormat="false" ht="15" hidden="false" customHeight="false" outlineLevel="0" collapsed="false">
      <c r="A31" s="4"/>
      <c r="B31" s="4"/>
      <c r="C31" s="11"/>
      <c r="D31" s="193"/>
      <c r="E31" s="193"/>
      <c r="F31" s="194"/>
      <c r="G31" s="194"/>
      <c r="H31" s="195"/>
      <c r="I31" s="13"/>
      <c r="J31" s="13"/>
      <c r="K31" s="15"/>
      <c r="L31" s="16"/>
      <c r="M31" s="17"/>
      <c r="N31" s="17"/>
      <c r="O31" s="18"/>
    </row>
    <row r="32" customFormat="false" ht="15" hidden="false" customHeight="false" outlineLevel="0" collapsed="false">
      <c r="A32" s="4"/>
      <c r="B32" s="4"/>
      <c r="C32" s="11"/>
      <c r="D32" s="193"/>
      <c r="E32" s="193"/>
      <c r="F32" s="194"/>
      <c r="G32" s="194"/>
      <c r="H32" s="195"/>
      <c r="I32" s="13"/>
      <c r="J32" s="13"/>
      <c r="K32" s="15"/>
      <c r="L32" s="16"/>
      <c r="M32" s="17"/>
      <c r="N32" s="17"/>
      <c r="O32" s="18"/>
    </row>
    <row r="33" customFormat="false" ht="15" hidden="false" customHeight="false" outlineLevel="0" collapsed="false">
      <c r="A33" s="4"/>
      <c r="B33" s="4"/>
      <c r="C33" s="11"/>
      <c r="D33" s="193"/>
      <c r="E33" s="193"/>
      <c r="F33" s="194"/>
      <c r="G33" s="194"/>
      <c r="H33" s="195"/>
      <c r="I33" s="13"/>
      <c r="J33" s="13"/>
      <c r="K33" s="15"/>
      <c r="L33" s="16"/>
      <c r="M33" s="17"/>
      <c r="N33" s="17"/>
      <c r="O33" s="18"/>
    </row>
    <row r="34" customFormat="false" ht="15" hidden="false" customHeight="false" outlineLevel="0" collapsed="false">
      <c r="D34" s="193"/>
      <c r="E34" s="193"/>
      <c r="F34" s="196"/>
      <c r="G34" s="196"/>
      <c r="H34" s="197"/>
      <c r="L34" s="47"/>
      <c r="M34" s="2"/>
      <c r="N34" s="2"/>
    </row>
    <row r="35" customFormat="false" ht="15" hidden="false" customHeight="false" outlineLevel="0" collapsed="false">
      <c r="D35" s="1"/>
      <c r="E35" s="1" t="s">
        <v>124</v>
      </c>
      <c r="G35" s="74"/>
      <c r="L35" s="47"/>
      <c r="M35" s="2"/>
      <c r="N35" s="2"/>
    </row>
    <row r="36" customFormat="false" ht="15" hidden="false" customHeight="false" outlineLevel="0" collapsed="false">
      <c r="G36" s="74"/>
      <c r="H36" s="188" t="n">
        <f aca="false">SUM(H2:H35)</f>
        <v>1101.811</v>
      </c>
      <c r="I36" s="149"/>
      <c r="L36" s="47"/>
      <c r="M36" s="2"/>
      <c r="N36" s="2"/>
    </row>
    <row r="37" customFormat="false" ht="15" hidden="false" customHeight="false" outlineLevel="0" collapsed="false">
      <c r="D37" s="34"/>
      <c r="E37" s="34"/>
      <c r="K37" s="47"/>
      <c r="L37" s="2"/>
      <c r="M37" s="2"/>
    </row>
    <row r="38" customFormat="false" ht="15" hidden="false" customHeight="false" outlineLevel="0" collapsed="false">
      <c r="D38" s="34"/>
      <c r="E38" s="34"/>
      <c r="H38" s="2"/>
      <c r="I38" s="81"/>
      <c r="K38" s="47"/>
      <c r="L38" s="2"/>
      <c r="M38" s="2"/>
    </row>
    <row r="39" customFormat="false" ht="15" hidden="false" customHeight="false" outlineLevel="0" collapsed="false">
      <c r="D39" s="34"/>
      <c r="E39" s="34"/>
      <c r="L39" s="2"/>
      <c r="M39" s="2"/>
    </row>
  </sheetData>
  <sheetProtection algorithmName="SHA-512" hashValue="+I+qUqg136hxMalAVTMV9+X+p3sWezfmfGYgZQS+YXKaq6Oq2py51rkSH5cUwHoHnK+5PdmL7C1dBCKwiPNfzA==" saltValue="b8GBEH4r920I4smpxzhUog==" spinCount="100000" sheet="true" objects="true" scenarios="true"/>
  <conditionalFormatting sqref="Q2:S14">
    <cfRule type="expression" priority="2" aboveAverage="0" equalAverage="0" bottom="0" percent="0" rank="0" text="" dxfId="51">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33"/>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I33" activeCellId="0" sqref="I33"/>
    </sheetView>
  </sheetViews>
  <sheetFormatPr defaultColWidth="8.453125" defaultRowHeight="15" zeroHeight="false" outlineLevelRow="0" outlineLevelCol="0"/>
  <cols>
    <col collapsed="false" customWidth="true" hidden="false" outlineLevel="0" max="5" min="4" style="0" width="9.71"/>
    <col collapsed="false" customWidth="true" hidden="false" outlineLevel="0" max="7" min="6" style="0" width="10.71"/>
    <col collapsed="false" customWidth="true" hidden="false" outlineLevel="0" max="14" min="13" style="0" width="9.71"/>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36.5" hidden="false" customHeight="false" outlineLevel="0" collapsed="false">
      <c r="A1" s="5" t="s">
        <v>0</v>
      </c>
      <c r="B1" s="6" t="s">
        <v>2</v>
      </c>
      <c r="C1" s="6" t="s">
        <v>1</v>
      </c>
      <c r="D1" s="114" t="s">
        <v>145</v>
      </c>
      <c r="E1" s="114" t="s">
        <v>146</v>
      </c>
      <c r="F1" s="114" t="s">
        <v>5</v>
      </c>
      <c r="G1" s="114" t="s">
        <v>6</v>
      </c>
      <c r="H1" s="6" t="s">
        <v>7</v>
      </c>
      <c r="I1" s="6" t="s">
        <v>8</v>
      </c>
      <c r="J1" s="145" t="s">
        <v>9</v>
      </c>
      <c r="K1" s="6" t="s">
        <v>149</v>
      </c>
      <c r="L1" s="6" t="s">
        <v>150</v>
      </c>
      <c r="M1" s="6" t="s">
        <v>12</v>
      </c>
      <c r="N1" s="8" t="s">
        <v>151</v>
      </c>
      <c r="O1" s="9" t="s">
        <v>137</v>
      </c>
    </row>
    <row r="2" s="102" customFormat="true" ht="15" hidden="false" customHeight="false" outlineLevel="0" collapsed="false">
      <c r="A2" s="45" t="n">
        <v>1</v>
      </c>
      <c r="B2" s="45" t="n">
        <f aca="false">$A$32-$A2</f>
        <v>30</v>
      </c>
      <c r="C2" s="86" t="str">
        <f aca="false">TEXT(D2,"ddd")</f>
        <v>Thu</v>
      </c>
      <c r="D2" s="106" t="n">
        <v>44637</v>
      </c>
      <c r="E2" s="119" t="n">
        <v>44638.2630787037</v>
      </c>
      <c r="F2" s="146" t="n">
        <v>67781.558</v>
      </c>
      <c r="G2" s="146" t="n">
        <v>67804.672</v>
      </c>
      <c r="H2" s="146" t="n">
        <v>23.112</v>
      </c>
      <c r="I2" s="87" t="n">
        <f aca="false">H2</f>
        <v>23.112</v>
      </c>
      <c r="J2" s="87" t="n">
        <f aca="false">(I2/A2)</f>
        <v>23.112</v>
      </c>
      <c r="K2" s="88" t="str">
        <f aca="false">IF(KWH&gt;0,((RATES*KWH)+TDU_DAILY)+(1*TAX),"")</f>
        <v/>
      </c>
      <c r="L2" s="89" t="str">
        <f aca="false">(K2)</f>
        <v/>
      </c>
      <c r="M2" s="192" t="n">
        <f aca="false">IF(AVERAGE_KWH&lt;&gt;"",AVERAGE_KWH*$A$33,$M1)</f>
        <v>739.584</v>
      </c>
      <c r="N2" s="90" t="n">
        <f aca="false">IF(PROJ_USAGE&gt;1000,((RATES*PROJ_USAGE)+ONCOR)*1+TAX-(CREDIT),(RATES*PROJ_USAGE)+ONCOR)*1+TAX</f>
        <v>81.157664516129</v>
      </c>
      <c r="O2" s="91" t="n">
        <f aca="false">IF((BREAK-CUM_KWH)&gt;0,BREAK-CUM_KWH,"")</f>
        <v>976.888</v>
      </c>
      <c r="Q2" s="122" t="s">
        <v>18</v>
      </c>
      <c r="R2" s="159" t="s">
        <v>19</v>
      </c>
      <c r="S2" s="199"/>
    </row>
    <row r="3" s="102" customFormat="true" ht="15" hidden="false" customHeight="false" outlineLevel="0" collapsed="false">
      <c r="A3" s="45" t="n">
        <v>2</v>
      </c>
      <c r="B3" s="45" t="n">
        <f aca="false">$A$32-$A3</f>
        <v>29</v>
      </c>
      <c r="C3" s="86" t="str">
        <f aca="false">TEXT(D3,"ddd")</f>
        <v>Fri</v>
      </c>
      <c r="D3" s="106" t="n">
        <v>44638</v>
      </c>
      <c r="E3" s="119" t="n">
        <v>44639.2629861111</v>
      </c>
      <c r="F3" s="146" t="n">
        <v>67804.672</v>
      </c>
      <c r="G3" s="146" t="n">
        <v>67839.97</v>
      </c>
      <c r="H3" s="146" t="n">
        <v>35.298</v>
      </c>
      <c r="I3" s="87" t="n">
        <f aca="false">(I2+H3)</f>
        <v>58.41</v>
      </c>
      <c r="J3" s="87" t="n">
        <f aca="false">(I3/A3)</f>
        <v>29.205</v>
      </c>
      <c r="K3" s="88" t="str">
        <f aca="false">IF(KWH&gt;0,((RATES*KWH)+TDU_DAILY)+(1*TAX),"")</f>
        <v/>
      </c>
      <c r="L3" s="89" t="e">
        <f aca="false">(L2+K3)</f>
        <v>#VALUE!</v>
      </c>
      <c r="M3" s="90" t="n">
        <f aca="false">IF(AVERAGE_KWH&lt;&gt;"",AVERAGE_KWH*$A$33,$M2)</f>
        <v>934.56</v>
      </c>
      <c r="N3" s="90" t="n">
        <f aca="false">IF(PROJ_USAGE&gt;1000,((RATES*PROJ_USAGE)+ONCOR)*1+TAX-(CREDIT),(RATES*PROJ_USAGE)+ONCOR)*1+TAX</f>
        <v>102.542129032258</v>
      </c>
      <c r="O3" s="91" t="n">
        <f aca="false">IF((BREAK-CUM_KWH)&gt;0,BREAK-CUM_KWH,"")</f>
        <v>941.59</v>
      </c>
      <c r="Q3" s="127" t="s">
        <v>22</v>
      </c>
      <c r="R3" s="164" t="n">
        <f aca="false">(F2+1000)</f>
        <v>68781.558</v>
      </c>
      <c r="S3" s="200"/>
    </row>
    <row r="4" s="102" customFormat="true" ht="15" hidden="false" customHeight="false" outlineLevel="0" collapsed="false">
      <c r="A4" s="45" t="n">
        <v>3</v>
      </c>
      <c r="B4" s="45" t="n">
        <f aca="false">$A$32-$A4</f>
        <v>28</v>
      </c>
      <c r="C4" s="86" t="str">
        <f aca="false">TEXT(D4,"ddd")</f>
        <v>Sat</v>
      </c>
      <c r="D4" s="106" t="n">
        <v>44639</v>
      </c>
      <c r="E4" s="119" t="n">
        <v>44640.2870138889</v>
      </c>
      <c r="F4" s="146" t="n">
        <v>67839.97</v>
      </c>
      <c r="G4" s="146" t="n">
        <v>67868.597</v>
      </c>
      <c r="H4" s="146" t="n">
        <v>28.625</v>
      </c>
      <c r="I4" s="87" t="n">
        <f aca="false">(I3+H4)</f>
        <v>87.035</v>
      </c>
      <c r="J4" s="87" t="n">
        <f aca="false">(I4/A4)</f>
        <v>29.0116666666667</v>
      </c>
      <c r="K4" s="88" t="str">
        <f aca="false">IF(KWH&gt;0,((RATES*KWH)+TDU_DAILY)+(1*TAX),"")</f>
        <v/>
      </c>
      <c r="L4" s="89" t="e">
        <f aca="false">(L3+K4)</f>
        <v>#VALUE!</v>
      </c>
      <c r="M4" s="90" t="n">
        <f aca="false">IF(AVERAGE_KWH&lt;&gt;"",AVERAGE_KWH*$A$33,$M3)</f>
        <v>928.373333333333</v>
      </c>
      <c r="N4" s="90" t="n">
        <f aca="false">IF(PROJ_USAGE&gt;1000,((RATES*PROJ_USAGE)+ONCOR)*1+TAX-(CREDIT),(RATES*PROJ_USAGE)+ONCOR)*1+TAX</f>
        <v>101.863591397849</v>
      </c>
      <c r="O4" s="91" t="n">
        <f aca="false">IF((BREAK-CUM_KWH)&gt;0,BREAK-CUM_KWH,"")</f>
        <v>912.965</v>
      </c>
      <c r="Q4" s="127" t="s">
        <v>25</v>
      </c>
      <c r="R4" s="165"/>
      <c r="S4" s="167" t="n">
        <v>0.001667</v>
      </c>
    </row>
    <row r="5" s="102" customFormat="true" ht="15" hidden="false" customHeight="false" outlineLevel="0" collapsed="false">
      <c r="A5" s="45" t="n">
        <v>4</v>
      </c>
      <c r="B5" s="45" t="n">
        <f aca="false">$A$32-$A5</f>
        <v>27</v>
      </c>
      <c r="C5" s="86" t="str">
        <f aca="false">TEXT(D5,"ddd")</f>
        <v>Sun</v>
      </c>
      <c r="D5" s="106" t="n">
        <v>44640</v>
      </c>
      <c r="E5" s="119" t="n">
        <v>44641.2612268519</v>
      </c>
      <c r="F5" s="146" t="n">
        <v>67868.597</v>
      </c>
      <c r="G5" s="146" t="n">
        <v>67888.207</v>
      </c>
      <c r="H5" s="146" t="n">
        <v>19.609</v>
      </c>
      <c r="I5" s="87" t="n">
        <f aca="false">(I4+H5)</f>
        <v>106.644</v>
      </c>
      <c r="J5" s="87" t="n">
        <f aca="false">(I5/A5)</f>
        <v>26.661</v>
      </c>
      <c r="K5" s="88" t="str">
        <f aca="false">IF(KWH&gt;0,((RATES*KWH)+TDU_DAILY)+(1*TAX),"")</f>
        <v/>
      </c>
      <c r="L5" s="89" t="e">
        <f aca="false">(L4+K5)</f>
        <v>#VALUE!</v>
      </c>
      <c r="M5" s="90" t="n">
        <f aca="false">IF(AVERAGE_KWH&lt;&gt;"",AVERAGE_KWH*$A$33,$M4)</f>
        <v>853.152</v>
      </c>
      <c r="N5" s="90" t="n">
        <f aca="false">IF(PROJ_USAGE&gt;1000,((RATES*PROJ_USAGE)+ONCOR)*1+TAX-(CREDIT),(RATES*PROJ_USAGE)+ONCOR)*1+TAX</f>
        <v>93.6135096774194</v>
      </c>
      <c r="O5" s="91" t="n">
        <f aca="false">IF((BREAK-CUM_KWH)&gt;0,BREAK-CUM_KWH,"")</f>
        <v>893.356</v>
      </c>
      <c r="Q5" s="127" t="s">
        <v>28</v>
      </c>
      <c r="R5" s="165"/>
      <c r="S5" s="167" t="n">
        <v>0.042</v>
      </c>
    </row>
    <row r="6" s="102" customFormat="true" ht="15" hidden="false" customHeight="false" outlineLevel="0" collapsed="false">
      <c r="A6" s="45" t="n">
        <v>5</v>
      </c>
      <c r="B6" s="45" t="n">
        <f aca="false">$A$32-$A6</f>
        <v>26</v>
      </c>
      <c r="C6" s="86" t="str">
        <f aca="false">TEXT(D6,"ddd")</f>
        <v>Mon</v>
      </c>
      <c r="D6" s="106" t="n">
        <v>44641</v>
      </c>
      <c r="E6" s="119" t="n">
        <v>44642.2630324074</v>
      </c>
      <c r="F6" s="146" t="n">
        <v>67888.207</v>
      </c>
      <c r="G6" s="146" t="n">
        <v>67917.68</v>
      </c>
      <c r="H6" s="146" t="n">
        <v>29.478</v>
      </c>
      <c r="I6" s="87" t="n">
        <f aca="false">(I5+H6)</f>
        <v>136.122</v>
      </c>
      <c r="J6" s="87" t="n">
        <f aca="false">(I6/A6)</f>
        <v>27.2244</v>
      </c>
      <c r="K6" s="88" t="str">
        <f aca="false">IF(KWH&gt;0,((RATES*KWH)+TDU_DAILY)+(1*TAX),"")</f>
        <v/>
      </c>
      <c r="L6" s="89" t="e">
        <f aca="false">(L5+K6)</f>
        <v>#VALUE!</v>
      </c>
      <c r="M6" s="90" t="n">
        <f aca="false">IF(AVERAGE_KWH&lt;&gt;"",AVERAGE_KWH*$A$33,$M5)</f>
        <v>871.1808</v>
      </c>
      <c r="N6" s="90" t="n">
        <f aca="false">IF(PROJ_USAGE&gt;1000,((RATES*PROJ_USAGE)+ONCOR)*1+TAX-(CREDIT),(RATES*PROJ_USAGE)+ONCOR)*1+TAX</f>
        <v>95.5908619354839</v>
      </c>
      <c r="O6" s="91" t="n">
        <f aca="false">IF((BREAK-CUM_KWH)&gt;0,BREAK-CUM_KWH,"")</f>
        <v>863.878</v>
      </c>
      <c r="Q6" s="127" t="s">
        <v>31</v>
      </c>
      <c r="R6" s="165"/>
      <c r="S6" s="167" t="n">
        <v>0.154</v>
      </c>
    </row>
    <row r="7" s="102" customFormat="true" ht="15" hidden="false" customHeight="false" outlineLevel="0" collapsed="false">
      <c r="A7" s="45" t="n">
        <v>6</v>
      </c>
      <c r="B7" s="45" t="n">
        <f aca="false">$A$32-$A7</f>
        <v>25</v>
      </c>
      <c r="C7" s="86" t="str">
        <f aca="false">TEXT(D7,"ddd")</f>
        <v>Tue</v>
      </c>
      <c r="D7" s="106" t="n">
        <v>44642</v>
      </c>
      <c r="E7" s="119" t="n">
        <v>44643.285625</v>
      </c>
      <c r="F7" s="146" t="n">
        <v>67917.68</v>
      </c>
      <c r="G7" s="146" t="n">
        <v>67939.337</v>
      </c>
      <c r="H7" s="146" t="n">
        <v>21.654</v>
      </c>
      <c r="I7" s="87" t="n">
        <f aca="false">(I6+H7)</f>
        <v>157.776</v>
      </c>
      <c r="J7" s="87" t="n">
        <f aca="false">(I7/A7)</f>
        <v>26.296</v>
      </c>
      <c r="K7" s="88" t="str">
        <f aca="false">IF(KWH&gt;0,((RATES*KWH)+TDU_DAILY)+(1*TAX),"")</f>
        <v/>
      </c>
      <c r="L7" s="89" t="e">
        <f aca="false">(L6+K7)</f>
        <v>#VALUE!</v>
      </c>
      <c r="M7" s="90" t="n">
        <f aca="false">IF(AVERAGE_KWH&lt;&gt;"",AVERAGE_KWH*$A$33,$M6)</f>
        <v>841.472</v>
      </c>
      <c r="N7" s="90" t="n">
        <f aca="false">IF(PROJ_USAGE&gt;1000,((RATES*PROJ_USAGE)+ONCOR)*1+TAX-(CREDIT),(RATES*PROJ_USAGE)+ONCOR)*1+TAX</f>
        <v>92.3324774193549</v>
      </c>
      <c r="O7" s="91" t="n">
        <f aca="false">IF((BREAK-CUM_KWH)&gt;0,BREAK-CUM_KWH,"")</f>
        <v>842.224</v>
      </c>
      <c r="Q7" s="127" t="s">
        <v>34</v>
      </c>
      <c r="R7" s="165"/>
      <c r="S7" s="201" t="n">
        <f aca="false">SUM(S4:S6)</f>
        <v>0.197667</v>
      </c>
    </row>
    <row r="8" s="102" customFormat="true" ht="15" hidden="false" customHeight="false" outlineLevel="0" collapsed="false">
      <c r="A8" s="45" t="n">
        <v>7</v>
      </c>
      <c r="B8" s="45" t="n">
        <f aca="false">$A$32-$A8</f>
        <v>24</v>
      </c>
      <c r="C8" s="86" t="str">
        <f aca="false">TEXT(D8,"ddd")</f>
        <v>Wed</v>
      </c>
      <c r="D8" s="106" t="n">
        <v>44643</v>
      </c>
      <c r="E8" s="119" t="n">
        <v>44644.2804861111</v>
      </c>
      <c r="F8" s="146" t="n">
        <v>67939.337</v>
      </c>
      <c r="G8" s="146" t="n">
        <v>67963.399</v>
      </c>
      <c r="H8" s="146" t="n">
        <v>24.06</v>
      </c>
      <c r="I8" s="87" t="n">
        <f aca="false">(I7+H8)</f>
        <v>181.836</v>
      </c>
      <c r="J8" s="87" t="n">
        <f aca="false">(I8/A8)</f>
        <v>25.9765714285714</v>
      </c>
      <c r="K8" s="88" t="str">
        <f aca="false">IF(KWH&gt;0,((RATES*KWH)+TDU_DAILY)+(1*TAX),"")</f>
        <v/>
      </c>
      <c r="L8" s="89" t="e">
        <f aca="false">(L7+K8)</f>
        <v>#VALUE!</v>
      </c>
      <c r="M8" s="90" t="n">
        <f aca="false">IF(AVERAGE_KWH&lt;&gt;"",AVERAGE_KWH*$A$33,$M7)</f>
        <v>831.250285714286</v>
      </c>
      <c r="N8" s="90" t="n">
        <f aca="false">IF(PROJ_USAGE&gt;1000,((RATES*PROJ_USAGE)+ONCOR)*1+TAX-(CREDIT),(RATES*PROJ_USAGE)+ONCOR)*1+TAX</f>
        <v>91.2113861751152</v>
      </c>
      <c r="O8" s="91" t="n">
        <f aca="false">IF((BREAK-CUM_KWH)&gt;0,BREAK-CUM_KWH,"")</f>
        <v>818.164</v>
      </c>
      <c r="Q8" s="127" t="s">
        <v>38</v>
      </c>
      <c r="R8" s="164" t="n">
        <v>3.4</v>
      </c>
      <c r="S8" s="167" t="n">
        <f aca="false">($R$8/DAYS)</f>
        <v>0.109677419354839</v>
      </c>
    </row>
    <row r="9" s="102" customFormat="true" ht="15" hidden="false" customHeight="false" outlineLevel="0" collapsed="false">
      <c r="A9" s="45" t="n">
        <v>8</v>
      </c>
      <c r="B9" s="45" t="n">
        <f aca="false">$A$32-$A9</f>
        <v>23</v>
      </c>
      <c r="C9" s="86" t="str">
        <f aca="false">TEXT(D9,"ddd")</f>
        <v>Thu</v>
      </c>
      <c r="D9" s="106" t="n">
        <v>44644</v>
      </c>
      <c r="E9" s="119" t="n">
        <v>44645.2633912037</v>
      </c>
      <c r="F9" s="146" t="n">
        <v>67963.399</v>
      </c>
      <c r="G9" s="146" t="n">
        <v>67988.732</v>
      </c>
      <c r="H9" s="146" t="n">
        <v>25.334</v>
      </c>
      <c r="I9" s="87" t="n">
        <f aca="false">(I8+H9)</f>
        <v>207.17</v>
      </c>
      <c r="J9" s="87" t="n">
        <f aca="false">(I9/A9)</f>
        <v>25.89625</v>
      </c>
      <c r="K9" s="88" t="str">
        <f aca="false">IF(KWH&gt;0,((RATES*KWH)+TDU_DAILY)+(1*TAX),"")</f>
        <v/>
      </c>
      <c r="L9" s="89" t="e">
        <f aca="false">(L8+K9)</f>
        <v>#VALUE!</v>
      </c>
      <c r="M9" s="90" t="n">
        <f aca="false">IF(AVERAGE_KWH&lt;&gt;"",AVERAGE_KWH*$A$33,$M8)</f>
        <v>828.68</v>
      </c>
      <c r="N9" s="90" t="n">
        <f aca="false">IF(PROJ_USAGE&gt;1000,((RATES*PROJ_USAGE)+ONCOR)*1+TAX-(CREDIT),(RATES*PROJ_USAGE)+ONCOR)*1+TAX</f>
        <v>90.9294838709678</v>
      </c>
      <c r="O9" s="91" t="n">
        <f aca="false">IF((BREAK-CUM_KWH)&gt;0,BREAK-CUM_KWH,"")</f>
        <v>792.83</v>
      </c>
      <c r="Q9" s="127" t="s">
        <v>42</v>
      </c>
      <c r="R9" s="165"/>
      <c r="S9" s="202" t="n">
        <v>0.01997</v>
      </c>
    </row>
    <row r="10" s="102" customFormat="true" ht="15" hidden="false" customHeight="false" outlineLevel="0" collapsed="false">
      <c r="A10" s="45" t="n">
        <v>9</v>
      </c>
      <c r="B10" s="45" t="n">
        <f aca="false">$A$32-$A10</f>
        <v>22</v>
      </c>
      <c r="C10" s="86" t="str">
        <f aca="false">TEXT(D10,"ddd")</f>
        <v>Fri</v>
      </c>
      <c r="D10" s="106" t="n">
        <v>44645</v>
      </c>
      <c r="E10" s="119" t="n">
        <v>44646.2624537037</v>
      </c>
      <c r="F10" s="146" t="n">
        <v>67988.732</v>
      </c>
      <c r="G10" s="146" t="n">
        <v>68015.308</v>
      </c>
      <c r="H10" s="146" t="n">
        <v>26.575</v>
      </c>
      <c r="I10" s="87" t="n">
        <f aca="false">(I9+H10)</f>
        <v>233.745</v>
      </c>
      <c r="J10" s="87" t="n">
        <f aca="false">(I10/A10)</f>
        <v>25.9716666666667</v>
      </c>
      <c r="K10" s="88" t="str">
        <f aca="false">IF(KWH&gt;0,((RATES*KWH)+TDU_DAILY)+(1*TAX),"")</f>
        <v/>
      </c>
      <c r="L10" s="89" t="e">
        <f aca="false">(L9+K10)</f>
        <v>#VALUE!</v>
      </c>
      <c r="M10" s="90" t="n">
        <f aca="false">IF(AVERAGE_KWH&lt;&gt;"",AVERAGE_KWH*$A$33,$M9)</f>
        <v>831.093333333333</v>
      </c>
      <c r="N10" s="90" t="n">
        <f aca="false">IF(PROJ_USAGE&gt;1000,((RATES*PROJ_USAGE)+ONCOR)*1+TAX-(CREDIT),(RATES*PROJ_USAGE)+ONCOR)*1+TAX</f>
        <v>91.1941720430108</v>
      </c>
      <c r="O10" s="91" t="n">
        <f aca="false">IF((BREAK-CUM_KWH)&gt;0,BREAK-CUM_KWH,"")</f>
        <v>766.255</v>
      </c>
      <c r="Q10" s="127" t="s">
        <v>46</v>
      </c>
      <c r="R10" s="203" t="n">
        <v>100</v>
      </c>
      <c r="S10" s="202" t="n">
        <v>1000</v>
      </c>
    </row>
    <row r="11" s="102" customFormat="true" ht="15" hidden="false" customHeight="false" outlineLevel="0" collapsed="false">
      <c r="A11" s="45" t="n">
        <v>10</v>
      </c>
      <c r="B11" s="45" t="n">
        <f aca="false">$A$32-$A11</f>
        <v>21</v>
      </c>
      <c r="C11" s="86" t="str">
        <f aca="false">TEXT(D11,"ddd")</f>
        <v>Sat</v>
      </c>
      <c r="D11" s="106" t="n">
        <v>44646</v>
      </c>
      <c r="E11" s="119" t="n">
        <v>44647.4574652778</v>
      </c>
      <c r="F11" s="146" t="n">
        <v>68015.308</v>
      </c>
      <c r="G11" s="146" t="n">
        <v>68042.705</v>
      </c>
      <c r="H11" s="146" t="n">
        <v>27.393</v>
      </c>
      <c r="I11" s="87" t="n">
        <f aca="false">(I10+H11)</f>
        <v>261.138</v>
      </c>
      <c r="J11" s="87" t="n">
        <f aca="false">(I11/A11)</f>
        <v>26.1138</v>
      </c>
      <c r="K11" s="88" t="str">
        <f aca="false">IF(KWH&gt;0,((RATES*KWH)+TDU_DAILY)+(1*TAX),"")</f>
        <v/>
      </c>
      <c r="L11" s="89" t="e">
        <f aca="false">(L10+K11)</f>
        <v>#VALUE!</v>
      </c>
      <c r="M11" s="90" t="n">
        <f aca="false">IF(AVERAGE_KWH&lt;&gt;"",AVERAGE_KWH*$A$33,$M10)</f>
        <v>835.6416</v>
      </c>
      <c r="N11" s="90" t="n">
        <f aca="false">IF(PROJ_USAGE&gt;1000,((RATES*PROJ_USAGE)+ONCOR)*1+TAX-(CREDIT),(RATES*PROJ_USAGE)+ONCOR)*1+TAX</f>
        <v>91.6930141935484</v>
      </c>
      <c r="O11" s="91" t="n">
        <f aca="false">IF((BREAK-CUM_KWH)&gt;0,BREAK-CUM_KWH,"")</f>
        <v>738.862</v>
      </c>
      <c r="Q11" s="127" t="s">
        <v>49</v>
      </c>
      <c r="R11" s="203" t="n">
        <v>295</v>
      </c>
      <c r="S11" s="200"/>
    </row>
    <row r="12" s="102" customFormat="true" ht="15" hidden="false" customHeight="false" outlineLevel="0" collapsed="false">
      <c r="A12" s="45" t="n">
        <v>11</v>
      </c>
      <c r="B12" s="45" t="n">
        <f aca="false">$A$32-$A12</f>
        <v>20</v>
      </c>
      <c r="C12" s="86" t="str">
        <f aca="false">TEXT(D12,"ddd")</f>
        <v>Sun</v>
      </c>
      <c r="D12" s="106" t="n">
        <v>44647</v>
      </c>
      <c r="E12" s="119" t="n">
        <v>44648.261875</v>
      </c>
      <c r="F12" s="146" t="n">
        <v>68042.705</v>
      </c>
      <c r="G12" s="146" t="n">
        <v>68075.224</v>
      </c>
      <c r="H12" s="146" t="n">
        <v>32.52</v>
      </c>
      <c r="I12" s="87" t="n">
        <f aca="false">(I11+H12)</f>
        <v>293.658</v>
      </c>
      <c r="J12" s="87" t="n">
        <f aca="false">(I12/A12)</f>
        <v>26.6961818181818</v>
      </c>
      <c r="K12" s="88" t="str">
        <f aca="false">IF(KWH&gt;0,((RATES*KWH)+TDU_DAILY)+(1*TAX),"")</f>
        <v/>
      </c>
      <c r="L12" s="89" t="e">
        <f aca="false">(L11+K12)</f>
        <v>#VALUE!</v>
      </c>
      <c r="M12" s="90" t="n">
        <f aca="false">IF(AVERAGE_KWH&lt;&gt;"",AVERAGE_KWH*$A$33,$M11)</f>
        <v>854.277818181818</v>
      </c>
      <c r="N12" s="90" t="n">
        <f aca="false">IF(PROJ_USAGE&gt;1000,((RATES*PROJ_USAGE)+ONCOR)*1+TAX-(CREDIT),(RATES*PROJ_USAGE)+ONCOR)*1+TAX</f>
        <v>93.736986510264</v>
      </c>
      <c r="O12" s="91" t="n">
        <f aca="false">IF((BREAK-CUM_KWH)&gt;0,BREAK-CUM_KWH,"")</f>
        <v>706.342</v>
      </c>
      <c r="Q12" s="127" t="s">
        <v>52</v>
      </c>
      <c r="R12" s="204" t="e">
        <f aca="false">INDEX(L2:L32,COUNT(L2:L32))</f>
        <v>#VALUE!</v>
      </c>
      <c r="S12" s="200"/>
    </row>
    <row r="13" s="102" customFormat="true" ht="15" hidden="false" customHeight="false" outlineLevel="0" collapsed="false">
      <c r="A13" s="45" t="n">
        <v>12</v>
      </c>
      <c r="B13" s="45" t="n">
        <f aca="false">$A$32-$A13</f>
        <v>19</v>
      </c>
      <c r="C13" s="86" t="str">
        <f aca="false">TEXT(D13,"ddd")</f>
        <v>Mon</v>
      </c>
      <c r="D13" s="106" t="n">
        <v>44648</v>
      </c>
      <c r="E13" s="119" t="n">
        <v>44649.2684606482</v>
      </c>
      <c r="F13" s="146" t="n">
        <v>68075.224</v>
      </c>
      <c r="G13" s="146" t="n">
        <v>68101.534</v>
      </c>
      <c r="H13" s="146" t="n">
        <v>26.308</v>
      </c>
      <c r="I13" s="87" t="n">
        <f aca="false">(I12+H13)</f>
        <v>319.966</v>
      </c>
      <c r="J13" s="87" t="n">
        <f aca="false">(I13/A13)</f>
        <v>26.6638333333333</v>
      </c>
      <c r="K13" s="88" t="str">
        <f aca="false">IF(KWH&gt;0,((RATES*KWH)+TDU_DAILY)+(1*TAX),"")</f>
        <v/>
      </c>
      <c r="L13" s="89" t="e">
        <f aca="false">(L12+K13)</f>
        <v>#VALUE!</v>
      </c>
      <c r="M13" s="90" t="n">
        <f aca="false">IF(AVERAGE_KWH&lt;&gt;"",AVERAGE_KWH*$A$33,$M12)</f>
        <v>853.242666666667</v>
      </c>
      <c r="N13" s="90" t="n">
        <f aca="false">IF(PROJ_USAGE&gt;1000,((RATES*PROJ_USAGE)+ONCOR)*1+TAX-(CREDIT),(RATES*PROJ_USAGE)+ONCOR)*1+TAX</f>
        <v>93.6234537634409</v>
      </c>
      <c r="O13" s="91" t="n">
        <f aca="false">IF((BREAK-CUM_KWH)&gt;0,BREAK-CUM_KWH,"")</f>
        <v>680.034</v>
      </c>
      <c r="Q13" s="127" t="s">
        <v>55</v>
      </c>
      <c r="R13" s="205" t="n">
        <f aca="false">INDEX(I2:I32,COUNT(I2:I32))</f>
        <v>1016.263</v>
      </c>
      <c r="S13" s="200"/>
    </row>
    <row r="14" s="102" customFormat="true" ht="15" hidden="false" customHeight="false" outlineLevel="0" collapsed="false">
      <c r="A14" s="45" t="n">
        <v>13</v>
      </c>
      <c r="B14" s="45" t="n">
        <f aca="false">$A$32-$A14</f>
        <v>18</v>
      </c>
      <c r="C14" s="86" t="str">
        <f aca="false">TEXT(D14,"ddd")</f>
        <v>Tue</v>
      </c>
      <c r="D14" s="106" t="n">
        <v>44649</v>
      </c>
      <c r="E14" s="119" t="n">
        <v>44650.2662268519</v>
      </c>
      <c r="F14" s="146" t="n">
        <v>68101.534</v>
      </c>
      <c r="G14" s="146" t="n">
        <v>68138.652</v>
      </c>
      <c r="H14" s="146" t="n">
        <v>37.117</v>
      </c>
      <c r="I14" s="87" t="n">
        <f aca="false">(I13+H14)</f>
        <v>357.083</v>
      </c>
      <c r="J14" s="87" t="n">
        <f aca="false">(I14/A14)</f>
        <v>27.4679230769231</v>
      </c>
      <c r="K14" s="88" t="str">
        <f aca="false">IF(KWH&gt;0,((RATES*KWH)+TDU_DAILY)+(1*TAX),"")</f>
        <v/>
      </c>
      <c r="L14" s="89" t="e">
        <f aca="false">(L13+K14)</f>
        <v>#VALUE!</v>
      </c>
      <c r="M14" s="90" t="n">
        <f aca="false">IF(AVERAGE_KWH&lt;&gt;"",AVERAGE_KWH*$A$33,$M13)</f>
        <v>878.973538461539</v>
      </c>
      <c r="N14" s="90" t="n">
        <f aca="false">IF(PROJ_USAGE&gt;1000,((RATES*PROJ_USAGE)+ONCOR)*1+TAX-(CREDIT),(RATES*PROJ_USAGE)+ONCOR)*1+TAX</f>
        <v>96.4455493796526</v>
      </c>
      <c r="O14" s="91" t="n">
        <f aca="false">IF((BREAK-CUM_KWH)&gt;0,BREAK-CUM_KWH,"")</f>
        <v>642.917</v>
      </c>
      <c r="Q14" s="206" t="s">
        <v>152</v>
      </c>
      <c r="R14" s="207" t="n">
        <f aca="false">INDEX(J2:J32,COUNT(J2:J32))</f>
        <v>32.7826774193548</v>
      </c>
      <c r="S14" s="208"/>
    </row>
    <row r="15" s="102" customFormat="true" ht="15" hidden="false" customHeight="false" outlineLevel="0" collapsed="false">
      <c r="A15" s="45" t="n">
        <v>14</v>
      </c>
      <c r="B15" s="45" t="n">
        <f aca="false">$A$32-$A15</f>
        <v>17</v>
      </c>
      <c r="C15" s="86" t="str">
        <f aca="false">TEXT(D15,"ddd")</f>
        <v>Wed</v>
      </c>
      <c r="D15" s="106" t="n">
        <v>44650</v>
      </c>
      <c r="E15" s="119" t="n">
        <v>44651.2644675926</v>
      </c>
      <c r="F15" s="146" t="n">
        <v>68138.652</v>
      </c>
      <c r="G15" s="146" t="n">
        <v>68167.763</v>
      </c>
      <c r="H15" s="146" t="n">
        <v>29.114</v>
      </c>
      <c r="I15" s="87" t="n">
        <f aca="false">(I14+H15)</f>
        <v>386.197</v>
      </c>
      <c r="J15" s="87" t="n">
        <f aca="false">(I15/A15)</f>
        <v>27.5855</v>
      </c>
      <c r="K15" s="88" t="str">
        <f aca="false">IF(KWH&gt;0,((RATES*KWH)+TDU_DAILY)+(1*TAX),"")</f>
        <v/>
      </c>
      <c r="L15" s="89" t="e">
        <f aca="false">(L14+K15)</f>
        <v>#VALUE!</v>
      </c>
      <c r="M15" s="90" t="n">
        <f aca="false">IF(AVERAGE_KWH&lt;&gt;"",AVERAGE_KWH*$A$33,$M14)</f>
        <v>882.736</v>
      </c>
      <c r="N15" s="90" t="n">
        <f aca="false">IF(PROJ_USAGE&gt;1000,((RATES*PROJ_USAGE)+ONCOR)*1+TAX-(CREDIT),(RATES*PROJ_USAGE)+ONCOR)*1+TAX</f>
        <v>96.8582064516129</v>
      </c>
      <c r="O15" s="91" t="n">
        <f aca="false">IF((BREAK-CUM_KWH)&gt;0,BREAK-CUM_KWH,"")</f>
        <v>613.803</v>
      </c>
    </row>
    <row r="16" s="102" customFormat="true" ht="15" hidden="false" customHeight="false" outlineLevel="0" collapsed="false">
      <c r="A16" s="45" t="n">
        <v>15</v>
      </c>
      <c r="B16" s="45" t="n">
        <f aca="false">$A$32-$A16</f>
        <v>16</v>
      </c>
      <c r="C16" s="86" t="str">
        <f aca="false">TEXT(D16,"ddd")</f>
        <v>Thu</v>
      </c>
      <c r="D16" s="106" t="n">
        <v>44651</v>
      </c>
      <c r="E16" s="119" t="n">
        <v>44652.2751041667</v>
      </c>
      <c r="F16" s="146" t="n">
        <v>68167.763</v>
      </c>
      <c r="G16" s="146" t="n">
        <v>68190.828</v>
      </c>
      <c r="H16" s="146" t="n">
        <v>23.065</v>
      </c>
      <c r="I16" s="87" t="n">
        <f aca="false">(I15+H16)</f>
        <v>409.262</v>
      </c>
      <c r="J16" s="87" t="n">
        <f aca="false">(I16/A16)</f>
        <v>27.2841333333333</v>
      </c>
      <c r="K16" s="88" t="str">
        <f aca="false">IF(KWH&gt;0,((RATES*KWH)+TDU_DAILY)+(1*TAX),"")</f>
        <v/>
      </c>
      <c r="L16" s="89" t="e">
        <f aca="false">(L15+K16)</f>
        <v>#VALUE!</v>
      </c>
      <c r="M16" s="90" t="n">
        <f aca="false">IF(AVERAGE_KWH&lt;&gt;"",AVERAGE_KWH*$A$33,$M15)</f>
        <v>873.092266666667</v>
      </c>
      <c r="N16" s="90" t="n">
        <f aca="false">IF(PROJ_USAGE&gt;1000,((RATES*PROJ_USAGE)+ONCOR)*1+TAX-(CREDIT),(RATES*PROJ_USAGE)+ONCOR)*1+TAX</f>
        <v>95.8005066666667</v>
      </c>
      <c r="O16" s="91" t="n">
        <f aca="false">IF((BREAK-CUM_KWH)&gt;0,BREAK-CUM_KWH,"")</f>
        <v>590.738</v>
      </c>
    </row>
    <row r="17" s="102" customFormat="true" ht="15" hidden="false" customHeight="false" outlineLevel="0" collapsed="false">
      <c r="A17" s="45" t="n">
        <v>16</v>
      </c>
      <c r="B17" s="45" t="n">
        <f aca="false">$A$32-$A17</f>
        <v>15</v>
      </c>
      <c r="C17" s="86" t="str">
        <f aca="false">TEXT(D17,"ddd")</f>
        <v>Fri</v>
      </c>
      <c r="D17" s="106" t="n">
        <v>44652</v>
      </c>
      <c r="E17" s="119" t="n">
        <v>44653.2658564815</v>
      </c>
      <c r="F17" s="146" t="n">
        <v>68190.828</v>
      </c>
      <c r="G17" s="146" t="n">
        <v>68214.984</v>
      </c>
      <c r="H17" s="146" t="n">
        <v>24.155</v>
      </c>
      <c r="I17" s="87" t="n">
        <f aca="false">(I16+H17)</f>
        <v>433.417</v>
      </c>
      <c r="J17" s="87" t="n">
        <f aca="false">(I17/A17)</f>
        <v>27.0885625</v>
      </c>
      <c r="K17" s="88" t="str">
        <f aca="false">IF(KWH&gt;0,((RATES*KWH)+TDU_DAILY)+(1*TAX),"")</f>
        <v/>
      </c>
      <c r="L17" s="89" t="e">
        <f aca="false">(L16+K17)</f>
        <v>#VALUE!</v>
      </c>
      <c r="M17" s="90" t="n">
        <f aca="false">IF(AVERAGE_KWH&lt;&gt;"",AVERAGE_KWH*$A$33,$M16)</f>
        <v>866.834</v>
      </c>
      <c r="N17" s="90" t="n">
        <f aca="false">IF(PROJ_USAGE&gt;1000,((RATES*PROJ_USAGE)+ONCOR)*1+TAX-(CREDIT),(RATES*PROJ_USAGE)+ONCOR)*1+TAX</f>
        <v>95.1141161290323</v>
      </c>
      <c r="O17" s="91" t="n">
        <f aca="false">IF((BREAK-CUM_KWH)&gt;0,BREAK-CUM_KWH,"")</f>
        <v>566.583</v>
      </c>
    </row>
    <row r="18" s="102" customFormat="true" ht="15" hidden="false" customHeight="false" outlineLevel="0" collapsed="false">
      <c r="A18" s="45" t="n">
        <v>17</v>
      </c>
      <c r="B18" s="45" t="n">
        <f aca="false">$A$32-$A18</f>
        <v>14</v>
      </c>
      <c r="C18" s="86" t="str">
        <f aca="false">TEXT(D18,"ddd")</f>
        <v>Sat</v>
      </c>
      <c r="D18" s="106" t="n">
        <v>44653</v>
      </c>
      <c r="E18" s="119" t="n">
        <v>44654.2952546296</v>
      </c>
      <c r="F18" s="146" t="n">
        <v>68214.984</v>
      </c>
      <c r="G18" s="146" t="n">
        <v>68267.165</v>
      </c>
      <c r="H18" s="146" t="n">
        <v>52.183</v>
      </c>
      <c r="I18" s="87" t="n">
        <f aca="false">(I17+H18)</f>
        <v>485.6</v>
      </c>
      <c r="J18" s="87" t="n">
        <f aca="false">(I18/A18)</f>
        <v>28.5647058823529</v>
      </c>
      <c r="K18" s="88" t="str">
        <f aca="false">IF(KWH&gt;0,((RATES*KWH)+TDU_DAILY)+(1*TAX),"")</f>
        <v/>
      </c>
      <c r="L18" s="89" t="e">
        <f aca="false">(L17+K18)</f>
        <v>#VALUE!</v>
      </c>
      <c r="M18" s="90" t="n">
        <f aca="false">IF(AVERAGE_KWH&lt;&gt;"",AVERAGE_KWH*$A$33,$M17)</f>
        <v>914.070588235294</v>
      </c>
      <c r="N18" s="90" t="n">
        <f aca="false">IF(PROJ_USAGE&gt;1000,((RATES*PROJ_USAGE)+ONCOR)*1+TAX-(CREDIT),(RATES*PROJ_USAGE)+ONCOR)*1+TAX</f>
        <v>100.294903225806</v>
      </c>
      <c r="O18" s="91" t="n">
        <f aca="false">IF((BREAK-CUM_KWH)&gt;0,BREAK-CUM_KWH,"")</f>
        <v>514.4</v>
      </c>
    </row>
    <row r="19" s="102" customFormat="true" ht="15" hidden="false" customHeight="false" outlineLevel="0" collapsed="false">
      <c r="A19" s="45" t="n">
        <v>18</v>
      </c>
      <c r="B19" s="45" t="n">
        <f aca="false">$A$32-$A19</f>
        <v>13</v>
      </c>
      <c r="C19" s="86" t="str">
        <f aca="false">TEXT(D19,"ddd")</f>
        <v>Sun</v>
      </c>
      <c r="D19" s="106" t="n">
        <v>44654</v>
      </c>
      <c r="E19" s="119" t="n">
        <v>44655.2683680556</v>
      </c>
      <c r="F19" s="146" t="n">
        <v>68267.165</v>
      </c>
      <c r="G19" s="146" t="n">
        <v>68309.875</v>
      </c>
      <c r="H19" s="146" t="n">
        <v>42.711</v>
      </c>
      <c r="I19" s="87" t="n">
        <f aca="false">(I18+H19)</f>
        <v>528.311</v>
      </c>
      <c r="J19" s="87" t="n">
        <f aca="false">(I19/A19)</f>
        <v>29.3506111111111</v>
      </c>
      <c r="K19" s="88" t="str">
        <f aca="false">IF(KWH&gt;0,((RATES*KWH)+TDU_DAILY)+(1*TAX),"")</f>
        <v/>
      </c>
      <c r="L19" s="89" t="e">
        <f aca="false">(L18+K19)</f>
        <v>#VALUE!</v>
      </c>
      <c r="M19" s="90" t="n">
        <f aca="false">IF(AVERAGE_KWH&lt;&gt;"",AVERAGE_KWH*$A$33,$M18)</f>
        <v>939.219555555556</v>
      </c>
      <c r="N19" s="90" t="n">
        <f aca="false">IF(PROJ_USAGE&gt;1000,((RATES*PROJ_USAGE)+ONCOR)*1+TAX-(CREDIT),(RATES*PROJ_USAGE)+ONCOR)*1+TAX</f>
        <v>103.053177060932</v>
      </c>
      <c r="O19" s="91" t="n">
        <f aca="false">IF((BREAK-CUM_KWH)&gt;0,BREAK-CUM_KWH,"")</f>
        <v>471.689</v>
      </c>
    </row>
    <row r="20" s="102" customFormat="true" ht="15" hidden="false" customHeight="false" outlineLevel="0" collapsed="false">
      <c r="A20" s="45" t="n">
        <v>19</v>
      </c>
      <c r="B20" s="45" t="n">
        <f aca="false">$A$32-$A20</f>
        <v>12</v>
      </c>
      <c r="C20" s="86" t="str">
        <f aca="false">TEXT(D20,"ddd")</f>
        <v>Mon</v>
      </c>
      <c r="D20" s="106" t="n">
        <v>44655</v>
      </c>
      <c r="E20" s="119" t="n">
        <v>44656.2929050926</v>
      </c>
      <c r="F20" s="146" t="n">
        <v>68309.875</v>
      </c>
      <c r="G20" s="146" t="n">
        <v>68342.622</v>
      </c>
      <c r="H20" s="146" t="n">
        <v>32.742</v>
      </c>
      <c r="I20" s="87" t="n">
        <f aca="false">(I19+H20)</f>
        <v>561.053</v>
      </c>
      <c r="J20" s="87" t="n">
        <f aca="false">(I20/A20)</f>
        <v>29.5291052631579</v>
      </c>
      <c r="K20" s="88" t="str">
        <f aca="false">IF(KWH&gt;0,((RATES*KWH)+TDU_DAILY)+(1*TAX),"")</f>
        <v/>
      </c>
      <c r="L20" s="89" t="e">
        <f aca="false">(L19+K20)</f>
        <v>#VALUE!</v>
      </c>
      <c r="M20" s="90" t="n">
        <f aca="false">IF(AVERAGE_KWH&lt;&gt;"",AVERAGE_KWH*$A$33,$M19)</f>
        <v>944.931368421053</v>
      </c>
      <c r="N20" s="90" t="n">
        <f aca="false">IF(PROJ_USAGE&gt;1000,((RATES*PROJ_USAGE)+ONCOR)*1+TAX-(CREDIT),(RATES*PROJ_USAGE)+ONCOR)*1+TAX</f>
        <v>103.679633955857</v>
      </c>
      <c r="O20" s="91" t="n">
        <f aca="false">IF((BREAK-CUM_KWH)&gt;0,BREAK-CUM_KWH,"")</f>
        <v>438.947</v>
      </c>
    </row>
    <row r="21" s="102" customFormat="true" ht="15" hidden="false" customHeight="false" outlineLevel="0" collapsed="false">
      <c r="A21" s="45" t="n">
        <v>20</v>
      </c>
      <c r="B21" s="45" t="n">
        <f aca="false">$A$32-$A21</f>
        <v>11</v>
      </c>
      <c r="C21" s="86" t="str">
        <f aca="false">TEXT(D21,"ddd")</f>
        <v>Tue</v>
      </c>
      <c r="D21" s="106" t="n">
        <v>44656</v>
      </c>
      <c r="E21" s="119" t="n">
        <v>44657.2687962963</v>
      </c>
      <c r="F21" s="146" t="n">
        <v>68342.622</v>
      </c>
      <c r="G21" s="146" t="n">
        <v>68386.392</v>
      </c>
      <c r="H21" s="146" t="n">
        <v>43.771</v>
      </c>
      <c r="I21" s="87" t="n">
        <f aca="false">(I20+H21)</f>
        <v>604.824</v>
      </c>
      <c r="J21" s="87" t="n">
        <f aca="false">(I21/A21)</f>
        <v>30.2412</v>
      </c>
      <c r="K21" s="88" t="str">
        <f aca="false">IF(KWH&gt;0,((RATES*KWH)+TDU_DAILY)+(1*TAX),"")</f>
        <v/>
      </c>
      <c r="L21" s="89" t="e">
        <f aca="false">(L20+K21)</f>
        <v>#VALUE!</v>
      </c>
      <c r="M21" s="90" t="n">
        <f aca="false">IF(AVERAGE_KWH&lt;&gt;"",AVERAGE_KWH*$A$33,$M20)</f>
        <v>967.7184</v>
      </c>
      <c r="N21" s="90" t="n">
        <f aca="false">IF(PROJ_USAGE&gt;1000,((RATES*PROJ_USAGE)+ONCOR)*1+TAX-(CREDIT),(RATES*PROJ_USAGE)+ONCOR)*1+TAX</f>
        <v>106.178856774194</v>
      </c>
      <c r="O21" s="91" t="n">
        <f aca="false">IF((BREAK-CUM_KWH)&gt;0,BREAK-CUM_KWH,"")</f>
        <v>395.176</v>
      </c>
    </row>
    <row r="22" s="102" customFormat="true" ht="15" hidden="false" customHeight="false" outlineLevel="0" collapsed="false">
      <c r="A22" s="45" t="n">
        <v>21</v>
      </c>
      <c r="B22" s="45" t="n">
        <f aca="false">$A$32-$A22</f>
        <v>10</v>
      </c>
      <c r="C22" s="86" t="str">
        <f aca="false">TEXT(D22,"ddd")</f>
        <v>Wed</v>
      </c>
      <c r="D22" s="106" t="n">
        <v>44657</v>
      </c>
      <c r="E22" s="119" t="n">
        <v>44658.2665972222</v>
      </c>
      <c r="F22" s="146" t="n">
        <v>68386.392</v>
      </c>
      <c r="G22" s="146" t="n">
        <v>68409.575</v>
      </c>
      <c r="H22" s="146" t="n">
        <v>23.182</v>
      </c>
      <c r="I22" s="87" t="n">
        <f aca="false">(I21+H22)</f>
        <v>628.006</v>
      </c>
      <c r="J22" s="87" t="n">
        <f aca="false">(I22/A22)</f>
        <v>29.9050476190476</v>
      </c>
      <c r="K22" s="88" t="str">
        <f aca="false">IF(KWH&gt;0,((RATES*KWH)+TDU_DAILY)+(1*TAX),"")</f>
        <v/>
      </c>
      <c r="L22" s="89" t="e">
        <f aca="false">(L21+K22)</f>
        <v>#VALUE!</v>
      </c>
      <c r="M22" s="90" t="n">
        <f aca="false">IF(AVERAGE_KWH&lt;&gt;"",AVERAGE_KWH*$A$33,$M21)</f>
        <v>956.961523809524</v>
      </c>
      <c r="N22" s="90" t="n">
        <f aca="false">IF(PROJ_USAGE&gt;1000,((RATES*PROJ_USAGE)+ONCOR)*1+TAX-(CREDIT),(RATES*PROJ_USAGE)+ONCOR)*1+TAX</f>
        <v>104.999070353303</v>
      </c>
      <c r="O22" s="91" t="n">
        <f aca="false">IF((BREAK-CUM_KWH)&gt;0,BREAK-CUM_KWH,"")</f>
        <v>371.994</v>
      </c>
    </row>
    <row r="23" s="102" customFormat="true" ht="15" hidden="false" customHeight="false" outlineLevel="0" collapsed="false">
      <c r="A23" s="45" t="n">
        <v>22</v>
      </c>
      <c r="B23" s="45" t="n">
        <f aca="false">$A$32-$A23</f>
        <v>9</v>
      </c>
      <c r="C23" s="86" t="str">
        <f aca="false">TEXT(D23,"ddd")</f>
        <v>Thu</v>
      </c>
      <c r="D23" s="106" t="n">
        <v>44658</v>
      </c>
      <c r="E23" s="119" t="n">
        <v>44659.2676273148</v>
      </c>
      <c r="F23" s="146" t="n">
        <v>68409.575</v>
      </c>
      <c r="G23" s="146" t="n">
        <v>68429.496</v>
      </c>
      <c r="H23" s="146" t="n">
        <v>19.918</v>
      </c>
      <c r="I23" s="87" t="n">
        <f aca="false">(I22+H23)</f>
        <v>647.924</v>
      </c>
      <c r="J23" s="87" t="n">
        <f aca="false">(I23/A23)</f>
        <v>29.4510909090909</v>
      </c>
      <c r="K23" s="88" t="str">
        <f aca="false">IF(KWH&gt;0,((RATES*KWH)+TDU_DAILY)+(1*TAX),"")</f>
        <v/>
      </c>
      <c r="L23" s="89" t="e">
        <f aca="false">(L22+K23)</f>
        <v>#VALUE!</v>
      </c>
      <c r="M23" s="90" t="n">
        <f aca="false">IF(AVERAGE_KWH&lt;&gt;"",AVERAGE_KWH*$A$33,$M22)</f>
        <v>942.434909090909</v>
      </c>
      <c r="N23" s="90" t="n">
        <f aca="false">IF(PROJ_USAGE&gt;1000,((RATES*PROJ_USAGE)+ONCOR)*1+TAX-(CREDIT),(RATES*PROJ_USAGE)+ONCOR)*1+TAX</f>
        <v>103.405828739003</v>
      </c>
      <c r="O23" s="91" t="n">
        <f aca="false">IF((BREAK-CUM_KWH)&gt;0,BREAK-CUM_KWH,"")</f>
        <v>352.076</v>
      </c>
    </row>
    <row r="24" s="102" customFormat="true" ht="15" hidden="false" customHeight="false" outlineLevel="0" collapsed="false">
      <c r="A24" s="45" t="n">
        <v>23</v>
      </c>
      <c r="B24" s="45" t="n">
        <f aca="false">$A$32-$A24</f>
        <v>8</v>
      </c>
      <c r="C24" s="86" t="str">
        <f aca="false">TEXT(D24,"ddd")</f>
        <v>Fri</v>
      </c>
      <c r="D24" s="106" t="n">
        <v>44659</v>
      </c>
      <c r="E24" s="119" t="n">
        <v>44660.268599537</v>
      </c>
      <c r="F24" s="146" t="n">
        <v>68429.496</v>
      </c>
      <c r="G24" s="146" t="n">
        <v>68466.95</v>
      </c>
      <c r="H24" s="146" t="n">
        <v>37.454</v>
      </c>
      <c r="I24" s="87" t="n">
        <f aca="false">(I23+H24)</f>
        <v>685.378</v>
      </c>
      <c r="J24" s="87" t="n">
        <f aca="false">(I24/A24)</f>
        <v>29.7990434782609</v>
      </c>
      <c r="K24" s="88" t="str">
        <f aca="false">IF(KWH&gt;0,((RATES*KWH)+TDU_DAILY)+(1*TAX),"")</f>
        <v/>
      </c>
      <c r="L24" s="89" t="e">
        <f aca="false">(L23+K24)</f>
        <v>#VALUE!</v>
      </c>
      <c r="M24" s="90" t="n">
        <f aca="false">IF(AVERAGE_KWH&lt;&gt;"",AVERAGE_KWH*$A$33,$M23)</f>
        <v>953.569391304348</v>
      </c>
      <c r="N24" s="90" t="n">
        <f aca="false">IF(PROJ_USAGE&gt;1000,((RATES*PROJ_USAGE)+ONCOR)*1+TAX-(CREDIT),(RATES*PROJ_USAGE)+ONCOR)*1+TAX</f>
        <v>104.627030014025</v>
      </c>
      <c r="O24" s="91" t="n">
        <f aca="false">IF((BREAK-CUM_KWH)&gt;0,BREAK-CUM_KWH,"")</f>
        <v>314.622</v>
      </c>
    </row>
    <row r="25" s="102" customFormat="true" ht="15" hidden="false" customHeight="false" outlineLevel="0" collapsed="false">
      <c r="A25" s="45" t="n">
        <v>24</v>
      </c>
      <c r="B25" s="45" t="n">
        <f aca="false">$A$32-$A25</f>
        <v>7</v>
      </c>
      <c r="C25" s="86" t="str">
        <f aca="false">TEXT(D25,"ddd")</f>
        <v>Sat</v>
      </c>
      <c r="D25" s="106" t="n">
        <v>44660</v>
      </c>
      <c r="E25" s="119" t="n">
        <v>44661.2929166667</v>
      </c>
      <c r="F25" s="146" t="n">
        <v>68466.95</v>
      </c>
      <c r="G25" s="146" t="n">
        <v>68498.903</v>
      </c>
      <c r="H25" s="146" t="n">
        <v>31.953</v>
      </c>
      <c r="I25" s="87" t="n">
        <f aca="false">(I24+H25)</f>
        <v>717.331</v>
      </c>
      <c r="J25" s="87" t="n">
        <f aca="false">(I25/A25)</f>
        <v>29.8887916666667</v>
      </c>
      <c r="K25" s="88" t="str">
        <f aca="false">IF(KWH&gt;0,((RATES*KWH)+TDU_DAILY)+(1*TAX),"")</f>
        <v/>
      </c>
      <c r="L25" s="89" t="e">
        <f aca="false">(L24+K25)</f>
        <v>#VALUE!</v>
      </c>
      <c r="M25" s="90" t="n">
        <f aca="false">IF(AVERAGE_KWH&lt;&gt;"",AVERAGE_KWH*$A$33,$M24)</f>
        <v>956.441333333333</v>
      </c>
      <c r="N25" s="90" t="n">
        <f aca="false">IF(PROJ_USAGE&gt;1000,((RATES*PROJ_USAGE)+ONCOR)*1+TAX-(CREDIT),(RATES*PROJ_USAGE)+ONCOR)*1+TAX</f>
        <v>104.942017204301</v>
      </c>
      <c r="O25" s="91" t="n">
        <f aca="false">IF((BREAK-CUM_KWH)&gt;0,BREAK-CUM_KWH,"")</f>
        <v>282.669</v>
      </c>
    </row>
    <row r="26" s="102" customFormat="true" ht="15" hidden="false" customHeight="false" outlineLevel="0" collapsed="false">
      <c r="A26" s="45" t="n">
        <v>25</v>
      </c>
      <c r="B26" s="45" t="n">
        <f aca="false">$A$32-$A26</f>
        <v>6</v>
      </c>
      <c r="C26" s="86" t="str">
        <f aca="false">TEXT(D26,"ddd")</f>
        <v>Sun</v>
      </c>
      <c r="D26" s="106" t="n">
        <v>44661</v>
      </c>
      <c r="E26" s="119" t="n">
        <v>44662.2717013889</v>
      </c>
      <c r="F26" s="146" t="n">
        <v>68498.903</v>
      </c>
      <c r="G26" s="146" t="n">
        <v>68539.112</v>
      </c>
      <c r="H26" s="146" t="n">
        <v>40.211</v>
      </c>
      <c r="I26" s="87" t="n">
        <f aca="false">(I25+H26)</f>
        <v>757.542</v>
      </c>
      <c r="J26" s="87" t="n">
        <f aca="false">(I26/A26)</f>
        <v>30.30168</v>
      </c>
      <c r="K26" s="88" t="str">
        <f aca="false">IF(KWH&gt;0,((RATES*KWH)+TDU_DAILY)+(1*TAX),"")</f>
        <v/>
      </c>
      <c r="L26" s="89" t="e">
        <f aca="false">(L25+K26)</f>
        <v>#VALUE!</v>
      </c>
      <c r="M26" s="90" t="n">
        <f aca="false">IF(AVERAGE_KWH&lt;&gt;"",AVERAGE_KWH*$A$33,$M25)</f>
        <v>969.65376</v>
      </c>
      <c r="N26" s="90" t="n">
        <f aca="false">IF(PROJ_USAGE&gt;1000,((RATES*PROJ_USAGE)+ONCOR)*1+TAX-(CREDIT),(RATES*PROJ_USAGE)+ONCOR)*1+TAX</f>
        <v>106.391122064516</v>
      </c>
      <c r="O26" s="91" t="n">
        <f aca="false">IF((BREAK-CUM_KWH)&gt;0,BREAK-CUM_KWH,"")</f>
        <v>242.458</v>
      </c>
    </row>
    <row r="27" s="102" customFormat="true" ht="15" hidden="false" customHeight="false" outlineLevel="0" collapsed="false">
      <c r="A27" s="45" t="n">
        <v>26</v>
      </c>
      <c r="B27" s="45" t="n">
        <f aca="false">$A$32-$A27</f>
        <v>5</v>
      </c>
      <c r="C27" s="86" t="str">
        <f aca="false">TEXT(D27,"ddd")</f>
        <v>Mon</v>
      </c>
      <c r="D27" s="106" t="n">
        <v>44662</v>
      </c>
      <c r="E27" s="119" t="n">
        <v>44663.2724884259</v>
      </c>
      <c r="F27" s="146" t="n">
        <v>68539.112</v>
      </c>
      <c r="G27" s="146" t="n">
        <v>68585.675</v>
      </c>
      <c r="H27" s="146" t="n">
        <v>46.562</v>
      </c>
      <c r="I27" s="87" t="n">
        <f aca="false">(I26+H27)</f>
        <v>804.104</v>
      </c>
      <c r="J27" s="87" t="n">
        <f aca="false">(I27/A27)</f>
        <v>30.9270769230769</v>
      </c>
      <c r="K27" s="88" t="str">
        <f aca="false">IF(KWH&gt;0,((RATES*KWH)+TDU_DAILY)+(1*TAX),"")</f>
        <v/>
      </c>
      <c r="L27" s="89" t="e">
        <f aca="false">(L26+K27)</f>
        <v>#VALUE!</v>
      </c>
      <c r="M27" s="90" t="n">
        <f aca="false">IF(AVERAGE_KWH&lt;&gt;"",AVERAGE_KWH*$A$33,$M26)</f>
        <v>989.666461538462</v>
      </c>
      <c r="N27" s="90" t="n">
        <f aca="false">IF(PROJ_USAGE&gt;1000,((RATES*PROJ_USAGE)+ONCOR)*1+TAX-(CREDIT),(RATES*PROJ_USAGE)+ONCOR)*1+TAX</f>
        <v>108.586063523573</v>
      </c>
      <c r="O27" s="91" t="n">
        <f aca="false">IF((BREAK-CUM_KWH)&gt;0,BREAK-CUM_KWH,"")</f>
        <v>195.896</v>
      </c>
    </row>
    <row r="28" s="102" customFormat="true" ht="15" hidden="false" customHeight="false" outlineLevel="0" collapsed="false">
      <c r="A28" s="45" t="n">
        <v>27</v>
      </c>
      <c r="B28" s="45" t="n">
        <f aca="false">$A$32-$A28</f>
        <v>4</v>
      </c>
      <c r="C28" s="86" t="str">
        <f aca="false">TEXT(D28,"ddd")</f>
        <v>Tue</v>
      </c>
      <c r="D28" s="106" t="n">
        <v>44663</v>
      </c>
      <c r="E28" s="119" t="n">
        <v>44664.2784490741</v>
      </c>
      <c r="F28" s="146" t="n">
        <v>68585.675</v>
      </c>
      <c r="G28" s="146" t="n">
        <v>68632.162</v>
      </c>
      <c r="H28" s="146" t="n">
        <v>46.488</v>
      </c>
      <c r="I28" s="87" t="n">
        <f aca="false">(I27+H28)</f>
        <v>850.592</v>
      </c>
      <c r="J28" s="87" t="n">
        <f aca="false">(I28/A28)</f>
        <v>31.5034074074074</v>
      </c>
      <c r="K28" s="88" t="str">
        <f aca="false">IF(KWH&gt;0,((RATES*KWH)+TDU_DAILY)+(1*TAX),"")</f>
        <v/>
      </c>
      <c r="L28" s="89" t="e">
        <f aca="false">(L27+K28)</f>
        <v>#VALUE!</v>
      </c>
      <c r="M28" s="90" t="n">
        <f aca="false">IF(AVERAGE_KWH&lt;&gt;"",AVERAGE_KWH*$A$33,$M27)</f>
        <v>1008.10903703704</v>
      </c>
      <c r="N28" s="90" t="n">
        <f aca="false">IF(PROJ_USAGE&gt;1000,((RATES*PROJ_USAGE)+ONCOR)*1+TAX-(CREDIT),(RATES*PROJ_USAGE)+ONCOR)*1+TAX</f>
        <v>110.608797610514</v>
      </c>
      <c r="O28" s="91" t="n">
        <f aca="false">IF((BREAK-CUM_KWH)&gt;0,BREAK-CUM_KWH,"")</f>
        <v>149.408</v>
      </c>
    </row>
    <row r="29" s="102" customFormat="true" ht="15" hidden="false" customHeight="false" outlineLevel="0" collapsed="false">
      <c r="A29" s="45" t="n">
        <v>28</v>
      </c>
      <c r="B29" s="45" t="n">
        <f aca="false">$A$32-$A29</f>
        <v>3</v>
      </c>
      <c r="C29" s="86" t="str">
        <f aca="false">TEXT(D29,"ddd")</f>
        <v>Wed</v>
      </c>
      <c r="D29" s="106" t="n">
        <v>44664</v>
      </c>
      <c r="E29" s="119" t="n">
        <v>44665.2779282407</v>
      </c>
      <c r="F29" s="146" t="n">
        <v>68632.162</v>
      </c>
      <c r="G29" s="146" t="n">
        <v>68678.611</v>
      </c>
      <c r="H29" s="146" t="n">
        <v>46.449</v>
      </c>
      <c r="I29" s="87" t="n">
        <f aca="false">(I28+H29)</f>
        <v>897.041</v>
      </c>
      <c r="J29" s="87" t="n">
        <f aca="false">(I29/A29)</f>
        <v>32.0371785714286</v>
      </c>
      <c r="K29" s="88" t="str">
        <f aca="false">IF(KWH&gt;0,((RATES*KWH)+TDU_DAILY)+(1*TAX),"")</f>
        <v/>
      </c>
      <c r="L29" s="89" t="e">
        <f aca="false">(L28+K29)</f>
        <v>#VALUE!</v>
      </c>
      <c r="M29" s="90" t="n">
        <f aca="false">IF(AVERAGE_KWH&lt;&gt;"",AVERAGE_KWH*$A$33,$M28)</f>
        <v>1025.18971428571</v>
      </c>
      <c r="N29" s="90" t="n">
        <f aca="false">IF(PROJ_USAGE&gt;1000,((RATES*PROJ_USAGE)+ONCOR)*1+TAX-(CREDIT),(RATES*PROJ_USAGE)+ONCOR)*1+TAX</f>
        <v>112.482162211982</v>
      </c>
      <c r="O29" s="91" t="n">
        <f aca="false">IF((BREAK-CUM_KWH)&gt;0,BREAK-CUM_KWH,"")</f>
        <v>102.959</v>
      </c>
    </row>
    <row r="30" s="102" customFormat="true" ht="15" hidden="false" customHeight="false" outlineLevel="0" collapsed="false">
      <c r="A30" s="45" t="n">
        <v>29</v>
      </c>
      <c r="B30" s="45" t="n">
        <f aca="false">$A$32-$A30</f>
        <v>2</v>
      </c>
      <c r="C30" s="86" t="str">
        <f aca="false">TEXT(D30,"ddd")</f>
        <v>Thu</v>
      </c>
      <c r="D30" s="106" t="n">
        <v>44665</v>
      </c>
      <c r="E30" s="119" t="n">
        <v>44666.2744560185</v>
      </c>
      <c r="F30" s="102" t="n">
        <v>68678.611</v>
      </c>
      <c r="G30" s="102" t="n">
        <v>68716.116</v>
      </c>
      <c r="H30" s="102" t="n">
        <v>37.502</v>
      </c>
      <c r="I30" s="87" t="n">
        <f aca="false">(I29+H30)</f>
        <v>934.543</v>
      </c>
      <c r="J30" s="87" t="n">
        <f aca="false">(I30/A30)</f>
        <v>32.2256206896552</v>
      </c>
      <c r="K30" s="88" t="str">
        <f aca="false">IF(KWH&gt;0,((RATES*KWH)+TDU_DAILY)+(1*TAX),"")</f>
        <v/>
      </c>
      <c r="L30" s="89" t="e">
        <f aca="false">(L29+K30)</f>
        <v>#VALUE!</v>
      </c>
      <c r="M30" s="90" t="n">
        <f aca="false">IF(AVERAGE_KWH&lt;&gt;"",AVERAGE_KWH*$A$33,$M29)</f>
        <v>1031.21986206897</v>
      </c>
      <c r="N30" s="90" t="n">
        <f aca="false">IF(PROJ_USAGE&gt;1000,((RATES*PROJ_USAGE)+ONCOR)*1+TAX-(CREDIT),(RATES*PROJ_USAGE)+ONCOR)*1+TAX</f>
        <v>113.143533259177</v>
      </c>
      <c r="O30" s="91" t="n">
        <f aca="false">IF((BREAK-CUM_KWH)&gt;0,BREAK-CUM_KWH,"")</f>
        <v>65.4570000000002</v>
      </c>
    </row>
    <row r="31" s="102" customFormat="true" ht="15" hidden="false" customHeight="false" outlineLevel="0" collapsed="false">
      <c r="A31" s="45" t="n">
        <v>30</v>
      </c>
      <c r="B31" s="45" t="n">
        <f aca="false">$A$32-$A31</f>
        <v>1</v>
      </c>
      <c r="C31" s="86" t="str">
        <f aca="false">TEXT(D31,"ddd")</f>
        <v>Fri</v>
      </c>
      <c r="D31" s="106" t="n">
        <v>44666</v>
      </c>
      <c r="E31" s="119" t="n">
        <v>44667.2741087963</v>
      </c>
      <c r="F31" s="102" t="n">
        <v>68716.116</v>
      </c>
      <c r="G31" s="102" t="n">
        <v>68740.468</v>
      </c>
      <c r="H31" s="102" t="n">
        <v>24.353</v>
      </c>
      <c r="I31" s="87" t="n">
        <f aca="false">(I30+H31)</f>
        <v>958.896</v>
      </c>
      <c r="J31" s="87" t="n">
        <f aca="false">(I31/A31)</f>
        <v>31.9632</v>
      </c>
      <c r="K31" s="88" t="str">
        <f aca="false">IF(KWH&gt;0,((RATES*KWH)+TDU_DAILY)+(1*TAX),"")</f>
        <v/>
      </c>
      <c r="L31" s="89" t="e">
        <f aca="false">(L30+K31)</f>
        <v>#VALUE!</v>
      </c>
      <c r="M31" s="90" t="n">
        <f aca="false">IF(AVERAGE_KWH&lt;&gt;"",AVERAGE_KWH*$A$33,$M30)</f>
        <v>1022.8224</v>
      </c>
      <c r="N31" s="90" t="n">
        <f aca="false">IF(PROJ_USAGE&gt;1000,((RATES*PROJ_USAGE)+ONCOR)*1+TAX-(CREDIT),(RATES*PROJ_USAGE)+ONCOR)*1+TAX</f>
        <v>112.222521290323</v>
      </c>
      <c r="O31" s="91" t="n">
        <f aca="false">IF((BREAK-CUM_KWH)&gt;0,BREAK-CUM_KWH,"")</f>
        <v>41.1040000000003</v>
      </c>
    </row>
    <row r="32" s="102" customFormat="true" ht="15" hidden="false" customHeight="false" outlineLevel="0" collapsed="false">
      <c r="A32" s="45" t="n">
        <v>31</v>
      </c>
      <c r="B32" s="45" t="n">
        <f aca="false">$A$32-$A32</f>
        <v>0</v>
      </c>
      <c r="C32" s="86" t="str">
        <f aca="false">TEXT(D32,"ddd")</f>
        <v>Sat</v>
      </c>
      <c r="D32" s="106" t="n">
        <v>44667</v>
      </c>
      <c r="E32" s="119" t="n">
        <v>44668.2966203704</v>
      </c>
      <c r="F32" s="102" t="n">
        <v>68740.468</v>
      </c>
      <c r="G32" s="102" t="n">
        <v>68797.838</v>
      </c>
      <c r="H32" s="102" t="n">
        <v>57.367</v>
      </c>
      <c r="I32" s="87" t="n">
        <f aca="false">(I31+H32)</f>
        <v>1016.263</v>
      </c>
      <c r="J32" s="87" t="n">
        <f aca="false">(I32/A32)</f>
        <v>32.7826774193548</v>
      </c>
      <c r="K32" s="88" t="str">
        <f aca="false">IF(KWH&gt;0,((RATES*KWH)+TDU_DAILY)+(1*TAX),"")</f>
        <v/>
      </c>
      <c r="L32" s="89" t="e">
        <f aca="false">(L31+K32)</f>
        <v>#VALUE!</v>
      </c>
      <c r="M32" s="90" t="n">
        <f aca="false">IF(AVERAGE_KWH&lt;&gt;"",AVERAGE_KWH*$A$33,$M31)</f>
        <v>1049.04567741935</v>
      </c>
      <c r="N32" s="90" t="n">
        <f aca="false">IF(PROJ_USAGE&gt;1000,((RATES*PROJ_USAGE)+ONCOR)*1+TAX-(CREDIT),(RATES*PROJ_USAGE)+ONCOR)*1+TAX</f>
        <v>115.098622684703</v>
      </c>
      <c r="O32" s="91" t="str">
        <f aca="false">IF((BREAK-CUM_KWH)&gt;0,BREAK-CUM_KWH,"")</f>
        <v/>
      </c>
    </row>
    <row r="33" s="102" customFormat="true" ht="15" hidden="false" customHeight="false" outlineLevel="0" collapsed="false">
      <c r="A33" s="45" t="n">
        <v>32</v>
      </c>
      <c r="B33" s="45" t="n">
        <f aca="false">$A$32-$A33</f>
        <v>-1</v>
      </c>
      <c r="C33" s="86" t="str">
        <f aca="false">TEXT(D33,"ddd")</f>
        <v>Sun</v>
      </c>
      <c r="D33" s="106" t="n">
        <v>44668</v>
      </c>
      <c r="E33" s="119" t="n">
        <v>44669.2746527778</v>
      </c>
      <c r="F33" s="146" t="n">
        <v>68797.838</v>
      </c>
      <c r="G33" s="146" t="n">
        <v>68832.378</v>
      </c>
      <c r="H33" s="146" t="n">
        <v>34.538</v>
      </c>
      <c r="I33" s="87" t="n">
        <f aca="false">(I32+H33)</f>
        <v>1050.801</v>
      </c>
      <c r="J33" s="87" t="n">
        <f aca="false">(I33/A33)</f>
        <v>32.83753125</v>
      </c>
      <c r="K33" s="88" t="str">
        <f aca="false">IF(KWH&gt;0,((RATES*KWH)+TDU_DAILY)+(1*TAX),"")</f>
        <v/>
      </c>
      <c r="L33" s="89" t="e">
        <f aca="false">(L32+K33)</f>
        <v>#VALUE!</v>
      </c>
      <c r="M33" s="90" t="n">
        <f aca="false">IF(AVERAGE_KWH&lt;&gt;"",AVERAGE_KWH*$A$33,$M32)</f>
        <v>1050.801</v>
      </c>
      <c r="N33" s="90" t="n">
        <f aca="false">IF(PROJ_USAGE&gt;1000,((RATES*PROJ_USAGE)+ONCOR)*1+TAX-(CREDIT),(RATES*PROJ_USAGE)+ONCOR)*1+TAX</f>
        <v>115.291141935484</v>
      </c>
      <c r="O33" s="91" t="str">
        <f aca="false">IF((BREAK-CUM_KWH)&gt;0,BREAK-CUM_KWH,"")</f>
        <v/>
      </c>
    </row>
  </sheetData>
  <sheetProtection algorithmName="SHA-512" hashValue="MF/IQX2RmlrwIsT448HANbzH0VGF8f5QrCRH5XhCNxfXwUm+ZpC3kaNr1k/dhSmwN9xSv/2FE1EwOOu+dBtLuw==" saltValue="7/C0I8nXfIG4T8H51MYnew==" spinCount="100000" sheet="true" objects="true" scenarios="true"/>
  <conditionalFormatting sqref="Q2:S14">
    <cfRule type="expression" priority="2" aboveAverage="0" equalAverage="0" bottom="0" percent="0" rank="0" text="" dxfId="52">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65"/>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I31" activeCellId="0" sqref="I31"/>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5.42"/>
    <col collapsed="false" customWidth="true" hidden="false" outlineLevel="0" max="3" min="3" style="0" width="6.14"/>
    <col collapsed="false" customWidth="true" hidden="false" outlineLevel="0" max="5" min="4" style="0" width="9.71"/>
    <col collapsed="false" customWidth="true" hidden="false" outlineLevel="0" max="6" min="6" style="74" width="10.85"/>
    <col collapsed="false" customWidth="true" hidden="false" outlineLevel="0" max="7" min="7" style="0" width="10.42"/>
    <col collapsed="false" customWidth="true" hidden="false" outlineLevel="0" max="8" min="8" style="0" width="9.71"/>
    <col collapsed="false" customWidth="true" hidden="false" outlineLevel="0" max="10" min="10" style="0" width="10.42"/>
    <col collapsed="false" customWidth="true" hidden="false" outlineLevel="0" max="12" min="11" style="0" width="9.71"/>
    <col collapsed="false" customWidth="true" hidden="false" outlineLevel="0" max="13" min="13" style="2" width="9.71"/>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2</v>
      </c>
      <c r="C1" s="6" t="s">
        <v>1</v>
      </c>
      <c r="D1" s="114" t="s">
        <v>145</v>
      </c>
      <c r="E1" s="114" t="s">
        <v>146</v>
      </c>
      <c r="F1" s="114" t="s">
        <v>5</v>
      </c>
      <c r="G1" s="114" t="s">
        <v>6</v>
      </c>
      <c r="H1" s="6" t="s">
        <v>7</v>
      </c>
      <c r="I1" s="6" t="s">
        <v>8</v>
      </c>
      <c r="J1" s="6" t="s">
        <v>9</v>
      </c>
      <c r="K1" s="6" t="s">
        <v>149</v>
      </c>
      <c r="L1" s="6" t="s">
        <v>150</v>
      </c>
      <c r="M1" s="8" t="s">
        <v>12</v>
      </c>
      <c r="N1" s="8" t="s">
        <v>151</v>
      </c>
      <c r="O1" s="9" t="s">
        <v>137</v>
      </c>
      <c r="S1" s="10"/>
      <c r="T1" s="71"/>
      <c r="U1" s="72"/>
      <c r="V1" s="72"/>
      <c r="W1" s="71"/>
      <c r="X1" s="71"/>
      <c r="Y1" s="71"/>
      <c r="Z1" s="73"/>
      <c r="AA1" s="71"/>
      <c r="AB1" s="71"/>
      <c r="AC1" s="71"/>
    </row>
    <row r="2" s="102" customFormat="true" ht="15" hidden="false" customHeight="true" outlineLevel="0" collapsed="false">
      <c r="A2" s="45" t="n">
        <v>1</v>
      </c>
      <c r="B2" s="45" t="n">
        <f aca="false">$A$31-$A2</f>
        <v>29</v>
      </c>
      <c r="C2" s="86" t="str">
        <f aca="false">TEXT(D2,"ddd")</f>
        <v>Tue</v>
      </c>
      <c r="D2" s="106" t="n">
        <v>44607</v>
      </c>
      <c r="E2" s="119" t="n">
        <v>44608.2769212963</v>
      </c>
      <c r="F2" s="146" t="n">
        <v>66658.249</v>
      </c>
      <c r="G2" s="146" t="n">
        <v>66681.162</v>
      </c>
      <c r="H2" s="146" t="n">
        <v>22.914</v>
      </c>
      <c r="I2" s="87" t="n">
        <f aca="false">SUM($J$2:$J2)</f>
        <v>22.914</v>
      </c>
      <c r="J2" s="87" t="n">
        <f aca="false">AVERAGE($H$2:$H2)</f>
        <v>22.914</v>
      </c>
      <c r="K2" s="88" t="n">
        <f aca="false">IF(KWH&gt;0,((RATES*KWH)+ONCOR_DAILY)+(1*TAX),"")</f>
        <v>2.66714838709677</v>
      </c>
      <c r="L2" s="89" t="n">
        <f aca="false">(K2)</f>
        <v>2.66714838709677</v>
      </c>
      <c r="M2" s="192" t="n">
        <f aca="false">IF(AVERAGE_KWH&lt;&gt;"",AVERAGE_KWH*DAYS-$A2,"")</f>
        <v>686.42</v>
      </c>
      <c r="N2" s="192" t="n">
        <f aca="false">IF(PROJ_USAGE&gt;1000,((RATES*PROJ_USAGE)+TDU)*1+TAX-(CREDIT),(RATES*PROJ_USAGE)+TDU)*1+TAX</f>
        <v>75.2847741935484</v>
      </c>
      <c r="O2" s="91" t="n">
        <f aca="false">IF((BREAK-CUM_KWH)&gt;0,BREAK-CUM_KWH,"")</f>
        <v>977.086</v>
      </c>
      <c r="Q2" s="122" t="s">
        <v>18</v>
      </c>
      <c r="R2" s="159" t="s">
        <v>19</v>
      </c>
      <c r="S2" s="199"/>
      <c r="U2" s="126"/>
      <c r="V2" s="126"/>
      <c r="X2" s="92"/>
      <c r="Y2" s="92"/>
    </row>
    <row r="3" s="102" customFormat="true" ht="15" hidden="false" customHeight="true" outlineLevel="0" collapsed="false">
      <c r="A3" s="45" t="n">
        <v>2</v>
      </c>
      <c r="B3" s="45" t="n">
        <f aca="false">$A$31-$A3</f>
        <v>28</v>
      </c>
      <c r="C3" s="86" t="str">
        <f aca="false">TEXT(D3,"ddd")</f>
        <v>Wed</v>
      </c>
      <c r="D3" s="106" t="n">
        <v>44608</v>
      </c>
      <c r="E3" s="119" t="n">
        <v>44609.2783564815</v>
      </c>
      <c r="F3" s="146" t="n">
        <v>66681.162</v>
      </c>
      <c r="G3" s="146" t="n">
        <v>66711.146</v>
      </c>
      <c r="H3" s="146" t="n">
        <v>29.988</v>
      </c>
      <c r="I3" s="87" t="n">
        <f aca="false">SUM($J$2:$J3)</f>
        <v>49.365</v>
      </c>
      <c r="J3" s="87" t="n">
        <f aca="false">AVERAGE($H$2:$H3)</f>
        <v>26.451</v>
      </c>
      <c r="K3" s="88" t="n">
        <f aca="false">IF(KWH&gt;0,((RATES*KWH)+ONCOR_DAILY)+(1*TAX),"")</f>
        <v>3.4430064516129</v>
      </c>
      <c r="L3" s="89" t="n">
        <f aca="false">(L2+K3)</f>
        <v>6.11015483870968</v>
      </c>
      <c r="M3" s="90" t="n">
        <f aca="false">IF(AVERAGE_KWH&lt;&gt;"",AVERAGE_KWH*DAYS-$A3,"")</f>
        <v>791.53</v>
      </c>
      <c r="N3" s="90" t="n">
        <f aca="false">IF(PROJ_USAGE&gt;1000,((RATES*PROJ_USAGE)+TDU)*1+TAX-(CREDIT),(RATES*PROJ_USAGE)+TDU)*1+TAX</f>
        <v>86.8129677419355</v>
      </c>
      <c r="O3" s="91" t="n">
        <f aca="false">IF((BREAK-CUM_KWH)&gt;0,BREAK-CUM_KWH,"")</f>
        <v>950.635</v>
      </c>
      <c r="Q3" s="127" t="s">
        <v>22</v>
      </c>
      <c r="R3" s="164" t="n">
        <f aca="false">(F2+1000)</f>
        <v>67658.249</v>
      </c>
      <c r="S3" s="200"/>
      <c r="V3" s="72"/>
      <c r="W3" s="71"/>
      <c r="X3" s="71"/>
      <c r="Y3" s="130"/>
      <c r="AC3" s="131"/>
    </row>
    <row r="4" s="102" customFormat="true" ht="15" hidden="false" customHeight="true" outlineLevel="0" collapsed="false">
      <c r="A4" s="45" t="n">
        <v>3</v>
      </c>
      <c r="B4" s="45" t="n">
        <f aca="false">$A$31-$A4</f>
        <v>27</v>
      </c>
      <c r="C4" s="86" t="str">
        <f aca="false">TEXT(D4,"ddd")</f>
        <v>Thu</v>
      </c>
      <c r="D4" s="106" t="n">
        <v>44609</v>
      </c>
      <c r="E4" s="119" t="n">
        <v>44610.2785185185</v>
      </c>
      <c r="F4" s="146" t="n">
        <v>66711.146</v>
      </c>
      <c r="G4" s="146" t="n">
        <v>66747.706</v>
      </c>
      <c r="H4" s="146" t="n">
        <v>36.561</v>
      </c>
      <c r="I4" s="87" t="n">
        <f aca="false">SUM($J$2:$J4)</f>
        <v>79.186</v>
      </c>
      <c r="J4" s="87" t="n">
        <f aca="false">AVERAGE($H$2:$H4)</f>
        <v>29.821</v>
      </c>
      <c r="K4" s="88" t="n">
        <f aca="false">IF(KWH&gt;0,((RATES*KWH)+ONCOR_DAILY)+(1*TAX),"")</f>
        <v>4.16391612903226</v>
      </c>
      <c r="L4" s="89" t="n">
        <f aca="false">(L3+K4)</f>
        <v>10.2740709677419</v>
      </c>
      <c r="M4" s="90" t="n">
        <f aca="false">IF(AVERAGE_KWH&lt;&gt;"",AVERAGE_KWH*DAYS-$A4,"")</f>
        <v>891.63</v>
      </c>
      <c r="N4" s="90" t="n">
        <f aca="false">IF(PROJ_USAGE&gt;1000,((RATES*PROJ_USAGE)+TDU)*1+TAX-(CREDIT),(RATES*PROJ_USAGE)+TDU)*1+TAX</f>
        <v>97.7916774193548</v>
      </c>
      <c r="O4" s="91" t="n">
        <f aca="false">IF((BREAK-CUM_KWH)&gt;0,BREAK-CUM_KWH,"")</f>
        <v>920.814</v>
      </c>
      <c r="Q4" s="127" t="s">
        <v>25</v>
      </c>
      <c r="R4" s="165"/>
      <c r="S4" s="167" t="n">
        <v>0.001667</v>
      </c>
      <c r="U4" s="134"/>
      <c r="V4" s="147"/>
      <c r="W4" s="135"/>
      <c r="X4" s="135"/>
      <c r="Y4" s="135"/>
      <c r="Z4" s="136"/>
      <c r="AC4" s="131"/>
    </row>
    <row r="5" s="45" customFormat="true" ht="15" hidden="false" customHeight="true" outlineLevel="0" collapsed="false">
      <c r="A5" s="45" t="n">
        <v>4</v>
      </c>
      <c r="B5" s="45" t="n">
        <f aca="false">$A$31-$A5</f>
        <v>26</v>
      </c>
      <c r="C5" s="86" t="str">
        <f aca="false">TEXT(D5,"ddd")</f>
        <v>Fri</v>
      </c>
      <c r="D5" s="106" t="n">
        <v>44610</v>
      </c>
      <c r="E5" s="119" t="n">
        <v>44611.2758333333</v>
      </c>
      <c r="F5" s="146" t="n">
        <v>66747.706</v>
      </c>
      <c r="G5" s="146" t="n">
        <v>66799.829</v>
      </c>
      <c r="H5" s="146" t="n">
        <v>52.125</v>
      </c>
      <c r="I5" s="87" t="n">
        <f aca="false">SUM($J$2:$J5)</f>
        <v>114.583</v>
      </c>
      <c r="J5" s="87" t="n">
        <f aca="false">AVERAGE($H$2:$H5)</f>
        <v>35.397</v>
      </c>
      <c r="K5" s="88" t="n">
        <f aca="false">IF(KWH&gt;0,((RATES*KWH)+ONCOR_DAILY)+(1*TAX),"")</f>
        <v>5.87093548387097</v>
      </c>
      <c r="L5" s="89" t="n">
        <f aca="false">(L4+K5)</f>
        <v>16.1450064516129</v>
      </c>
      <c r="M5" s="90" t="n">
        <f aca="false">IF(AVERAGE_KWH&lt;&gt;"",AVERAGE_KWH*DAYS-$A5,"")</f>
        <v>1057.91</v>
      </c>
      <c r="N5" s="90" t="n">
        <f aca="false">IF(PROJ_USAGE&gt;1000,((RATES*PROJ_USAGE)+TDU)*1+TAX-(CREDIT),(RATES*PROJ_USAGE)+TDU)*1+TAX</f>
        <v>116.028838709677</v>
      </c>
      <c r="O5" s="91" t="n">
        <f aca="false">IF((BREAK-CUM_KWH)&gt;0,BREAK-CUM_KWH,"")</f>
        <v>885.417</v>
      </c>
      <c r="P5" s="27"/>
      <c r="Q5" s="127" t="s">
        <v>28</v>
      </c>
      <c r="R5" s="165"/>
      <c r="S5" s="167" t="n">
        <v>0.042</v>
      </c>
      <c r="T5" s="161"/>
    </row>
    <row r="6" s="102" customFormat="true" ht="15" hidden="false" customHeight="true" outlineLevel="0" collapsed="false">
      <c r="A6" s="45" t="n">
        <v>5</v>
      </c>
      <c r="B6" s="45" t="n">
        <f aca="false">$A$31-$A6</f>
        <v>25</v>
      </c>
      <c r="C6" s="86" t="str">
        <f aca="false">TEXT(D6,"ddd")</f>
        <v>Sat</v>
      </c>
      <c r="D6" s="106" t="n">
        <v>44611</v>
      </c>
      <c r="E6" s="119" t="n">
        <v>44612.2916666667</v>
      </c>
      <c r="F6" s="146" t="n">
        <v>66799.829</v>
      </c>
      <c r="G6" s="146" t="n">
        <v>66842.561</v>
      </c>
      <c r="H6" s="146" t="n">
        <v>42.73</v>
      </c>
      <c r="I6" s="87" t="n">
        <f aca="false">SUM($J$2:$J6)</f>
        <v>151.4466</v>
      </c>
      <c r="J6" s="87" t="n">
        <f aca="false">AVERAGE($H$2:$H6)</f>
        <v>36.8636</v>
      </c>
      <c r="K6" s="88" t="n">
        <f aca="false">IF(KWH&gt;0,((RATES*KWH)+ONCOR_DAILY)+(1*TAX),"")</f>
        <v>4.84051612903226</v>
      </c>
      <c r="L6" s="89" t="n">
        <f aca="false">(L5+K6)</f>
        <v>20.9855225806452</v>
      </c>
      <c r="M6" s="90" t="n">
        <f aca="false">IF(AVERAGE_KWH&lt;&gt;"",AVERAGE_KWH*DAYS-$A6,"")</f>
        <v>1100.908</v>
      </c>
      <c r="N6" s="90" t="n">
        <f aca="false">IF(PROJ_USAGE&gt;1000,((RATES*PROJ_USAGE)+TDU)*1+TAX-(CREDIT),(RATES*PROJ_USAGE)+TDU)*1+TAX</f>
        <v>120.744748387097</v>
      </c>
      <c r="O6" s="91" t="n">
        <f aca="false">IF((BREAK-CUM_KWH)&gt;0,BREAK-CUM_KWH,"")</f>
        <v>848.5534</v>
      </c>
      <c r="Q6" s="127" t="s">
        <v>31</v>
      </c>
      <c r="R6" s="165"/>
      <c r="S6" s="168" t="n">
        <v>0.154</v>
      </c>
      <c r="T6" s="161"/>
    </row>
    <row r="7" s="102" customFormat="true" ht="15" hidden="false" customHeight="true" outlineLevel="0" collapsed="false">
      <c r="A7" s="45" t="n">
        <v>6</v>
      </c>
      <c r="B7" s="45" t="n">
        <f aca="false">$A$31-$A7</f>
        <v>24</v>
      </c>
      <c r="C7" s="86" t="str">
        <f aca="false">TEXT(D7,"ddd")</f>
        <v>Sun</v>
      </c>
      <c r="D7" s="106" t="n">
        <v>44612</v>
      </c>
      <c r="E7" s="119" t="n">
        <v>44613.2624074074</v>
      </c>
      <c r="F7" s="146" t="n">
        <v>66842.561</v>
      </c>
      <c r="G7" s="146" t="n">
        <v>66885.402</v>
      </c>
      <c r="H7" s="146" t="n">
        <v>42.849</v>
      </c>
      <c r="I7" s="87" t="n">
        <f aca="false">SUM($J$2:$J7)</f>
        <v>189.307766666667</v>
      </c>
      <c r="J7" s="87" t="n">
        <f aca="false">AVERAGE($H$2:$H7)</f>
        <v>37.8611666666667</v>
      </c>
      <c r="K7" s="88" t="n">
        <f aca="false">IF(KWH&gt;0,((RATES*KWH)+ONCOR_DAILY)+(1*TAX),"")</f>
        <v>4.85356774193548</v>
      </c>
      <c r="L7" s="89" t="n">
        <f aca="false">(L6+K7)</f>
        <v>25.8390903225806</v>
      </c>
      <c r="M7" s="90" t="n">
        <f aca="false">IF(AVERAGE_KWH&lt;&gt;"",AVERAGE_KWH*DAYS-$A7,"")</f>
        <v>1129.835</v>
      </c>
      <c r="N7" s="90" t="n">
        <f aca="false">IF(PROJ_USAGE&gt;1000,((RATES*PROJ_USAGE)+TDU)*1+TAX-(CREDIT),(RATES*PROJ_USAGE)+TDU)*1+TAX</f>
        <v>123.917387096774</v>
      </c>
      <c r="O7" s="91" t="n">
        <f aca="false">IF((BREAK-CUM_KWH)&gt;0,BREAK-CUM_KWH,"")</f>
        <v>810.692233333333</v>
      </c>
      <c r="Q7" s="127" t="s">
        <v>34</v>
      </c>
      <c r="R7" s="165"/>
      <c r="S7" s="169" t="n">
        <f aca="false">SUM(S4:S6)</f>
        <v>0.197667</v>
      </c>
      <c r="T7" s="161"/>
    </row>
    <row r="8" s="102" customFormat="true" ht="15" hidden="false" customHeight="false" outlineLevel="0" collapsed="false">
      <c r="A8" s="45" t="n">
        <v>7</v>
      </c>
      <c r="B8" s="45" t="n">
        <f aca="false">$A$31-$A8</f>
        <v>23</v>
      </c>
      <c r="C8" s="86" t="str">
        <f aca="false">TEXT(D8,"ddd")</f>
        <v>Mon</v>
      </c>
      <c r="D8" s="106" t="n">
        <v>44613</v>
      </c>
      <c r="E8" s="119" t="n">
        <v>44614.2811111111</v>
      </c>
      <c r="F8" s="146" t="n">
        <v>66885.402</v>
      </c>
      <c r="G8" s="146" t="n">
        <v>66906.293</v>
      </c>
      <c r="H8" s="146" t="n">
        <v>20.893</v>
      </c>
      <c r="I8" s="87" t="n">
        <f aca="false">SUM($J$2:$J8)</f>
        <v>224.74490952381</v>
      </c>
      <c r="J8" s="87" t="n">
        <f aca="false">AVERAGE($H$2:$H8)</f>
        <v>35.4371428571429</v>
      </c>
      <c r="K8" s="88" t="n">
        <f aca="false">IF(KWH&gt;0,((RATES*KWH)+ONCOR_DAILY)+(1*TAX),"")</f>
        <v>2.44549032258065</v>
      </c>
      <c r="L8" s="89" t="n">
        <f aca="false">(L7+K8)</f>
        <v>28.2845806451613</v>
      </c>
      <c r="M8" s="90" t="n">
        <f aca="false">IF(AVERAGE_KWH&lt;&gt;"",AVERAGE_KWH*DAYS-$A8,"")</f>
        <v>1056.11428571429</v>
      </c>
      <c r="N8" s="90" t="n">
        <f aca="false">IF(PROJ_USAGE&gt;1000,((RATES*PROJ_USAGE)+TDU)*1+TAX-(CREDIT),(RATES*PROJ_USAGE)+TDU)*1+TAX</f>
        <v>115.831889400922</v>
      </c>
      <c r="O8" s="91" t="n">
        <f aca="false">IF((BREAK-CUM_KWH)&gt;0,BREAK-CUM_KWH,"")</f>
        <v>775.255090476191</v>
      </c>
      <c r="Q8" s="127" t="s">
        <v>38</v>
      </c>
      <c r="R8" s="164" t="n">
        <v>3.4</v>
      </c>
      <c r="S8" s="167" t="n">
        <f aca="false">($R$8/DAYS)</f>
        <v>0.113333333333333</v>
      </c>
      <c r="T8" s="161"/>
    </row>
    <row r="9" s="102" customFormat="true" ht="15" hidden="false" customHeight="false" outlineLevel="0" collapsed="false">
      <c r="A9" s="45" t="n">
        <v>8</v>
      </c>
      <c r="B9" s="45" t="n">
        <f aca="false">$A$31-$A9</f>
        <v>22</v>
      </c>
      <c r="C9" s="86" t="str">
        <f aca="false">TEXT(D9,"ddd")</f>
        <v>Tue</v>
      </c>
      <c r="D9" s="106" t="n">
        <v>44614</v>
      </c>
      <c r="E9" s="119" t="n">
        <v>44615.2631597222</v>
      </c>
      <c r="F9" s="146" t="n">
        <v>66906.293</v>
      </c>
      <c r="G9" s="146" t="n">
        <v>66934.488</v>
      </c>
      <c r="H9" s="146" t="n">
        <v>28.194</v>
      </c>
      <c r="I9" s="87" t="n">
        <f aca="false">SUM($J$2:$J9)</f>
        <v>259.27665952381</v>
      </c>
      <c r="J9" s="87" t="n">
        <f aca="false">AVERAGE($H$2:$H9)</f>
        <v>34.53175</v>
      </c>
      <c r="K9" s="88" t="n">
        <f aca="false">IF(KWH&gt;0,((RATES*KWH)+ONCOR_DAILY)+(1*TAX),"")</f>
        <v>3.24624516129032</v>
      </c>
      <c r="L9" s="89" t="n">
        <f aca="false">(L8+K9)</f>
        <v>31.5308258064516</v>
      </c>
      <c r="M9" s="90" t="n">
        <f aca="false">IF(AVERAGE_KWH&lt;&gt;"",AVERAGE_KWH*DAYS-$A9,"")</f>
        <v>1027.9525</v>
      </c>
      <c r="N9" s="90" t="n">
        <f aca="false">IF(PROJ_USAGE&gt;1000,((RATES*PROJ_USAGE)+TDU)*1+TAX-(CREDIT),(RATES*PROJ_USAGE)+TDU)*1+TAX</f>
        <v>112.743177419355</v>
      </c>
      <c r="O9" s="91" t="n">
        <f aca="false">IF((BREAK-CUM_KWH)&gt;0,BREAK-CUM_KWH,"")</f>
        <v>740.723340476191</v>
      </c>
      <c r="Q9" s="127" t="s">
        <v>42</v>
      </c>
      <c r="R9" s="165"/>
      <c r="S9" s="209" t="n">
        <v>0.01997</v>
      </c>
      <c r="T9" s="161"/>
    </row>
    <row r="10" s="102" customFormat="true" ht="15" hidden="false" customHeight="false" outlineLevel="0" collapsed="false">
      <c r="A10" s="45" t="n">
        <v>9</v>
      </c>
      <c r="B10" s="45" t="n">
        <f aca="false">$A$31-$A10</f>
        <v>21</v>
      </c>
      <c r="C10" s="86" t="str">
        <f aca="false">TEXT(D10,"ddd")</f>
        <v>Wed</v>
      </c>
      <c r="D10" s="106" t="n">
        <v>44615</v>
      </c>
      <c r="E10" s="119" t="n">
        <v>44616.2625462963</v>
      </c>
      <c r="F10" s="146" t="n">
        <v>66934.488</v>
      </c>
      <c r="G10" s="146" t="n">
        <v>66983.416</v>
      </c>
      <c r="H10" s="146" t="n">
        <v>48.926</v>
      </c>
      <c r="I10" s="87" t="n">
        <f aca="false">SUM($J$2:$J10)</f>
        <v>295.407770634921</v>
      </c>
      <c r="J10" s="87" t="n">
        <f aca="false">AVERAGE($H$2:$H10)</f>
        <v>36.1311111111111</v>
      </c>
      <c r="K10" s="88" t="n">
        <f aca="false">IF(KWH&gt;0,((RATES*KWH)+ONCOR_DAILY)+(1*TAX),"")</f>
        <v>5.52007741935484</v>
      </c>
      <c r="L10" s="89" t="n">
        <f aca="false">(L9+K10)</f>
        <v>37.0509032258065</v>
      </c>
      <c r="M10" s="90" t="n">
        <f aca="false">IF(AVERAGE_KWH&lt;&gt;"",AVERAGE_KWH*DAYS-$A10,"")</f>
        <v>1074.93333333333</v>
      </c>
      <c r="N10" s="90" t="n">
        <f aca="false">IF(PROJ_USAGE&gt;1000,((RATES*PROJ_USAGE)+TDU)*1+TAX-(CREDIT),(RATES*PROJ_USAGE)+TDU)*1+TAX</f>
        <v>117.895913978495</v>
      </c>
      <c r="O10" s="91" t="n">
        <f aca="false">IF((BREAK-CUM_KWH)&gt;0,BREAK-CUM_KWH,"")</f>
        <v>704.592229365079</v>
      </c>
      <c r="Q10" s="127" t="s">
        <v>46</v>
      </c>
      <c r="R10" s="203" t="n">
        <v>100</v>
      </c>
      <c r="S10" s="209" t="n">
        <v>1000</v>
      </c>
      <c r="T10" s="161"/>
    </row>
    <row r="11" s="102" customFormat="true" ht="15" hidden="false" customHeight="false" outlineLevel="0" collapsed="false">
      <c r="A11" s="45" t="n">
        <v>10</v>
      </c>
      <c r="B11" s="45" t="n">
        <f aca="false">$A$31-$A11</f>
        <v>20</v>
      </c>
      <c r="C11" s="86" t="str">
        <f aca="false">TEXT(D11,"ddd")</f>
        <v>Thu</v>
      </c>
      <c r="D11" s="106" t="n">
        <v>44616</v>
      </c>
      <c r="E11" s="119" t="n">
        <v>44617.2625578704</v>
      </c>
      <c r="F11" s="146" t="n">
        <v>66983.416</v>
      </c>
      <c r="G11" s="146" t="n">
        <v>67049.34</v>
      </c>
      <c r="H11" s="146" t="n">
        <v>65.926</v>
      </c>
      <c r="I11" s="87" t="n">
        <f aca="false">SUM($J$2:$J11)</f>
        <v>334.518370634921</v>
      </c>
      <c r="J11" s="87" t="n">
        <f aca="false">AVERAGE($H$2:$H11)</f>
        <v>39.1106</v>
      </c>
      <c r="K11" s="88" t="n">
        <f aca="false">IF(KWH&gt;0,((RATES*KWH)+ONCOR_DAILY)+(1*TAX),"")</f>
        <v>7.3845935483871</v>
      </c>
      <c r="L11" s="89" t="n">
        <f aca="false">(L10+K11)</f>
        <v>44.4354967741935</v>
      </c>
      <c r="M11" s="90" t="n">
        <f aca="false">IF(AVERAGE_KWH&lt;&gt;"",AVERAGE_KWH*DAYS-$A11,"")</f>
        <v>1163.318</v>
      </c>
      <c r="N11" s="90" t="n">
        <f aca="false">IF(PROJ_USAGE&gt;1000,((RATES*PROJ_USAGE)+TDU)*1+TAX-(CREDIT),(RATES*PROJ_USAGE)+TDU)*1+TAX</f>
        <v>127.589716129032</v>
      </c>
      <c r="O11" s="91" t="n">
        <f aca="false">IF((BREAK-CUM_KWH)&gt;0,BREAK-CUM_KWH,"")</f>
        <v>665.48162936508</v>
      </c>
      <c r="Q11" s="127" t="s">
        <v>49</v>
      </c>
      <c r="R11" s="203" t="n">
        <v>295</v>
      </c>
      <c r="S11" s="200"/>
      <c r="T11" s="161"/>
    </row>
    <row r="12" s="102" customFormat="true" ht="15" hidden="false" customHeight="false" outlineLevel="0" collapsed="false">
      <c r="A12" s="45" t="n">
        <v>11</v>
      </c>
      <c r="B12" s="45" t="n">
        <f aca="false">$A$31-$A12</f>
        <v>19</v>
      </c>
      <c r="C12" s="86" t="str">
        <f aca="false">TEXT(D12,"ddd")</f>
        <v>Fri</v>
      </c>
      <c r="D12" s="106" t="n">
        <v>44617</v>
      </c>
      <c r="E12" s="119" t="n">
        <v>44618.2595023148</v>
      </c>
      <c r="F12" s="146" t="n">
        <v>67049.34</v>
      </c>
      <c r="G12" s="146" t="n">
        <v>67111.908</v>
      </c>
      <c r="H12" s="146" t="n">
        <v>62.566</v>
      </c>
      <c r="I12" s="87" t="n">
        <f aca="false">SUM($J$2:$J12)</f>
        <v>375.76127972583</v>
      </c>
      <c r="J12" s="87" t="n">
        <f aca="false">AVERAGE($H$2:$H12)</f>
        <v>41.2429090909091</v>
      </c>
      <c r="K12" s="88" t="n">
        <f aca="false">IF(KWH&gt;0,((RATES*KWH)+ONCOR_DAILY)+(1*TAX),"")</f>
        <v>7.01607741935484</v>
      </c>
      <c r="L12" s="89" t="n">
        <f aca="false">(L11+K12)</f>
        <v>51.4515741935484</v>
      </c>
      <c r="M12" s="90" t="n">
        <f aca="false">IF(AVERAGE_KWH&lt;&gt;"",AVERAGE_KWH*DAYS-$A12,"")</f>
        <v>1226.28727272727</v>
      </c>
      <c r="N12" s="90" t="n">
        <f aca="false">IF(PROJ_USAGE&gt;1000,((RATES*PROJ_USAGE)+TDU)*1+TAX-(CREDIT),(RATES*PROJ_USAGE)+TDU)*1+TAX</f>
        <v>134.496023460411</v>
      </c>
      <c r="O12" s="91" t="n">
        <f aca="false">IF((BREAK-CUM_KWH)&gt;0,BREAK-CUM_KWH,"")</f>
        <v>624.23872027417</v>
      </c>
      <c r="Q12" s="127" t="s">
        <v>52</v>
      </c>
      <c r="R12" s="204" t="n">
        <f aca="false">INDEX(L2:L32,COUNT(L2:L32))</f>
        <v>127.824812903226</v>
      </c>
      <c r="S12" s="200"/>
      <c r="T12" s="161"/>
    </row>
    <row r="13" s="102" customFormat="true" ht="15" hidden="false" customHeight="false" outlineLevel="0" collapsed="false">
      <c r="A13" s="45" t="n">
        <v>12</v>
      </c>
      <c r="B13" s="45" t="n">
        <f aca="false">$A$31-$A13</f>
        <v>18</v>
      </c>
      <c r="C13" s="86" t="str">
        <f aca="false">TEXT(D13,"ddd")</f>
        <v>Sat</v>
      </c>
      <c r="D13" s="106" t="n">
        <v>44618</v>
      </c>
      <c r="E13" s="119" t="n">
        <v>44619.2864236111</v>
      </c>
      <c r="F13" s="146" t="n">
        <v>67111.908</v>
      </c>
      <c r="G13" s="146" t="n">
        <v>67166.916</v>
      </c>
      <c r="H13" s="146" t="n">
        <v>55.007</v>
      </c>
      <c r="I13" s="87" t="n">
        <f aca="false">SUM($J$2:$J13)</f>
        <v>418.151196392496</v>
      </c>
      <c r="J13" s="87" t="n">
        <f aca="false">AVERAGE($H$2:$H13)</f>
        <v>42.3899166666667</v>
      </c>
      <c r="K13" s="88" t="n">
        <f aca="false">IF(KWH&gt;0,((RATES*KWH)+ONCOR_DAILY)+(1*TAX),"")</f>
        <v>6.18702580645161</v>
      </c>
      <c r="L13" s="89" t="n">
        <f aca="false">(L12+K13)</f>
        <v>57.6386</v>
      </c>
      <c r="M13" s="90" t="n">
        <f aca="false">IF(AVERAGE_KWH&lt;&gt;"",AVERAGE_KWH*DAYS-$A13,"")</f>
        <v>1259.6975</v>
      </c>
      <c r="N13" s="90" t="n">
        <f aca="false">IF(PROJ_USAGE&gt;1000,((RATES*PROJ_USAGE)+TDU)*1+TAX-(CREDIT),(RATES*PROJ_USAGE)+TDU)*1+TAX</f>
        <v>138.160370967742</v>
      </c>
      <c r="O13" s="91" t="n">
        <f aca="false">IF((BREAK-CUM_KWH)&gt;0,BREAK-CUM_KWH,"")</f>
        <v>581.848803607504</v>
      </c>
      <c r="Q13" s="127" t="s">
        <v>55</v>
      </c>
      <c r="R13" s="205" t="n">
        <f aca="false">INDEX(I2:I32,COUNT(I2:I32))</f>
        <v>1125.83601092009</v>
      </c>
      <c r="S13" s="200"/>
      <c r="T13" s="161"/>
    </row>
    <row r="14" s="102" customFormat="true" ht="15" hidden="false" customHeight="false" outlineLevel="0" collapsed="false">
      <c r="A14" s="45" t="n">
        <v>13</v>
      </c>
      <c r="B14" s="45" t="n">
        <f aca="false">$A$31-$A14</f>
        <v>17</v>
      </c>
      <c r="C14" s="86" t="str">
        <f aca="false">TEXT(D14,"ddd")</f>
        <v>Sun</v>
      </c>
      <c r="D14" s="106" t="n">
        <v>44619</v>
      </c>
      <c r="E14" s="119" t="n">
        <v>44620.26125</v>
      </c>
      <c r="F14" s="146" t="n">
        <v>67166.916</v>
      </c>
      <c r="G14" s="146" t="n">
        <v>67216.267</v>
      </c>
      <c r="H14" s="146" t="n">
        <v>49.355</v>
      </c>
      <c r="I14" s="87" t="n">
        <f aca="false">SUM($J$2:$J14)</f>
        <v>461.076888700189</v>
      </c>
      <c r="J14" s="87" t="n">
        <f aca="false">AVERAGE($H$2:$H14)</f>
        <v>42.9256923076923</v>
      </c>
      <c r="K14" s="88" t="n">
        <f aca="false">IF(KWH&gt;0,((RATES*KWH)+ONCOR_DAILY)+(1*TAX),"")</f>
        <v>5.56712903225806</v>
      </c>
      <c r="L14" s="89" t="n">
        <f aca="false">(L13+K14)</f>
        <v>63.2057290322581</v>
      </c>
      <c r="M14" s="90" t="n">
        <f aca="false">IF(AVERAGE_KWH&lt;&gt;"",AVERAGE_KWH*DAYS-$A14,"")</f>
        <v>1274.77076923077</v>
      </c>
      <c r="N14" s="90" t="n">
        <f aca="false">IF(PROJ_USAGE&gt;1000,((RATES*PROJ_USAGE)+TDU)*1+TAX-(CREDIT),(RATES*PROJ_USAGE)+TDU)*1+TAX</f>
        <v>139.813568238213</v>
      </c>
      <c r="O14" s="91" t="n">
        <f aca="false">IF((BREAK-CUM_KWH)&gt;0,BREAK-CUM_KWH,"")</f>
        <v>538.923111299811</v>
      </c>
      <c r="Q14" s="127" t="s">
        <v>143</v>
      </c>
      <c r="R14" s="205" t="n">
        <f aca="false">MAX(H2:H32)</f>
        <v>65.926</v>
      </c>
      <c r="S14" s="200"/>
      <c r="T14" s="161"/>
    </row>
    <row r="15" s="102" customFormat="true" ht="15" hidden="false" customHeight="false" outlineLevel="0" collapsed="false">
      <c r="A15" s="45" t="n">
        <v>14</v>
      </c>
      <c r="B15" s="45" t="n">
        <f aca="false">$A$31-$A15</f>
        <v>16</v>
      </c>
      <c r="C15" s="86" t="str">
        <f aca="false">TEXT(D15,"ddd")</f>
        <v>Mon</v>
      </c>
      <c r="D15" s="106" t="n">
        <v>44620</v>
      </c>
      <c r="E15" s="119" t="n">
        <v>44621.262337963</v>
      </c>
      <c r="F15" s="146" t="n">
        <v>67216.267</v>
      </c>
      <c r="G15" s="146" t="n">
        <v>67258.865</v>
      </c>
      <c r="H15" s="146" t="n">
        <v>42.596</v>
      </c>
      <c r="I15" s="87" t="n">
        <f aca="false">SUM($J$2:$J15)</f>
        <v>503.979031557332</v>
      </c>
      <c r="J15" s="87" t="n">
        <f aca="false">AVERAGE($H$2:$H15)</f>
        <v>42.9021428571429</v>
      </c>
      <c r="K15" s="88" t="n">
        <f aca="false">IF(KWH&gt;0,((RATES*KWH)+ONCOR_DAILY)+(1*TAX),"")</f>
        <v>4.82581935483871</v>
      </c>
      <c r="L15" s="89" t="n">
        <f aca="false">(L14+K15)</f>
        <v>68.0315483870968</v>
      </c>
      <c r="M15" s="90" t="n">
        <f aca="false">IF(AVERAGE_KWH&lt;&gt;"",AVERAGE_KWH*DAYS-$A15,"")</f>
        <v>1273.06428571429</v>
      </c>
      <c r="N15" s="90" t="n">
        <f aca="false">IF(PROJ_USAGE&gt;1000,((RATES*PROJ_USAGE)+TDU)*1+TAX-(CREDIT),(RATES*PROJ_USAGE)+TDU)*1+TAX</f>
        <v>139.626405529954</v>
      </c>
      <c r="O15" s="91" t="n">
        <f aca="false">IF((BREAK-CUM_KWH)&gt;0,BREAK-CUM_KWH,"")</f>
        <v>496.020968442669</v>
      </c>
      <c r="Q15" s="127" t="s">
        <v>144</v>
      </c>
      <c r="R15" s="205" t="n">
        <f aca="false">MIN(KWH)</f>
        <v>20.893</v>
      </c>
      <c r="S15" s="200"/>
      <c r="T15" s="161"/>
    </row>
    <row r="16" s="102" customFormat="true" ht="15" hidden="false" customHeight="false" outlineLevel="0" collapsed="false">
      <c r="A16" s="45" t="n">
        <v>15</v>
      </c>
      <c r="B16" s="45" t="n">
        <f aca="false">$A$31-$A16</f>
        <v>15</v>
      </c>
      <c r="C16" s="86" t="str">
        <f aca="false">TEXT(D16,"ddd")</f>
        <v>Tue</v>
      </c>
      <c r="D16" s="106" t="n">
        <v>44621</v>
      </c>
      <c r="E16" s="119" t="n">
        <v>44622.262662037</v>
      </c>
      <c r="F16" s="146" t="n">
        <v>67258.865</v>
      </c>
      <c r="G16" s="146" t="n">
        <v>67290.694</v>
      </c>
      <c r="H16" s="146" t="n">
        <v>31.825</v>
      </c>
      <c r="I16" s="87" t="n">
        <f aca="false">SUM($J$2:$J16)</f>
        <v>546.142698223998</v>
      </c>
      <c r="J16" s="87" t="n">
        <f aca="false">AVERAGE($H$2:$H16)</f>
        <v>42.1636666666667</v>
      </c>
      <c r="K16" s="88" t="n">
        <f aca="false">IF(KWH&gt;0,((RATES*KWH)+ONCOR_DAILY)+(1*TAX),"")</f>
        <v>3.64448387096774</v>
      </c>
      <c r="L16" s="89" t="n">
        <f aca="false">(L15+K16)</f>
        <v>71.6760322580645</v>
      </c>
      <c r="M16" s="90" t="n">
        <f aca="false">IF(AVERAGE_KWH&lt;&gt;"",AVERAGE_KWH*DAYS-$A16,"")</f>
        <v>1249.91</v>
      </c>
      <c r="N16" s="90" t="n">
        <f aca="false">IF(PROJ_USAGE&gt;1000,((RATES*PROJ_USAGE)+TDU)*1+TAX-(CREDIT),(RATES*PROJ_USAGE)+TDU)*1+TAX</f>
        <v>137.086903225806</v>
      </c>
      <c r="O16" s="91" t="n">
        <f aca="false">IF((BREAK-CUM_KWH)&gt;0,BREAK-CUM_KWH,"")</f>
        <v>453.857301776002</v>
      </c>
      <c r="Q16" s="206" t="s">
        <v>58</v>
      </c>
      <c r="R16" s="207" t="n">
        <f aca="false">INDEX(J2:J32,COUNT(J2:J32))</f>
        <v>37.4446</v>
      </c>
      <c r="S16" s="208"/>
      <c r="T16" s="161"/>
    </row>
    <row r="17" s="102" customFormat="true" ht="15" hidden="false" customHeight="false" outlineLevel="0" collapsed="false">
      <c r="A17" s="45" t="n">
        <v>16</v>
      </c>
      <c r="B17" s="45" t="n">
        <f aca="false">$A$31-$A17</f>
        <v>14</v>
      </c>
      <c r="C17" s="86" t="str">
        <f aca="false">TEXT(D17,"ddd")</f>
        <v>Wed</v>
      </c>
      <c r="D17" s="106" t="n">
        <v>44622</v>
      </c>
      <c r="E17" s="119" t="n">
        <v>44623.2622453704</v>
      </c>
      <c r="F17" s="146" t="n">
        <v>67290.694</v>
      </c>
      <c r="G17" s="146" t="n">
        <v>67316.495</v>
      </c>
      <c r="H17" s="146" t="n">
        <v>25.803</v>
      </c>
      <c r="I17" s="87" t="n">
        <f aca="false">SUM($J$2:$J17)</f>
        <v>587.283823223998</v>
      </c>
      <c r="J17" s="87" t="n">
        <f aca="false">AVERAGE($H$2:$H17)</f>
        <v>41.141125</v>
      </c>
      <c r="K17" s="88" t="n">
        <f aca="false">IF(KWH&gt;0,((RATES*KWH)+ONCOR_DAILY)+(1*TAX),"")</f>
        <v>2.9840064516129</v>
      </c>
      <c r="L17" s="89" t="n">
        <f aca="false">(L16+K17)</f>
        <v>74.6600387096774</v>
      </c>
      <c r="M17" s="90" t="n">
        <f aca="false">IF(AVERAGE_KWH&lt;&gt;"",AVERAGE_KWH*DAYS-$A17,"")</f>
        <v>1218.23375</v>
      </c>
      <c r="N17" s="90" t="n">
        <f aca="false">IF(PROJ_USAGE&gt;1000,((RATES*PROJ_USAGE)+TDU)*1+TAX-(CREDIT),(RATES*PROJ_USAGE)+TDU)*1+TAX</f>
        <v>133.612733870968</v>
      </c>
      <c r="O17" s="91" t="n">
        <f aca="false">IF((BREAK-CUM_KWH)&gt;0,BREAK-CUM_KWH,"")</f>
        <v>412.716176776002</v>
      </c>
    </row>
    <row r="18" s="102" customFormat="true" ht="15" hidden="false" customHeight="false" outlineLevel="0" collapsed="false">
      <c r="A18" s="45" t="n">
        <v>17</v>
      </c>
      <c r="B18" s="45" t="n">
        <f aca="false">$A$31-$A18</f>
        <v>13</v>
      </c>
      <c r="C18" s="86" t="str">
        <f aca="false">TEXT(D18,"ddd")</f>
        <v>Thu</v>
      </c>
      <c r="D18" s="106" t="n">
        <v>44623</v>
      </c>
      <c r="E18" s="119" t="n">
        <v>44624.2621064815</v>
      </c>
      <c r="F18" s="146" t="n">
        <v>67316.495</v>
      </c>
      <c r="G18" s="146" t="n">
        <v>67341.336</v>
      </c>
      <c r="H18" s="146" t="n">
        <v>24.844</v>
      </c>
      <c r="I18" s="87" t="n">
        <f aca="false">SUM($J$2:$J18)</f>
        <v>627.466293812234</v>
      </c>
      <c r="J18" s="87" t="n">
        <f aca="false">AVERAGE($H$2:$H18)</f>
        <v>40.1824705882353</v>
      </c>
      <c r="K18" s="88" t="n">
        <f aca="false">IF(KWH&gt;0,((RATES*KWH)+ONCOR_DAILY)+(1*TAX),"")</f>
        <v>2.87882580645161</v>
      </c>
      <c r="L18" s="89" t="n">
        <f aca="false">(L17+K18)</f>
        <v>77.538864516129</v>
      </c>
      <c r="M18" s="90" t="n">
        <f aca="false">IF(AVERAGE_KWH&lt;&gt;"",AVERAGE_KWH*DAYS-$A18,"")</f>
        <v>1188.47411764706</v>
      </c>
      <c r="N18" s="90" t="n">
        <f aca="false">IF(PROJ_USAGE&gt;1000,((RATES*PROJ_USAGE)+TDU)*1+TAX-(CREDIT),(RATES*PROJ_USAGE)+TDU)*1+TAX</f>
        <v>130.348774193548</v>
      </c>
      <c r="O18" s="91" t="n">
        <f aca="false">IF((BREAK-CUM_KWH)&gt;0,BREAK-CUM_KWH,"")</f>
        <v>372.533706187767</v>
      </c>
    </row>
    <row r="19" s="102" customFormat="true" ht="15" hidden="false" customHeight="false" outlineLevel="0" collapsed="false">
      <c r="A19" s="45" t="n">
        <v>18</v>
      </c>
      <c r="B19" s="45" t="n">
        <f aca="false">$A$31-$A19</f>
        <v>12</v>
      </c>
      <c r="C19" s="86" t="str">
        <f aca="false">TEXT(D19,"ddd")</f>
        <v>Fri</v>
      </c>
      <c r="D19" s="106" t="n">
        <v>44624</v>
      </c>
      <c r="E19" s="119" t="n">
        <v>44625.2608680556</v>
      </c>
      <c r="F19" s="146" t="n">
        <v>67341.336</v>
      </c>
      <c r="G19" s="146" t="n">
        <v>67366.093</v>
      </c>
      <c r="H19" s="146" t="n">
        <v>24.757</v>
      </c>
      <c r="I19" s="87" t="n">
        <f aca="false">SUM($J$2:$J19)</f>
        <v>666.791793812234</v>
      </c>
      <c r="J19" s="87" t="n">
        <f aca="false">AVERAGE($H$2:$H19)</f>
        <v>39.3255</v>
      </c>
      <c r="K19" s="88" t="n">
        <f aca="false">IF(KWH&gt;0,((RATES*KWH)+ONCOR_DAILY)+(1*TAX),"")</f>
        <v>2.86928387096774</v>
      </c>
      <c r="L19" s="89" t="n">
        <f aca="false">(L18+K19)</f>
        <v>80.4081483870968</v>
      </c>
      <c r="M19" s="90" t="n">
        <f aca="false">IF(AVERAGE_KWH&lt;&gt;"",AVERAGE_KWH*DAYS-$A19,"")</f>
        <v>1161.765</v>
      </c>
      <c r="N19" s="90" t="n">
        <f aca="false">IF(PROJ_USAGE&gt;1000,((RATES*PROJ_USAGE)+TDU)*1+TAX-(CREDIT),(RATES*PROJ_USAGE)+TDU)*1+TAX</f>
        <v>127.419387096774</v>
      </c>
      <c r="O19" s="91" t="n">
        <f aca="false">IF((BREAK-CUM_KWH)&gt;0,BREAK-CUM_KWH,"")</f>
        <v>333.208206187766</v>
      </c>
    </row>
    <row r="20" s="102" customFormat="true" ht="15" hidden="false" customHeight="false" outlineLevel="0" collapsed="false">
      <c r="A20" s="45" t="n">
        <v>19</v>
      </c>
      <c r="B20" s="45" t="n">
        <f aca="false">$A$31-$A20</f>
        <v>11</v>
      </c>
      <c r="C20" s="86" t="str">
        <f aca="false">TEXT(D20,"ddd")</f>
        <v>Sat</v>
      </c>
      <c r="D20" s="106" t="n">
        <v>44625</v>
      </c>
      <c r="E20" s="119" t="n">
        <v>44626.2852199074</v>
      </c>
      <c r="F20" s="146" t="n">
        <v>67366.093</v>
      </c>
      <c r="G20" s="146" t="n">
        <v>67401.257</v>
      </c>
      <c r="H20" s="146" t="n">
        <v>35.161</v>
      </c>
      <c r="I20" s="87" t="n">
        <f aca="false">SUM($J$2:$J20)</f>
        <v>705.898109601707</v>
      </c>
      <c r="J20" s="87" t="n">
        <f aca="false">AVERAGE($H$2:$H20)</f>
        <v>39.1063157894737</v>
      </c>
      <c r="K20" s="88" t="n">
        <f aca="false">IF(KWH&gt;0,((RATES*KWH)+ONCOR_DAILY)+(1*TAX),"")</f>
        <v>4.01036774193548</v>
      </c>
      <c r="L20" s="89" t="n">
        <f aca="false">(L19+K20)</f>
        <v>84.4185161290323</v>
      </c>
      <c r="M20" s="90" t="n">
        <f aca="false">IF(AVERAGE_KWH&lt;&gt;"",AVERAGE_KWH*DAYS-$A20,"")</f>
        <v>1154.18947368421</v>
      </c>
      <c r="N20" s="90" t="n">
        <f aca="false">IF(PROJ_USAGE&gt;1000,((RATES*PROJ_USAGE)+TDU)*1+TAX-(CREDIT),(RATES*PROJ_USAGE)+TDU)*1+TAX</f>
        <v>126.588522920204</v>
      </c>
      <c r="O20" s="91" t="n">
        <f aca="false">IF((BREAK-CUM_KWH)&gt;0,BREAK-CUM_KWH,"")</f>
        <v>294.101890398293</v>
      </c>
    </row>
    <row r="21" s="102" customFormat="true" ht="15" hidden="false" customHeight="false" outlineLevel="0" collapsed="false">
      <c r="A21" s="45" t="n">
        <v>20</v>
      </c>
      <c r="B21" s="45" t="n">
        <f aca="false">$A$31-$A21</f>
        <v>10</v>
      </c>
      <c r="C21" s="86" t="str">
        <f aca="false">TEXT(D21,"ddd")</f>
        <v>Sun</v>
      </c>
      <c r="D21" s="106" t="n">
        <v>44626</v>
      </c>
      <c r="E21" s="119" t="n">
        <v>44627.2596875</v>
      </c>
      <c r="F21" s="146" t="n">
        <v>67401.257</v>
      </c>
      <c r="G21" s="146" t="n">
        <v>67431.946</v>
      </c>
      <c r="H21" s="146" t="n">
        <v>30.689</v>
      </c>
      <c r="I21" s="87" t="n">
        <f aca="false">SUM($J$2:$J21)</f>
        <v>744.583559601707</v>
      </c>
      <c r="J21" s="87" t="n">
        <f aca="false">AVERAGE($H$2:$H21)</f>
        <v>38.68545</v>
      </c>
      <c r="K21" s="88" t="n">
        <f aca="false">IF(KWH&gt;0,((RATES*KWH)+ONCOR_DAILY)+(1*TAX),"")</f>
        <v>3.51989032258065</v>
      </c>
      <c r="L21" s="89" t="n">
        <f aca="false">(L20+K21)</f>
        <v>87.9384064516129</v>
      </c>
      <c r="M21" s="90" t="n">
        <f aca="false">IF(AVERAGE_KWH&lt;&gt;"",AVERAGE_KWH*DAYS-$A21,"")</f>
        <v>1140.5635</v>
      </c>
      <c r="N21" s="90" t="n">
        <f aca="false">IF(PROJ_USAGE&gt;1000,((RATES*PROJ_USAGE)+TDU)*1+TAX-(CREDIT),(RATES*PROJ_USAGE)+TDU)*1+TAX</f>
        <v>125.094061290323</v>
      </c>
      <c r="O21" s="91" t="n">
        <f aca="false">IF((BREAK-CUM_KWH)&gt;0,BREAK-CUM_KWH,"")</f>
        <v>255.416440398293</v>
      </c>
    </row>
    <row r="22" s="102" customFormat="true" ht="15" hidden="false" customHeight="false" outlineLevel="0" collapsed="false">
      <c r="A22" s="45" t="n">
        <v>21</v>
      </c>
      <c r="B22" s="45" t="n">
        <f aca="false">$A$31-$A22</f>
        <v>9</v>
      </c>
      <c r="C22" s="86" t="str">
        <f aca="false">TEXT(D22,"ddd")</f>
        <v>Mon</v>
      </c>
      <c r="D22" s="106" t="n">
        <v>44627</v>
      </c>
      <c r="E22" s="119" t="n">
        <v>44628.2605902778</v>
      </c>
      <c r="F22" s="146" t="n">
        <v>67431.946</v>
      </c>
      <c r="G22" s="146" t="n">
        <v>67455.965</v>
      </c>
      <c r="H22" s="146" t="n">
        <v>24.023</v>
      </c>
      <c r="I22" s="87" t="n">
        <f aca="false">SUM($J$2:$J22)</f>
        <v>782.570797696945</v>
      </c>
      <c r="J22" s="87" t="n">
        <f aca="false">AVERAGE($H$2:$H22)</f>
        <v>37.9872380952381</v>
      </c>
      <c r="K22" s="88" t="n">
        <f aca="false">IF(KWH&gt;0,((RATES*KWH)+ONCOR_DAILY)+(1*TAX),"")</f>
        <v>2.78878064516129</v>
      </c>
      <c r="L22" s="89" t="n">
        <f aca="false">(L21+K22)</f>
        <v>90.7271870967742</v>
      </c>
      <c r="M22" s="90" t="n">
        <f aca="false">IF(AVERAGE_KWH&lt;&gt;"",AVERAGE_KWH*DAYS-$A22,"")</f>
        <v>1118.61714285714</v>
      </c>
      <c r="N22" s="90" t="n">
        <f aca="false">IF(PROJ_USAGE&gt;1000,((RATES*PROJ_USAGE)+TDU)*1+TAX-(CREDIT),(RATES*PROJ_USAGE)+TDU)*1+TAX</f>
        <v>122.687041474654</v>
      </c>
      <c r="O22" s="91" t="n">
        <f aca="false">IF((BREAK-CUM_KWH)&gt;0,BREAK-CUM_KWH,"")</f>
        <v>217.429202303055</v>
      </c>
    </row>
    <row r="23" s="102" customFormat="true" ht="15" hidden="false" customHeight="false" outlineLevel="0" collapsed="false">
      <c r="A23" s="45" t="n">
        <v>22</v>
      </c>
      <c r="B23" s="45" t="n">
        <f aca="false">$A$31-$A23</f>
        <v>8</v>
      </c>
      <c r="C23" s="86" t="str">
        <f aca="false">TEXT(D23,"ddd")</f>
        <v>Tue</v>
      </c>
      <c r="D23" s="106" t="n">
        <v>44628</v>
      </c>
      <c r="E23" s="119" t="n">
        <v>44629.2610300926</v>
      </c>
      <c r="F23" s="146" t="n">
        <v>67455.965</v>
      </c>
      <c r="G23" s="146" t="n">
        <v>67492.272</v>
      </c>
      <c r="H23" s="146" t="n">
        <v>36.309</v>
      </c>
      <c r="I23" s="87" t="n">
        <f aca="false">SUM($J$2:$J23)</f>
        <v>820.4817522424</v>
      </c>
      <c r="J23" s="87" t="n">
        <f aca="false">AVERAGE($H$2:$H23)</f>
        <v>37.9109545454545</v>
      </c>
      <c r="K23" s="88" t="n">
        <f aca="false">IF(KWH&gt;0,((RATES*KWH)+ONCOR_DAILY)+(1*TAX),"")</f>
        <v>4.13627741935484</v>
      </c>
      <c r="L23" s="89" t="n">
        <f aca="false">(L22+K23)</f>
        <v>94.8634645161291</v>
      </c>
      <c r="M23" s="90" t="n">
        <f aca="false">IF(AVERAGE_KWH&lt;&gt;"",AVERAGE_KWH*DAYS-$A23,"")</f>
        <v>1115.32863636364</v>
      </c>
      <c r="N23" s="90" t="n">
        <f aca="false">IF(PROJ_USAGE&gt;1000,((RATES*PROJ_USAGE)+TDU)*1+TAX-(CREDIT),(RATES*PROJ_USAGE)+TDU)*1+TAX</f>
        <v>122.326366568915</v>
      </c>
      <c r="O23" s="91" t="n">
        <f aca="false">IF((BREAK-CUM_KWH)&gt;0,BREAK-CUM_KWH,"")</f>
        <v>179.5182477576</v>
      </c>
    </row>
    <row r="24" s="102" customFormat="true" ht="15" hidden="false" customHeight="false" outlineLevel="0" collapsed="false">
      <c r="A24" s="45" t="n">
        <v>23</v>
      </c>
      <c r="B24" s="45" t="n">
        <f aca="false">$A$31-$A24</f>
        <v>7</v>
      </c>
      <c r="C24" s="86" t="str">
        <f aca="false">TEXT(D24,"ddd")</f>
        <v>Wed</v>
      </c>
      <c r="D24" s="106" t="n">
        <v>44629</v>
      </c>
      <c r="E24" s="119" t="n">
        <v>44630.2623726852</v>
      </c>
      <c r="F24" s="146" t="n">
        <v>67492.272</v>
      </c>
      <c r="G24" s="146" t="n">
        <v>67540.032</v>
      </c>
      <c r="H24" s="146" t="n">
        <v>47.757</v>
      </c>
      <c r="I24" s="87" t="n">
        <f aca="false">SUM($J$2:$J24)</f>
        <v>858.820795720661</v>
      </c>
      <c r="J24" s="87" t="n">
        <f aca="false">AVERAGE($H$2:$H24)</f>
        <v>38.3390434782609</v>
      </c>
      <c r="K24" s="88" t="n">
        <f aca="false">IF(KWH&gt;0,((RATES*KWH)+ONCOR_DAILY)+(1*TAX),"")</f>
        <v>5.39186451612903</v>
      </c>
      <c r="L24" s="89" t="n">
        <f aca="false">(L23+K24)</f>
        <v>100.255329032258</v>
      </c>
      <c r="M24" s="90" t="n">
        <f aca="false">IF(AVERAGE_KWH&lt;&gt;"",AVERAGE_KWH*DAYS-$A24,"")</f>
        <v>1127.17130434783</v>
      </c>
      <c r="N24" s="90" t="n">
        <f aca="false">IF(PROJ_USAGE&gt;1000,((RATES*PROJ_USAGE)+TDU)*1+TAX-(CREDIT),(RATES*PROJ_USAGE)+TDU)*1+TAX</f>
        <v>123.625239831697</v>
      </c>
      <c r="O24" s="91" t="n">
        <f aca="false">IF((BREAK-CUM_KWH)&gt;0,BREAK-CUM_KWH,"")</f>
        <v>141.179204279339</v>
      </c>
    </row>
    <row r="25" s="102" customFormat="true" ht="15" hidden="false" customHeight="false" outlineLevel="0" collapsed="false">
      <c r="A25" s="45" t="n">
        <v>24</v>
      </c>
      <c r="B25" s="45" t="n">
        <f aca="false">$A$31-$A25</f>
        <v>6</v>
      </c>
      <c r="C25" s="86" t="str">
        <f aca="false">TEXT(D25,"ddd")</f>
        <v>Thu</v>
      </c>
      <c r="D25" s="106" t="n">
        <v>44630</v>
      </c>
      <c r="E25" s="119" t="n">
        <v>44631.262025463</v>
      </c>
      <c r="F25" s="146" t="n">
        <v>67540.032</v>
      </c>
      <c r="G25" s="146" t="n">
        <v>67571.376</v>
      </c>
      <c r="H25" s="146" t="n">
        <v>31.347</v>
      </c>
      <c r="I25" s="87" t="n">
        <f aca="false">SUM($J$2:$J25)</f>
        <v>896.868504053994</v>
      </c>
      <c r="J25" s="87" t="n">
        <f aca="false">AVERAGE($H$2:$H25)</f>
        <v>38.0477083333333</v>
      </c>
      <c r="K25" s="88" t="n">
        <f aca="false">IF(KWH&gt;0,((RATES*KWH)+ONCOR_DAILY)+(1*TAX),"")</f>
        <v>3.59205806451613</v>
      </c>
      <c r="L25" s="89" t="n">
        <f aca="false">(L24+K25)</f>
        <v>103.847387096774</v>
      </c>
      <c r="M25" s="90" t="n">
        <f aca="false">IF(AVERAGE_KWH&lt;&gt;"",AVERAGE_KWH*DAYS-$A25,"")</f>
        <v>1117.43125</v>
      </c>
      <c r="N25" s="90" t="n">
        <f aca="false">IF(PROJ_USAGE&gt;1000,((RATES*PROJ_USAGE)+TDU)*1+TAX-(CREDIT),(RATES*PROJ_USAGE)+TDU)*1+TAX</f>
        <v>122.556975806452</v>
      </c>
      <c r="O25" s="91" t="n">
        <f aca="false">IF((BREAK-CUM_KWH)&gt;0,BREAK-CUM_KWH,"")</f>
        <v>103.131495946006</v>
      </c>
    </row>
    <row r="26" s="102" customFormat="true" ht="15" hidden="false" customHeight="false" outlineLevel="0" collapsed="false">
      <c r="A26" s="45" t="n">
        <v>25</v>
      </c>
      <c r="B26" s="45" t="n">
        <f aca="false">$A$31-$A26</f>
        <v>5</v>
      </c>
      <c r="C26" s="86" t="str">
        <f aca="false">TEXT(D26,"ddd")</f>
        <v>Fri</v>
      </c>
      <c r="D26" s="106" t="n">
        <v>44631</v>
      </c>
      <c r="E26" s="119" t="n">
        <v>44632.2600925926</v>
      </c>
      <c r="F26" s="146" t="n">
        <v>67571.376</v>
      </c>
      <c r="G26" s="146" t="n">
        <v>67613.342</v>
      </c>
      <c r="H26" s="146" t="n">
        <v>41.969</v>
      </c>
      <c r="I26" s="87" t="n">
        <f aca="false">SUM($J$2:$J26)</f>
        <v>935.073064053994</v>
      </c>
      <c r="J26" s="87" t="n">
        <f aca="false">AVERAGE($H$2:$H26)</f>
        <v>38.20456</v>
      </c>
      <c r="K26" s="88" t="n">
        <f aca="false">IF(KWH&gt;0,((RATES*KWH)+ONCOR_DAILY)+(1*TAX),"")</f>
        <v>4.75705161290323</v>
      </c>
      <c r="L26" s="89" t="n">
        <f aca="false">(L25+K26)</f>
        <v>108.604438709677</v>
      </c>
      <c r="M26" s="90" t="n">
        <f aca="false">IF(AVERAGE_KWH&lt;&gt;"",AVERAGE_KWH*DAYS-$A26,"")</f>
        <v>1121.1368</v>
      </c>
      <c r="N26" s="90" t="n">
        <f aca="false">IF(PROJ_USAGE&gt;1000,((RATES*PROJ_USAGE)+TDU)*1+TAX-(CREDIT),(RATES*PROJ_USAGE)+TDU)*1+TAX</f>
        <v>122.963390967742</v>
      </c>
      <c r="O26" s="91" t="n">
        <f aca="false">IF((BREAK-CUM_KWH)&gt;0,BREAK-CUM_KWH,"")</f>
        <v>64.926935946006</v>
      </c>
    </row>
    <row r="27" s="102" customFormat="true" ht="15" hidden="false" customHeight="false" outlineLevel="0" collapsed="false">
      <c r="A27" s="45" t="n">
        <v>26</v>
      </c>
      <c r="B27" s="45" t="n">
        <f aca="false">$A$31-$A27</f>
        <v>4</v>
      </c>
      <c r="C27" s="86" t="str">
        <f aca="false">TEXT(D27,"ddd")</f>
        <v>Sat</v>
      </c>
      <c r="D27" s="106" t="n">
        <v>44632</v>
      </c>
      <c r="E27" s="119" t="n">
        <v>44633.3651388889</v>
      </c>
      <c r="F27" s="146" t="n">
        <v>67613.342</v>
      </c>
      <c r="G27" s="146" t="n">
        <v>67668.319</v>
      </c>
      <c r="H27" s="146" t="n">
        <v>54.976</v>
      </c>
      <c r="I27" s="87" t="n">
        <f aca="false">SUM($J$2:$J27)</f>
        <v>973.922679438609</v>
      </c>
      <c r="J27" s="87" t="n">
        <f aca="false">AVERAGE($H$2:$H27)</f>
        <v>38.8496153846154</v>
      </c>
      <c r="K27" s="88" t="n">
        <f aca="false">IF(KWH&gt;0,((RATES*KWH)+ONCOR_DAILY)+(1*TAX),"")</f>
        <v>6.18362580645161</v>
      </c>
      <c r="L27" s="89" t="n">
        <f aca="false">(L26+K27)</f>
        <v>114.788064516129</v>
      </c>
      <c r="M27" s="90" t="n">
        <f aca="false">IF(AVERAGE_KWH&lt;&gt;"",AVERAGE_KWH*DAYS-$A27,"")</f>
        <v>1139.48846153846</v>
      </c>
      <c r="N27" s="90" t="n">
        <f aca="false">IF(PROJ_USAGE&gt;1000,((RATES*PROJ_USAGE)+TDU)*1+TAX-(CREDIT),(RATES*PROJ_USAGE)+TDU)*1+TAX</f>
        <v>124.976153846154</v>
      </c>
      <c r="O27" s="91" t="n">
        <f aca="false">IF((BREAK-CUM_KWH)&gt;0,BREAK-CUM_KWH,"")</f>
        <v>26.0773205613906</v>
      </c>
    </row>
    <row r="28" s="102" customFormat="true" ht="15" hidden="false" customHeight="false" outlineLevel="0" collapsed="false">
      <c r="A28" s="45" t="n">
        <v>27</v>
      </c>
      <c r="B28" s="45" t="n">
        <f aca="false">$A$31-$A28</f>
        <v>3</v>
      </c>
      <c r="C28" s="86" t="str">
        <f aca="false">TEXT(D28,"ddd")</f>
        <v>Sun</v>
      </c>
      <c r="D28" s="106" t="n">
        <v>44633</v>
      </c>
      <c r="E28" s="119" t="n">
        <v>44634.359375</v>
      </c>
      <c r="F28" s="146" t="n">
        <v>67668.319</v>
      </c>
      <c r="G28" s="146" t="n">
        <v>67703.248</v>
      </c>
      <c r="H28" s="146" t="n">
        <v>34.931</v>
      </c>
      <c r="I28" s="87" t="n">
        <f aca="false">SUM($J$2:$J28)</f>
        <v>1012.62716092009</v>
      </c>
      <c r="J28" s="87" t="n">
        <f aca="false">AVERAGE($H$2:$H28)</f>
        <v>38.7044814814815</v>
      </c>
      <c r="K28" s="88" t="n">
        <f aca="false">IF(KWH&gt;0,((RATES*KWH)+ONCOR_DAILY)+(1*TAX),"")</f>
        <v>3.98514193548387</v>
      </c>
      <c r="L28" s="89" t="n">
        <f aca="false">(L27+K28)</f>
        <v>118.773206451613</v>
      </c>
      <c r="M28" s="90" t="n">
        <f aca="false">IF(AVERAGE_KWH&lt;&gt;"",AVERAGE_KWH*DAYS-$A28,"")</f>
        <v>1134.13444444444</v>
      </c>
      <c r="N28" s="90" t="n">
        <f aca="false">IF(PROJ_USAGE&gt;1000,((RATES*PROJ_USAGE)+TDU)*1+TAX-(CREDIT),(RATES*PROJ_USAGE)+TDU)*1+TAX</f>
        <v>124.3889390681</v>
      </c>
      <c r="O28" s="91" t="str">
        <f aca="false">IF((BREAK-CUM_KWH)&gt;0,BREAK-CUM_KWH,"")</f>
        <v/>
      </c>
    </row>
    <row r="29" s="102" customFormat="true" ht="15" hidden="false" customHeight="false" outlineLevel="0" collapsed="false">
      <c r="A29" s="45" t="n">
        <v>28</v>
      </c>
      <c r="B29" s="45" t="n">
        <f aca="false">$A$31-$A29</f>
        <v>2</v>
      </c>
      <c r="C29" s="86" t="str">
        <f aca="false">TEXT(D29,"ddd")</f>
        <v>Mon</v>
      </c>
      <c r="D29" s="106" t="n">
        <v>44634</v>
      </c>
      <c r="E29" s="119" t="n">
        <v>44635.3526157407</v>
      </c>
      <c r="F29" s="146" t="n">
        <v>67703.248</v>
      </c>
      <c r="G29" s="146" t="n">
        <v>67725.451</v>
      </c>
      <c r="H29" s="146" t="n">
        <v>22.206</v>
      </c>
      <c r="I29" s="87" t="n">
        <f aca="false">SUM($J$2:$J29)</f>
        <v>1050.74241092009</v>
      </c>
      <c r="J29" s="87" t="n">
        <f aca="false">AVERAGE($H$2:$H29)</f>
        <v>38.11525</v>
      </c>
      <c r="K29" s="88" t="n">
        <f aca="false">IF(KWH&gt;0,((RATES*KWH)+ONCOR_DAILY)+(1*TAX),"")</f>
        <v>2.58949677419355</v>
      </c>
      <c r="L29" s="89" t="n">
        <f aca="false">(L28+K29)</f>
        <v>121.362703225806</v>
      </c>
      <c r="M29" s="90" t="n">
        <f aca="false">IF(AVERAGE_KWH&lt;&gt;"",AVERAGE_KWH*DAYS-$A29,"")</f>
        <v>1115.4575</v>
      </c>
      <c r="N29" s="90" t="n">
        <f aca="false">IF(PROJ_USAGE&gt;1000,((RATES*PROJ_USAGE)+TDU)*1+TAX-(CREDIT),(RATES*PROJ_USAGE)+TDU)*1+TAX</f>
        <v>122.3405</v>
      </c>
      <c r="O29" s="91" t="str">
        <f aca="false">IF((BREAK-CUM_KWH)&gt;0,BREAK-CUM_KWH,"")</f>
        <v/>
      </c>
    </row>
    <row r="30" s="102" customFormat="true" ht="15" hidden="false" customHeight="false" outlineLevel="0" collapsed="false">
      <c r="A30" s="45" t="n">
        <v>29</v>
      </c>
      <c r="B30" s="45" t="n">
        <f aca="false">$A$31-$A30</f>
        <v>1</v>
      </c>
      <c r="C30" s="86" t="str">
        <f aca="false">TEXT(D30,"ddd")</f>
        <v>Tue</v>
      </c>
      <c r="D30" s="106" t="n">
        <v>44635</v>
      </c>
      <c r="E30" s="119" t="n">
        <v>44636.2730092593</v>
      </c>
      <c r="F30" s="146" t="n">
        <v>67725.451</v>
      </c>
      <c r="G30" s="146" t="n">
        <v>67750.043</v>
      </c>
      <c r="H30" s="146" t="n">
        <v>24.594</v>
      </c>
      <c r="I30" s="87" t="n">
        <f aca="false">SUM($J$2:$J30)</f>
        <v>1088.39141092009</v>
      </c>
      <c r="J30" s="87" t="n">
        <f aca="false">AVERAGE($H$2:$H30)</f>
        <v>37.649</v>
      </c>
      <c r="K30" s="88" t="n">
        <f aca="false">IF(KWH&gt;0,((RATES*KWH)+ONCOR_DAILY)+(1*TAX),"")</f>
        <v>2.8514064516129</v>
      </c>
      <c r="L30" s="89" t="n">
        <f aca="false">(L29+K30)</f>
        <v>124.214109677419</v>
      </c>
      <c r="M30" s="90" t="n">
        <f aca="false">IF(AVERAGE_KWH&lt;&gt;"",AVERAGE_KWH*DAYS-$A30,"")</f>
        <v>1100.47</v>
      </c>
      <c r="N30" s="90" t="n">
        <f aca="false">IF(PROJ_USAGE&gt;1000,((RATES*PROJ_USAGE)+TDU)*1+TAX-(CREDIT),(RATES*PROJ_USAGE)+TDU)*1+TAX</f>
        <v>120.696709677419</v>
      </c>
      <c r="O30" s="91" t="str">
        <f aca="false">IF((BREAK-CUM_KWH)&gt;0,BREAK-CUM_KWH,"")</f>
        <v/>
      </c>
    </row>
    <row r="31" s="102" customFormat="true" ht="15" hidden="false" customHeight="false" outlineLevel="0" collapsed="false">
      <c r="A31" s="45" t="n">
        <v>30</v>
      </c>
      <c r="B31" s="45" t="n">
        <f aca="false">$A$31-$A31</f>
        <v>0</v>
      </c>
      <c r="C31" s="86" t="str">
        <f aca="false">TEXT(D31,"ddd")</f>
        <v>Wed</v>
      </c>
      <c r="D31" s="106" t="n">
        <v>44636</v>
      </c>
      <c r="E31" s="119" t="n">
        <v>44637.2787847222</v>
      </c>
      <c r="F31" s="146" t="n">
        <v>67750.043</v>
      </c>
      <c r="G31" s="146" t="n">
        <v>67781.558</v>
      </c>
      <c r="H31" s="146" t="n">
        <v>31.517</v>
      </c>
      <c r="I31" s="87" t="n">
        <f aca="false">SUM($J$2:$J31)</f>
        <v>1125.83601092009</v>
      </c>
      <c r="J31" s="87" t="n">
        <f aca="false">AVERAGE($H$2:$H31)</f>
        <v>37.4446</v>
      </c>
      <c r="K31" s="88" t="n">
        <f aca="false">IF(KWH&gt;0,((RATES*KWH)+ONCOR_DAILY)+(1*TAX),"")</f>
        <v>3.61070322580645</v>
      </c>
      <c r="L31" s="89" t="n">
        <f aca="false">(L30+K31)</f>
        <v>127.824812903226</v>
      </c>
      <c r="M31" s="90" t="n">
        <f aca="false">IF(AVERAGE_KWH&lt;&gt;"",AVERAGE_KWH*DAYS-$A31,"")</f>
        <v>1093.338</v>
      </c>
      <c r="N31" s="90" t="n">
        <f aca="false">IF(PROJ_USAGE&gt;1000,((RATES*PROJ_USAGE)+TDU)*1+TAX-(CREDIT),(RATES*PROJ_USAGE)+TDU)*1+TAX</f>
        <v>119.914490322581</v>
      </c>
      <c r="O31" s="91" t="str">
        <f aca="false">IF((BREAK-CUM_KWH)&gt;0,BREAK-CUM_KWH,"")</f>
        <v/>
      </c>
    </row>
    <row r="32" s="102" customFormat="true" ht="15" hidden="false" customHeight="false" outlineLevel="0" collapsed="false">
      <c r="A32" s="4"/>
      <c r="B32" s="47"/>
      <c r="C32" s="47"/>
      <c r="D32" s="47"/>
      <c r="E32" s="47"/>
      <c r="F32" s="47"/>
      <c r="G32" s="47"/>
      <c r="H32" s="47"/>
      <c r="I32" s="47"/>
      <c r="J32" s="47"/>
      <c r="K32" s="47"/>
      <c r="L32" s="47"/>
      <c r="M32" s="47"/>
      <c r="N32" s="47"/>
      <c r="O32" s="47"/>
    </row>
    <row r="33" s="102" customFormat="true" ht="15" hidden="false" customHeight="false" outlineLevel="0" collapsed="false"/>
    <row r="35" customFormat="false" ht="15" hidden="false" customHeight="false" outlineLevel="0" collapsed="false">
      <c r="A35" s="4"/>
      <c r="B35" s="47"/>
      <c r="C35" s="47"/>
      <c r="D35" s="47"/>
      <c r="E35" s="47"/>
      <c r="F35" s="47"/>
      <c r="G35" s="47"/>
      <c r="H35" s="47"/>
      <c r="I35" s="47"/>
      <c r="J35" s="47"/>
      <c r="K35" s="47"/>
      <c r="L35" s="47"/>
      <c r="M35" s="47"/>
      <c r="N35" s="47"/>
      <c r="O35" s="47"/>
    </row>
    <row r="36" customFormat="false" ht="15" hidden="false" customHeight="false" outlineLevel="0" collapsed="false">
      <c r="B36" s="47"/>
      <c r="C36" s="47"/>
      <c r="D36" s="47"/>
      <c r="E36" s="47"/>
      <c r="F36" s="47"/>
      <c r="G36" s="47"/>
      <c r="H36" s="47"/>
      <c r="I36" s="47"/>
      <c r="J36" s="47"/>
      <c r="K36" s="47"/>
      <c r="L36" s="47"/>
      <c r="M36" s="47"/>
      <c r="N36" s="47"/>
      <c r="O36" s="47"/>
    </row>
    <row r="37" customFormat="false" ht="15" hidden="false" customHeight="false" outlineLevel="0" collapsed="false">
      <c r="D37" s="34"/>
      <c r="E37" s="51"/>
      <c r="F37" s="47"/>
      <c r="G37" s="47"/>
      <c r="L37" s="47"/>
      <c r="N37" s="2"/>
    </row>
    <row r="38" customFormat="false" ht="15" hidden="false" customHeight="false" outlineLevel="0" collapsed="false">
      <c r="D38" s="34"/>
      <c r="E38" s="51"/>
      <c r="F38" s="47"/>
      <c r="G38" s="47"/>
      <c r="I38" s="149"/>
      <c r="L38" s="47"/>
      <c r="N38" s="2"/>
    </row>
    <row r="39" customFormat="false" ht="15" hidden="false" customHeight="false" outlineLevel="0" collapsed="false">
      <c r="D39" s="34"/>
      <c r="E39" s="51"/>
      <c r="F39" s="47"/>
      <c r="G39" s="47"/>
      <c r="K39" s="47"/>
      <c r="L39" s="2"/>
    </row>
    <row r="40" customFormat="false" ht="15" hidden="false" customHeight="false" outlineLevel="0" collapsed="false">
      <c r="D40" s="34"/>
      <c r="E40" s="51"/>
      <c r="F40" s="47"/>
      <c r="G40" s="47"/>
      <c r="I40" s="81"/>
      <c r="K40" s="47"/>
      <c r="L40" s="2"/>
    </row>
    <row r="41" customFormat="false" ht="15" hidden="false" customHeight="false" outlineLevel="0" collapsed="false">
      <c r="D41" s="34"/>
      <c r="E41" s="51"/>
      <c r="F41" s="47"/>
      <c r="G41" s="47"/>
      <c r="L41" s="2"/>
    </row>
    <row r="42" customFormat="false" ht="15" hidden="false" customHeight="false" outlineLevel="0" collapsed="false">
      <c r="D42" s="34"/>
      <c r="E42" s="51"/>
      <c r="F42" s="47"/>
      <c r="G42" s="47"/>
    </row>
    <row r="43" customFormat="false" ht="15" hidden="false" customHeight="false" outlineLevel="0" collapsed="false">
      <c r="D43" s="34"/>
      <c r="E43" s="51"/>
      <c r="F43" s="47"/>
      <c r="G43" s="47"/>
    </row>
    <row r="44" customFormat="false" ht="15" hidden="false" customHeight="false" outlineLevel="0" collapsed="false">
      <c r="D44" s="34"/>
      <c r="E44" s="51"/>
      <c r="F44" s="47"/>
      <c r="G44" s="47"/>
    </row>
    <row r="45" customFormat="false" ht="15" hidden="false" customHeight="false" outlineLevel="0" collapsed="false">
      <c r="D45" s="34"/>
      <c r="E45" s="51"/>
      <c r="F45" s="47"/>
      <c r="G45" s="47"/>
    </row>
    <row r="46" customFormat="false" ht="15" hidden="false" customHeight="false" outlineLevel="0" collapsed="false">
      <c r="D46" s="34"/>
      <c r="E46" s="51"/>
      <c r="F46" s="47"/>
      <c r="G46" s="47"/>
    </row>
    <row r="47" customFormat="false" ht="15" hidden="false" customHeight="false" outlineLevel="0" collapsed="false">
      <c r="D47" s="34"/>
      <c r="E47" s="51"/>
      <c r="F47" s="47"/>
      <c r="G47" s="47"/>
    </row>
    <row r="48" customFormat="false" ht="15" hidden="false" customHeight="false" outlineLevel="0" collapsed="false">
      <c r="D48" s="34"/>
      <c r="E48" s="51"/>
      <c r="F48" s="47"/>
      <c r="G48" s="47"/>
    </row>
    <row r="49" customFormat="false" ht="15" hidden="false" customHeight="false" outlineLevel="0" collapsed="false">
      <c r="D49" s="34"/>
      <c r="E49" s="51"/>
      <c r="F49" s="47"/>
      <c r="G49" s="47"/>
    </row>
    <row r="50" customFormat="false" ht="15" hidden="false" customHeight="false" outlineLevel="0" collapsed="false">
      <c r="D50" s="34"/>
      <c r="E50" s="51"/>
      <c r="F50" s="47"/>
      <c r="G50" s="47"/>
    </row>
    <row r="51" customFormat="false" ht="15" hidden="false" customHeight="false" outlineLevel="0" collapsed="false">
      <c r="D51" s="34"/>
      <c r="E51" s="51"/>
      <c r="F51" s="47"/>
      <c r="G51" s="47"/>
    </row>
    <row r="52" customFormat="false" ht="15" hidden="false" customHeight="false" outlineLevel="0" collapsed="false">
      <c r="D52" s="34"/>
      <c r="E52" s="51"/>
      <c r="F52" s="47"/>
      <c r="G52" s="47"/>
    </row>
    <row r="53" customFormat="false" ht="15" hidden="false" customHeight="false" outlineLevel="0" collapsed="false">
      <c r="D53" s="34"/>
      <c r="E53" s="51"/>
      <c r="F53" s="47"/>
      <c r="G53" s="47"/>
    </row>
    <row r="54" customFormat="false" ht="15" hidden="false" customHeight="false" outlineLevel="0" collapsed="false">
      <c r="D54" s="34"/>
      <c r="E54" s="51"/>
      <c r="F54" s="47"/>
      <c r="G54" s="47"/>
    </row>
    <row r="55" customFormat="false" ht="15" hidden="false" customHeight="false" outlineLevel="0" collapsed="false">
      <c r="D55" s="34"/>
      <c r="E55" s="51"/>
      <c r="F55" s="47"/>
      <c r="G55" s="47"/>
      <c r="H55" s="47"/>
    </row>
    <row r="56" customFormat="false" ht="15" hidden="false" customHeight="false" outlineLevel="0" collapsed="false">
      <c r="D56" s="34"/>
      <c r="E56" s="51"/>
      <c r="F56" s="47"/>
      <c r="G56" s="47"/>
    </row>
    <row r="57" customFormat="false" ht="15" hidden="false" customHeight="false" outlineLevel="0" collapsed="false">
      <c r="D57" s="34"/>
      <c r="E57" s="51"/>
      <c r="F57" s="47"/>
      <c r="G57" s="47"/>
    </row>
    <row r="58" customFormat="false" ht="15" hidden="false" customHeight="false" outlineLevel="0" collapsed="false">
      <c r="D58" s="34"/>
      <c r="E58" s="51"/>
      <c r="F58" s="47"/>
      <c r="G58" s="47"/>
    </row>
    <row r="59" customFormat="false" ht="15" hidden="false" customHeight="false" outlineLevel="0" collapsed="false">
      <c r="D59" s="34"/>
      <c r="E59" s="51"/>
      <c r="F59" s="47"/>
      <c r="G59" s="47"/>
    </row>
    <row r="60" customFormat="false" ht="15" hidden="false" customHeight="false" outlineLevel="0" collapsed="false">
      <c r="D60" s="34"/>
      <c r="E60" s="51"/>
      <c r="F60" s="47"/>
      <c r="G60" s="47"/>
    </row>
    <row r="61" customFormat="false" ht="15" hidden="false" customHeight="false" outlineLevel="0" collapsed="false">
      <c r="D61" s="34"/>
      <c r="E61" s="51"/>
      <c r="F61" s="47"/>
      <c r="G61" s="47"/>
    </row>
    <row r="62" customFormat="false" ht="15" hidden="false" customHeight="false" outlineLevel="0" collapsed="false">
      <c r="D62" s="34"/>
      <c r="E62" s="51"/>
      <c r="F62" s="47"/>
      <c r="G62" s="47"/>
    </row>
    <row r="63" customFormat="false" ht="15" hidden="false" customHeight="false" outlineLevel="0" collapsed="false">
      <c r="D63" s="34"/>
      <c r="E63" s="51"/>
      <c r="F63" s="47"/>
      <c r="G63" s="47"/>
    </row>
    <row r="64" customFormat="false" ht="15" hidden="false" customHeight="false" outlineLevel="0" collapsed="false">
      <c r="D64" s="34"/>
      <c r="E64" s="51"/>
      <c r="F64" s="47"/>
      <c r="G64" s="47"/>
      <c r="H64" s="47"/>
    </row>
    <row r="65" customFormat="false" ht="15" hidden="false" customHeight="false" outlineLevel="0" collapsed="false">
      <c r="D65" s="34"/>
      <c r="E65" s="51"/>
      <c r="F65" s="47"/>
      <c r="G65" s="47"/>
    </row>
  </sheetData>
  <sheetProtection algorithmName="SHA-512" hashValue="+no93VGbW1TBqbghmf/dlKKsukRLodi74jRhHR5tUVPZjiweTa4BGeWlH2qRTD5FGQIZHbA0NLIJQ/K2BPpMKQ==" saltValue="4ubv7IA57JidLcYnVqGdEA==" spinCount="100000" sheet="true" objects="true" scenarios="true"/>
  <conditionalFormatting sqref="Q2:S16">
    <cfRule type="expression" priority="2" aboveAverage="0" equalAverage="0" bottom="0" percent="0" rank="0" text="" dxfId="53">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3"/>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I31" activeCellId="0" sqref="I31"/>
    </sheetView>
  </sheetViews>
  <sheetFormatPr defaultColWidth="8.453125" defaultRowHeight="15" zeroHeight="false" outlineLevelRow="0" outlineLevelCol="0"/>
  <cols>
    <col collapsed="false" customWidth="true" hidden="false" outlineLevel="0" max="5" min="4" style="0" width="9.71"/>
    <col collapsed="false" customWidth="true" hidden="false" outlineLevel="0" max="7" min="6" style="0" width="10.71"/>
    <col collapsed="false" customWidth="true" hidden="false" outlineLevel="0" max="18" min="18" style="0" width="28.71"/>
    <col collapsed="false" customWidth="true" hidden="false" outlineLevel="0" max="19" min="19" style="0" width="8.71"/>
    <col collapsed="false" customWidth="true" hidden="false" outlineLevel="0" max="20" min="20" style="0" width="10.71"/>
  </cols>
  <sheetData>
    <row r="1" customFormat="false" ht="36.5" hidden="false" customHeight="false" outlineLevel="0" collapsed="false">
      <c r="A1" s="5" t="s">
        <v>0</v>
      </c>
      <c r="B1" s="6" t="s">
        <v>2</v>
      </c>
      <c r="C1" s="6" t="s">
        <v>1</v>
      </c>
      <c r="D1" s="114" t="s">
        <v>145</v>
      </c>
      <c r="E1" s="114" t="s">
        <v>146</v>
      </c>
      <c r="F1" s="114" t="s">
        <v>5</v>
      </c>
      <c r="G1" s="114" t="s">
        <v>6</v>
      </c>
      <c r="H1" s="6" t="s">
        <v>7</v>
      </c>
      <c r="I1" s="6" t="s">
        <v>8</v>
      </c>
      <c r="J1" s="145" t="s">
        <v>147</v>
      </c>
      <c r="K1" s="6" t="s">
        <v>148</v>
      </c>
      <c r="L1" s="6" t="s">
        <v>149</v>
      </c>
      <c r="M1" s="6" t="s">
        <v>150</v>
      </c>
      <c r="N1" s="6" t="s">
        <v>12</v>
      </c>
      <c r="O1" s="8" t="s">
        <v>151</v>
      </c>
      <c r="P1" s="9" t="s">
        <v>137</v>
      </c>
      <c r="T1" s="10"/>
    </row>
    <row r="2" customFormat="false" ht="15" hidden="false" customHeight="false" outlineLevel="0" collapsed="false">
      <c r="A2" s="4" t="n">
        <v>1</v>
      </c>
      <c r="B2" s="4" t="n">
        <f aca="false">$A$31-$A2</f>
        <v>29</v>
      </c>
      <c r="C2" s="11" t="str">
        <f aca="false">TEXT(D2,"ddd")</f>
        <v>Fri</v>
      </c>
      <c r="D2" s="34" t="n">
        <v>44575</v>
      </c>
      <c r="E2" s="51" t="n">
        <v>44576.2740046296</v>
      </c>
      <c r="F2" s="47" t="n">
        <v>65351.323</v>
      </c>
      <c r="G2" s="47" t="n">
        <v>65378.105</v>
      </c>
      <c r="H2" s="47" t="n">
        <v>26.782</v>
      </c>
      <c r="I2" s="13" t="n">
        <f aca="false">H2</f>
        <v>26.782</v>
      </c>
      <c r="J2" s="13" t="n">
        <f aca="false">(I2/A2)</f>
        <v>26.782</v>
      </c>
      <c r="K2" s="182"/>
      <c r="L2" s="15" t="str">
        <f aca="false">IF(KWH&gt;0,((RATES*KWH)+TDU_DAILY)+(1*TAX),"")</f>
        <v/>
      </c>
      <c r="M2" s="16" t="str">
        <f aca="false">(L2)</f>
        <v/>
      </c>
      <c r="N2" s="183" t="s">
        <v>124</v>
      </c>
      <c r="O2" s="183" t="s">
        <v>124</v>
      </c>
      <c r="P2" s="18" t="n">
        <f aca="false">IF((BREAK-CUM_KWH)&gt;0,BREAK-CUM_KWH,"")</f>
        <v>973.218</v>
      </c>
      <c r="R2" s="19" t="s">
        <v>18</v>
      </c>
      <c r="S2" s="184" t="s">
        <v>19</v>
      </c>
      <c r="T2" s="185"/>
    </row>
    <row r="3" customFormat="false" ht="15" hidden="false" customHeight="false" outlineLevel="0" collapsed="false">
      <c r="A3" s="4" t="n">
        <v>2</v>
      </c>
      <c r="B3" s="4" t="n">
        <f aca="false">$A$31-$A3</f>
        <v>28</v>
      </c>
      <c r="C3" s="11" t="str">
        <f aca="false">TEXT(D3,"ddd")</f>
        <v>Sat</v>
      </c>
      <c r="D3" s="34" t="n">
        <v>44576</v>
      </c>
      <c r="E3" s="51" t="n">
        <v>44577.3140162037</v>
      </c>
      <c r="F3" s="47" t="n">
        <v>65378.105</v>
      </c>
      <c r="G3" s="47" t="n">
        <v>65418.204</v>
      </c>
      <c r="H3" s="47" t="n">
        <v>40.098</v>
      </c>
      <c r="I3" s="13" t="n">
        <f aca="false">(I2+H3)</f>
        <v>66.88</v>
      </c>
      <c r="J3" s="13" t="n">
        <f aca="false">(I3/A3)</f>
        <v>33.44</v>
      </c>
      <c r="K3" s="182"/>
      <c r="L3" s="15" t="str">
        <f aca="false">IF(KWH&gt;0,((RATES*KWH)+TDU_DAILY)+(1*TAX),"")</f>
        <v/>
      </c>
      <c r="M3" s="16" t="e">
        <f aca="false">(M2+L3)</f>
        <v>#VALUE!</v>
      </c>
      <c r="N3" s="183"/>
      <c r="O3" s="183"/>
      <c r="P3" s="18" t="n">
        <f aca="false">IF((BREAK-CUM_KWH)&gt;0,BREAK-CUM_KWH,"")</f>
        <v>933.12</v>
      </c>
      <c r="R3" s="22" t="s">
        <v>22</v>
      </c>
      <c r="S3" s="171" t="n">
        <f aca="false">(F2+1000)</f>
        <v>66351.323</v>
      </c>
      <c r="T3" s="173"/>
    </row>
    <row r="4" customFormat="false" ht="15" hidden="false" customHeight="false" outlineLevel="0" collapsed="false">
      <c r="A4" s="4" t="n">
        <v>3</v>
      </c>
      <c r="B4" s="4" t="n">
        <f aca="false">$A$31-$A4</f>
        <v>27</v>
      </c>
      <c r="C4" s="11" t="str">
        <f aca="false">TEXT(D4,"ddd")</f>
        <v>Sun</v>
      </c>
      <c r="D4" s="34" t="n">
        <v>44577</v>
      </c>
      <c r="E4" s="51" t="n">
        <v>44578.2760185185</v>
      </c>
      <c r="F4" s="47" t="n">
        <v>65418.204</v>
      </c>
      <c r="G4" s="47" t="n">
        <v>65464.012</v>
      </c>
      <c r="H4" s="47" t="n">
        <v>45.804</v>
      </c>
      <c r="I4" s="13" t="n">
        <f aca="false">(I3+H4)</f>
        <v>112.684</v>
      </c>
      <c r="J4" s="13" t="n">
        <f aca="false">(I4/A4)</f>
        <v>37.5613333333333</v>
      </c>
      <c r="K4" s="13" t="n">
        <f aca="false">IF($H4&gt;0,AVERAGE($H$2:$H4),"")</f>
        <v>37.5613333333333</v>
      </c>
      <c r="L4" s="15" t="str">
        <f aca="false">IF(KWH&gt;0,((RATES*KWH)+TDU_DAILY)+(1*TAX),"")</f>
        <v/>
      </c>
      <c r="M4" s="16" t="e">
        <f aca="false">(M3+L4)</f>
        <v>#VALUE!</v>
      </c>
      <c r="N4" s="17" t="n">
        <f aca="false">IF(MOVING_AVERAGE&lt;&gt;"",MOVING_AVERAGE*$A$33,$N3)</f>
        <v>0</v>
      </c>
      <c r="O4" s="17" t="str">
        <f aca="false">IF(PROJ_USAGE&gt;1000,((RATES*PROJ_USAGE)+ONCOR)*1+TAX-(CREDIT),"")</f>
        <v/>
      </c>
      <c r="P4" s="18" t="n">
        <f aca="false">IF((BREAK-CUM_KWH)&gt;0,BREAK-CUM_KWH,"")</f>
        <v>887.316</v>
      </c>
      <c r="R4" s="22" t="s">
        <v>25</v>
      </c>
      <c r="S4" s="173"/>
      <c r="T4" s="172" t="n">
        <v>0.001667</v>
      </c>
    </row>
    <row r="5" customFormat="false" ht="15" hidden="false" customHeight="false" outlineLevel="0" collapsed="false">
      <c r="A5" s="4" t="n">
        <v>4</v>
      </c>
      <c r="B5" s="4" t="n">
        <f aca="false">$A$31-$A5</f>
        <v>26</v>
      </c>
      <c r="C5" s="11" t="str">
        <f aca="false">TEXT(D5,"ddd")</f>
        <v>Mon</v>
      </c>
      <c r="D5" s="34" t="n">
        <v>44578</v>
      </c>
      <c r="E5" s="51" t="n">
        <v>44579.2788773148</v>
      </c>
      <c r="F5" s="47" t="n">
        <v>65464.012</v>
      </c>
      <c r="G5" s="47" t="n">
        <v>65504.764</v>
      </c>
      <c r="H5" s="47" t="n">
        <v>40.752</v>
      </c>
      <c r="I5" s="13" t="n">
        <f aca="false">(I4+H5)</f>
        <v>153.436</v>
      </c>
      <c r="J5" s="13" t="n">
        <f aca="false">(I5/A5)</f>
        <v>38.359</v>
      </c>
      <c r="K5" s="13" t="n">
        <f aca="false">IF($H5&gt;0,AVERAGE($H$2:$H5),"")</f>
        <v>38.359</v>
      </c>
      <c r="L5" s="15" t="str">
        <f aca="false">IF(KWH&gt;0,((RATES*KWH)+TDU_DAILY)+(1*TAX),"")</f>
        <v/>
      </c>
      <c r="M5" s="16" t="e">
        <f aca="false">(M4+L5)</f>
        <v>#VALUE!</v>
      </c>
      <c r="N5" s="17" t="n">
        <f aca="false">IF(MOVING_AVERAGE&lt;&gt;"",MOVING_AVERAGE*$A$33,$N4)</f>
        <v>0</v>
      </c>
      <c r="O5" s="17" t="str">
        <f aca="false">IF(PROJ_USAGE&gt;1000,((RATES*PROJ_USAGE)+ONCOR)*1+TAX-(CREDIT),"")</f>
        <v/>
      </c>
      <c r="P5" s="18" t="n">
        <f aca="false">IF((BREAK-CUM_KWH)&gt;0,BREAK-CUM_KWH,"")</f>
        <v>846.564</v>
      </c>
      <c r="Q5" s="27"/>
      <c r="R5" s="22" t="s">
        <v>28</v>
      </c>
      <c r="S5" s="173"/>
      <c r="T5" s="172" t="n">
        <v>0.042</v>
      </c>
    </row>
    <row r="6" customFormat="false" ht="15" hidden="false" customHeight="false" outlineLevel="0" collapsed="false">
      <c r="A6" s="4" t="n">
        <v>5</v>
      </c>
      <c r="B6" s="4" t="n">
        <f aca="false">$A$31-$A6</f>
        <v>25</v>
      </c>
      <c r="C6" s="11" t="str">
        <f aca="false">TEXT(D6,"ddd")</f>
        <v>Tue</v>
      </c>
      <c r="D6" s="34" t="n">
        <v>44579</v>
      </c>
      <c r="E6" s="51" t="n">
        <v>44580.2997916667</v>
      </c>
      <c r="F6" s="47" t="n">
        <v>65504.764</v>
      </c>
      <c r="G6" s="47" t="n">
        <v>65535.922</v>
      </c>
      <c r="H6" s="47" t="n">
        <v>31.159</v>
      </c>
      <c r="I6" s="13" t="n">
        <f aca="false">(I5+H6)</f>
        <v>184.595</v>
      </c>
      <c r="J6" s="13" t="n">
        <f aca="false">(I6/A6)</f>
        <v>36.919</v>
      </c>
      <c r="K6" s="13" t="n">
        <f aca="false">IF($H6&gt;0,AVERAGE($H$2:$H6),"")</f>
        <v>36.919</v>
      </c>
      <c r="L6" s="15" t="str">
        <f aca="false">IF(KWH&gt;0,((RATES*KWH)+TDU_DAILY)+(1*TAX),"")</f>
        <v/>
      </c>
      <c r="M6" s="16" t="e">
        <f aca="false">(M5+L6)</f>
        <v>#VALUE!</v>
      </c>
      <c r="N6" s="17" t="n">
        <f aca="false">IF(MOVING_AVERAGE&lt;&gt;"",MOVING_AVERAGE*$A$33,$N5)</f>
        <v>0</v>
      </c>
      <c r="O6" s="17" t="str">
        <f aca="false">IF(PROJ_USAGE&gt;1000,((RATES*PROJ_USAGE)+ONCOR)*1+TAX-(CREDIT),"")</f>
        <v/>
      </c>
      <c r="P6" s="18" t="n">
        <f aca="false">IF((BREAK-CUM_KWH)&gt;0,BREAK-CUM_KWH,"")</f>
        <v>815.405</v>
      </c>
      <c r="R6" s="22" t="s">
        <v>31</v>
      </c>
      <c r="S6" s="173"/>
      <c r="T6" s="186" t="n">
        <v>0.154</v>
      </c>
    </row>
    <row r="7" customFormat="false" ht="15" hidden="false" customHeight="false" outlineLevel="0" collapsed="false">
      <c r="A7" s="4" t="n">
        <v>6</v>
      </c>
      <c r="B7" s="4" t="n">
        <f aca="false">$A$31-$A7</f>
        <v>24</v>
      </c>
      <c r="C7" s="11" t="str">
        <f aca="false">TEXT(D7,"ddd")</f>
        <v>Wed</v>
      </c>
      <c r="D7" s="34" t="n">
        <v>44580</v>
      </c>
      <c r="E7" s="51" t="n">
        <v>44581.2775810185</v>
      </c>
      <c r="F7" s="47" t="n">
        <v>65535.922</v>
      </c>
      <c r="G7" s="47" t="n">
        <v>65555.45</v>
      </c>
      <c r="H7" s="47" t="n">
        <v>19.528</v>
      </c>
      <c r="I7" s="13" t="n">
        <f aca="false">(I6+H7)</f>
        <v>204.123</v>
      </c>
      <c r="J7" s="13" t="n">
        <f aca="false">(I7/A7)</f>
        <v>34.0205</v>
      </c>
      <c r="K7" s="13" t="n">
        <f aca="false">IF($H7&gt;0,AVERAGE($H$2:$H7),"")</f>
        <v>34.0205</v>
      </c>
      <c r="L7" s="15" t="str">
        <f aca="false">IF(KWH&gt;0,((RATES*KWH)+TDU_DAILY)+(1*TAX),"")</f>
        <v/>
      </c>
      <c r="M7" s="16" t="e">
        <f aca="false">(M6+L7)</f>
        <v>#VALUE!</v>
      </c>
      <c r="N7" s="17" t="n">
        <f aca="false">IF(MOVING_AVERAGE&lt;&gt;"",MOVING_AVERAGE*$A$33,$N6)</f>
        <v>0</v>
      </c>
      <c r="O7" s="17" t="str">
        <f aca="false">IF(PROJ_USAGE&gt;1000,((RATES*PROJ_USAGE)+ONCOR)*1+TAX-(CREDIT),"")</f>
        <v/>
      </c>
      <c r="P7" s="18" t="n">
        <f aca="false">IF((BREAK-CUM_KWH)&gt;0,BREAK-CUM_KWH,"")</f>
        <v>795.877</v>
      </c>
      <c r="R7" s="22" t="s">
        <v>34</v>
      </c>
      <c r="S7" s="173"/>
      <c r="T7" s="187" t="n">
        <f aca="false">SUM(T4:T6)</f>
        <v>0.197667</v>
      </c>
    </row>
    <row r="8" customFormat="false" ht="15" hidden="false" customHeight="false" outlineLevel="0" collapsed="false">
      <c r="A8" s="4" t="n">
        <v>7</v>
      </c>
      <c r="B8" s="4" t="n">
        <f aca="false">$A$31-$A8</f>
        <v>23</v>
      </c>
      <c r="C8" s="11" t="str">
        <f aca="false">TEXT(D8,"ddd")</f>
        <v>Thu</v>
      </c>
      <c r="D8" s="34" t="n">
        <v>44581</v>
      </c>
      <c r="E8" s="51" t="n">
        <v>44582.2775115741</v>
      </c>
      <c r="F8" s="47" t="n">
        <v>65555.45</v>
      </c>
      <c r="G8" s="47" t="n">
        <v>65613.072</v>
      </c>
      <c r="H8" s="47" t="n">
        <v>57.622</v>
      </c>
      <c r="I8" s="13" t="n">
        <f aca="false">(I7+H8)</f>
        <v>261.745</v>
      </c>
      <c r="J8" s="13" t="n">
        <f aca="false">(I8/A8)</f>
        <v>37.3921428571429</v>
      </c>
      <c r="K8" s="13" t="n">
        <f aca="false">IF($H8&gt;0,AVERAGE($H$2:$H8),"")</f>
        <v>37.3921428571429</v>
      </c>
      <c r="L8" s="15" t="str">
        <f aca="false">IF(KWH&gt;0,((RATES*KWH)+TDU_DAILY)+(1*TAX),"")</f>
        <v/>
      </c>
      <c r="M8" s="16" t="e">
        <f aca="false">(M7+L8)</f>
        <v>#VALUE!</v>
      </c>
      <c r="N8" s="17" t="n">
        <f aca="false">IF(MOVING_AVERAGE&lt;&gt;"",MOVING_AVERAGE*$A$33,$N7)</f>
        <v>0</v>
      </c>
      <c r="O8" s="17" t="str">
        <f aca="false">IF(PROJ_USAGE&gt;1000,((RATES*PROJ_USAGE)+ONCOR)*1+TAX-(CREDIT),"")</f>
        <v/>
      </c>
      <c r="P8" s="18" t="n">
        <f aca="false">IF((BREAK-CUM_KWH)&gt;0,BREAK-CUM_KWH,"")</f>
        <v>738.255</v>
      </c>
      <c r="R8" s="22" t="s">
        <v>38</v>
      </c>
      <c r="S8" s="171" t="n">
        <v>3.4</v>
      </c>
      <c r="T8" s="172" t="n">
        <f aca="false">($S$8/DAYS)</f>
        <v>0.109677419354839</v>
      </c>
    </row>
    <row r="9" customFormat="false" ht="15" hidden="false" customHeight="false" outlineLevel="0" collapsed="false">
      <c r="A9" s="4" t="n">
        <v>8</v>
      </c>
      <c r="B9" s="4" t="n">
        <f aca="false">$A$31-$A9</f>
        <v>22</v>
      </c>
      <c r="C9" s="11" t="str">
        <f aca="false">TEXT(D9,"ddd")</f>
        <v>Fri</v>
      </c>
      <c r="D9" s="34" t="n">
        <v>44582</v>
      </c>
      <c r="E9" s="51" t="n">
        <v>44583.2738425926</v>
      </c>
      <c r="F9" s="47" t="n">
        <v>65613.072</v>
      </c>
      <c r="G9" s="47" t="n">
        <v>65680.286</v>
      </c>
      <c r="H9" s="47" t="n">
        <v>67.22</v>
      </c>
      <c r="I9" s="13" t="n">
        <f aca="false">(I8+H9)</f>
        <v>328.965</v>
      </c>
      <c r="J9" s="13" t="n">
        <f aca="false">(I9/A9)</f>
        <v>41.120625</v>
      </c>
      <c r="K9" s="13" t="n">
        <f aca="false">IF($H9&gt;0,AVERAGE($H$2:$H9),"")</f>
        <v>41.120625</v>
      </c>
      <c r="L9" s="15" t="str">
        <f aca="false">IF(KWH&gt;0,((RATES*KWH)+TDU_DAILY)+(1*TAX),"")</f>
        <v/>
      </c>
      <c r="M9" s="16" t="e">
        <f aca="false">(M8+L9)</f>
        <v>#VALUE!</v>
      </c>
      <c r="N9" s="17" t="n">
        <f aca="false">IF(MOVING_AVERAGE&lt;&gt;"",MOVING_AVERAGE*$A$33,$N8)</f>
        <v>0</v>
      </c>
      <c r="O9" s="17" t="str">
        <f aca="false">IF(PROJ_USAGE&gt;1000,((RATES*PROJ_USAGE)+ONCOR)*1+TAX-(CREDIT),"")</f>
        <v/>
      </c>
      <c r="P9" s="18" t="n">
        <f aca="false">IF((BREAK-CUM_KWH)&gt;0,BREAK-CUM_KWH,"")</f>
        <v>671.035</v>
      </c>
      <c r="R9" s="22" t="s">
        <v>42</v>
      </c>
      <c r="S9" s="173"/>
      <c r="T9" s="174" t="n">
        <v>0.01997</v>
      </c>
    </row>
    <row r="10" customFormat="false" ht="15" hidden="false" customHeight="false" outlineLevel="0" collapsed="false">
      <c r="A10" s="4" t="n">
        <v>9</v>
      </c>
      <c r="B10" s="4" t="n">
        <f aca="false">$A$31-$A10</f>
        <v>21</v>
      </c>
      <c r="C10" s="11" t="str">
        <f aca="false">TEXT(D10,"ddd")</f>
        <v>Sat</v>
      </c>
      <c r="D10" s="34" t="n">
        <v>44583</v>
      </c>
      <c r="E10" s="51" t="n">
        <v>44584.3125115741</v>
      </c>
      <c r="F10" s="47" t="n">
        <v>65680.286</v>
      </c>
      <c r="G10" s="47" t="n">
        <v>65734.984</v>
      </c>
      <c r="H10" s="47" t="n">
        <v>54.696</v>
      </c>
      <c r="I10" s="13" t="n">
        <f aca="false">(I9+H10)</f>
        <v>383.661</v>
      </c>
      <c r="J10" s="13" t="n">
        <f aca="false">(I10/A10)</f>
        <v>42.629</v>
      </c>
      <c r="K10" s="13" t="n">
        <f aca="false">IF($H10&gt;0,AVERAGE($H$2:$H10),"")</f>
        <v>42.629</v>
      </c>
      <c r="L10" s="15" t="str">
        <f aca="false">IF(KWH&gt;0,((RATES*KWH)+TDU_DAILY)+(1*TAX),"")</f>
        <v/>
      </c>
      <c r="M10" s="16" t="e">
        <f aca="false">(M9+L10)</f>
        <v>#VALUE!</v>
      </c>
      <c r="N10" s="17" t="n">
        <f aca="false">IF(MOVING_AVERAGE&lt;&gt;"",MOVING_AVERAGE*$A$33,$N9)</f>
        <v>0</v>
      </c>
      <c r="O10" s="17" t="str">
        <f aca="false">IF(PROJ_USAGE&gt;1000,((RATES*PROJ_USAGE)+ONCOR)*1+TAX-(CREDIT),"")</f>
        <v/>
      </c>
      <c r="P10" s="18" t="n">
        <f aca="false">IF((BREAK-CUM_KWH)&gt;0,BREAK-CUM_KWH,"")</f>
        <v>616.339</v>
      </c>
      <c r="R10" s="22" t="s">
        <v>46</v>
      </c>
      <c r="S10" s="175" t="n">
        <v>100</v>
      </c>
      <c r="T10" s="174" t="n">
        <v>1000</v>
      </c>
    </row>
    <row r="11" customFormat="false" ht="15" hidden="false" customHeight="false" outlineLevel="0" collapsed="false">
      <c r="A11" s="4" t="n">
        <v>10</v>
      </c>
      <c r="B11" s="4" t="n">
        <f aca="false">$A$31-$A11</f>
        <v>20</v>
      </c>
      <c r="C11" s="11" t="str">
        <f aca="false">TEXT(D11,"ddd")</f>
        <v>Sun</v>
      </c>
      <c r="D11" s="34" t="n">
        <v>44584</v>
      </c>
      <c r="E11" s="51" t="n">
        <v>44585.2764814815</v>
      </c>
      <c r="F11" s="47" t="n">
        <v>65734.984</v>
      </c>
      <c r="G11" s="47" t="n">
        <v>65774.873</v>
      </c>
      <c r="H11" s="47" t="n">
        <v>39.892</v>
      </c>
      <c r="I11" s="13" t="n">
        <f aca="false">(I10+H11)</f>
        <v>423.553</v>
      </c>
      <c r="J11" s="13" t="n">
        <f aca="false">(I11/A11)</f>
        <v>42.3553</v>
      </c>
      <c r="K11" s="13" t="n">
        <f aca="false">IF($H11&gt;0,AVERAGE($H$2:$H11),"")</f>
        <v>42.3553</v>
      </c>
      <c r="L11" s="15" t="str">
        <f aca="false">IF(KWH&gt;0,((RATES*KWH)+TDU_DAILY)+(1*TAX),"")</f>
        <v/>
      </c>
      <c r="M11" s="16" t="e">
        <f aca="false">(M10+L11)</f>
        <v>#VALUE!</v>
      </c>
      <c r="N11" s="17" t="n">
        <f aca="false">IF(MOVING_AVERAGE&lt;&gt;"",MOVING_AVERAGE*$A$33,$N10)</f>
        <v>0</v>
      </c>
      <c r="O11" s="17" t="str">
        <f aca="false">IF(PROJ_USAGE&gt;1000,((RATES*PROJ_USAGE)+ONCOR)*1+TAX-(CREDIT),"")</f>
        <v/>
      </c>
      <c r="P11" s="18" t="n">
        <f aca="false">IF((BREAK-CUM_KWH)&gt;0,BREAK-CUM_KWH,"")</f>
        <v>576.447</v>
      </c>
      <c r="R11" s="22" t="s">
        <v>49</v>
      </c>
      <c r="S11" s="175" t="n">
        <v>295</v>
      </c>
      <c r="T11" s="176"/>
    </row>
    <row r="12" customFormat="false" ht="15" hidden="false" customHeight="false" outlineLevel="0" collapsed="false">
      <c r="A12" s="4" t="n">
        <v>11</v>
      </c>
      <c r="B12" s="4" t="n">
        <f aca="false">$A$31-$A12</f>
        <v>19</v>
      </c>
      <c r="C12" s="11" t="str">
        <f aca="false">TEXT(D12,"ddd")</f>
        <v>Mon</v>
      </c>
      <c r="D12" s="34" t="n">
        <v>44585</v>
      </c>
      <c r="E12" s="51" t="n">
        <v>44586.2776736111</v>
      </c>
      <c r="F12" s="47" t="n">
        <v>65774.873</v>
      </c>
      <c r="G12" s="47" t="n">
        <v>65804.91</v>
      </c>
      <c r="H12" s="47" t="n">
        <v>30.031</v>
      </c>
      <c r="I12" s="13" t="n">
        <f aca="false">(I11+H12)</f>
        <v>453.584</v>
      </c>
      <c r="J12" s="13" t="n">
        <f aca="false">(I12/A12)</f>
        <v>41.2349090909091</v>
      </c>
      <c r="K12" s="13" t="n">
        <f aca="false">IF($H12&gt;0,AVERAGE($H$2:$H12),"")</f>
        <v>41.2349090909091</v>
      </c>
      <c r="L12" s="15" t="str">
        <f aca="false">IF(KWH&gt;0,((RATES*KWH)+TDU_DAILY)+(1*TAX),"")</f>
        <v/>
      </c>
      <c r="M12" s="16" t="e">
        <f aca="false">(M11+L12)</f>
        <v>#VALUE!</v>
      </c>
      <c r="N12" s="17" t="n">
        <f aca="false">IF(MOVING_AVERAGE&lt;&gt;"",MOVING_AVERAGE*$A$33,$N11)</f>
        <v>0</v>
      </c>
      <c r="O12" s="17" t="str">
        <f aca="false">IF(PROJ_USAGE&gt;1000,((RATES*PROJ_USAGE)+ONCOR)*1+TAX-(CREDIT),"")</f>
        <v/>
      </c>
      <c r="P12" s="18" t="n">
        <f aca="false">IF((BREAK-CUM_KWH)&gt;0,BREAK-CUM_KWH,"")</f>
        <v>546.416</v>
      </c>
      <c r="R12" s="22" t="s">
        <v>52</v>
      </c>
      <c r="S12" s="177" t="e">
        <f aca="false">INDEX(M2:M32,COUNT(M2:M32))</f>
        <v>#VALUE!</v>
      </c>
      <c r="T12" s="176"/>
    </row>
    <row r="13" customFormat="false" ht="15" hidden="false" customHeight="false" outlineLevel="0" collapsed="false">
      <c r="A13" s="4" t="n">
        <v>12</v>
      </c>
      <c r="B13" s="4" t="n">
        <f aca="false">$A$31-$A13</f>
        <v>18</v>
      </c>
      <c r="C13" s="11" t="str">
        <f aca="false">TEXT(D13,"ddd")</f>
        <v>Tue</v>
      </c>
      <c r="D13" s="34" t="n">
        <v>44586</v>
      </c>
      <c r="E13" s="51" t="n">
        <v>44587.2789467593</v>
      </c>
      <c r="F13" s="47" t="n">
        <v>65804.91</v>
      </c>
      <c r="G13" s="47" t="n">
        <v>65836.468</v>
      </c>
      <c r="H13" s="47" t="n">
        <v>31.556</v>
      </c>
      <c r="I13" s="13" t="n">
        <f aca="false">(I12+H13)</f>
        <v>485.14</v>
      </c>
      <c r="J13" s="13" t="n">
        <f aca="false">(I13/A13)</f>
        <v>40.4283333333333</v>
      </c>
      <c r="K13" s="13" t="n">
        <f aca="false">IF($H13&gt;0,AVERAGE($H$2:$H13),"")</f>
        <v>40.4283333333333</v>
      </c>
      <c r="L13" s="15" t="str">
        <f aca="false">IF(KWH&gt;0,((RATES*KWH)+TDU_DAILY)+(1*TAX),"")</f>
        <v/>
      </c>
      <c r="M13" s="16" t="e">
        <f aca="false">(M12+L13)</f>
        <v>#VALUE!</v>
      </c>
      <c r="N13" s="17" t="n">
        <f aca="false">IF(MOVING_AVERAGE&lt;&gt;"",MOVING_AVERAGE*$A$33,$N12)</f>
        <v>0</v>
      </c>
      <c r="O13" s="17" t="str">
        <f aca="false">IF(PROJ_USAGE&gt;1000,((RATES*PROJ_USAGE)+ONCOR)*1+TAX-(CREDIT),"")</f>
        <v/>
      </c>
      <c r="P13" s="18" t="n">
        <f aca="false">IF((BREAK-CUM_KWH)&gt;0,BREAK-CUM_KWH,"")</f>
        <v>514.86</v>
      </c>
      <c r="R13" s="22" t="s">
        <v>55</v>
      </c>
      <c r="S13" s="178" t="n">
        <f aca="false">INDEX(I2:I32,COUNT(I2:I32))</f>
        <v>1223.589</v>
      </c>
      <c r="T13" s="176"/>
    </row>
    <row r="14" customFormat="false" ht="15" hidden="false" customHeight="false" outlineLevel="0" collapsed="false">
      <c r="A14" s="4" t="n">
        <v>13</v>
      </c>
      <c r="B14" s="4" t="n">
        <f aca="false">$A$31-$A14</f>
        <v>17</v>
      </c>
      <c r="C14" s="11" t="str">
        <f aca="false">TEXT(D14,"ddd")</f>
        <v>Wed</v>
      </c>
      <c r="D14" s="34" t="n">
        <v>44587</v>
      </c>
      <c r="E14" s="51" t="n">
        <v>44588.2763657407</v>
      </c>
      <c r="F14" s="47" t="n">
        <v>65836.468</v>
      </c>
      <c r="G14" s="47" t="n">
        <v>65872.608</v>
      </c>
      <c r="H14" s="47" t="n">
        <v>36.14</v>
      </c>
      <c r="I14" s="13" t="n">
        <f aca="false">(I13+H14)</f>
        <v>521.28</v>
      </c>
      <c r="J14" s="13" t="n">
        <f aca="false">(I14/A14)</f>
        <v>40.0984615384615</v>
      </c>
      <c r="K14" s="13" t="n">
        <f aca="false">IF($H14&gt;0,AVERAGE($H$2:$H14),"")</f>
        <v>40.0984615384615</v>
      </c>
      <c r="L14" s="15" t="str">
        <f aca="false">IF(KWH&gt;0,((RATES*KWH)+TDU_DAILY)+(1*TAX),"")</f>
        <v/>
      </c>
      <c r="M14" s="16" t="e">
        <f aca="false">(M13+L14)</f>
        <v>#VALUE!</v>
      </c>
      <c r="N14" s="17" t="n">
        <f aca="false">IF(MOVING_AVERAGE&lt;&gt;"",MOVING_AVERAGE*$A$33,$N13)</f>
        <v>0</v>
      </c>
      <c r="O14" s="17" t="str">
        <f aca="false">IF(PROJ_USAGE&gt;1000,((RATES*PROJ_USAGE)+ONCOR)*1+TAX-(CREDIT),"")</f>
        <v/>
      </c>
      <c r="P14" s="18" t="n">
        <f aca="false">IF((BREAK-CUM_KWH)&gt;0,BREAK-CUM_KWH,"")</f>
        <v>478.72</v>
      </c>
      <c r="R14" s="40" t="s">
        <v>58</v>
      </c>
      <c r="S14" s="179" t="n">
        <f aca="false">INDEX(J2:J32,COUNT(J2:J32))</f>
        <v>40.7863</v>
      </c>
      <c r="T14" s="180"/>
    </row>
    <row r="15" customFormat="false" ht="15" hidden="false" customHeight="false" outlineLevel="0" collapsed="false">
      <c r="A15" s="4" t="n">
        <v>14</v>
      </c>
      <c r="B15" s="4" t="n">
        <f aca="false">$A$31-$A15</f>
        <v>16</v>
      </c>
      <c r="C15" s="11" t="str">
        <f aca="false">TEXT(D15,"ddd")</f>
        <v>Thu</v>
      </c>
      <c r="D15" s="34" t="n">
        <v>44588</v>
      </c>
      <c r="E15" s="51" t="n">
        <v>44589.2772337963</v>
      </c>
      <c r="F15" s="47" t="n">
        <v>65872.608</v>
      </c>
      <c r="G15" s="47" t="n">
        <v>65903.576</v>
      </c>
      <c r="H15" s="47" t="n">
        <v>30.966</v>
      </c>
      <c r="I15" s="13" t="n">
        <f aca="false">(I14+H15)</f>
        <v>552.246</v>
      </c>
      <c r="J15" s="13" t="n">
        <f aca="false">(I15/A15)</f>
        <v>39.4461428571429</v>
      </c>
      <c r="K15" s="13" t="n">
        <f aca="false">IF($H15&gt;0,AVERAGE($H$2:$H15),"")</f>
        <v>39.4461428571429</v>
      </c>
      <c r="L15" s="15" t="str">
        <f aca="false">IF(KWH&gt;0,((RATES*KWH)+TDU_DAILY)+(1*TAX),"")</f>
        <v/>
      </c>
      <c r="M15" s="16" t="e">
        <f aca="false">(M14+L15)</f>
        <v>#VALUE!</v>
      </c>
      <c r="N15" s="17" t="n">
        <f aca="false">IF(MOVING_AVERAGE&lt;&gt;"",MOVING_AVERAGE*$A$33,$N14)</f>
        <v>0</v>
      </c>
      <c r="O15" s="17" t="str">
        <f aca="false">IF(PROJ_USAGE&gt;1000,((RATES*PROJ_USAGE)+ONCOR)*1+TAX-(CREDIT),"")</f>
        <v/>
      </c>
      <c r="P15" s="18" t="n">
        <f aca="false">IF((BREAK-CUM_KWH)&gt;0,BREAK-CUM_KWH,"")</f>
        <v>447.754</v>
      </c>
    </row>
    <row r="16" customFormat="false" ht="15" hidden="false" customHeight="false" outlineLevel="0" collapsed="false">
      <c r="A16" s="4" t="n">
        <v>15</v>
      </c>
      <c r="B16" s="4" t="n">
        <f aca="false">$A$31-$A16</f>
        <v>15</v>
      </c>
      <c r="C16" s="11" t="str">
        <f aca="false">TEXT(D16,"ddd")</f>
        <v>Fri</v>
      </c>
      <c r="D16" s="34" t="n">
        <v>44589</v>
      </c>
      <c r="E16" s="51" t="n">
        <v>44590.2737152778</v>
      </c>
      <c r="F16" s="47" t="n">
        <v>65903.576</v>
      </c>
      <c r="G16" s="47" t="n">
        <v>65939.144</v>
      </c>
      <c r="H16" s="47" t="n">
        <v>35.569</v>
      </c>
      <c r="I16" s="13" t="n">
        <f aca="false">(I15+H16)</f>
        <v>587.815</v>
      </c>
      <c r="J16" s="13" t="n">
        <f aca="false">(I16/A16)</f>
        <v>39.1876666666667</v>
      </c>
      <c r="K16" s="13" t="n">
        <f aca="false">IF($H16&gt;0,AVERAGE($H$2:$H16),"")</f>
        <v>39.1876666666667</v>
      </c>
      <c r="L16" s="15" t="str">
        <f aca="false">IF(KWH&gt;0,((RATES*KWH)+TDU_DAILY)+(1*TAX),"")</f>
        <v/>
      </c>
      <c r="M16" s="16" t="e">
        <f aca="false">(M15+L16)</f>
        <v>#VALUE!</v>
      </c>
      <c r="N16" s="17" t="n">
        <f aca="false">IF(MOVING_AVERAGE&lt;&gt;"",MOVING_AVERAGE*$A$33,$N15)</f>
        <v>0</v>
      </c>
      <c r="O16" s="17" t="str">
        <f aca="false">IF(PROJ_USAGE&gt;1000,((RATES*PROJ_USAGE)+ONCOR)*1+TAX-(CREDIT),"")</f>
        <v/>
      </c>
      <c r="P16" s="18" t="n">
        <f aca="false">IF((BREAK-CUM_KWH)&gt;0,BREAK-CUM_KWH,"")</f>
        <v>412.185</v>
      </c>
    </row>
    <row r="17" customFormat="false" ht="15" hidden="false" customHeight="false" outlineLevel="0" collapsed="false">
      <c r="A17" s="4" t="n">
        <v>16</v>
      </c>
      <c r="B17" s="4" t="n">
        <f aca="false">$A$31-$A17</f>
        <v>14</v>
      </c>
      <c r="C17" s="11" t="str">
        <f aca="false">TEXT(D17,"ddd")</f>
        <v>Sat</v>
      </c>
      <c r="D17" s="34" t="n">
        <v>44590</v>
      </c>
      <c r="E17" s="51" t="n">
        <v>44591.3099074074</v>
      </c>
      <c r="F17" s="47" t="n">
        <v>65939.144</v>
      </c>
      <c r="G17" s="47" t="n">
        <v>65980.344</v>
      </c>
      <c r="H17" s="47" t="n">
        <v>41.204</v>
      </c>
      <c r="I17" s="13" t="n">
        <f aca="false">(I16+H17)</f>
        <v>629.019</v>
      </c>
      <c r="J17" s="13" t="n">
        <f aca="false">(I17/A17)</f>
        <v>39.3136875</v>
      </c>
      <c r="K17" s="13" t="n">
        <f aca="false">IF($H17&gt;0,AVERAGE($H$2:$H17),"")</f>
        <v>39.3136875</v>
      </c>
      <c r="L17" s="15" t="str">
        <f aca="false">IF(KWH&gt;0,((RATES*KWH)+TDU_DAILY)+(1*TAX),"")</f>
        <v/>
      </c>
      <c r="M17" s="16" t="e">
        <f aca="false">(M16+L17)</f>
        <v>#VALUE!</v>
      </c>
      <c r="N17" s="17" t="n">
        <f aca="false">IF(MOVING_AVERAGE&lt;&gt;"",MOVING_AVERAGE*$A$33,$N16)</f>
        <v>0</v>
      </c>
      <c r="O17" s="17" t="str">
        <f aca="false">IF(PROJ_USAGE&gt;1000,((RATES*PROJ_USAGE)+ONCOR)*1+TAX-(CREDIT),"")</f>
        <v/>
      </c>
      <c r="P17" s="18" t="n">
        <f aca="false">IF((BREAK-CUM_KWH)&gt;0,BREAK-CUM_KWH,"")</f>
        <v>370.981</v>
      </c>
    </row>
    <row r="18" customFormat="false" ht="15" hidden="false" customHeight="false" outlineLevel="0" collapsed="false">
      <c r="A18" s="4" t="n">
        <v>17</v>
      </c>
      <c r="B18" s="4" t="n">
        <f aca="false">$A$31-$A18</f>
        <v>13</v>
      </c>
      <c r="C18" s="11" t="str">
        <f aca="false">TEXT(D18,"ddd")</f>
        <v>Sun</v>
      </c>
      <c r="D18" s="34" t="n">
        <v>44591</v>
      </c>
      <c r="E18" s="51" t="n">
        <v>44592.2782291667</v>
      </c>
      <c r="F18" s="47" t="n">
        <v>65980.344</v>
      </c>
      <c r="G18" s="47" t="n">
        <v>66020.838</v>
      </c>
      <c r="H18" s="47" t="n">
        <v>40.492</v>
      </c>
      <c r="I18" s="13" t="n">
        <f aca="false">(I17+H18)</f>
        <v>669.511</v>
      </c>
      <c r="J18" s="13" t="n">
        <f aca="false">(I18/A18)</f>
        <v>39.383</v>
      </c>
      <c r="K18" s="13" t="n">
        <f aca="false">IF($H18&gt;0,AVERAGE($H$2:$H18),"")</f>
        <v>39.383</v>
      </c>
      <c r="L18" s="15" t="str">
        <f aca="false">IF(KWH&gt;0,((RATES*KWH)+TDU_DAILY)+(1*TAX),"")</f>
        <v/>
      </c>
      <c r="M18" s="16" t="e">
        <f aca="false">(M17+L18)</f>
        <v>#VALUE!</v>
      </c>
      <c r="N18" s="17" t="n">
        <f aca="false">IF(MOVING_AVERAGE&lt;&gt;"",MOVING_AVERAGE*$A$33,$N17)</f>
        <v>0</v>
      </c>
      <c r="O18" s="17" t="str">
        <f aca="false">IF(PROJ_USAGE&gt;1000,((RATES*PROJ_USAGE)+ONCOR)*1+TAX-(CREDIT),"")</f>
        <v/>
      </c>
      <c r="P18" s="18" t="n">
        <f aca="false">IF((BREAK-CUM_KWH)&gt;0,BREAK-CUM_KWH,"")</f>
        <v>330.489</v>
      </c>
    </row>
    <row r="19" customFormat="false" ht="15" hidden="false" customHeight="false" outlineLevel="0" collapsed="false">
      <c r="A19" s="4" t="n">
        <v>18</v>
      </c>
      <c r="B19" s="4" t="n">
        <f aca="false">$A$31-$A19</f>
        <v>12</v>
      </c>
      <c r="C19" s="11" t="str">
        <f aca="false">TEXT(D19,"ddd")</f>
        <v>Mon</v>
      </c>
      <c r="D19" s="34" t="n">
        <v>44592</v>
      </c>
      <c r="E19" s="51" t="n">
        <v>44593.2778009259</v>
      </c>
      <c r="F19" s="47" t="n">
        <v>66020.838</v>
      </c>
      <c r="G19" s="47" t="n">
        <v>66053.273</v>
      </c>
      <c r="H19" s="47" t="n">
        <v>32.436</v>
      </c>
      <c r="I19" s="13" t="n">
        <f aca="false">(I18+H19)</f>
        <v>701.947</v>
      </c>
      <c r="J19" s="13" t="n">
        <f aca="false">(I19/A19)</f>
        <v>38.9970555555556</v>
      </c>
      <c r="K19" s="13" t="n">
        <f aca="false">IF($H19&gt;0,AVERAGE($H$2:$H19),"")</f>
        <v>38.9970555555556</v>
      </c>
      <c r="L19" s="15" t="str">
        <f aca="false">IF(KWH&gt;0,((RATES*KWH)+TDU_DAILY)+(1*TAX),"")</f>
        <v/>
      </c>
      <c r="M19" s="16" t="e">
        <f aca="false">(M18+L19)</f>
        <v>#VALUE!</v>
      </c>
      <c r="N19" s="17" t="n">
        <f aca="false">IF(MOVING_AVERAGE&lt;&gt;"",MOVING_AVERAGE*$A$33,$N18)</f>
        <v>0</v>
      </c>
      <c r="O19" s="17" t="str">
        <f aca="false">IF(PROJ_USAGE&gt;1000,((RATES*PROJ_USAGE)+ONCOR)*1+TAX-(CREDIT),"")</f>
        <v/>
      </c>
      <c r="P19" s="18" t="n">
        <f aca="false">IF((BREAK-CUM_KWH)&gt;0,BREAK-CUM_KWH,"")</f>
        <v>298.053</v>
      </c>
    </row>
    <row r="20" customFormat="false" ht="15" hidden="false" customHeight="false" outlineLevel="0" collapsed="false">
      <c r="A20" s="4" t="n">
        <v>19</v>
      </c>
      <c r="B20" s="4" t="n">
        <f aca="false">$A$31-$A20</f>
        <v>11</v>
      </c>
      <c r="C20" s="11" t="str">
        <f aca="false">TEXT(D20,"ddd")</f>
        <v>Tue</v>
      </c>
      <c r="D20" s="34" t="n">
        <v>44593</v>
      </c>
      <c r="E20" s="51" t="n">
        <v>44594.2772800926</v>
      </c>
      <c r="F20" s="47" t="n">
        <v>66053.273</v>
      </c>
      <c r="G20" s="47" t="n">
        <v>66085.391</v>
      </c>
      <c r="H20" s="47" t="n">
        <v>32.117</v>
      </c>
      <c r="I20" s="13" t="n">
        <f aca="false">(I19+H20)</f>
        <v>734.064</v>
      </c>
      <c r="J20" s="13" t="n">
        <f aca="false">(I20/A20)</f>
        <v>38.6349473684211</v>
      </c>
      <c r="K20" s="13" t="n">
        <f aca="false">IF($H20&gt;0,AVERAGE($H$2:$H20),"")</f>
        <v>38.6349473684211</v>
      </c>
      <c r="L20" s="15" t="str">
        <f aca="false">IF(KWH&gt;0,((RATES*KWH)+TDU_DAILY)+(1*TAX),"")</f>
        <v/>
      </c>
      <c r="M20" s="16" t="e">
        <f aca="false">(M19+L20)</f>
        <v>#VALUE!</v>
      </c>
      <c r="N20" s="17" t="n">
        <f aca="false">IF(MOVING_AVERAGE&lt;&gt;"",MOVING_AVERAGE*$A$33,$N19)</f>
        <v>0</v>
      </c>
      <c r="O20" s="17" t="str">
        <f aca="false">IF(PROJ_USAGE&gt;1000,((RATES*PROJ_USAGE)+ONCOR)*1+TAX-(CREDIT),"")</f>
        <v/>
      </c>
      <c r="P20" s="18" t="n">
        <f aca="false">IF((BREAK-CUM_KWH)&gt;0,BREAK-CUM_KWH,"")</f>
        <v>265.936</v>
      </c>
    </row>
    <row r="21" customFormat="false" ht="15" hidden="false" customHeight="false" outlineLevel="0" collapsed="false">
      <c r="A21" s="4" t="n">
        <v>20</v>
      </c>
      <c r="B21" s="4" t="n">
        <f aca="false">$A$31-$A21</f>
        <v>10</v>
      </c>
      <c r="C21" s="11" t="str">
        <f aca="false">TEXT(D21,"ddd")</f>
        <v>Wed</v>
      </c>
      <c r="D21" s="34" t="n">
        <v>44594</v>
      </c>
      <c r="E21" s="51" t="n">
        <v>44595.2974768519</v>
      </c>
      <c r="F21" s="47" t="n">
        <v>66085.391</v>
      </c>
      <c r="G21" s="47" t="n">
        <v>66111.07</v>
      </c>
      <c r="H21" s="47" t="n">
        <v>25.678</v>
      </c>
      <c r="I21" s="13" t="n">
        <f aca="false">(I20+H21)</f>
        <v>759.742</v>
      </c>
      <c r="J21" s="13" t="n">
        <f aca="false">(I21/A21)</f>
        <v>37.9871</v>
      </c>
      <c r="K21" s="13" t="n">
        <f aca="false">IF($H21&gt;0,AVERAGE($H$2:$H21),"")</f>
        <v>37.9871</v>
      </c>
      <c r="L21" s="15" t="str">
        <f aca="false">IF(KWH&gt;0,((RATES*KWH)+TDU_DAILY)+(1*TAX),"")</f>
        <v/>
      </c>
      <c r="M21" s="16" t="e">
        <f aca="false">(M20+L21)</f>
        <v>#VALUE!</v>
      </c>
      <c r="N21" s="17" t="n">
        <f aca="false">IF(MOVING_AVERAGE&lt;&gt;"",MOVING_AVERAGE*$A$33,$N20)</f>
        <v>0</v>
      </c>
      <c r="O21" s="17" t="str">
        <f aca="false">IF(PROJ_USAGE&gt;1000,((RATES*PROJ_USAGE)+ONCOR)*1+TAX-(CREDIT),"")</f>
        <v/>
      </c>
      <c r="P21" s="18" t="n">
        <f aca="false">IF((BREAK-CUM_KWH)&gt;0,BREAK-CUM_KWH,"")</f>
        <v>240.258</v>
      </c>
    </row>
    <row r="22" customFormat="false" ht="15" hidden="false" customHeight="false" outlineLevel="0" collapsed="false">
      <c r="A22" s="4" t="n">
        <v>21</v>
      </c>
      <c r="B22" s="4" t="n">
        <f aca="false">$A$31-$A22</f>
        <v>9</v>
      </c>
      <c r="C22" s="11" t="str">
        <f aca="false">TEXT(D22,"ddd")</f>
        <v>Thu</v>
      </c>
      <c r="D22" s="34" t="n">
        <v>44595</v>
      </c>
      <c r="E22" s="51" t="n">
        <v>44596.280462963</v>
      </c>
      <c r="F22" s="47" t="n">
        <v>66111.07</v>
      </c>
      <c r="G22" s="47" t="n">
        <v>66175.11</v>
      </c>
      <c r="H22" s="47" t="n">
        <v>64.043</v>
      </c>
      <c r="I22" s="13" t="n">
        <f aca="false">(I21+H22)</f>
        <v>823.785</v>
      </c>
      <c r="J22" s="13" t="n">
        <f aca="false">(I22/A22)</f>
        <v>39.2278571428571</v>
      </c>
      <c r="K22" s="13" t="n">
        <f aca="false">IF($H22&gt;0,AVERAGE($H$2:$H22),"")</f>
        <v>39.2278571428571</v>
      </c>
      <c r="L22" s="15" t="str">
        <f aca="false">IF(KWH&gt;0,((RATES*KWH)+TDU_DAILY)+(1*TAX),"")</f>
        <v/>
      </c>
      <c r="M22" s="16" t="e">
        <f aca="false">(M21+L22)</f>
        <v>#VALUE!</v>
      </c>
      <c r="N22" s="17" t="n">
        <f aca="false">IF(MOVING_AVERAGE&lt;&gt;"",MOVING_AVERAGE*$A$33,$N21)</f>
        <v>0</v>
      </c>
      <c r="O22" s="17" t="str">
        <f aca="false">IF(PROJ_USAGE&gt;1000,((RATES*PROJ_USAGE)+ONCOR)*1+TAX-(CREDIT),"")</f>
        <v/>
      </c>
      <c r="P22" s="18" t="n">
        <f aca="false">IF((BREAK-CUM_KWH)&gt;0,BREAK-CUM_KWH,"")</f>
        <v>176.215</v>
      </c>
    </row>
    <row r="23" customFormat="false" ht="15" hidden="false" customHeight="false" outlineLevel="0" collapsed="false">
      <c r="A23" s="4" t="n">
        <v>22</v>
      </c>
      <c r="B23" s="4" t="n">
        <f aca="false">$A$31-$A23</f>
        <v>8</v>
      </c>
      <c r="C23" s="11" t="str">
        <f aca="false">TEXT(D23,"ddd")</f>
        <v>Fri</v>
      </c>
      <c r="D23" s="34" t="n">
        <v>44596</v>
      </c>
      <c r="E23" s="51" t="n">
        <v>44597.278125</v>
      </c>
      <c r="F23" s="47" t="n">
        <v>66175.11</v>
      </c>
      <c r="G23" s="47" t="n">
        <v>66250.349</v>
      </c>
      <c r="H23" s="47" t="n">
        <v>75.247</v>
      </c>
      <c r="I23" s="13" t="n">
        <f aca="false">(I22+H23)</f>
        <v>899.032</v>
      </c>
      <c r="J23" s="13" t="n">
        <f aca="false">(I23/A23)</f>
        <v>40.8650909090909</v>
      </c>
      <c r="K23" s="13" t="n">
        <f aca="false">IF($H23&gt;0,AVERAGE($H$2:$H23),"")</f>
        <v>40.8650909090909</v>
      </c>
      <c r="L23" s="15" t="str">
        <f aca="false">IF(KWH&gt;0,((RATES*KWH)+TDU_DAILY)+(1*TAX),"")</f>
        <v/>
      </c>
      <c r="M23" s="16" t="e">
        <f aca="false">(M22+L23)</f>
        <v>#VALUE!</v>
      </c>
      <c r="N23" s="17" t="n">
        <f aca="false">IF(MOVING_AVERAGE&lt;&gt;"",MOVING_AVERAGE*$A$33,$N22)</f>
        <v>0</v>
      </c>
      <c r="O23" s="17" t="str">
        <f aca="false">IF(PROJ_USAGE&gt;1000,((RATES*PROJ_USAGE)+ONCOR)*1+TAX-(CREDIT),"")</f>
        <v/>
      </c>
      <c r="P23" s="18" t="n">
        <f aca="false">IF((BREAK-CUM_KWH)&gt;0,BREAK-CUM_KWH,"")</f>
        <v>100.968</v>
      </c>
    </row>
    <row r="24" customFormat="false" ht="15" hidden="false" customHeight="false" outlineLevel="0" collapsed="false">
      <c r="A24" s="4" t="n">
        <v>23</v>
      </c>
      <c r="B24" s="4" t="n">
        <f aca="false">$A$31-$A24</f>
        <v>7</v>
      </c>
      <c r="C24" s="11" t="str">
        <f aca="false">TEXT(D24,"ddd")</f>
        <v>Sat</v>
      </c>
      <c r="D24" s="34" t="n">
        <v>44597</v>
      </c>
      <c r="E24" s="51" t="n">
        <v>44598.3112152778</v>
      </c>
      <c r="F24" s="47" t="n">
        <v>66250.349</v>
      </c>
      <c r="G24" s="47" t="n">
        <v>66314.441</v>
      </c>
      <c r="H24" s="47" t="n">
        <v>64.092</v>
      </c>
      <c r="I24" s="13" t="n">
        <f aca="false">(I23+H24)</f>
        <v>963.124</v>
      </c>
      <c r="J24" s="13" t="n">
        <f aca="false">(I24/A24)</f>
        <v>41.8749565217391</v>
      </c>
      <c r="K24" s="13" t="n">
        <f aca="false">IF($H24&gt;0,AVERAGE($H$2:$H24),"")</f>
        <v>41.8749565217391</v>
      </c>
      <c r="L24" s="15" t="str">
        <f aca="false">IF(KWH&gt;0,((RATES*KWH)+TDU_DAILY)+(1*TAX),"")</f>
        <v/>
      </c>
      <c r="M24" s="16" t="e">
        <f aca="false">(M23+L24)</f>
        <v>#VALUE!</v>
      </c>
      <c r="N24" s="17" t="n">
        <f aca="false">IF(MOVING_AVERAGE&lt;&gt;"",MOVING_AVERAGE*$A$33,$N23)</f>
        <v>0</v>
      </c>
      <c r="O24" s="17" t="str">
        <f aca="false">IF(PROJ_USAGE&gt;1000,((RATES*PROJ_USAGE)+ONCOR)*1+TAX-(CREDIT),"")</f>
        <v/>
      </c>
      <c r="P24" s="18" t="n">
        <f aca="false">IF((BREAK-CUM_KWH)&gt;0,BREAK-CUM_KWH,"")</f>
        <v>36.8760000000001</v>
      </c>
    </row>
    <row r="25" customFormat="false" ht="15" hidden="false" customHeight="false" outlineLevel="0" collapsed="false">
      <c r="A25" s="4" t="n">
        <v>24</v>
      </c>
      <c r="B25" s="4" t="n">
        <f aca="false">$A$31-$A25</f>
        <v>6</v>
      </c>
      <c r="C25" s="11" t="str">
        <f aca="false">TEXT(D25,"ddd")</f>
        <v>Sun</v>
      </c>
      <c r="D25" s="34" t="n">
        <v>44598</v>
      </c>
      <c r="E25" s="51" t="n">
        <v>44599.2787847222</v>
      </c>
      <c r="F25" s="47" t="n">
        <v>66314.441</v>
      </c>
      <c r="G25" s="47" t="n">
        <v>66362.47</v>
      </c>
      <c r="H25" s="47" t="n">
        <v>48.03</v>
      </c>
      <c r="I25" s="13" t="n">
        <f aca="false">(I24+H25)</f>
        <v>1011.154</v>
      </c>
      <c r="J25" s="13" t="n">
        <f aca="false">(I25/A25)</f>
        <v>42.1314166666667</v>
      </c>
      <c r="K25" s="13" t="n">
        <f aca="false">IF($H25&gt;0,AVERAGE($H$2:$H25),"")</f>
        <v>42.1314166666667</v>
      </c>
      <c r="L25" s="15" t="str">
        <f aca="false">IF(KWH&gt;0,((RATES*KWH)+TDU_DAILY)+(1*TAX),"")</f>
        <v/>
      </c>
      <c r="M25" s="16" t="e">
        <f aca="false">(M24+L25)</f>
        <v>#VALUE!</v>
      </c>
      <c r="N25" s="17" t="n">
        <f aca="false">IF(MOVING_AVERAGE&lt;&gt;"",MOVING_AVERAGE*$A$33,$N24)</f>
        <v>0</v>
      </c>
      <c r="O25" s="17" t="str">
        <f aca="false">IF(PROJ_USAGE&gt;1000,((RATES*PROJ_USAGE)+ONCOR)*1+TAX-(CREDIT),"")</f>
        <v/>
      </c>
      <c r="P25" s="18" t="str">
        <f aca="false">IF((BREAK-CUM_KWH)&gt;0,BREAK-CUM_KWH,"")</f>
        <v/>
      </c>
    </row>
    <row r="26" customFormat="false" ht="15" hidden="false" customHeight="false" outlineLevel="0" collapsed="false">
      <c r="A26" s="4" t="n">
        <v>25</v>
      </c>
      <c r="B26" s="4" t="n">
        <f aca="false">$A$31-$A26</f>
        <v>5</v>
      </c>
      <c r="C26" s="11" t="str">
        <f aca="false">TEXT(D26,"ddd")</f>
        <v>Mon</v>
      </c>
      <c r="D26" s="34" t="n">
        <v>44599</v>
      </c>
      <c r="E26" s="51" t="n">
        <v>44600.2788310185</v>
      </c>
      <c r="F26" s="47" t="n">
        <v>66362.47</v>
      </c>
      <c r="G26" s="47" t="n">
        <v>66408.428</v>
      </c>
      <c r="H26" s="47" t="n">
        <v>45.964</v>
      </c>
      <c r="I26" s="13" t="n">
        <f aca="false">(I25+H26)</f>
        <v>1057.118</v>
      </c>
      <c r="J26" s="13" t="n">
        <f aca="false">(I26/A26)</f>
        <v>42.28472</v>
      </c>
      <c r="K26" s="13" t="n">
        <f aca="false">IF($H26&gt;0,AVERAGE($H$2:$H26),"")</f>
        <v>42.28472</v>
      </c>
      <c r="L26" s="15" t="str">
        <f aca="false">IF(KWH&gt;0,((RATES*KWH)+TDU_DAILY)+(1*TAX),"")</f>
        <v/>
      </c>
      <c r="M26" s="16" t="e">
        <f aca="false">(M25+L26)</f>
        <v>#VALUE!</v>
      </c>
      <c r="N26" s="17" t="n">
        <f aca="false">IF(MOVING_AVERAGE&lt;&gt;"",MOVING_AVERAGE*$A$33,$N25)</f>
        <v>0</v>
      </c>
      <c r="O26" s="17" t="str">
        <f aca="false">IF(PROJ_USAGE&gt;1000,((RATES*PROJ_USAGE)+ONCOR)*1+TAX-(CREDIT),"")</f>
        <v/>
      </c>
      <c r="P26" s="18" t="str">
        <f aca="false">IF((BREAK-CUM_KWH)&gt;0,BREAK-CUM_KWH,"")</f>
        <v/>
      </c>
    </row>
    <row r="27" customFormat="false" ht="15" hidden="false" customHeight="false" outlineLevel="0" collapsed="false">
      <c r="A27" s="4" t="n">
        <v>26</v>
      </c>
      <c r="B27" s="4" t="n">
        <f aca="false">$A$31-$A27</f>
        <v>4</v>
      </c>
      <c r="C27" s="11" t="str">
        <f aca="false">TEXT(D27,"ddd")</f>
        <v>Tue</v>
      </c>
      <c r="D27" s="34" t="n">
        <v>44600</v>
      </c>
      <c r="E27" s="51" t="n">
        <v>44601.2774537037</v>
      </c>
      <c r="F27" s="47" t="n">
        <v>66408.428</v>
      </c>
      <c r="G27" s="47" t="n">
        <v>66449.278</v>
      </c>
      <c r="H27" s="47" t="n">
        <v>40.846</v>
      </c>
      <c r="I27" s="13" t="n">
        <f aca="false">(I26+H27)</f>
        <v>1097.964</v>
      </c>
      <c r="J27" s="13" t="n">
        <f aca="false">(I27/A27)</f>
        <v>42.2293846153846</v>
      </c>
      <c r="K27" s="13" t="n">
        <f aca="false">IF($H27&gt;0,AVERAGE($H$2:$H27),"")</f>
        <v>42.2293846153846</v>
      </c>
      <c r="L27" s="15" t="str">
        <f aca="false">IF(KWH&gt;0,((RATES*KWH)+TDU_DAILY)+(1*TAX),"")</f>
        <v/>
      </c>
      <c r="M27" s="16" t="e">
        <f aca="false">(M26+L27)</f>
        <v>#VALUE!</v>
      </c>
      <c r="N27" s="17" t="n">
        <f aca="false">IF(MOVING_AVERAGE&lt;&gt;"",MOVING_AVERAGE*$A$33,$N26)</f>
        <v>0</v>
      </c>
      <c r="O27" s="17" t="str">
        <f aca="false">IF(PROJ_USAGE&gt;1000,((RATES*PROJ_USAGE)+ONCOR)*1+TAX-(CREDIT),"")</f>
        <v/>
      </c>
      <c r="P27" s="18" t="str">
        <f aca="false">IF((BREAK-CUM_KWH)&gt;0,BREAK-CUM_KWH,"")</f>
        <v/>
      </c>
    </row>
    <row r="28" customFormat="false" ht="15" hidden="false" customHeight="false" outlineLevel="0" collapsed="false">
      <c r="A28" s="4" t="n">
        <v>27</v>
      </c>
      <c r="B28" s="4" t="n">
        <f aca="false">$A$31-$A28</f>
        <v>3</v>
      </c>
      <c r="C28" s="11" t="str">
        <f aca="false">TEXT(D28,"ddd")</f>
        <v>Wed</v>
      </c>
      <c r="D28" s="34" t="n">
        <v>44601</v>
      </c>
      <c r="E28" s="51" t="n">
        <v>44602.2788078704</v>
      </c>
      <c r="F28" s="47" t="n">
        <v>66449.278</v>
      </c>
      <c r="G28" s="47" t="n">
        <v>66477.079</v>
      </c>
      <c r="H28" s="47" t="n">
        <v>27.802</v>
      </c>
      <c r="I28" s="13" t="n">
        <f aca="false">(I27+H28)</f>
        <v>1125.766</v>
      </c>
      <c r="J28" s="13" t="n">
        <f aca="false">(I28/A28)</f>
        <v>41.695037037037</v>
      </c>
      <c r="K28" s="13" t="n">
        <f aca="false">IF($H28&gt;0,AVERAGE($H$2:$H28),"")</f>
        <v>41.695037037037</v>
      </c>
      <c r="L28" s="15" t="str">
        <f aca="false">IF(KWH&gt;0,((RATES*KWH)+TDU_DAILY)+(1*TAX),"")</f>
        <v/>
      </c>
      <c r="M28" s="16" t="e">
        <f aca="false">(M27+L28)</f>
        <v>#VALUE!</v>
      </c>
      <c r="N28" s="17" t="n">
        <f aca="false">IF(MOVING_AVERAGE&lt;&gt;"",MOVING_AVERAGE*$A$33,$N27)</f>
        <v>0</v>
      </c>
      <c r="O28" s="17" t="str">
        <f aca="false">IF(PROJ_USAGE&gt;1000,((RATES*PROJ_USAGE)+ONCOR)*1+TAX-(CREDIT),"")</f>
        <v/>
      </c>
      <c r="P28" s="18" t="str">
        <f aca="false">IF((BREAK-CUM_KWH)&gt;0,BREAK-CUM_KWH,"")</f>
        <v/>
      </c>
    </row>
    <row r="29" customFormat="false" ht="15" hidden="false" customHeight="false" outlineLevel="0" collapsed="false">
      <c r="A29" s="4" t="n">
        <v>28</v>
      </c>
      <c r="B29" s="4" t="n">
        <f aca="false">$A$31-$A29</f>
        <v>2</v>
      </c>
      <c r="C29" s="11" t="str">
        <f aca="false">TEXT(D29,"ddd")</f>
        <v>Thu</v>
      </c>
      <c r="D29" s="34" t="n">
        <v>44602</v>
      </c>
      <c r="E29" s="51" t="n">
        <v>44603.2787384259</v>
      </c>
      <c r="F29" s="47" t="n">
        <v>66477.079</v>
      </c>
      <c r="G29" s="47" t="n">
        <v>66511.85</v>
      </c>
      <c r="H29" s="47" t="n">
        <v>34.771</v>
      </c>
      <c r="I29" s="13" t="n">
        <f aca="false">(I28+H29)</f>
        <v>1160.537</v>
      </c>
      <c r="J29" s="13" t="n">
        <f aca="false">(I29/A29)</f>
        <v>41.44775</v>
      </c>
      <c r="K29" s="13" t="n">
        <f aca="false">IF($H29&gt;0,AVERAGE($H$2:$H29),"")</f>
        <v>41.44775</v>
      </c>
      <c r="L29" s="15" t="str">
        <f aca="false">IF(KWH&gt;0,((RATES*KWH)+TDU_DAILY)+(1*TAX),"")</f>
        <v/>
      </c>
      <c r="M29" s="16" t="e">
        <f aca="false">(M28+L29)</f>
        <v>#VALUE!</v>
      </c>
      <c r="N29" s="17" t="n">
        <f aca="false">IF(MOVING_AVERAGE&lt;&gt;"",MOVING_AVERAGE*$A$33,$N28)</f>
        <v>0</v>
      </c>
      <c r="O29" s="17" t="str">
        <f aca="false">IF(PROJ_USAGE&gt;1000,((RATES*PROJ_USAGE)+ONCOR)*1+TAX-(CREDIT),"")</f>
        <v/>
      </c>
      <c r="P29" s="18" t="str">
        <f aca="false">IF((BREAK-CUM_KWH)&gt;0,BREAK-CUM_KWH,"")</f>
        <v/>
      </c>
    </row>
    <row r="30" customFormat="false" ht="15" hidden="false" customHeight="false" outlineLevel="0" collapsed="false">
      <c r="A30" s="4" t="n">
        <v>29</v>
      </c>
      <c r="B30" s="4" t="n">
        <f aca="false">$A$31-$A30</f>
        <v>1</v>
      </c>
      <c r="C30" s="11" t="str">
        <f aca="false">TEXT(D30,"ddd")</f>
        <v>Fri</v>
      </c>
      <c r="D30" s="34" t="n">
        <v>44603</v>
      </c>
      <c r="E30" s="51" t="n">
        <v>44604.2783564815</v>
      </c>
      <c r="F30" s="47" t="n">
        <v>66511.85</v>
      </c>
      <c r="G30" s="47" t="n">
        <v>66544.649</v>
      </c>
      <c r="H30" s="47" t="n">
        <v>32.8</v>
      </c>
      <c r="I30" s="13" t="n">
        <f aca="false">(I29+H30)</f>
        <v>1193.337</v>
      </c>
      <c r="J30" s="13" t="n">
        <f aca="false">(I30/A30)</f>
        <v>41.1495517241379</v>
      </c>
      <c r="K30" s="13" t="n">
        <f aca="false">IF($H30&gt;0,AVERAGE($H$2:$H30),"")</f>
        <v>41.1495517241379</v>
      </c>
      <c r="L30" s="15" t="str">
        <f aca="false">IF(KWH&gt;0,((RATES*KWH)+TDU_DAILY)+(1*TAX),"")</f>
        <v/>
      </c>
      <c r="M30" s="16" t="e">
        <f aca="false">(M29+L30)</f>
        <v>#VALUE!</v>
      </c>
      <c r="N30" s="17" t="n">
        <f aca="false">IF(MOVING_AVERAGE&lt;&gt;"",MOVING_AVERAGE*$A$33,$N29)</f>
        <v>0</v>
      </c>
      <c r="O30" s="17" t="str">
        <f aca="false">IF(PROJ_USAGE&gt;1000,((RATES*PROJ_USAGE)+ONCOR)*1+TAX-(CREDIT),"")</f>
        <v/>
      </c>
      <c r="P30" s="18" t="str">
        <f aca="false">IF((BREAK-CUM_KWH)&gt;0,BREAK-CUM_KWH,"")</f>
        <v/>
      </c>
    </row>
    <row r="31" customFormat="false" ht="15" hidden="false" customHeight="false" outlineLevel="0" collapsed="false">
      <c r="A31" s="4" t="n">
        <v>30</v>
      </c>
      <c r="B31" s="4" t="n">
        <f aca="false">$A$31-$A31</f>
        <v>0</v>
      </c>
      <c r="C31" s="11" t="str">
        <f aca="false">TEXT(D31,"ddd")</f>
        <v>Sat</v>
      </c>
      <c r="D31" s="34" t="n">
        <v>44604</v>
      </c>
      <c r="E31" s="51" t="n">
        <v>44605.3119444444</v>
      </c>
      <c r="F31" s="47" t="n">
        <v>66544.649</v>
      </c>
      <c r="G31" s="47" t="n">
        <v>66574.9</v>
      </c>
      <c r="H31" s="47" t="n">
        <v>30.252</v>
      </c>
      <c r="I31" s="13" t="n">
        <f aca="false">(I30+H31)</f>
        <v>1223.589</v>
      </c>
      <c r="J31" s="13" t="n">
        <f aca="false">(I31/A31)</f>
        <v>40.7863</v>
      </c>
      <c r="K31" s="13" t="n">
        <f aca="false">IF($H31&gt;0,AVERAGE($H$2:$H31),"")</f>
        <v>40.7863</v>
      </c>
      <c r="L31" s="15" t="str">
        <f aca="false">IF(KWH&gt;0,((RATES*KWH)+TDU_DAILY)+(1*TAX),"")</f>
        <v/>
      </c>
      <c r="M31" s="16" t="e">
        <f aca="false">(M30+L31)</f>
        <v>#VALUE!</v>
      </c>
      <c r="N31" s="17" t="n">
        <f aca="false">IF(MOVING_AVERAGE&lt;&gt;"",MOVING_AVERAGE*$A$33,$N30)</f>
        <v>0</v>
      </c>
      <c r="O31" s="17" t="str">
        <f aca="false">IF(PROJ_USAGE&gt;1000,((RATES*PROJ_USAGE)+ONCOR)*1+TAX-(CREDIT),"")</f>
        <v/>
      </c>
      <c r="P31" s="18" t="str">
        <f aca="false">IF((BREAK-CUM_KWH)&gt;0,BREAK-CUM_KWH,"")</f>
        <v/>
      </c>
    </row>
    <row r="32" customFormat="false" ht="15" hidden="false" customHeight="false" outlineLevel="0" collapsed="false">
      <c r="A32" s="4"/>
      <c r="B32" s="4"/>
      <c r="C32" s="11"/>
      <c r="D32" s="34" t="n">
        <v>44605</v>
      </c>
      <c r="E32" s="51" t="n">
        <v>44606.277037037</v>
      </c>
      <c r="F32" s="0" t="n">
        <v>66574.9</v>
      </c>
      <c r="G32" s="0" t="n">
        <v>66621.977</v>
      </c>
      <c r="H32" s="0" t="n">
        <v>47.074</v>
      </c>
      <c r="I32" s="13"/>
      <c r="J32" s="13"/>
      <c r="K32" s="13"/>
      <c r="L32" s="15"/>
      <c r="M32" s="16"/>
      <c r="N32" s="17"/>
      <c r="O32" s="17"/>
      <c r="P32" s="18"/>
    </row>
    <row r="33" customFormat="false" ht="15" hidden="false" customHeight="false" outlineLevel="0" collapsed="false">
      <c r="A33" s="4"/>
      <c r="B33" s="4"/>
      <c r="C33" s="11"/>
      <c r="D33" s="34" t="n">
        <v>44606</v>
      </c>
      <c r="E33" s="51" t="n">
        <v>44607.2902199074</v>
      </c>
      <c r="F33" s="47" t="n">
        <v>66621.977</v>
      </c>
      <c r="G33" s="47" t="n">
        <v>66658.249</v>
      </c>
      <c r="H33" s="47" t="n">
        <v>36.272</v>
      </c>
      <c r="I33" s="13"/>
      <c r="J33" s="13"/>
      <c r="K33" s="13"/>
      <c r="L33" s="15"/>
      <c r="M33" s="16"/>
      <c r="N33" s="17"/>
      <c r="O33" s="17"/>
      <c r="P33" s="18"/>
    </row>
  </sheetData>
  <conditionalFormatting sqref="R2:T14">
    <cfRule type="expression" priority="2" aboveAverage="0" equalAverage="0" bottom="0" percent="0" rank="0" text="" dxfId="54">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 activeCellId="0" sqref="I2"/>
    </sheetView>
  </sheetViews>
  <sheetFormatPr defaultColWidth="8.453125" defaultRowHeight="15" zeroHeight="false" outlineLevelRow="0" outlineLevelCol="0"/>
  <cols>
    <col collapsed="false" customWidth="true" hidden="false" outlineLevel="0" max="1" min="1" style="0" width="6.14"/>
    <col collapsed="false" customWidth="true" hidden="true" outlineLevel="0" max="2" min="2" style="0" width="6.29"/>
    <col collapsed="false" customWidth="true" hidden="false" outlineLevel="0" max="3" min="3" style="0" width="6.29"/>
    <col collapsed="false" customWidth="true" hidden="false" outlineLevel="0" max="5" min="4" style="1" width="10.71"/>
    <col collapsed="false" customWidth="true" hidden="false" outlineLevel="0" max="7" min="6" style="2" width="9.14"/>
    <col collapsed="false" customWidth="true" hidden="false" outlineLevel="0" max="8" min="8" style="3" width="9.42"/>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6" min="16" style="0" width="12.71"/>
    <col collapsed="false" customWidth="true" hidden="false" outlineLevel="0" max="17" min="17" style="0" width="28.57"/>
    <col collapsed="false" customWidth="true" hidden="false" outlineLevel="0" max="19" min="19" style="0" width="10.71"/>
    <col collapsed="false" customWidth="true" hidden="false" outlineLevel="0" max="23" min="23"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14</v>
      </c>
      <c r="Q1" s="6" t="s">
        <v>15</v>
      </c>
      <c r="S1" s="10"/>
    </row>
    <row r="2" customFormat="false" ht="15" hidden="false" customHeight="false" outlineLevel="0" collapsed="false">
      <c r="A2" s="11" t="n">
        <v>1</v>
      </c>
      <c r="B2" s="11" t="str">
        <f aca="false">TEXT($D2,"ddd")</f>
        <v>Wed</v>
      </c>
      <c r="C2" s="11" t="n">
        <v>30</v>
      </c>
      <c r="D2" s="49" t="n">
        <v>45308</v>
      </c>
      <c r="E2" s="1" t="n">
        <v>45309.2566319444</v>
      </c>
      <c r="F2" s="2" t="n">
        <v>96168.41</v>
      </c>
      <c r="G2" s="2" t="n">
        <v>96239.059</v>
      </c>
      <c r="H2" s="3" t="n">
        <v>70.653</v>
      </c>
      <c r="I2" s="13" t="n">
        <f aca="false">(H2)</f>
        <v>70.653</v>
      </c>
      <c r="J2" s="14" t="n">
        <f aca="false">(I2)</f>
        <v>70.653</v>
      </c>
      <c r="K2" s="15" t="n">
        <f aca="false">IF($H2&gt;0,(($H2*$S$7)+$S$8)*(1+$R$9),"")</f>
        <v>15.3857715503575</v>
      </c>
      <c r="L2" s="16" t="n">
        <f aca="false">IF(I2 &gt;1000,($K2-100),K2)</f>
        <v>15.3857715503575</v>
      </c>
      <c r="M2" s="17" t="n">
        <f aca="false">IF($J2&lt;&gt;"",$J2*(LOOKUP(1E+307,$A:$A)-$A$2),"")</f>
        <v>2119.59</v>
      </c>
      <c r="N2" s="17" t="n">
        <f aca="false">IF($M2&lt;&gt;"",IF($M2&gt;1000,(($M2*$S$7)+($A2*$S$8))*(1+$R$9)-100,($M2*$S$7)+($A2*$R$9)*(1+$R$9)),"")</f>
        <v>357.402489180724</v>
      </c>
      <c r="O2" s="18" t="n">
        <f aca="false">IF(I2&gt;=1000,"",(1000-I2))</f>
        <v>929.347</v>
      </c>
      <c r="Q2" s="19" t="s">
        <v>18</v>
      </c>
      <c r="R2" s="20" t="s">
        <v>19</v>
      </c>
      <c r="S2" s="21"/>
    </row>
    <row r="3" customFormat="false" ht="15" hidden="false" customHeight="false" outlineLevel="0" collapsed="false">
      <c r="A3" s="11" t="n">
        <v>2</v>
      </c>
      <c r="B3" s="11" t="str">
        <f aca="false">TEXT($D3,"ddd")</f>
        <v>Thu</v>
      </c>
      <c r="C3" s="11" t="n">
        <f aca="false">$A$31-$A2</f>
        <v>29</v>
      </c>
      <c r="D3" s="1" t="n">
        <v>45309</v>
      </c>
      <c r="E3" s="1" t="n">
        <v>45310.2579166667</v>
      </c>
      <c r="F3" s="2" t="n">
        <v>96239.059</v>
      </c>
      <c r="G3" s="2" t="n">
        <v>96290.158</v>
      </c>
      <c r="H3" s="3" t="n">
        <v>51.096</v>
      </c>
      <c r="I3" s="13" t="n">
        <f aca="false">IF(H3&gt;0,(H3+J2),"")</f>
        <v>121.749</v>
      </c>
      <c r="J3" s="14" t="n">
        <f aca="false">IF($H3&gt;0,($I3/$A3),"")</f>
        <v>60.8745</v>
      </c>
      <c r="K3" s="15" t="n">
        <f aca="false">IF($H3&gt;0,(($H3*$S$7)+$S$8)*(1+$R$9),"")</f>
        <v>11.1667443442027</v>
      </c>
      <c r="L3" s="16" t="n">
        <f aca="false">IF($H3&gt;0,($K3+$L2),"")</f>
        <v>26.5525158945602</v>
      </c>
      <c r="M3" s="17" t="n">
        <f aca="false">IF($J3&lt;&gt;"",$J3*(LOOKUP(1E+307,$A:$A)-$A$2),"")</f>
        <v>1826.235</v>
      </c>
      <c r="N3" s="17" t="n">
        <f aca="false">IF($M3&lt;&gt;"",IF($M3&gt;1000,(($M3*$S$7)+($A3*$S$8))*(1+$R$9)-100,($M3*$S$7)+($A3*$R$9)*(1+$R$9)),"")</f>
        <v>294.260896858403</v>
      </c>
      <c r="O3" s="18" t="n">
        <f aca="false">IF(I3&gt;=1000,"",(1000-I3))</f>
        <v>878.251</v>
      </c>
      <c r="Q3" s="22" t="s">
        <v>22</v>
      </c>
      <c r="R3" s="23" t="n">
        <f aca="false">($F$2+1000)</f>
        <v>97168.41</v>
      </c>
      <c r="S3" s="24"/>
    </row>
    <row r="4" customFormat="false" ht="15" hidden="false" customHeight="false" outlineLevel="0" collapsed="false">
      <c r="A4" s="11" t="n">
        <v>3</v>
      </c>
      <c r="B4" s="11" t="str">
        <f aca="false">TEXT($D4,"ddd")</f>
        <v>Fri</v>
      </c>
      <c r="C4" s="11" t="n">
        <f aca="false">$A$31-$A3</f>
        <v>28</v>
      </c>
      <c r="D4" s="1" t="n">
        <v>45310</v>
      </c>
      <c r="E4" s="1" t="n">
        <v>45311.2569097222</v>
      </c>
      <c r="F4" s="2" t="n">
        <v>96290.158</v>
      </c>
      <c r="G4" s="2" t="n">
        <v>96340.87</v>
      </c>
      <c r="H4" s="3" t="n">
        <v>50.713</v>
      </c>
      <c r="I4" s="13" t="n">
        <f aca="false">IF(H4&gt;0,(H4+I3),"")</f>
        <v>172.462</v>
      </c>
      <c r="J4" s="14" t="n">
        <f aca="false">IF($H4&gt;0,($I4/$A4),"")</f>
        <v>57.4873333333333</v>
      </c>
      <c r="K4" s="15" t="n">
        <f aca="false">IF($H4&gt;0,(($H4*$S$7)+$S$8)*(1+$R$9),"")</f>
        <v>11.0841198404467</v>
      </c>
      <c r="L4" s="16" t="n">
        <f aca="false">IF($H4&gt;0,($K4+$L3),"")</f>
        <v>37.6366357350068</v>
      </c>
      <c r="M4" s="17" t="n">
        <f aca="false">IF($J4&lt;&gt;"",$J4*(LOOKUP(1E+307,$A:$A)-$A$2),"")</f>
        <v>1724.62</v>
      </c>
      <c r="N4" s="17" t="n">
        <f aca="false">IF($M4&lt;&gt;"",IF($M4&gt;1000,(($M4*$S$7)+($A4*$S$8))*(1+$R$9)-100,($M4*$S$7)+($A4*$R$9)*(1+$R$9)),"")</f>
        <v>272.483331560068</v>
      </c>
      <c r="O4" s="18" t="n">
        <f aca="false">IF(I4&gt;=1000,"",(1000-I4))</f>
        <v>827.538</v>
      </c>
      <c r="Q4" s="22" t="s">
        <v>25</v>
      </c>
      <c r="R4" s="25"/>
      <c r="S4" s="26" t="n">
        <v>0.001667</v>
      </c>
    </row>
    <row r="5" customFormat="false" ht="15" hidden="false" customHeight="false" outlineLevel="0" collapsed="false">
      <c r="A5" s="11" t="n">
        <v>4</v>
      </c>
      <c r="B5" s="11" t="str">
        <f aca="false">TEXT($D5,"ddd")</f>
        <v>Sat</v>
      </c>
      <c r="C5" s="11" t="n">
        <f aca="false">$A$31-$A4</f>
        <v>27</v>
      </c>
      <c r="D5" s="1" t="n">
        <v>45311</v>
      </c>
      <c r="E5" s="1" t="n">
        <v>45312.2950115741</v>
      </c>
      <c r="F5" s="2" t="n">
        <v>96340.87</v>
      </c>
      <c r="G5" s="2" t="n">
        <v>96410.818</v>
      </c>
      <c r="H5" s="3" t="n">
        <v>69.943</v>
      </c>
      <c r="I5" s="13" t="n">
        <f aca="false">IF(H5&gt;0,(H5+I4),"")</f>
        <v>242.405</v>
      </c>
      <c r="J5" s="14" t="n">
        <f aca="false">IF($H5&gt;0,($I5/$A5),"")</f>
        <v>60.60125</v>
      </c>
      <c r="K5" s="15" t="n">
        <f aca="false">IF($H5&gt;0,(($H5*$S$7)+$S$8)*(1+$R$9),"")</f>
        <v>15.2326034102353</v>
      </c>
      <c r="L5" s="16" t="n">
        <f aca="false">IF($H5&gt;0,($K5+$L4),"")</f>
        <v>52.8692391452421</v>
      </c>
      <c r="M5" s="17" t="n">
        <f aca="false">IF($J5&lt;&gt;"",$J5*(LOOKUP(1E+307,$A:$A)-$A$2),"")</f>
        <v>1818.0375</v>
      </c>
      <c r="N5" s="17" t="n">
        <f aca="false">IF($M5&lt;&gt;"",IF($M5&gt;1000,(($M5*$S$7)+($A5*$S$8))*(1+$R$9)-100,($M5*$S$7)+($A5*$R$9)*(1+$R$9)),"")</f>
        <v>292.780083569316</v>
      </c>
      <c r="O5" s="18" t="n">
        <f aca="false">IF(I5&gt;=1000,"",(1000-I5))</f>
        <v>757.595</v>
      </c>
      <c r="P5" s="27"/>
      <c r="Q5" s="22" t="s">
        <v>28</v>
      </c>
      <c r="R5" s="25"/>
      <c r="S5" s="26" t="n">
        <v>0.050339</v>
      </c>
    </row>
    <row r="6" customFormat="false" ht="15" hidden="false" customHeight="false" outlineLevel="0" collapsed="false">
      <c r="A6" s="11" t="n">
        <v>5</v>
      </c>
      <c r="B6" s="11" t="str">
        <f aca="false">TEXT($D6,"ddd")</f>
        <v>Sun</v>
      </c>
      <c r="C6" s="11" t="n">
        <f aca="false">$A$31-$A5</f>
        <v>26</v>
      </c>
      <c r="D6" s="1" t="n">
        <v>45312</v>
      </c>
      <c r="E6" s="1" t="n">
        <v>45313.2571643519</v>
      </c>
      <c r="F6" s="2" t="n">
        <v>96410.818</v>
      </c>
      <c r="G6" s="2" t="n">
        <v>96470.286</v>
      </c>
      <c r="H6" s="3" t="n">
        <v>59.472</v>
      </c>
      <c r="I6" s="13" t="n">
        <f aca="false">IF(H6&gt;0,(H6+I5),"")</f>
        <v>301.877</v>
      </c>
      <c r="J6" s="14" t="n">
        <f aca="false">IF($H6&gt;0,($I6/$A6),"")</f>
        <v>60.3754</v>
      </c>
      <c r="K6" s="15" t="n">
        <f aca="false">IF($H6&gt;0,(($H6*$S$7)+$S$8)*(1+$R$9),"")</f>
        <v>12.973696938095</v>
      </c>
      <c r="L6" s="16" t="n">
        <f aca="false">IF($H6&gt;0,($K6+$L5),"")</f>
        <v>65.8429360833372</v>
      </c>
      <c r="M6" s="17" t="n">
        <f aca="false">IF($J6&lt;&gt;"",$J6*(LOOKUP(1E+307,$A:$A)-$A$2),"")</f>
        <v>1811.262</v>
      </c>
      <c r="N6" s="17" t="n">
        <f aca="false">IF($M6&lt;&gt;"",IF($M6&gt;1000,(($M6*$S$7)+($A6*$S$8))*(1+$R$9)-100,($M6*$S$7)+($A6*$R$9)*(1+$R$9)),"")</f>
        <v>291.462222250023</v>
      </c>
      <c r="O6" s="18" t="n">
        <f aca="false">IF(I6&gt;=1000,"",(1000-I6))</f>
        <v>698.123</v>
      </c>
      <c r="Q6" s="22" t="s">
        <v>31</v>
      </c>
      <c r="R6" s="25"/>
      <c r="S6" s="26" t="n">
        <v>0.1595</v>
      </c>
    </row>
    <row r="7" customFormat="false" ht="15" hidden="false" customHeight="false" outlineLevel="0" collapsed="false">
      <c r="A7" s="11" t="n">
        <v>6</v>
      </c>
      <c r="B7" s="11" t="str">
        <f aca="false">TEXT($D7,"ddd")</f>
        <v>Mon</v>
      </c>
      <c r="C7" s="11" t="n">
        <f aca="false">$A$31-$A6</f>
        <v>25</v>
      </c>
      <c r="D7" s="1" t="n">
        <v>45313</v>
      </c>
      <c r="E7" s="1" t="n">
        <v>45314.2571180556</v>
      </c>
      <c r="F7" s="2" t="n">
        <v>96470.286</v>
      </c>
      <c r="G7" s="2" t="n">
        <v>96515.634</v>
      </c>
      <c r="H7" s="3" t="n">
        <v>45.351</v>
      </c>
      <c r="I7" s="13" t="n">
        <f aca="false">IF(H7&gt;0,(H7+I6),"")</f>
        <v>347.228</v>
      </c>
      <c r="J7" s="14" t="n">
        <f aca="false">IF($H7&gt;0,($I7/$A7),"")</f>
        <v>57.8713333333333</v>
      </c>
      <c r="K7" s="15" t="n">
        <f aca="false">IF($H7&gt;0,(($H7*$S$7)+$S$8)*(1+$R$9),"")</f>
        <v>9.92737678786182</v>
      </c>
      <c r="L7" s="16" t="n">
        <f aca="false">IF($H7&gt;0,($K7+$L6),"")</f>
        <v>75.770312871199</v>
      </c>
      <c r="M7" s="17" t="n">
        <f aca="false">IF($J7&lt;&gt;"",$J7*(LOOKUP(1E+307,$A:$A)-$A$2),"")</f>
        <v>1736.14</v>
      </c>
      <c r="N7" s="17" t="n">
        <f aca="false">IF($M7&lt;&gt;"",IF($M7&gt;1000,(($M7*$S$7)+($A7*$S$8))*(1+$R$9)-100,($M7*$S$7)+($A7*$R$9)*(1+$R$9)),"")</f>
        <v>275.399985875995</v>
      </c>
      <c r="O7" s="18" t="n">
        <f aca="false">IF(I7&gt;=1000,"",(1000-I7))</f>
        <v>652.772</v>
      </c>
      <c r="Q7" s="22" t="s">
        <v>34</v>
      </c>
      <c r="R7" s="25"/>
      <c r="S7" s="28" t="n">
        <f aca="false">SUM(S4:S6)</f>
        <v>0.211506</v>
      </c>
      <c r="T7" s="29" t="s">
        <v>35</v>
      </c>
    </row>
    <row r="8" customFormat="false" ht="15" hidden="false" customHeight="false" outlineLevel="0" collapsed="false">
      <c r="A8" s="11" t="n">
        <v>7</v>
      </c>
      <c r="B8" s="11" t="str">
        <f aca="false">TEXT($D8,"ddd")</f>
        <v>Tue</v>
      </c>
      <c r="C8" s="11" t="n">
        <f aca="false">$A$31-$A7</f>
        <v>24</v>
      </c>
      <c r="D8" s="1" t="n">
        <v>45314</v>
      </c>
      <c r="E8" s="1" t="n">
        <v>45315.2568171296</v>
      </c>
      <c r="F8" s="2" t="n">
        <v>96515.634</v>
      </c>
      <c r="G8" s="2" t="n">
        <v>96551.908</v>
      </c>
      <c r="H8" s="3" t="n">
        <v>36.273</v>
      </c>
      <c r="I8" s="13" t="n">
        <f aca="false">IF(H8&gt;0,(H8+I7),"")</f>
        <v>383.501</v>
      </c>
      <c r="J8" s="14" t="n">
        <f aca="false">IF($H8&gt;0,($I8/$A8),"")</f>
        <v>54.7858571428571</v>
      </c>
      <c r="K8" s="15" t="n">
        <f aca="false">IF($H8&gt;0,(($H8*$S$7)+$S$8)*(1+$R$9),"")</f>
        <v>7.96898189204586</v>
      </c>
      <c r="L8" s="16" t="n">
        <f aca="false">IF($H8&gt;0,($K8+$L7),"")</f>
        <v>83.7392947632448</v>
      </c>
      <c r="M8" s="17" t="n">
        <f aca="false">IF($J8&lt;&gt;"",$J8*(LOOKUP(1E+307,$A:$A)-$A$2),"")</f>
        <v>1643.57571428571</v>
      </c>
      <c r="N8" s="17" t="n">
        <f aca="false">IF($M8&lt;&gt;"",IF($M8&gt;1000,(($M8*$S$7)+($A8*$S$8))*(1+$R$9)-100,($M8*$S$7)+($A8*$R$9)*(1+$R$9)),"")</f>
        <v>255.574929132478</v>
      </c>
      <c r="O8" s="18" t="n">
        <f aca="false">IF(I8&gt;=1000,"",(1000-I8))</f>
        <v>616.499</v>
      </c>
      <c r="Q8" s="22" t="s">
        <v>38</v>
      </c>
      <c r="R8" s="30" t="n">
        <v>4.23</v>
      </c>
      <c r="S8" s="31" t="n">
        <f aca="false">(R8/A31)</f>
        <v>0.141</v>
      </c>
      <c r="T8" s="29" t="s">
        <v>39</v>
      </c>
    </row>
    <row r="9" customFormat="false" ht="15" hidden="false" customHeight="false" outlineLevel="0" collapsed="false">
      <c r="A9" s="11" t="n">
        <v>8</v>
      </c>
      <c r="B9" s="11" t="str">
        <f aca="false">TEXT($D9,"ddd")</f>
        <v>Wed</v>
      </c>
      <c r="C9" s="11" t="n">
        <f aca="false">$A$31-$A8</f>
        <v>23</v>
      </c>
      <c r="D9" s="1" t="n">
        <v>45315</v>
      </c>
      <c r="E9" s="1" t="n">
        <v>45316.2567708333</v>
      </c>
      <c r="F9" s="2" t="n">
        <v>96551.908</v>
      </c>
      <c r="G9" s="2" t="n">
        <v>96587.051</v>
      </c>
      <c r="H9" s="3" t="n">
        <v>35.143</v>
      </c>
      <c r="I9" s="13" t="n">
        <f aca="false">IF(H9&gt;0,(H9+I8),"")</f>
        <v>418.644</v>
      </c>
      <c r="J9" s="14" t="n">
        <f aca="false">IF($H9&gt;0,($I9/$A9),"")</f>
        <v>52.3305</v>
      </c>
      <c r="K9" s="15" t="n">
        <f aca="false">IF($H9&gt;0,(($H9*$S$7)+$S$8)*(1+$R$9),"")</f>
        <v>7.72520724649926</v>
      </c>
      <c r="L9" s="16" t="n">
        <f aca="false">IF($H9&gt;0,($K9+$L8),"")</f>
        <v>91.4645020097441</v>
      </c>
      <c r="M9" s="17" t="n">
        <f aca="false">IF($J9&lt;&gt;"",$J9*(LOOKUP(1E+307,$A:$A)-$A$2),"")</f>
        <v>1569.915</v>
      </c>
      <c r="N9" s="17" t="n">
        <f aca="false">IF($M9&lt;&gt;"",IF($M9&gt;1000,(($M9*$S$7)+($A9*$S$8))*(1+$R$9)-100,($M9*$S$7)+($A9*$R$9)*(1+$R$9)),"")</f>
        <v>239.82793559654</v>
      </c>
      <c r="O9" s="18" t="n">
        <f aca="false">IF(I9&gt;=1000,"",(1000-I9))</f>
        <v>581.356</v>
      </c>
      <c r="Q9" s="22" t="s">
        <v>42</v>
      </c>
      <c r="R9" s="30" t="n">
        <v>0.01997</v>
      </c>
      <c r="S9" s="32"/>
      <c r="T9" s="29" t="s">
        <v>43</v>
      </c>
    </row>
    <row r="10" customFormat="false" ht="15" hidden="false" customHeight="false" outlineLevel="0" collapsed="false">
      <c r="A10" s="11" t="n">
        <v>9</v>
      </c>
      <c r="B10" s="11" t="str">
        <f aca="false">TEXT($D10,"ddd")</f>
        <v>Thu</v>
      </c>
      <c r="C10" s="11" t="n">
        <f aca="false">$A$31-$A9</f>
        <v>22</v>
      </c>
      <c r="D10" s="1" t="n">
        <v>45316</v>
      </c>
      <c r="E10" s="1" t="n">
        <v>45317.2570949074</v>
      </c>
      <c r="F10" s="2" t="n">
        <v>96587.051</v>
      </c>
      <c r="G10" s="2" t="n">
        <v>96613.505</v>
      </c>
      <c r="H10" s="3" t="n">
        <v>26.453</v>
      </c>
      <c r="I10" s="13" t="n">
        <f aca="false">IF(H10&gt;0,(H10+I9),"")</f>
        <v>445.097</v>
      </c>
      <c r="J10" s="14" t="n">
        <f aca="false">IF($H10&gt;0,($I10/$A10),"")</f>
        <v>49.4552222222222</v>
      </c>
      <c r="K10" s="15" t="n">
        <f aca="false">IF($H10&gt;0,(($H10*$S$7)+$S$8)*(1+$R$9),"")</f>
        <v>5.85051550331346</v>
      </c>
      <c r="L10" s="16" t="n">
        <f aca="false">IF($H10&gt;0,($K10+$L9),"")</f>
        <v>97.3150175130576</v>
      </c>
      <c r="M10" s="17" t="n">
        <f aca="false">IF($J10&lt;&gt;"",$J10*(LOOKUP(1E+307,$A:$A)-$A$2),"")</f>
        <v>1483.65666666667</v>
      </c>
      <c r="N10" s="17" t="n">
        <f aca="false">IF($M10&lt;&gt;"",IF($M10&gt;1000,(($M10*$S$7)+($A10*$S$8))*(1+$R$9)-100,($M10*$S$7)+($A10*$R$9)*(1+$R$9)),"")</f>
        <v>221.363260540192</v>
      </c>
      <c r="O10" s="18" t="n">
        <f aca="false">IF(I10&gt;=1000,"",(1000-I10))</f>
        <v>554.903</v>
      </c>
      <c r="Q10" s="22" t="s">
        <v>46</v>
      </c>
      <c r="R10" s="33" t="n">
        <v>100</v>
      </c>
      <c r="S10" s="24" t="n">
        <v>1000</v>
      </c>
      <c r="W10" s="34" t="n">
        <v>45275</v>
      </c>
    </row>
    <row r="11" customFormat="false" ht="15" hidden="false" customHeight="false" outlineLevel="0" collapsed="false">
      <c r="A11" s="11" t="n">
        <v>10</v>
      </c>
      <c r="B11" s="11" t="str">
        <f aca="false">TEXT($D11,"ddd")</f>
        <v>Fri</v>
      </c>
      <c r="C11" s="11" t="n">
        <f aca="false">$A$31-$A10</f>
        <v>21</v>
      </c>
      <c r="D11" s="1" t="n">
        <v>45317</v>
      </c>
      <c r="E11" s="1" t="n">
        <v>45318.2556944444</v>
      </c>
      <c r="F11" s="2" t="n">
        <v>96613.505</v>
      </c>
      <c r="G11" s="2" t="n">
        <v>96644.144</v>
      </c>
      <c r="H11" s="3" t="n">
        <v>30.64</v>
      </c>
      <c r="I11" s="13" t="n">
        <f aca="false">IF(H11&gt;0,(H11+I10),"")</f>
        <v>475.737</v>
      </c>
      <c r="J11" s="14" t="n">
        <f aca="false">IF($H11&gt;0,($I11/$A11),"")</f>
        <v>47.5737</v>
      </c>
      <c r="K11" s="15" t="n">
        <f aca="false">IF($H11&gt;0,(($H11*$S$7)+$S$8)*(1+$R$9),"")</f>
        <v>6.7537760704848</v>
      </c>
      <c r="L11" s="16" t="n">
        <f aca="false">IF($H11&gt;0,($K11+$L10),"")</f>
        <v>104.068793583542</v>
      </c>
      <c r="M11" s="17" t="n">
        <f aca="false">IF($J11&lt;&gt;"",$J11*(LOOKUP(1E+307,$A:$A)-$A$2),"")</f>
        <v>1427.211</v>
      </c>
      <c r="N11" s="17" t="n">
        <f aca="false">IF($M11&lt;&gt;"",IF($M11&gt;1000,(($M11*$S$7)+($A11*$S$8))*(1+$R$9)-100,($M11*$S$7)+($A11*$R$9)*(1+$R$9)),"")</f>
        <v>209.330065350627</v>
      </c>
      <c r="O11" s="18" t="n">
        <f aca="false">IF(I11&gt;=1000,"",(1000-I11))</f>
        <v>524.263</v>
      </c>
      <c r="Q11" s="22" t="s">
        <v>49</v>
      </c>
      <c r="R11" s="33" t="n">
        <v>295</v>
      </c>
      <c r="S11" s="32"/>
    </row>
    <row r="12" customFormat="false" ht="15" hidden="false" customHeight="false" outlineLevel="0" collapsed="false">
      <c r="A12" s="11" t="n">
        <v>11</v>
      </c>
      <c r="B12" s="11" t="str">
        <f aca="false">TEXT($D12,"ddd")</f>
        <v>Sat</v>
      </c>
      <c r="C12" s="11" t="n">
        <f aca="false">$A$31-$A11</f>
        <v>20</v>
      </c>
      <c r="D12" s="1" t="n">
        <v>45318</v>
      </c>
      <c r="E12" s="1" t="n">
        <v>45319.2760300926</v>
      </c>
      <c r="F12" s="2" t="n">
        <v>96644.144</v>
      </c>
      <c r="G12" s="2" t="n">
        <v>96688.292</v>
      </c>
      <c r="H12" s="3" t="n">
        <v>44.143</v>
      </c>
      <c r="I12" s="13" t="n">
        <f aca="false">IF(H12&gt;0,(H12+I11),"")</f>
        <v>519.88</v>
      </c>
      <c r="J12" s="14" t="n">
        <f aca="false">IF($H12&gt;0,($I12/$A12),"")</f>
        <v>47.2618181818182</v>
      </c>
      <c r="K12" s="15" t="n">
        <f aca="false">IF($H12&gt;0,(($H12*$S$7)+$S$8)*(1+$R$9),"")</f>
        <v>9.66677521987926</v>
      </c>
      <c r="L12" s="16" t="n">
        <f aca="false">IF($H12&gt;0,($K12+$L11),"")</f>
        <v>113.735568803422</v>
      </c>
      <c r="M12" s="17" t="n">
        <f aca="false">IF($J12&lt;&gt;"",$J12*(LOOKUP(1E+307,$A:$A)-$A$2),"")</f>
        <v>1417.85454545455</v>
      </c>
      <c r="N12" s="17" t="n">
        <f aca="false">IF($M12&lt;&gt;"",IF($M12&gt;1000,(($M12*$S$7)+($A12*$S$8))*(1+$R$9)-100,($M12*$S$7)+($A12*$R$9)*(1+$R$9)),"")</f>
        <v>207.455415288423</v>
      </c>
      <c r="O12" s="18" t="n">
        <f aca="false">IF(I12&gt;=1000,"",(1000-I12))</f>
        <v>480.12</v>
      </c>
      <c r="Q12" s="22" t="s">
        <v>52</v>
      </c>
      <c r="R12" s="35" t="n">
        <f aca="false">INDEX(L2:L32,COUNT(L2:L32))</f>
        <v>252.883281432425</v>
      </c>
      <c r="S12" s="32"/>
    </row>
    <row r="13" customFormat="false" ht="15" hidden="false" customHeight="false" outlineLevel="0" collapsed="false">
      <c r="A13" s="11" t="n">
        <v>12</v>
      </c>
      <c r="B13" s="11" t="str">
        <f aca="false">TEXT($D13,"ddd")</f>
        <v>Sun</v>
      </c>
      <c r="C13" s="11" t="n">
        <f aca="false">$A$31-$A12</f>
        <v>19</v>
      </c>
      <c r="D13" s="1" t="n">
        <v>45319</v>
      </c>
      <c r="E13" s="1" t="n">
        <v>45320.2559143519</v>
      </c>
      <c r="F13" s="2" t="n">
        <v>96688.292</v>
      </c>
      <c r="G13" s="2" t="n">
        <v>96727.982</v>
      </c>
      <c r="H13" s="3" t="n">
        <v>39.69</v>
      </c>
      <c r="I13" s="13" t="n">
        <f aca="false">IF(H13&gt;0,(H13+I12),"")</f>
        <v>559.57</v>
      </c>
      <c r="J13" s="14" t="n">
        <f aca="false">IF($H13&gt;0,($I13/$A13),"")</f>
        <v>46.6308333333333</v>
      </c>
      <c r="K13" s="15" t="n">
        <f aca="false">IF($H13&gt;0,(($H13*$S$7)+$S$8)*(1+$R$9),"")</f>
        <v>8.7061305326058</v>
      </c>
      <c r="L13" s="16" t="n">
        <f aca="false">IF($H13&gt;0,($K13+$L12),"")</f>
        <v>122.441699336027</v>
      </c>
      <c r="M13" s="17" t="n">
        <f aca="false">IF($J13&lt;&gt;"",$J13*(LOOKUP(1E+307,$A:$A)-$A$2),"")</f>
        <v>1398.925</v>
      </c>
      <c r="N13" s="17" t="n">
        <f aca="false">IF($M13&lt;&gt;"",IF($M13&gt;1000,(($M13*$S$7)+($A13*$S$8))*(1+$R$9)-100,($M13*$S$7)+($A13*$R$9)*(1+$R$9)),"")</f>
        <v>203.515564480068</v>
      </c>
      <c r="O13" s="18" t="n">
        <f aca="false">IF(I13&gt;=1000,"",(1000-I13))</f>
        <v>440.43</v>
      </c>
      <c r="P13" s="36"/>
      <c r="Q13" s="22" t="s">
        <v>55</v>
      </c>
      <c r="R13" s="37" t="n">
        <f aca="false">INDEX(I2:I32,COUNT(I2:I32))</f>
        <v>1152.223</v>
      </c>
      <c r="S13" s="32"/>
    </row>
    <row r="14" customFormat="false" ht="15" hidden="false" customHeight="false" outlineLevel="0" collapsed="false">
      <c r="A14" s="11" t="n">
        <v>13</v>
      </c>
      <c r="B14" s="11" t="str">
        <f aca="false">TEXT($D14,"ddd")</f>
        <v>Mon</v>
      </c>
      <c r="C14" s="11" t="n">
        <f aca="false">$A$31-$A13</f>
        <v>18</v>
      </c>
      <c r="D14" s="1" t="n">
        <v>45320</v>
      </c>
      <c r="E14" s="1" t="n">
        <v>45321.2564351852</v>
      </c>
      <c r="F14" s="2" t="n">
        <v>96727.982</v>
      </c>
      <c r="G14" s="2" t="n">
        <v>96765.366</v>
      </c>
      <c r="H14" s="3" t="n">
        <v>37.38</v>
      </c>
      <c r="I14" s="13" t="n">
        <f aca="false">IF(H14&gt;0,(H14+I13),"")</f>
        <v>596.95</v>
      </c>
      <c r="J14" s="14" t="n">
        <f aca="false">IF($H14&gt;0,($I14/$A14),"")</f>
        <v>45.9192307692308</v>
      </c>
      <c r="K14" s="15" t="n">
        <f aca="false">IF($H14&gt;0,(($H14*$S$7)+$S$8)*(1+$R$9),"")</f>
        <v>8.2077947527716</v>
      </c>
      <c r="L14" s="16" t="n">
        <f aca="false">IF($H14&gt;0,($K14+$L13),"")</f>
        <v>130.649494088799</v>
      </c>
      <c r="M14" s="17" t="n">
        <f aca="false">IF($J14&lt;&gt;"",$J14*(LOOKUP(1E+307,$A:$A)-$A$2),"")</f>
        <v>1377.57692307692</v>
      </c>
      <c r="N14" s="17" t="n">
        <f aca="false">IF($M14&lt;&gt;"",IF($M14&gt;1000,(($M14*$S$7)+($A14*$S$8))*(1+$R$9)-100,($M14*$S$7)+($A14*$R$9)*(1+$R$9)),"")</f>
        <v>199.053964422613</v>
      </c>
      <c r="O14" s="18" t="n">
        <f aca="false">IF(I14&gt;=1000,"",(1000-I14))</f>
        <v>403.05</v>
      </c>
      <c r="Q14" s="22" t="s">
        <v>58</v>
      </c>
      <c r="R14" s="37" t="n">
        <f aca="false">INDEX(J2:J32,COUNT(J2:J32))</f>
        <v>38.4074333333333</v>
      </c>
      <c r="S14" s="32"/>
    </row>
    <row r="15" customFormat="false" ht="15" hidden="false" customHeight="false" outlineLevel="0" collapsed="false">
      <c r="A15" s="11" t="n">
        <v>14</v>
      </c>
      <c r="B15" s="11" t="str">
        <f aca="false">TEXT($D15,"ddd")</f>
        <v>Tue</v>
      </c>
      <c r="C15" s="11" t="n">
        <f aca="false">$A$31-$A14</f>
        <v>17</v>
      </c>
      <c r="D15" s="1" t="n">
        <v>45321</v>
      </c>
      <c r="E15" s="1" t="n">
        <v>45322.2711111111</v>
      </c>
      <c r="F15" s="2" t="n">
        <v>96765.366</v>
      </c>
      <c r="G15" s="2" t="n">
        <v>96794.585</v>
      </c>
      <c r="H15" s="3" t="n">
        <v>29.22</v>
      </c>
      <c r="I15" s="13" t="n">
        <f aca="false">IF(H15&gt;0,(H15+I14),"")</f>
        <v>626.17</v>
      </c>
      <c r="J15" s="14" t="n">
        <f aca="false">IF($H15&gt;0,($I15/$A15),"")</f>
        <v>44.7264285714286</v>
      </c>
      <c r="K15" s="15" t="n">
        <f aca="false">IF($H15&gt;0,(($H15*$S$7)+$S$8)*(1+$R$9),"")</f>
        <v>6.4474397902404</v>
      </c>
      <c r="L15" s="16" t="n">
        <f aca="false">IF($H15&gt;0,($K15+$L14),"")</f>
        <v>137.096933879039</v>
      </c>
      <c r="M15" s="17" t="n">
        <f aca="false">IF($J15&lt;&gt;"",$J15*(LOOKUP(1E+307,$A:$A)-$A$2),"")</f>
        <v>1341.79285714286</v>
      </c>
      <c r="N15" s="17" t="n">
        <f aca="false">IF($M15&lt;&gt;"",IF($M15&gt;1000,(($M15*$S$7)+($A15*$S$8))*(1+$R$9)-100,($M15*$S$7)+($A15*$R$9)*(1+$R$9)),"")</f>
        <v>191.478091706513</v>
      </c>
      <c r="O15" s="18" t="n">
        <f aca="false">IF(I15&gt;=1000,"",(1000-I15))</f>
        <v>373.83</v>
      </c>
      <c r="Q15" s="22"/>
      <c r="R15" s="38"/>
      <c r="S15" s="24"/>
    </row>
    <row r="16" customFormat="false" ht="15" hidden="false" customHeight="false" outlineLevel="0" collapsed="false">
      <c r="A16" s="11" t="n">
        <v>15</v>
      </c>
      <c r="B16" s="11" t="str">
        <f aca="false">TEXT($D16,"ddd")</f>
        <v>Wed</v>
      </c>
      <c r="C16" s="11" t="n">
        <f aca="false">$A$31-$A15</f>
        <v>16</v>
      </c>
      <c r="D16" s="1" t="n">
        <v>45322</v>
      </c>
      <c r="E16" s="1" t="n">
        <v>45323.2702083333</v>
      </c>
      <c r="F16" s="2" t="n">
        <v>96794.585</v>
      </c>
      <c r="G16" s="2" t="n">
        <v>96828.534</v>
      </c>
      <c r="H16" s="3" t="n">
        <v>33.954</v>
      </c>
      <c r="I16" s="13" t="n">
        <f aca="false">IF(H16&gt;0,(H16+I15),"")</f>
        <v>660.124</v>
      </c>
      <c r="J16" s="14" t="n">
        <f aca="false">IF($H16&gt;0,($I16/$A16),"")</f>
        <v>44.0082666666667</v>
      </c>
      <c r="K16" s="15" t="n">
        <f aca="false">IF($H16&gt;0,(($H16*$S$7)+$S$8)*(1+$R$9),"")</f>
        <v>7.46870454423828</v>
      </c>
      <c r="L16" s="16" t="n">
        <f aca="false">IF($H16&gt;0,($K16+$L15),"")</f>
        <v>144.565638423278</v>
      </c>
      <c r="M16" s="17" t="n">
        <f aca="false">IF($J16&lt;&gt;"",$J16*(LOOKUP(1E+307,$A:$A)-$A$2),"")</f>
        <v>1320.248</v>
      </c>
      <c r="N16" s="17" t="n">
        <f aca="false">IF($M16&lt;&gt;"",IF($M16&gt;1000,(($M16*$S$7)+($A16*$S$8))*(1+$R$9)-100,($M16*$S$7)+($A16*$R$9)*(1+$R$9)),"")</f>
        <v>186.974040296555</v>
      </c>
      <c r="O16" s="18" t="n">
        <f aca="false">IF(I16&gt;=1000,"",(1000-I16))</f>
        <v>339.876</v>
      </c>
      <c r="Q16" s="22" t="s">
        <v>59</v>
      </c>
      <c r="R16" s="37" t="n">
        <f aca="false">MIN(H2:H30)</f>
        <v>25.77</v>
      </c>
      <c r="S16" s="24"/>
    </row>
    <row r="17" customFormat="false" ht="15" hidden="false" customHeight="false" outlineLevel="0" collapsed="false">
      <c r="A17" s="11" t="n">
        <v>16</v>
      </c>
      <c r="B17" s="11" t="str">
        <f aca="false">TEXT($D17,"ddd")</f>
        <v>Thu</v>
      </c>
      <c r="C17" s="11" t="n">
        <f aca="false">$A$31-$A16</f>
        <v>15</v>
      </c>
      <c r="D17" s="1" t="n">
        <v>45323</v>
      </c>
      <c r="E17" s="1" t="n">
        <v>45324.2622222222</v>
      </c>
      <c r="F17" s="2" t="n">
        <v>96828.534</v>
      </c>
      <c r="G17" s="2" t="n">
        <v>96855.738</v>
      </c>
      <c r="H17" s="3" t="n">
        <v>27.204</v>
      </c>
      <c r="I17" s="13" t="n">
        <f aca="false">IF(H17&gt;0,(H17+I16),"")</f>
        <v>687.328</v>
      </c>
      <c r="J17" s="14" t="n">
        <f aca="false">IF($H17&gt;0,($I17/$A17),"")</f>
        <v>42.958</v>
      </c>
      <c r="K17" s="15" t="n">
        <f aca="false">IF($H17&gt;0,(($H17*$S$7)+$S$8)*(1+$R$9),"")</f>
        <v>6.01252856420328</v>
      </c>
      <c r="L17" s="16" t="n">
        <f aca="false">IF($H17&gt;0,($K17+$L16),"")</f>
        <v>150.578166987481</v>
      </c>
      <c r="M17" s="17" t="n">
        <f aca="false">IF($J17&lt;&gt;"",$J17*(LOOKUP(1E+307,$A:$A)-$A$2),"")</f>
        <v>1288.74</v>
      </c>
      <c r="N17" s="17" t="n">
        <f aca="false">IF($M17&lt;&gt;"",IF($M17&gt;1000,(($M17*$S$7)+($A17*$S$8))*(1+$R$9)-100,($M17*$S$7)+($A17*$R$9)*(1+$R$9)),"")</f>
        <v>180.320642321527</v>
      </c>
      <c r="O17" s="18" t="n">
        <f aca="false">IF(I17&gt;=1000,"",(1000-I17))</f>
        <v>312.672</v>
      </c>
      <c r="Q17" s="22" t="s">
        <v>60</v>
      </c>
      <c r="R17" s="37" t="n">
        <f aca="false">MAX(H2:H32)</f>
        <v>70.653</v>
      </c>
      <c r="S17" s="24"/>
    </row>
    <row r="18" customFormat="false" ht="15" hidden="false" customHeight="false" outlineLevel="0" collapsed="false">
      <c r="A18" s="11" t="n">
        <v>17</v>
      </c>
      <c r="B18" s="11" t="str">
        <f aca="false">TEXT($D18,"ddd")</f>
        <v>Fri</v>
      </c>
      <c r="C18" s="11" t="n">
        <f aca="false">$A$31-$A17</f>
        <v>14</v>
      </c>
      <c r="D18" s="1" t="n">
        <v>45324</v>
      </c>
      <c r="E18" s="1" t="n">
        <v>45326.2781944444</v>
      </c>
      <c r="F18" s="2" t="n">
        <v>96855.738</v>
      </c>
      <c r="G18" s="2" t="n">
        <v>96884.854</v>
      </c>
      <c r="H18" s="3" t="n">
        <v>29.119</v>
      </c>
      <c r="I18" s="13" t="n">
        <f aca="false">IF(H18&gt;0,(H18+I17),"")</f>
        <v>716.447</v>
      </c>
      <c r="J18" s="14" t="n">
        <f aca="false">IF($H18&gt;0,($I18/$A18),"")</f>
        <v>42.1439411764706</v>
      </c>
      <c r="K18" s="15" t="n">
        <f aca="false">IF($H18&gt;0,(($H18*$S$7)+$S$8)*(1+$R$9),"")</f>
        <v>6.42565108298358</v>
      </c>
      <c r="L18" s="16" t="n">
        <f aca="false">IF($H18&gt;0,($K18+$L17),"")</f>
        <v>157.003818070465</v>
      </c>
      <c r="M18" s="17" t="n">
        <f aca="false">IF($J18&lt;&gt;"",$J18*(LOOKUP(1E+307,$A:$A)-$A$2),"")</f>
        <v>1264.31823529412</v>
      </c>
      <c r="N18" s="17" t="n">
        <f aca="false">IF($M18&lt;&gt;"",IF($M18&gt;1000,(($M18*$S$7)+($A18*$S$8))*(1+$R$9)-100,($M18*$S$7)+($A18*$R$9)*(1+$R$9)),"")</f>
        <v>175.19595629082</v>
      </c>
      <c r="O18" s="18" t="n">
        <f aca="false">IF(I18&gt;=1000,"",(1000-I18))</f>
        <v>283.553</v>
      </c>
      <c r="Q18" s="22" t="s">
        <v>61</v>
      </c>
      <c r="R18" s="39" t="n">
        <f aca="false">IF(I2&gt;0,LOOKUP(1001,$I2:$I32,D2:D32),"")</f>
        <v>45332</v>
      </c>
      <c r="S18" s="24"/>
    </row>
    <row r="19" customFormat="false" ht="15" hidden="false" customHeight="false" outlineLevel="0" collapsed="false">
      <c r="A19" s="11" t="n">
        <v>18</v>
      </c>
      <c r="B19" s="11" t="str">
        <f aca="false">TEXT($D19,"ddd")</f>
        <v>Sat</v>
      </c>
      <c r="C19" s="11" t="n">
        <f aca="false">$A$31-$A18</f>
        <v>13</v>
      </c>
      <c r="D19" s="1" t="n">
        <v>45325</v>
      </c>
      <c r="E19" s="1" t="n">
        <v>45326.2776736111</v>
      </c>
      <c r="F19" s="2" t="n">
        <v>96884.854</v>
      </c>
      <c r="G19" s="2" t="n">
        <v>96915.42</v>
      </c>
      <c r="H19" s="3" t="n">
        <v>30.567</v>
      </c>
      <c r="I19" s="13" t="n">
        <f aca="false">IF(H19&gt;0,(H19+I18),"")</f>
        <v>747.014</v>
      </c>
      <c r="J19" s="14" t="n">
        <f aca="false">IF($H19&gt;0,($I19/$A19),"")</f>
        <v>41.5007777777778</v>
      </c>
      <c r="K19" s="15" t="n">
        <f aca="false">IF($H19&gt;0,(($H19*$S$7)+$S$8)*(1+$R$9),"")</f>
        <v>6.73802779692294</v>
      </c>
      <c r="L19" s="16" t="n">
        <f aca="false">IF($H19&gt;0,($K19+$L18),"")</f>
        <v>163.741845867388</v>
      </c>
      <c r="M19" s="17" t="n">
        <f aca="false">IF($J19&lt;&gt;"",$J19*(LOOKUP(1E+307,$A:$A)-$A$2),"")</f>
        <v>1245.02333333333</v>
      </c>
      <c r="N19" s="17" t="n">
        <f aca="false">IF($M19&lt;&gt;"",IF($M19&gt;1000,(($M19*$S$7)+($A19*$S$8))*(1+$R$9)-100,($M19*$S$7)+($A19*$R$9)*(1+$R$9)),"")</f>
        <v>171.177287205646</v>
      </c>
      <c r="O19" s="18" t="n">
        <f aca="false">IF(I19&gt;=1000,"",(1000-I19))</f>
        <v>252.986</v>
      </c>
      <c r="Q19" s="40"/>
      <c r="R19" s="41"/>
      <c r="S19" s="42"/>
    </row>
    <row r="20" customFormat="false" ht="15" hidden="false" customHeight="false" outlineLevel="0" collapsed="false">
      <c r="A20" s="11" t="n">
        <v>19</v>
      </c>
      <c r="B20" s="11" t="str">
        <f aca="false">TEXT($D20,"ddd")</f>
        <v>Sun</v>
      </c>
      <c r="C20" s="11" t="n">
        <f aca="false">$A$31-$A19</f>
        <v>12</v>
      </c>
      <c r="D20" s="1" t="n">
        <v>45326</v>
      </c>
      <c r="E20" s="1" t="n">
        <v>45327.2568055556</v>
      </c>
      <c r="F20" s="2" t="n">
        <v>96915.42</v>
      </c>
      <c r="G20" s="2" t="n">
        <v>96947.544</v>
      </c>
      <c r="H20" s="3" t="n">
        <v>32.122</v>
      </c>
      <c r="I20" s="13" t="n">
        <f aca="false">IF(H20&gt;0,(H20+I19),"")</f>
        <v>779.136</v>
      </c>
      <c r="J20" s="14" t="n">
        <f aca="false">IF($H20&gt;0,($I20/$A20),"")</f>
        <v>41.0071578947368</v>
      </c>
      <c r="K20" s="15" t="n">
        <f aca="false">IF($H20&gt;0,(($H20*$S$7)+$S$8)*(1+$R$9),"")</f>
        <v>7.07348759676804</v>
      </c>
      <c r="L20" s="16" t="n">
        <f aca="false">IF($H20&gt;0,($K20+$L19),"")</f>
        <v>170.815333464156</v>
      </c>
      <c r="M20" s="17" t="n">
        <f aca="false">IF($J20&lt;&gt;"",$J20*(LOOKUP(1E+307,$A:$A)-$A$2),"")</f>
        <v>1230.21473684211</v>
      </c>
      <c r="N20" s="17" t="n">
        <f aca="false">IF($M20&lt;&gt;"",IF($M20&gt;1000,(($M20*$S$7)+($A20*$S$8))*(1+$R$9)-100,($M20*$S$7)+($A20*$R$9)*(1+$R$9)),"")</f>
        <v>168.126447789193</v>
      </c>
      <c r="O20" s="18" t="n">
        <f aca="false">IF(I20&gt;=1000,"",(1000-I20))</f>
        <v>220.864</v>
      </c>
    </row>
    <row r="21" customFormat="false" ht="15" hidden="false" customHeight="false" outlineLevel="0" collapsed="false">
      <c r="A21" s="11" t="n">
        <v>20</v>
      </c>
      <c r="B21" s="11" t="str">
        <f aca="false">TEXT($D21,"ddd")</f>
        <v>Mon</v>
      </c>
      <c r="C21" s="11" t="n">
        <f aca="false">$A$31-$A20</f>
        <v>11</v>
      </c>
      <c r="D21" s="1" t="n">
        <v>45327</v>
      </c>
      <c r="E21" s="1" t="n">
        <v>45328.2570138889</v>
      </c>
      <c r="F21" s="2" t="n">
        <v>96947.544</v>
      </c>
      <c r="G21" s="2" t="n">
        <v>96984.344</v>
      </c>
      <c r="H21" s="3" t="n">
        <v>36.801</v>
      </c>
      <c r="I21" s="13" t="n">
        <f aca="false">IF(H21&gt;0,(H21+I20),"")</f>
        <v>815.937</v>
      </c>
      <c r="J21" s="14" t="n">
        <f aca="false">IF($H21&gt;0,($I21/$A21),"")</f>
        <v>40.79685</v>
      </c>
      <c r="K21" s="15" t="n">
        <f aca="false">IF($H21&gt;0,(($H21*$S$7)+$S$8)*(1+$R$9),"")</f>
        <v>8.08288721315082</v>
      </c>
      <c r="L21" s="16" t="n">
        <f aca="false">IF($H21&gt;0,($K21+$L20),"")</f>
        <v>178.898220677306</v>
      </c>
      <c r="M21" s="17" t="n">
        <f aca="false">IF($J21&lt;&gt;"",$J21*(LOOKUP(1E+307,$A:$A)-$A$2),"")</f>
        <v>1223.9055</v>
      </c>
      <c r="N21" s="17" t="n">
        <f aca="false">IF($M21&lt;&gt;"",IF($M21&gt;1000,(($M21*$S$7)+($A21*$S$8))*(1+$R$9)-100,($M21*$S$7)+($A21*$R$9)*(1+$R$9)),"")</f>
        <v>166.909173315959</v>
      </c>
      <c r="O21" s="18" t="n">
        <f aca="false">IF(I21&gt;=1000,"",(1000-I21))</f>
        <v>184.063</v>
      </c>
    </row>
    <row r="22" customFormat="false" ht="15" hidden="false" customHeight="false" outlineLevel="0" collapsed="false">
      <c r="A22" s="11" t="n">
        <v>21</v>
      </c>
      <c r="B22" s="11" t="str">
        <f aca="false">TEXT($D22,"ddd")</f>
        <v>Tue</v>
      </c>
      <c r="C22" s="11" t="n">
        <f aca="false">$A$31-$A21</f>
        <v>10</v>
      </c>
      <c r="D22" s="50" t="n">
        <v>45328</v>
      </c>
      <c r="E22" s="50" t="n">
        <v>45329.2569097222</v>
      </c>
      <c r="F22" s="2" t="n">
        <v>96984.344</v>
      </c>
      <c r="G22" s="2" t="n">
        <v>97030.492</v>
      </c>
      <c r="H22" s="3" t="n">
        <v>46.15</v>
      </c>
      <c r="I22" s="13" t="n">
        <f aca="false">IF(H22&gt;0,(H22+I21),"")</f>
        <v>862.087</v>
      </c>
      <c r="J22" s="14" t="n">
        <f aca="false">IF($H22&gt;0,($I22/$A22),"")</f>
        <v>41.0517619047619</v>
      </c>
      <c r="K22" s="15" t="n">
        <f aca="false">IF($H22&gt;0,(($H22*$S$7)+$S$8)*(1+$R$9),"")</f>
        <v>10.099744877943</v>
      </c>
      <c r="L22" s="16" t="n">
        <f aca="false">IF($H22&gt;0,($K22+$L21),"")</f>
        <v>188.997965555249</v>
      </c>
      <c r="M22" s="17" t="n">
        <f aca="false">IF($J22&lt;&gt;"",$J22*(LOOKUP(1E+307,$A:$A)-$A$2),"")</f>
        <v>1231.55285714286</v>
      </c>
      <c r="N22" s="17" t="n">
        <f aca="false">IF($M22&lt;&gt;"",IF($M22&gt;1000,(($M22*$S$7)+($A22*$S$8))*(1+$R$9)-100,($M22*$S$7)+($A22*$R$9)*(1+$R$9)),"")</f>
        <v>168.702751720356</v>
      </c>
      <c r="O22" s="18" t="n">
        <f aca="false">IF(I22&gt;=1000,"",(1000-I22))</f>
        <v>137.913</v>
      </c>
      <c r="Q22" s="10"/>
      <c r="R22" s="43" t="n">
        <v>2023</v>
      </c>
      <c r="S22" s="43" t="s">
        <v>62</v>
      </c>
      <c r="T22" s="43" t="s">
        <v>63</v>
      </c>
    </row>
    <row r="23" customFormat="false" ht="15" hidden="false" customHeight="false" outlineLevel="0" collapsed="false">
      <c r="A23" s="11" t="n">
        <v>22</v>
      </c>
      <c r="B23" s="11" t="str">
        <f aca="false">TEXT($D23,"ddd")</f>
        <v>Wed</v>
      </c>
      <c r="C23" s="11" t="n">
        <f aca="false">$A$31-$A22</f>
        <v>9</v>
      </c>
      <c r="D23" s="50" t="n">
        <v>45329</v>
      </c>
      <c r="E23" s="50" t="n">
        <v>45330.2581481482</v>
      </c>
      <c r="F23" s="2" t="n">
        <v>97030.492</v>
      </c>
      <c r="G23" s="2" t="n">
        <v>97059.884</v>
      </c>
      <c r="H23" s="3" t="n">
        <v>29.392</v>
      </c>
      <c r="I23" s="13" t="n">
        <f aca="false">IF(H23&gt;0,(H23+I22),"")</f>
        <v>891.479</v>
      </c>
      <c r="J23" s="14" t="n">
        <f aca="false">IF($H23&gt;0,($I23/$A23),"")</f>
        <v>40.5217727272727</v>
      </c>
      <c r="K23" s="15" t="n">
        <f aca="false">IF($H23&gt;0,(($H23*$S$7)+$S$8)*(1+$R$9),"")</f>
        <v>6.48454531150944</v>
      </c>
      <c r="L23" s="16" t="n">
        <f aca="false">IF($H23&gt;0,($K23+$L22),"")</f>
        <v>195.482510866759</v>
      </c>
      <c r="M23" s="17" t="n">
        <f aca="false">IF($J23&lt;&gt;"",$J23*(LOOKUP(1E+307,$A:$A)-$A$2),"")</f>
        <v>1215.65318181818</v>
      </c>
      <c r="N23" s="17" t="n">
        <f aca="false">IF($M23&lt;&gt;"",IF($M23&gt;1000,(($M23*$S$7)+($A23*$S$8))*(1+$R$9)-100,($M23*$S$7)+($A23*$R$9)*(1+$R$9)),"")</f>
        <v>165.416534112853</v>
      </c>
      <c r="O23" s="18" t="n">
        <f aca="false">IF(I23&gt;=1000,"",(1000-I23))</f>
        <v>108.521</v>
      </c>
      <c r="Q23" s="29"/>
      <c r="R23" s="44" t="s">
        <v>64</v>
      </c>
      <c r="S23" s="4" t="n">
        <v>7</v>
      </c>
      <c r="T23" s="4" t="n">
        <v>24</v>
      </c>
    </row>
    <row r="24" customFormat="false" ht="15" hidden="false" customHeight="false" outlineLevel="0" collapsed="false">
      <c r="A24" s="11" t="n">
        <v>23</v>
      </c>
      <c r="B24" s="11" t="str">
        <f aca="false">TEXT($D24,"ddd")</f>
        <v>Thu</v>
      </c>
      <c r="C24" s="11" t="n">
        <f aca="false">$A$31-$A23</f>
        <v>8</v>
      </c>
      <c r="D24" s="50" t="n">
        <v>45330</v>
      </c>
      <c r="E24" s="50" t="n">
        <v>45331.2572222222</v>
      </c>
      <c r="F24" s="2" t="n">
        <v>97059.884</v>
      </c>
      <c r="G24" s="2" t="n">
        <v>97087.208</v>
      </c>
      <c r="H24" s="3" t="n">
        <v>27.326</v>
      </c>
      <c r="I24" s="13" t="n">
        <f aca="false">IF(H24&gt;0,(H24+I23),"")</f>
        <v>918.805</v>
      </c>
      <c r="J24" s="14" t="n">
        <f aca="false">IF($H24&gt;0,($I24/$A24),"")</f>
        <v>39.9480434782609</v>
      </c>
      <c r="K24" s="15" t="n">
        <f aca="false">IF($H24&gt;0,(($H24*$S$7)+$S$8)*(1+$R$9),"")</f>
        <v>6.03884759673132</v>
      </c>
      <c r="L24" s="16" t="n">
        <f aca="false">IF($H24&gt;0,($K24+$L23),"")</f>
        <v>201.52135846349</v>
      </c>
      <c r="M24" s="17" t="n">
        <f aca="false">IF($J24&lt;&gt;"",$J24*(LOOKUP(1E+307,$A:$A)-$A$2),"")</f>
        <v>1198.44130434783</v>
      </c>
      <c r="N24" s="17" t="n">
        <f aca="false">IF($M24&lt;&gt;"",IF($M24&gt;1000,(($M24*$S$7)+($A24*$S$8))*(1+$R$9)-100,($M24*$S$7)+($A24*$R$9)*(1+$R$9)),"")</f>
        <v>161.847235431944</v>
      </c>
      <c r="O24" s="18" t="n">
        <f aca="false">IF(I24&gt;=1000,"",(1000-I24))</f>
        <v>81.1950000000001</v>
      </c>
      <c r="R24" s="44" t="s">
        <v>65</v>
      </c>
      <c r="S24" s="4" t="n">
        <v>11</v>
      </c>
      <c r="T24" s="4" t="n">
        <v>26</v>
      </c>
    </row>
    <row r="25" customFormat="false" ht="15" hidden="false" customHeight="false" outlineLevel="0" collapsed="false">
      <c r="A25" s="11" t="n">
        <v>24</v>
      </c>
      <c r="B25" s="11" t="str">
        <f aca="false">TEXT($D25,"ddd")</f>
        <v>Fri</v>
      </c>
      <c r="C25" s="11" t="n">
        <f aca="false">$A$31-$A24</f>
        <v>7</v>
      </c>
      <c r="D25" s="50" t="n">
        <v>45331</v>
      </c>
      <c r="E25" s="50" t="n">
        <v>45332.2567824074</v>
      </c>
      <c r="F25" s="2" t="n">
        <v>97087.208</v>
      </c>
      <c r="G25" s="2" t="n">
        <v>97112.976</v>
      </c>
      <c r="H25" s="3" t="n">
        <v>25.77</v>
      </c>
      <c r="I25" s="13" t="n">
        <f aca="false">IF(H25&gt;0,(H25+I24),"")</f>
        <v>944.575</v>
      </c>
      <c r="J25" s="14" t="n">
        <f aca="false">IF($H25&gt;0,($I25/$A25),"")</f>
        <v>39.3572916666667</v>
      </c>
      <c r="K25" s="15" t="n">
        <f aca="false">IF($H25&gt;0,(($H25*$S$7)+$S$8)*(1+$R$9),"")</f>
        <v>5.7031720671114</v>
      </c>
      <c r="L25" s="16" t="n">
        <f aca="false">IF($H25&gt;0,($K25+$L24),"")</f>
        <v>207.224530530602</v>
      </c>
      <c r="M25" s="17" t="n">
        <f aca="false">IF($J25&lt;&gt;"",$J25*(LOOKUP(1E+307,$A:$A)-$A$2),"")</f>
        <v>1180.71875</v>
      </c>
      <c r="N25" s="17" t="n">
        <f aca="false">IF($M25&lt;&gt;"",IF($M25&gt;1000,(($M25*$S$7)+($A25*$S$8))*(1+$R$9)-100,($M25*$S$7)+($A25*$R$9)*(1+$R$9)),"")</f>
        <v>158.167768543252</v>
      </c>
      <c r="O25" s="18" t="n">
        <f aca="false">IF(I25&gt;=1000,"",(1000-I25))</f>
        <v>55.4250000000001</v>
      </c>
      <c r="R25" s="44" t="s">
        <v>66</v>
      </c>
      <c r="S25" s="4" t="n">
        <v>16</v>
      </c>
      <c r="T25" s="4" t="n">
        <v>30</v>
      </c>
    </row>
    <row r="26" customFormat="false" ht="15" hidden="false" customHeight="false" outlineLevel="0" collapsed="false">
      <c r="A26" s="11" t="n">
        <v>25</v>
      </c>
      <c r="B26" s="11" t="str">
        <f aca="false">TEXT($D26,"ddd")</f>
        <v>Sat</v>
      </c>
      <c r="C26" s="11" t="n">
        <f aca="false">$A$31-$A25</f>
        <v>6</v>
      </c>
      <c r="D26" s="50" t="n">
        <v>45332</v>
      </c>
      <c r="E26" s="50" t="n">
        <v>45333.2769328704</v>
      </c>
      <c r="F26" s="2" t="n">
        <v>97112.976</v>
      </c>
      <c r="G26" s="2" t="n">
        <v>97141.116</v>
      </c>
      <c r="H26" s="3" t="n">
        <v>28.142</v>
      </c>
      <c r="I26" s="13" t="n">
        <f aca="false">IF(H26&gt;0,(H26+I25),"")</f>
        <v>972.717</v>
      </c>
      <c r="J26" s="14" t="n">
        <f aca="false">IF($H26&gt;0,($I26/$A26),"")</f>
        <v>38.90868</v>
      </c>
      <c r="K26" s="15" t="n">
        <f aca="false">IF($H26&gt;0,(($H26*$S$7)+$S$8)*(1+$R$9),"")</f>
        <v>6.21488309298444</v>
      </c>
      <c r="L26" s="16" t="n">
        <f aca="false">IF($H26&gt;0,($K26+$L25),"")</f>
        <v>213.439413623586</v>
      </c>
      <c r="M26" s="17" t="n">
        <f aca="false">IF($J26&lt;&gt;"",$J26*(LOOKUP(1E+307,$A:$A)-$A$2),"")</f>
        <v>1167.2604</v>
      </c>
      <c r="N26" s="17" t="n">
        <f aca="false">IF($M26&lt;&gt;"",IF($M26&gt;1000,(($M26*$S$7)+($A26*$S$8))*(1+$R$9)-100,($M26*$S$7)+($A26*$R$9)*(1+$R$9)),"")</f>
        <v>155.408217498303</v>
      </c>
      <c r="O26" s="18" t="n">
        <f aca="false">IF(I26&gt;=1000,"",(1000-I26))</f>
        <v>27.283</v>
      </c>
      <c r="R26" s="44" t="s">
        <v>67</v>
      </c>
      <c r="S26" s="4" t="n">
        <v>15</v>
      </c>
      <c r="T26" s="4" t="n">
        <v>31</v>
      </c>
    </row>
    <row r="27" customFormat="false" ht="15" hidden="false" customHeight="false" outlineLevel="0" collapsed="false">
      <c r="A27" s="11" t="n">
        <v>26</v>
      </c>
      <c r="B27" s="11" t="str">
        <f aca="false">TEXT($D27,"ddd")</f>
        <v>Sun</v>
      </c>
      <c r="C27" s="11" t="n">
        <f aca="false">$A$31-$A26</f>
        <v>5</v>
      </c>
      <c r="D27" s="50" t="n">
        <v>45333</v>
      </c>
      <c r="E27" s="50" t="n">
        <v>45334.2569444444</v>
      </c>
      <c r="F27" s="2" t="n">
        <v>97141.116</v>
      </c>
      <c r="G27" s="2" t="n">
        <v>97173.379</v>
      </c>
      <c r="H27" s="3" t="n">
        <v>32.263</v>
      </c>
      <c r="I27" s="13" t="n">
        <f aca="false">IF(H27&gt;0,(H27+I26),"")</f>
        <v>1004.98</v>
      </c>
      <c r="J27" s="14" t="n">
        <f aca="false">IF($H27&gt;0,($I27/$A27),"")</f>
        <v>38.6530769230769</v>
      </c>
      <c r="K27" s="15" t="n">
        <f aca="false">IF($H27&gt;0,(($H27*$S$7)+$S$8)*(1+$R$9),"")</f>
        <v>7.10390549501766</v>
      </c>
      <c r="L27" s="16" t="n">
        <f aca="false">IF($H27&gt;0,($K27+$L26),"")</f>
        <v>220.543319118604</v>
      </c>
      <c r="M27" s="17" t="n">
        <f aca="false">IF($J27&lt;&gt;"",$J27*(LOOKUP(1E+307,$A:$A)-$A$2),"")</f>
        <v>1159.59230769231</v>
      </c>
      <c r="N27" s="17" t="n">
        <f aca="false">IF($M27&lt;&gt;"",IF($M27&gt;1000,(($M27*$S$7)+($A27*$S$8))*(1+$R$9)-100,($M27*$S$7)+($A27*$R$9)*(1+$R$9)),"")</f>
        <v>153.897797441466</v>
      </c>
      <c r="O27" s="18" t="str">
        <f aca="false">IF(I27&gt;=1000,"",(1000-I27))</f>
        <v/>
      </c>
      <c r="R27" s="44" t="s">
        <v>68</v>
      </c>
      <c r="S27" s="4" t="n">
        <v>15</v>
      </c>
      <c r="T27" s="4" t="n">
        <v>29</v>
      </c>
    </row>
    <row r="28" customFormat="false" ht="15" hidden="false" customHeight="false" outlineLevel="0" collapsed="false">
      <c r="A28" s="11" t="n">
        <v>27</v>
      </c>
      <c r="B28" s="11" t="str">
        <f aca="false">TEXT($D28,"ddd")</f>
        <v>Mon</v>
      </c>
      <c r="C28" s="11" t="n">
        <f aca="false">$A$31-$A27</f>
        <v>4</v>
      </c>
      <c r="D28" s="50" t="n">
        <v>45334</v>
      </c>
      <c r="E28" s="50" t="n">
        <v>45335.2565393519</v>
      </c>
      <c r="F28" s="2" t="n">
        <v>97173.379</v>
      </c>
      <c r="G28" s="2" t="n">
        <v>97219.565</v>
      </c>
      <c r="H28" s="3" t="n">
        <v>46.186</v>
      </c>
      <c r="I28" s="13" t="n">
        <f aca="false">IF(H28&gt;0,(H28+I27),"")</f>
        <v>1051.166</v>
      </c>
      <c r="J28" s="14" t="n">
        <f aca="false">IF($H28&gt;0,($I28/$A28),"")</f>
        <v>38.9320740740741</v>
      </c>
      <c r="K28" s="15" t="n">
        <f aca="false">IF($H28&gt;0,(($H28*$S$7)+$S$8)*(1+$R$9),"")</f>
        <v>10.1075111498365</v>
      </c>
      <c r="L28" s="16" t="n">
        <f aca="false">IF($H28&gt;0,($K28+$L27),"")</f>
        <v>230.65083026844</v>
      </c>
      <c r="M28" s="17" t="n">
        <f aca="false">IF($J28&lt;&gt;"",$J28*(LOOKUP(1E+307,$A:$A)-$A$2),"")</f>
        <v>1167.96222222222</v>
      </c>
      <c r="N28" s="17" t="n">
        <f aca="false">IF($M28&lt;&gt;"",IF($M28&gt;1000,(($M28*$S$7)+($A28*$S$8))*(1+$R$9)-100,($M28*$S$7)+($A28*$R$9)*(1+$R$9)),"")</f>
        <v>155.847252988267</v>
      </c>
      <c r="O28" s="18" t="str">
        <f aca="false">IF(I28&gt;=1000,"",(1000-I28))</f>
        <v/>
      </c>
      <c r="Q28" s="29"/>
      <c r="R28" s="44" t="s">
        <v>69</v>
      </c>
      <c r="S28" s="4" t="n">
        <v>8</v>
      </c>
      <c r="T28" s="4" t="n">
        <v>24</v>
      </c>
    </row>
    <row r="29" customFormat="false" ht="15" hidden="false" customHeight="false" outlineLevel="0" collapsed="false">
      <c r="A29" s="11" t="n">
        <v>28</v>
      </c>
      <c r="B29" s="11" t="str">
        <f aca="false">TEXT($D29,"ddd")</f>
        <v>Tue</v>
      </c>
      <c r="C29" s="11" t="n">
        <f aca="false">$A$31-$A28</f>
        <v>3</v>
      </c>
      <c r="D29" s="50" t="n">
        <v>45335</v>
      </c>
      <c r="E29" s="50" t="n">
        <v>45336.2562847222</v>
      </c>
      <c r="F29" s="2" t="n">
        <v>97219.565</v>
      </c>
      <c r="G29" s="2" t="n">
        <v>97261.846</v>
      </c>
      <c r="H29" s="3" t="n">
        <v>42.28</v>
      </c>
      <c r="I29" s="13" t="n">
        <f aca="false">IF(H29&gt;0,(H29+I28),"")</f>
        <v>1093.446</v>
      </c>
      <c r="J29" s="14" t="n">
        <f aca="false">IF($H29&gt;0,($I29/$A29),"")</f>
        <v>39.0516428571429</v>
      </c>
      <c r="K29" s="15" t="n">
        <f aca="false">IF($H29&gt;0,(($H29*$S$7)+$S$8)*(1+$R$9),"")</f>
        <v>9.2648706493896</v>
      </c>
      <c r="L29" s="16" t="n">
        <f aca="false">IF($H29&gt;0,($K29+$L28),"")</f>
        <v>239.91570091783</v>
      </c>
      <c r="M29" s="17" t="n">
        <f aca="false">IF($J29&lt;&gt;"",$J29*(LOOKUP(1E+307,$A:$A)-$A$2),"")</f>
        <v>1171.54928571429</v>
      </c>
      <c r="N29" s="17" t="n">
        <f aca="false">IF($M29&lt;&gt;"",IF($M29&gt;1000,(($M29*$S$7)+($A29*$S$8))*(1+$R$9)-100,($M29*$S$7)+($A29*$R$9)*(1+$R$9)),"")</f>
        <v>156.764905157675</v>
      </c>
      <c r="O29" s="18" t="str">
        <f aca="false">IF(I29&gt;=1000,"",(1000-I29))</f>
        <v/>
      </c>
      <c r="R29" s="44" t="s">
        <v>70</v>
      </c>
      <c r="S29" s="4" t="n">
        <v>5</v>
      </c>
      <c r="T29" s="4" t="n">
        <v>20</v>
      </c>
    </row>
    <row r="30" customFormat="false" ht="15" hidden="false" customHeight="false" outlineLevel="0" collapsed="false">
      <c r="A30" s="11" t="n">
        <v>29</v>
      </c>
      <c r="B30" s="11" t="str">
        <f aca="false">TEXT($D30,"ddd")</f>
        <v>Wed</v>
      </c>
      <c r="C30" s="11" t="n">
        <f aca="false">$A$31-$A29</f>
        <v>2</v>
      </c>
      <c r="D30" s="50" t="n">
        <v>45336</v>
      </c>
      <c r="E30" s="50" t="n">
        <v>45337.2581018519</v>
      </c>
      <c r="F30" s="2" t="n">
        <v>97261.846</v>
      </c>
      <c r="G30" s="2" t="n">
        <v>97293.47</v>
      </c>
      <c r="H30" s="3" t="n">
        <v>31.629</v>
      </c>
      <c r="I30" s="13" t="n">
        <f aca="false">IF(H30&gt;0,(H30+I29),"")</f>
        <v>1125.075</v>
      </c>
      <c r="J30" s="14" t="n">
        <f aca="false">IF($H30&gt;0,($I30/$A30),"")</f>
        <v>38.7956896551724</v>
      </c>
      <c r="K30" s="15" t="n">
        <f aca="false">IF($H30&gt;0,(($H30*$S$7)+$S$8)*(1+$R$9),"")</f>
        <v>6.96713281778178</v>
      </c>
      <c r="L30" s="16" t="n">
        <f aca="false">IF($H30&gt;0,($K30+$L29),"")</f>
        <v>246.882833735612</v>
      </c>
      <c r="M30" s="17" t="n">
        <f aca="false">IF($J30&lt;&gt;"",$J30*(LOOKUP(1E+307,$A:$A)-$A$2),"")</f>
        <v>1163.87068965517</v>
      </c>
      <c r="N30" s="17" t="n">
        <f aca="false">IF($M30&lt;&gt;"",IF($M30&gt;1000,(($M30*$S$7)+($A30*$S$8))*(1+$R$9)-100,($M30*$S$7)+($A30*$R$9)*(1+$R$9)),"")</f>
        <v>155.252219128908</v>
      </c>
      <c r="O30" s="18" t="str">
        <f aca="false">IF(I30&gt;=1000,"",(1000-I30))</f>
        <v/>
      </c>
      <c r="R30" s="44" t="s">
        <v>71</v>
      </c>
      <c r="S30" s="4" t="n">
        <v>5</v>
      </c>
      <c r="T30" s="4" t="n">
        <v>19</v>
      </c>
    </row>
    <row r="31" customFormat="false" ht="15" hidden="false" customHeight="false" outlineLevel="0" collapsed="false">
      <c r="A31" s="11" t="n">
        <v>30</v>
      </c>
      <c r="B31" s="11" t="str">
        <f aca="false">TEXT('MAR 24'!$D2,"ddd")</f>
        <v>Thu</v>
      </c>
      <c r="C31" s="11" t="n">
        <f aca="false">$A$31-$A30</f>
        <v>1</v>
      </c>
      <c r="I31" s="13" t="n">
        <f aca="false">IF('MAR 24'!H2&gt;0,('MAR 24'!H2+I30),"")</f>
        <v>1152.223</v>
      </c>
      <c r="J31" s="14" t="n">
        <f aca="false">IF('MAR 24'!$H2&gt;0,($I31/$A31),"")</f>
        <v>38.4074333333333</v>
      </c>
      <c r="K31" s="15" t="n">
        <f aca="false">IF('MAR 24'!$H2&gt;0,(('MAR 24'!$H2*$S$7)+$S$8)*(1+$R$9),"")</f>
        <v>6.00044769681336</v>
      </c>
      <c r="L31" s="16" t="n">
        <f aca="false">IF('MAR 24'!$H2&gt;0,($K31+$L30),"")</f>
        <v>252.883281432425</v>
      </c>
      <c r="M31" s="17" t="n">
        <f aca="false">IF($J31&lt;&gt;"",$J31*(LOOKUP(1E+307,$A:$A)-$A$2),"")</f>
        <v>1152.223</v>
      </c>
      <c r="N31" s="17" t="n">
        <f aca="false">IF($M31&lt;&gt;"",IF($M31&gt;1000,(($M31*$S$7)+($A31*$S$8))*(1+$R$9)-100,($M31*$S$7)+($A31*$R$9)*(1+$R$9)),"")</f>
        <v>152.883281432425</v>
      </c>
      <c r="O31" s="18" t="str">
        <f aca="false">IF(I31&gt;=1000,"",(1000-I31))</f>
        <v/>
      </c>
      <c r="R31" s="44" t="s">
        <v>72</v>
      </c>
      <c r="S31" s="4" t="n">
        <v>4</v>
      </c>
      <c r="T31" s="4" t="n">
        <v>20</v>
      </c>
    </row>
    <row r="32" customFormat="false" ht="15" hidden="false" customHeight="false" outlineLevel="0" collapsed="false">
      <c r="A32" s="11" t="n">
        <v>31</v>
      </c>
      <c r="B32" s="11"/>
      <c r="C32" s="11" t="n">
        <f aca="false">$A$31-$A31</f>
        <v>0</v>
      </c>
      <c r="D32" s="50"/>
      <c r="E32" s="50"/>
      <c r="I32" s="13" t="str">
        <f aca="false">IF(H32&gt;0,(H32+I31),"")</f>
        <v/>
      </c>
      <c r="J32" s="14" t="str">
        <f aca="false">IF($H32&gt;0,($I32/$A32),"")</f>
        <v/>
      </c>
      <c r="K32" s="15" t="str">
        <f aca="false">IF($H32&gt;0,(($H32*$S$7)+$S$8)*(1+$R$9),"")</f>
        <v/>
      </c>
      <c r="L32" s="16" t="str">
        <f aca="false">IF($H32&gt;0,($K32+$L31),"")</f>
        <v/>
      </c>
      <c r="M32" s="17" t="str">
        <f aca="false">IF($J32&lt;&gt;"",$J32*(LOOKUP(1E+307,$A:$A)-$A$2),"")</f>
        <v/>
      </c>
      <c r="N32" s="17" t="str">
        <f aca="false">IF($M32&lt;&gt;"",IF($M32&gt;1000,(($M32*$S$7)+($A32*$S$8))*(1+$R$9)-100,($M32*$S$7)+($A32*$R$9)*(1+$R$9)),"")</f>
        <v/>
      </c>
      <c r="O32" s="18" t="str">
        <f aca="false">IF(I32&gt;=1000,"",(1000-I32))</f>
        <v/>
      </c>
      <c r="R32" s="44" t="s">
        <v>73</v>
      </c>
      <c r="S32" s="4" t="n">
        <v>9</v>
      </c>
      <c r="T32" s="4" t="n">
        <v>25</v>
      </c>
    </row>
    <row r="33" customFormat="false" ht="15" hidden="false" customHeight="false" outlineLevel="0" collapsed="false">
      <c r="A33" s="11"/>
      <c r="B33" s="11"/>
      <c r="C33" s="11"/>
      <c r="I33" s="13" t="str">
        <f aca="false">IF(H33&gt;0,(H33+I32),"")</f>
        <v/>
      </c>
      <c r="J33" s="14" t="str">
        <f aca="false">IF($H33&gt;0,($I33/$A33),"")</f>
        <v/>
      </c>
      <c r="K33" s="15" t="str">
        <f aca="false">IF($H33&lt;&gt;"",(($H33*$S$7)+($A33*$S$8))*(1+$S$9),"")</f>
        <v/>
      </c>
      <c r="L33" s="16" t="str">
        <f aca="false">IF($K33&lt;&gt;"",($K33+$L32),"")</f>
        <v/>
      </c>
      <c r="M33" s="17" t="str">
        <f aca="false">IF($J33&lt;&gt;"",$J33*(LOOKUP(1E+307,$A:$A)-$A$2),"")</f>
        <v/>
      </c>
      <c r="N33" s="17" t="str">
        <f aca="false">IF($M33&lt;&gt;"",IF($M33&gt;1000,(($M33*$S$7)+($A33*$S$8))*(1+$R$9)-100,($M33*$S$7)+($A33*$R$9)*(1+$R$9)),"")</f>
        <v/>
      </c>
      <c r="O33" s="18" t="str">
        <f aca="false">IF(I33&gt;=1000,"",(1000-I33))</f>
        <v/>
      </c>
      <c r="R33" s="44" t="s">
        <v>74</v>
      </c>
      <c r="S33" s="4" t="n">
        <v>14</v>
      </c>
      <c r="T33" s="4" t="n">
        <v>29</v>
      </c>
    </row>
    <row r="34" customFormat="false" ht="15" hidden="false" customHeight="false" outlineLevel="0" collapsed="false">
      <c r="A34" s="11"/>
      <c r="B34" s="11"/>
      <c r="C34" s="11"/>
      <c r="I34" s="13" t="str">
        <f aca="false">IF(H34&gt;0,(H34+I33),"")</f>
        <v/>
      </c>
      <c r="J34" s="14"/>
      <c r="K34" s="15"/>
      <c r="L34" s="16"/>
      <c r="M34" s="17"/>
      <c r="N34" s="17"/>
      <c r="O34" s="18" t="str">
        <f aca="false">IF(I34&gt;=1000,"",(1000-I34))</f>
        <v/>
      </c>
      <c r="P34" s="45"/>
      <c r="R34" s="44" t="s">
        <v>75</v>
      </c>
      <c r="S34" s="4" t="n">
        <v>12</v>
      </c>
      <c r="T34" s="4" t="n">
        <v>28</v>
      </c>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1125.075</v>
      </c>
    </row>
    <row r="39" customFormat="false" ht="15" hidden="false" customHeight="false" outlineLevel="0" collapsed="false">
      <c r="P39" s="34"/>
      <c r="Q39" s="48"/>
    </row>
    <row r="40" customFormat="false" ht="15" hidden="false" customHeight="false" outlineLevel="0" collapsed="false">
      <c r="P40" s="34"/>
      <c r="Q40" s="48"/>
    </row>
    <row r="41" customFormat="false" ht="15" hidden="false" customHeight="false" outlineLevel="0" collapsed="false">
      <c r="P41" s="34"/>
      <c r="Q41" s="48"/>
    </row>
    <row r="42" customFormat="false" ht="15" hidden="false" customHeight="false" outlineLevel="0" collapsed="false">
      <c r="P42" s="34"/>
      <c r="Q42" s="48"/>
    </row>
    <row r="43" customFormat="false" ht="15" hidden="false" customHeight="false" outlineLevel="0" collapsed="false">
      <c r="P43" s="34"/>
      <c r="Q43" s="48"/>
    </row>
    <row r="44" customFormat="false" ht="15" hidden="false" customHeight="false" outlineLevel="0" collapsed="false">
      <c r="P44" s="34"/>
      <c r="Q44" s="48"/>
    </row>
    <row r="45" customFormat="false" ht="15" hidden="false" customHeight="false" outlineLevel="0" collapsed="false">
      <c r="P45" s="34"/>
      <c r="Q45" s="48"/>
    </row>
    <row r="46" customFormat="false" ht="15" hidden="false" customHeight="false" outlineLevel="0" collapsed="false">
      <c r="P46" s="34"/>
      <c r="Q46" s="48"/>
    </row>
    <row r="47" customFormat="false" ht="15" hidden="false" customHeight="false" outlineLevel="0" collapsed="false">
      <c r="P47" s="34"/>
      <c r="Q47" s="48"/>
    </row>
    <row r="48" customFormat="false" ht="15" hidden="false" customHeight="false" outlineLevel="0" collapsed="false">
      <c r="P48" s="34"/>
      <c r="Q48" s="48"/>
    </row>
    <row r="49" customFormat="false" ht="15" hidden="false" customHeight="false" outlineLevel="0" collapsed="false">
      <c r="P49" s="34"/>
      <c r="Q49" s="48"/>
    </row>
    <row r="50" customFormat="false" ht="15" hidden="false" customHeight="false" outlineLevel="0" collapsed="false">
      <c r="P50" s="34"/>
      <c r="Q50" s="48"/>
    </row>
    <row r="51" customFormat="false" ht="15" hidden="false" customHeight="false" outlineLevel="0" collapsed="false">
      <c r="P51" s="34"/>
      <c r="Q51" s="48"/>
    </row>
    <row r="52" customFormat="false" ht="15" hidden="false" customHeight="false" outlineLevel="0" collapsed="false">
      <c r="P52" s="34"/>
      <c r="Q52" s="48"/>
    </row>
    <row r="53" customFormat="false" ht="15" hidden="false" customHeight="false" outlineLevel="0" collapsed="false">
      <c r="P53" s="34"/>
      <c r="Q53" s="48"/>
    </row>
    <row r="54" customFormat="false" ht="15" hidden="false" customHeight="false" outlineLevel="0" collapsed="false">
      <c r="P54" s="34"/>
      <c r="Q54" s="48"/>
    </row>
    <row r="55" customFormat="false" ht="15" hidden="false" customHeight="false" outlineLevel="0" collapsed="false">
      <c r="P55" s="34"/>
      <c r="Q55" s="48"/>
    </row>
    <row r="56" customFormat="false" ht="15" hidden="false" customHeight="false" outlineLevel="0" collapsed="false">
      <c r="P56" s="34"/>
      <c r="Q56" s="48"/>
    </row>
    <row r="57" customFormat="false" ht="15" hidden="false" customHeight="false" outlineLevel="0" collapsed="false">
      <c r="P57" s="34"/>
      <c r="Q57" s="48"/>
    </row>
    <row r="58" customFormat="false" ht="15" hidden="false" customHeight="false" outlineLevel="0" collapsed="false">
      <c r="P58" s="34"/>
      <c r="Q58" s="48"/>
    </row>
    <row r="59" customFormat="false" ht="15" hidden="false" customHeight="false" outlineLevel="0" collapsed="false">
      <c r="P59" s="34"/>
      <c r="Q59" s="48"/>
    </row>
    <row r="60" customFormat="false" ht="15" hidden="false" customHeight="false" outlineLevel="0" collapsed="false">
      <c r="P60" s="34"/>
      <c r="Q60" s="48"/>
    </row>
    <row r="61" customFormat="false" ht="15" hidden="false" customHeight="false" outlineLevel="0" collapsed="false">
      <c r="P61" s="34"/>
      <c r="Q61" s="48"/>
    </row>
    <row r="62" customFormat="false" ht="15" hidden="false" customHeight="false" outlineLevel="0" collapsed="false">
      <c r="P62" s="34"/>
      <c r="Q62" s="48"/>
    </row>
    <row r="63" customFormat="false" ht="15" hidden="false" customHeight="false" outlineLevel="0" collapsed="false">
      <c r="P63" s="34"/>
      <c r="Q63" s="48"/>
    </row>
    <row r="64" customFormat="false" ht="15" hidden="false" customHeight="false" outlineLevel="0" collapsed="false">
      <c r="P64" s="34"/>
      <c r="Q64" s="48"/>
    </row>
    <row r="65" customFormat="false" ht="15" hidden="false" customHeight="false" outlineLevel="0" collapsed="false">
      <c r="P65" s="34"/>
      <c r="Q65" s="48"/>
    </row>
    <row r="66" customFormat="false" ht="15" hidden="false" customHeight="false" outlineLevel="0" collapsed="false">
      <c r="P66" s="34"/>
      <c r="Q66" s="48"/>
    </row>
    <row r="67" customFormat="false" ht="15" hidden="false" customHeight="false" outlineLevel="0" collapsed="false">
      <c r="P67" s="34"/>
      <c r="Q67" s="48"/>
    </row>
  </sheetData>
  <conditionalFormatting sqref="K1:O1">
    <cfRule type="expression" priority="2" aboveAverage="0" equalAverage="0" bottom="0" percent="0" rank="0" text="" dxfId="7">
      <formula>" =CELL(“Protect”,A1)=1"</formula>
    </cfRule>
    <cfRule type="expression" priority="3" aboveAverage="0" equalAverage="0" bottom="0" percent="0" rank="0" text="" dxfId="1">
      <formula>" =CELL(“Protect”,A1)=1"</formula>
    </cfRule>
  </conditionalFormatting>
  <conditionalFormatting sqref="Q1:Q19">
    <cfRule type="expression" priority="4" aboveAverage="0" equalAverage="0" bottom="0" percent="0" rank="0" text="" dxfId="8">
      <formula>" =CELL(“Protect”,A1)=1"</formula>
    </cfRule>
    <cfRule type="expression" priority="5" aboveAverage="0" equalAverage="0" bottom="0" percent="0" rank="0" text="" dxfId="1">
      <formula>" =CELL(“Protect”,A1)=1"</formula>
    </cfRule>
  </conditionalFormatting>
  <conditionalFormatting sqref="A1:I1">
    <cfRule type="expression" priority="6" aboveAverage="0" equalAverage="0" bottom="0" percent="0" rank="0" text="" dxfId="9">
      <formula>" =CELL(“Protect”,A1)=1"</formula>
    </cfRule>
    <cfRule type="expression" priority="7"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38" activeCellId="0" sqref="L38"/>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5.42"/>
    <col collapsed="false" customWidth="true" hidden="false" outlineLevel="0" max="3" min="3" style="0" width="6.14"/>
    <col collapsed="false" customWidth="true" hidden="false" outlineLevel="0" max="5" min="4" style="51" width="9.71"/>
    <col collapsed="false" customWidth="true" hidden="false" outlineLevel="0" max="7" min="6" style="2" width="10.71"/>
    <col collapsed="false" customWidth="true" hidden="false" outlineLevel="0" max="8" min="8" style="0" width="9.71"/>
    <col collapsed="false" customWidth="true" hidden="false" outlineLevel="0" max="10" min="10" style="0" width="10.42"/>
    <col collapsed="false" customWidth="true" hidden="false" outlineLevel="0" max="12" min="12" style="0" width="11"/>
    <col collapsed="false" customWidth="true" hidden="false" outlineLevel="0" max="14" min="13" style="0" width="11.29"/>
    <col collapsed="false" customWidth="true" hidden="false" outlineLevel="0" max="16" min="16" style="2" width="9.14"/>
    <col collapsed="false" customWidth="true" hidden="false" outlineLevel="0" max="18" min="18" style="0" width="28.71"/>
    <col collapsed="false" customWidth="true" hidden="false" outlineLevel="0" max="19" min="19" style="0" width="8.71"/>
    <col collapsed="false" customWidth="true" hidden="false" outlineLevel="0" max="20" min="20" style="0" width="10.71"/>
  </cols>
  <sheetData>
    <row r="1" customFormat="false" ht="49.5" hidden="false" customHeight="true" outlineLevel="0" collapsed="false">
      <c r="A1" s="5" t="s">
        <v>0</v>
      </c>
      <c r="B1" s="6" t="s">
        <v>2</v>
      </c>
      <c r="C1" s="6" t="s">
        <v>1</v>
      </c>
      <c r="D1" s="7" t="s">
        <v>145</v>
      </c>
      <c r="E1" s="7" t="s">
        <v>146</v>
      </c>
      <c r="F1" s="8" t="s">
        <v>5</v>
      </c>
      <c r="G1" s="8" t="s">
        <v>6</v>
      </c>
      <c r="H1" s="6" t="s">
        <v>7</v>
      </c>
      <c r="I1" s="6" t="s">
        <v>8</v>
      </c>
      <c r="J1" s="145" t="s">
        <v>147</v>
      </c>
      <c r="K1" s="6" t="s">
        <v>148</v>
      </c>
      <c r="L1" s="6" t="s">
        <v>149</v>
      </c>
      <c r="M1" s="6" t="s">
        <v>150</v>
      </c>
      <c r="N1" s="6" t="s">
        <v>12</v>
      </c>
      <c r="O1" s="8" t="s">
        <v>151</v>
      </c>
      <c r="P1" s="9" t="s">
        <v>137</v>
      </c>
      <c r="T1" s="10"/>
      <c r="U1" s="71"/>
      <c r="V1" s="72"/>
      <c r="W1" s="72"/>
      <c r="X1" s="71"/>
      <c r="Y1" s="71"/>
      <c r="Z1" s="71"/>
      <c r="AA1" s="73"/>
      <c r="AB1" s="71"/>
      <c r="AC1" s="71"/>
      <c r="AD1" s="71"/>
    </row>
    <row r="2" customFormat="false" ht="15" hidden="false" customHeight="true" outlineLevel="0" collapsed="false">
      <c r="A2" s="4" t="n">
        <v>1</v>
      </c>
      <c r="B2" s="4" t="n">
        <f aca="false">$A$31-$A2</f>
        <v>29</v>
      </c>
      <c r="C2" s="11" t="str">
        <f aca="false">TEXT(D2,"ddd")</f>
        <v>Wed</v>
      </c>
      <c r="D2" s="51" t="n">
        <v>44545</v>
      </c>
      <c r="E2" s="51" t="n">
        <v>44546.2774884259</v>
      </c>
      <c r="F2" s="2" t="n">
        <v>64252</v>
      </c>
      <c r="G2" s="2" t="n">
        <v>64289.932</v>
      </c>
      <c r="H2" s="0" t="n">
        <v>37.501</v>
      </c>
      <c r="I2" s="13" t="n">
        <f aca="false">H2</f>
        <v>37.501</v>
      </c>
      <c r="J2" s="13" t="n">
        <f aca="false">(I2/A2)</f>
        <v>37.501</v>
      </c>
      <c r="K2" s="182"/>
      <c r="L2" s="15" t="str">
        <f aca="false">IF(KWH&gt;0,((RATES*KWH)+TDU_DAILY)+(1*TAX),"")</f>
        <v/>
      </c>
      <c r="M2" s="16" t="str">
        <f aca="false">(L2)</f>
        <v/>
      </c>
      <c r="N2" s="183" t="s">
        <v>124</v>
      </c>
      <c r="O2" s="183" t="s">
        <v>124</v>
      </c>
      <c r="P2" s="18" t="n">
        <f aca="false">IF((BREAK-CUM_KWH)&gt;0,BREAK-CUM_KWH,"")</f>
        <v>962.499</v>
      </c>
      <c r="R2" s="19" t="s">
        <v>18</v>
      </c>
      <c r="S2" s="184" t="s">
        <v>19</v>
      </c>
      <c r="T2" s="210"/>
      <c r="V2" s="74"/>
      <c r="W2" s="74"/>
    </row>
    <row r="3" customFormat="false" ht="15" hidden="false" customHeight="true" outlineLevel="0" collapsed="false">
      <c r="A3" s="4" t="n">
        <v>2</v>
      </c>
      <c r="B3" s="4" t="n">
        <f aca="false">$A$31-$A3</f>
        <v>28</v>
      </c>
      <c r="C3" s="11" t="str">
        <f aca="false">TEXT(D3,"ddd")</f>
        <v>Thu</v>
      </c>
      <c r="D3" s="51" t="n">
        <v>44546</v>
      </c>
      <c r="E3" s="51" t="n">
        <v>44547.3033101852</v>
      </c>
      <c r="F3" s="2" t="n">
        <v>64289.932</v>
      </c>
      <c r="G3" s="2" t="n">
        <v>64326.641</v>
      </c>
      <c r="H3" s="0" t="n">
        <v>36.704</v>
      </c>
      <c r="I3" s="13" t="n">
        <f aca="false">(I2+H3)</f>
        <v>74.205</v>
      </c>
      <c r="J3" s="13" t="n">
        <f aca="false">(I3/A3)</f>
        <v>37.1025</v>
      </c>
      <c r="K3" s="182"/>
      <c r="L3" s="15" t="str">
        <f aca="false">IF(KWH&gt;0,((RATES*KWH)+TDU_DAILY)+(1*TAX),"")</f>
        <v/>
      </c>
      <c r="M3" s="16" t="e">
        <f aca="false">(M2+L3)</f>
        <v>#VALUE!</v>
      </c>
      <c r="N3" s="183"/>
      <c r="O3" s="183"/>
      <c r="P3" s="18" t="n">
        <f aca="false">IF((BREAK-CUM_KWH)&gt;0,BREAK-CUM_KWH,"")</f>
        <v>925.795</v>
      </c>
      <c r="R3" s="22" t="s">
        <v>22</v>
      </c>
      <c r="S3" s="171" t="n">
        <f aca="false">(F2+1000)</f>
        <v>65252</v>
      </c>
      <c r="T3" s="176"/>
      <c r="W3" s="75"/>
      <c r="X3" s="76"/>
      <c r="Y3" s="76"/>
      <c r="Z3" s="77"/>
      <c r="AD3" s="78"/>
    </row>
    <row r="4" customFormat="false" ht="15" hidden="false" customHeight="true" outlineLevel="0" collapsed="false">
      <c r="A4" s="4" t="n">
        <v>3</v>
      </c>
      <c r="B4" s="4" t="n">
        <f aca="false">$A$31-$A4</f>
        <v>27</v>
      </c>
      <c r="C4" s="11" t="str">
        <f aca="false">TEXT(D4,"ddd")</f>
        <v>Fri</v>
      </c>
      <c r="D4" s="51" t="n">
        <v>44547</v>
      </c>
      <c r="E4" s="51" t="n">
        <v>44548.2775347222</v>
      </c>
      <c r="F4" s="2" t="n">
        <v>64326.641</v>
      </c>
      <c r="G4" s="2" t="n">
        <v>64350.904</v>
      </c>
      <c r="H4" s="0" t="n">
        <v>24.261</v>
      </c>
      <c r="I4" s="13" t="n">
        <f aca="false">(I3+H4)</f>
        <v>98.466</v>
      </c>
      <c r="J4" s="13" t="n">
        <f aca="false">(I4/A4)</f>
        <v>32.822</v>
      </c>
      <c r="K4" s="13" t="n">
        <f aca="false">IF($H4&gt;0,AVERAGE($H$2:$H4),"")</f>
        <v>32.822</v>
      </c>
      <c r="L4" s="15" t="str">
        <f aca="false">IF(KWH&gt;0,((RATES*KWH)+TDU_DAILY)+(1*TAX),"")</f>
        <v/>
      </c>
      <c r="M4" s="16" t="e">
        <f aca="false">(M3+L4)</f>
        <v>#VALUE!</v>
      </c>
      <c r="N4" s="17" t="n">
        <f aca="false">IF(MOVING_AVERAGE&lt;&gt;"",MOVING_AVERAGE*$A$33,$N3)</f>
        <v>0</v>
      </c>
      <c r="O4" s="17" t="str">
        <f aca="false">IF(PROJ_USAGE&gt;1000,((RATES*PROJ_USAGE)+ONCOR)*1+TAX-(CREDIT),"")</f>
        <v/>
      </c>
      <c r="P4" s="18" t="n">
        <f aca="false">IF((BREAK-CUM_KWH)&gt;0,BREAK-CUM_KWH,"")</f>
        <v>901.534</v>
      </c>
      <c r="R4" s="22" t="s">
        <v>25</v>
      </c>
      <c r="S4" s="173"/>
      <c r="T4" s="172" t="n">
        <v>0.001667</v>
      </c>
      <c r="V4" s="79"/>
      <c r="W4" s="80"/>
      <c r="X4" s="81"/>
      <c r="Y4" s="81"/>
      <c r="Z4" s="81"/>
      <c r="AA4" s="82"/>
      <c r="AD4" s="78"/>
    </row>
    <row r="5" s="45" customFormat="true" ht="15" hidden="false" customHeight="true" outlineLevel="0" collapsed="false">
      <c r="A5" s="4" t="n">
        <v>4</v>
      </c>
      <c r="B5" s="4" t="n">
        <f aca="false">$A$31-$A5</f>
        <v>26</v>
      </c>
      <c r="C5" s="11" t="str">
        <f aca="false">TEXT(D5,"ddd")</f>
        <v>Sat</v>
      </c>
      <c r="D5" s="51" t="n">
        <v>44548</v>
      </c>
      <c r="E5" s="51" t="n">
        <v>44549.3109953704</v>
      </c>
      <c r="F5" s="2" t="n">
        <v>64350.904</v>
      </c>
      <c r="G5" s="2" t="n">
        <v>64380.338</v>
      </c>
      <c r="H5" s="45" t="n">
        <v>29.438</v>
      </c>
      <c r="I5" s="13" t="n">
        <f aca="false">(I4+H5)</f>
        <v>127.904</v>
      </c>
      <c r="J5" s="13" t="n">
        <f aca="false">(I5/A5)</f>
        <v>31.976</v>
      </c>
      <c r="K5" s="13" t="n">
        <f aca="false">IF($H5&gt;0,AVERAGE($H$2:$H5),"")</f>
        <v>31.976</v>
      </c>
      <c r="L5" s="15" t="str">
        <f aca="false">IF(KWH&gt;0,((RATES*KWH)+TDU_DAILY)+(1*TAX),"")</f>
        <v/>
      </c>
      <c r="M5" s="16" t="e">
        <f aca="false">(M4+L5)</f>
        <v>#VALUE!</v>
      </c>
      <c r="N5" s="17" t="n">
        <f aca="false">IF(MOVING_AVERAGE&lt;&gt;"",MOVING_AVERAGE*$A$33,$N4)</f>
        <v>0</v>
      </c>
      <c r="O5" s="17" t="str">
        <f aca="false">IF(PROJ_USAGE&gt;1000,((RATES*PROJ_USAGE)+ONCOR)*1+TAX-(CREDIT),"")</f>
        <v/>
      </c>
      <c r="P5" s="18" t="n">
        <f aca="false">IF((BREAK-CUM_KWH)&gt;0,BREAK-CUM_KWH,"")</f>
        <v>872.096</v>
      </c>
      <c r="Q5" s="27"/>
      <c r="R5" s="22" t="s">
        <v>28</v>
      </c>
      <c r="S5" s="173"/>
      <c r="T5" s="172" t="n">
        <v>0.042</v>
      </c>
    </row>
    <row r="6" customFormat="false" ht="15" hidden="false" customHeight="true" outlineLevel="0" collapsed="false">
      <c r="A6" s="4" t="n">
        <v>5</v>
      </c>
      <c r="B6" s="4" t="n">
        <f aca="false">$A$31-$A6</f>
        <v>25</v>
      </c>
      <c r="C6" s="11" t="str">
        <f aca="false">TEXT(D6,"ddd")</f>
        <v>Sun</v>
      </c>
      <c r="D6" s="51" t="n">
        <v>44549</v>
      </c>
      <c r="E6" s="51" t="n">
        <v>44550.2765277778</v>
      </c>
      <c r="F6" s="2" t="n">
        <v>64380.338</v>
      </c>
      <c r="G6" s="2" t="n">
        <v>64429.296</v>
      </c>
      <c r="H6" s="0" t="n">
        <v>48.959</v>
      </c>
      <c r="I6" s="13" t="n">
        <f aca="false">(I5+H6)</f>
        <v>176.863</v>
      </c>
      <c r="J6" s="13" t="n">
        <f aca="false">(I6/A6)</f>
        <v>35.3726</v>
      </c>
      <c r="K6" s="13" t="n">
        <f aca="false">IF($H6&gt;0,AVERAGE($H$2:$H6),"")</f>
        <v>35.3726</v>
      </c>
      <c r="L6" s="15" t="str">
        <f aca="false">IF(KWH&gt;0,((RATES*KWH)+TDU_DAILY)+(1*TAX),"")</f>
        <v/>
      </c>
      <c r="M6" s="16" t="e">
        <f aca="false">(M5+L6)</f>
        <v>#VALUE!</v>
      </c>
      <c r="N6" s="17" t="n">
        <f aca="false">IF(MOVING_AVERAGE&lt;&gt;"",MOVING_AVERAGE*$A$33,$N5)</f>
        <v>0</v>
      </c>
      <c r="O6" s="17" t="str">
        <f aca="false">IF(PROJ_USAGE&gt;1000,((RATES*PROJ_USAGE)+ONCOR)*1+TAX-(CREDIT),"")</f>
        <v/>
      </c>
      <c r="P6" s="18" t="n">
        <f aca="false">IF((BREAK-CUM_KWH)&gt;0,BREAK-CUM_KWH,"")</f>
        <v>823.137</v>
      </c>
      <c r="R6" s="22" t="s">
        <v>31</v>
      </c>
      <c r="S6" s="173"/>
      <c r="T6" s="172" t="n">
        <v>0.154</v>
      </c>
    </row>
    <row r="7" customFormat="false" ht="15" hidden="false" customHeight="true" outlineLevel="0" collapsed="false">
      <c r="A7" s="4" t="n">
        <v>6</v>
      </c>
      <c r="B7" s="4" t="n">
        <f aca="false">$A$31-$A7</f>
        <v>24</v>
      </c>
      <c r="C7" s="11" t="str">
        <f aca="false">TEXT(D7,"ddd")</f>
        <v>Mon</v>
      </c>
      <c r="D7" s="51" t="n">
        <v>44550</v>
      </c>
      <c r="E7" s="51" t="n">
        <v>44551.2762268519</v>
      </c>
      <c r="F7" s="2" t="n">
        <v>64429.296</v>
      </c>
      <c r="G7" s="2" t="n">
        <v>64470.661</v>
      </c>
      <c r="H7" s="0" t="n">
        <v>41.364</v>
      </c>
      <c r="I7" s="13" t="n">
        <f aca="false">(I6+H7)</f>
        <v>218.227</v>
      </c>
      <c r="J7" s="13" t="n">
        <f aca="false">(I7/A7)</f>
        <v>36.3711666666667</v>
      </c>
      <c r="K7" s="13" t="n">
        <f aca="false">IF($H7&gt;0,AVERAGE($H$2:$H7),"")</f>
        <v>36.3711666666667</v>
      </c>
      <c r="L7" s="15" t="str">
        <f aca="false">IF(KWH&gt;0,((RATES*KWH)+TDU_DAILY)+(1*TAX),"")</f>
        <v/>
      </c>
      <c r="M7" s="16" t="e">
        <f aca="false">(M6+L7)</f>
        <v>#VALUE!</v>
      </c>
      <c r="N7" s="17" t="n">
        <f aca="false">IF(MOVING_AVERAGE&lt;&gt;"",MOVING_AVERAGE*$A$33,$N6)</f>
        <v>0</v>
      </c>
      <c r="O7" s="17" t="str">
        <f aca="false">IF(PROJ_USAGE&gt;1000,((RATES*PROJ_USAGE)+ONCOR)*1+TAX-(CREDIT),"")</f>
        <v/>
      </c>
      <c r="P7" s="18" t="n">
        <f aca="false">IF((BREAK-CUM_KWH)&gt;0,BREAK-CUM_KWH,"")</f>
        <v>781.773</v>
      </c>
      <c r="R7" s="22" t="s">
        <v>34</v>
      </c>
      <c r="S7" s="173"/>
      <c r="T7" s="211" t="n">
        <f aca="false">SUM(T4:T6)</f>
        <v>0.197667</v>
      </c>
    </row>
    <row r="8" customFormat="false" ht="15" hidden="false" customHeight="false" outlineLevel="0" collapsed="false">
      <c r="A8" s="4" t="n">
        <v>7</v>
      </c>
      <c r="B8" s="4" t="n">
        <f aca="false">$A$31-$A8</f>
        <v>23</v>
      </c>
      <c r="C8" s="11" t="str">
        <f aca="false">TEXT(D8,"ddd")</f>
        <v>Tue</v>
      </c>
      <c r="D8" s="51" t="n">
        <v>44551</v>
      </c>
      <c r="E8" s="51" t="n">
        <v>44552.2771990741</v>
      </c>
      <c r="F8" s="2" t="n">
        <v>64470.661</v>
      </c>
      <c r="G8" s="2" t="n">
        <v>64517.411</v>
      </c>
      <c r="H8" s="0" t="n">
        <v>46.746</v>
      </c>
      <c r="I8" s="13" t="n">
        <f aca="false">(I7+H8)</f>
        <v>264.973</v>
      </c>
      <c r="J8" s="13" t="n">
        <f aca="false">(I8/A8)</f>
        <v>37.8532857142857</v>
      </c>
      <c r="K8" s="13" t="n">
        <f aca="false">IF($H8&gt;0,AVERAGE($H$2:$H8),"")</f>
        <v>37.8532857142857</v>
      </c>
      <c r="L8" s="15" t="str">
        <f aca="false">IF(KWH&gt;0,((RATES*KWH)+TDU_DAILY)+(1*TAX),"")</f>
        <v/>
      </c>
      <c r="M8" s="16" t="e">
        <f aca="false">(M7+L8)</f>
        <v>#VALUE!</v>
      </c>
      <c r="N8" s="17" t="n">
        <f aca="false">IF(MOVING_AVERAGE&lt;&gt;"",MOVING_AVERAGE*$A$33,$N7)</f>
        <v>0</v>
      </c>
      <c r="O8" s="17" t="str">
        <f aca="false">IF(PROJ_USAGE&gt;1000,((RATES*PROJ_USAGE)+ONCOR)*1+TAX-(CREDIT),"")</f>
        <v/>
      </c>
      <c r="P8" s="18" t="n">
        <f aca="false">IF((BREAK-CUM_KWH)&gt;0,BREAK-CUM_KWH,"")</f>
        <v>735.027</v>
      </c>
      <c r="R8" s="22" t="s">
        <v>38</v>
      </c>
      <c r="S8" s="171" t="n">
        <v>3.4</v>
      </c>
      <c r="T8" s="172" t="n">
        <f aca="false">($S$8/DAYS)</f>
        <v>0.109677419354839</v>
      </c>
    </row>
    <row r="9" customFormat="false" ht="15" hidden="false" customHeight="false" outlineLevel="0" collapsed="false">
      <c r="A9" s="4" t="n">
        <v>8</v>
      </c>
      <c r="B9" s="4" t="n">
        <f aca="false">$A$31-$A9</f>
        <v>22</v>
      </c>
      <c r="C9" s="11" t="str">
        <f aca="false">TEXT(D9,"ddd")</f>
        <v>Wed</v>
      </c>
      <c r="D9" s="51" t="n">
        <v>44552</v>
      </c>
      <c r="E9" s="51" t="n">
        <v>44553.2772337963</v>
      </c>
      <c r="F9" s="2" t="n">
        <v>64517.411</v>
      </c>
      <c r="G9" s="2" t="n">
        <v>64569.197</v>
      </c>
      <c r="H9" s="47" t="n">
        <v>51.782</v>
      </c>
      <c r="I9" s="13" t="n">
        <f aca="false">(I8+H9)</f>
        <v>316.755</v>
      </c>
      <c r="J9" s="13" t="n">
        <f aca="false">(I9/A9)</f>
        <v>39.594375</v>
      </c>
      <c r="K9" s="13" t="n">
        <f aca="false">IF($H9&gt;0,AVERAGE($H$2:$H9),"")</f>
        <v>39.594375</v>
      </c>
      <c r="L9" s="15" t="str">
        <f aca="false">IF(KWH&gt;0,((RATES*KWH)+TDU_DAILY)+(1*TAX),"")</f>
        <v/>
      </c>
      <c r="M9" s="16" t="e">
        <f aca="false">(M8+L9)</f>
        <v>#VALUE!</v>
      </c>
      <c r="N9" s="17" t="n">
        <f aca="false">IF(MOVING_AVERAGE&lt;&gt;"",MOVING_AVERAGE*$A$33,$N8)</f>
        <v>0</v>
      </c>
      <c r="O9" s="17" t="str">
        <f aca="false">IF(PROJ_USAGE&gt;1000,((RATES*PROJ_USAGE)+ONCOR)*1+TAX-(CREDIT),"")</f>
        <v/>
      </c>
      <c r="P9" s="18" t="n">
        <f aca="false">IF((BREAK-CUM_KWH)&gt;0,BREAK-CUM_KWH,"")</f>
        <v>683.245</v>
      </c>
      <c r="R9" s="22" t="s">
        <v>42</v>
      </c>
      <c r="S9" s="173"/>
      <c r="T9" s="212" t="n">
        <v>0.01997</v>
      </c>
    </row>
    <row r="10" customFormat="false" ht="15" hidden="false" customHeight="false" outlineLevel="0" collapsed="false">
      <c r="A10" s="4" t="n">
        <v>9</v>
      </c>
      <c r="B10" s="4" t="n">
        <f aca="false">$A$31-$A10</f>
        <v>21</v>
      </c>
      <c r="C10" s="11" t="str">
        <f aca="false">TEXT(D10,"ddd")</f>
        <v>Thu</v>
      </c>
      <c r="D10" s="51" t="n">
        <v>44553</v>
      </c>
      <c r="E10" s="51" t="n">
        <v>44554.2735763889</v>
      </c>
      <c r="F10" s="2" t="n">
        <v>64569.197</v>
      </c>
      <c r="G10" s="2" t="n">
        <v>64610.512</v>
      </c>
      <c r="H10" s="47" t="n">
        <v>41.319</v>
      </c>
      <c r="I10" s="13" t="n">
        <f aca="false">(I9+H10)</f>
        <v>358.074</v>
      </c>
      <c r="J10" s="13" t="n">
        <f aca="false">(I10/A10)</f>
        <v>39.786</v>
      </c>
      <c r="K10" s="13" t="n">
        <f aca="false">IF($H10&gt;0,AVERAGE($H$2:$H10),"")</f>
        <v>39.786</v>
      </c>
      <c r="L10" s="15" t="str">
        <f aca="false">IF(KWH&gt;0,((RATES*KWH)+TDU_DAILY)+(1*TAX),"")</f>
        <v/>
      </c>
      <c r="M10" s="16" t="e">
        <f aca="false">(M9+L10)</f>
        <v>#VALUE!</v>
      </c>
      <c r="N10" s="17" t="n">
        <f aca="false">IF(MOVING_AVERAGE&lt;&gt;"",MOVING_AVERAGE*$A$33,$N9)</f>
        <v>0</v>
      </c>
      <c r="O10" s="17" t="str">
        <f aca="false">IF(PROJ_USAGE&gt;1000,((RATES*PROJ_USAGE)+ONCOR)*1+TAX-(CREDIT),"")</f>
        <v/>
      </c>
      <c r="P10" s="18" t="n">
        <f aca="false">IF((BREAK-CUM_KWH)&gt;0,BREAK-CUM_KWH,"")</f>
        <v>641.926</v>
      </c>
      <c r="R10" s="22" t="s">
        <v>46</v>
      </c>
      <c r="S10" s="175" t="n">
        <v>100</v>
      </c>
      <c r="T10" s="212" t="n">
        <v>1000</v>
      </c>
    </row>
    <row r="11" customFormat="false" ht="15" hidden="false" customHeight="false" outlineLevel="0" collapsed="false">
      <c r="A11" s="4" t="n">
        <v>10</v>
      </c>
      <c r="B11" s="4" t="n">
        <f aca="false">$A$31-$A11</f>
        <v>20</v>
      </c>
      <c r="C11" s="11" t="str">
        <f aca="false">TEXT(D11,"ddd")</f>
        <v>Fri</v>
      </c>
      <c r="D11" s="51" t="n">
        <v>44554</v>
      </c>
      <c r="E11" s="51" t="n">
        <v>44555.2752083333</v>
      </c>
      <c r="F11" s="2" t="n">
        <v>64610.512</v>
      </c>
      <c r="G11" s="2" t="n">
        <v>64630.362</v>
      </c>
      <c r="H11" s="47" t="n">
        <v>19.854</v>
      </c>
      <c r="I11" s="13" t="n">
        <f aca="false">(I10+H11)</f>
        <v>377.928</v>
      </c>
      <c r="J11" s="13" t="n">
        <f aca="false">(I11/A11)</f>
        <v>37.7928</v>
      </c>
      <c r="K11" s="13" t="n">
        <f aca="false">IF($H11&gt;0,AVERAGE($H$2:$H11),"")</f>
        <v>37.7928</v>
      </c>
      <c r="L11" s="15" t="str">
        <f aca="false">IF(KWH&gt;0,((RATES*KWH)+TDU_DAILY)+(1*TAX),"")</f>
        <v/>
      </c>
      <c r="M11" s="16" t="e">
        <f aca="false">(M10+L11)</f>
        <v>#VALUE!</v>
      </c>
      <c r="N11" s="17" t="n">
        <f aca="false">IF(MOVING_AVERAGE&lt;&gt;"",MOVING_AVERAGE*$A$33,$N10)</f>
        <v>0</v>
      </c>
      <c r="O11" s="17" t="str">
        <f aca="false">IF(PROJ_USAGE&gt;1000,((RATES*PROJ_USAGE)+ONCOR)*1+TAX-(CREDIT),"")</f>
        <v/>
      </c>
      <c r="P11" s="18" t="n">
        <f aca="false">IF((BREAK-CUM_KWH)&gt;0,BREAK-CUM_KWH,"")</f>
        <v>622.072</v>
      </c>
      <c r="R11" s="22" t="s">
        <v>49</v>
      </c>
      <c r="S11" s="175" t="n">
        <v>295</v>
      </c>
      <c r="T11" s="176"/>
    </row>
    <row r="12" customFormat="false" ht="15" hidden="false" customHeight="false" outlineLevel="0" collapsed="false">
      <c r="A12" s="4" t="n">
        <v>11</v>
      </c>
      <c r="B12" s="4" t="n">
        <f aca="false">$A$31-$A12</f>
        <v>19</v>
      </c>
      <c r="C12" s="11" t="str">
        <f aca="false">TEXT(D12,"ddd")</f>
        <v>Sat</v>
      </c>
      <c r="D12" s="51" t="n">
        <v>44555</v>
      </c>
      <c r="E12" s="51" t="n">
        <v>44556.309212963</v>
      </c>
      <c r="F12" s="2" t="n">
        <v>64630.362</v>
      </c>
      <c r="G12" s="2" t="n">
        <v>64653.678</v>
      </c>
      <c r="H12" s="47" t="n">
        <v>23.314</v>
      </c>
      <c r="I12" s="13" t="n">
        <f aca="false">(I11+H12)</f>
        <v>401.242</v>
      </c>
      <c r="J12" s="13" t="n">
        <f aca="false">(I12/A12)</f>
        <v>36.4765454545455</v>
      </c>
      <c r="K12" s="13" t="n">
        <f aca="false">IF($H12&gt;0,AVERAGE($H$2:$H12),"")</f>
        <v>36.4765454545455</v>
      </c>
      <c r="L12" s="15" t="str">
        <f aca="false">IF(KWH&gt;0,((RATES*KWH)+TDU_DAILY)+(1*TAX),"")</f>
        <v/>
      </c>
      <c r="M12" s="16" t="e">
        <f aca="false">(M11+L12)</f>
        <v>#VALUE!</v>
      </c>
      <c r="N12" s="17" t="n">
        <f aca="false">IF(MOVING_AVERAGE&lt;&gt;"",MOVING_AVERAGE*$A$33,$N11)</f>
        <v>0</v>
      </c>
      <c r="O12" s="17" t="str">
        <f aca="false">IF(PROJ_USAGE&gt;1000,((RATES*PROJ_USAGE)+ONCOR)*1+TAX-(CREDIT),"")</f>
        <v/>
      </c>
      <c r="P12" s="18" t="n">
        <f aca="false">IF((BREAK-CUM_KWH)&gt;0,BREAK-CUM_KWH,"")</f>
        <v>598.758</v>
      </c>
      <c r="R12" s="22" t="s">
        <v>52</v>
      </c>
      <c r="S12" s="177" t="e">
        <f aca="false">INDEX(M2:M32,COUNT(M2:M32))</f>
        <v>#VALUE!</v>
      </c>
      <c r="T12" s="176"/>
    </row>
    <row r="13" customFormat="false" ht="15" hidden="false" customHeight="false" outlineLevel="0" collapsed="false">
      <c r="A13" s="4" t="n">
        <v>12</v>
      </c>
      <c r="B13" s="4" t="n">
        <f aca="false">$A$31-$A13</f>
        <v>18</v>
      </c>
      <c r="C13" s="11" t="str">
        <f aca="false">TEXT(D13,"ddd")</f>
        <v>Sun</v>
      </c>
      <c r="D13" s="51" t="n">
        <v>44556</v>
      </c>
      <c r="E13" s="51" t="n">
        <v>44557.2828240741</v>
      </c>
      <c r="F13" s="2" t="n">
        <v>64653.678</v>
      </c>
      <c r="G13" s="2" t="n">
        <v>64675.23</v>
      </c>
      <c r="H13" s="47" t="n">
        <v>21.545</v>
      </c>
      <c r="I13" s="13" t="n">
        <f aca="false">(I12+H13)</f>
        <v>422.787</v>
      </c>
      <c r="J13" s="13" t="n">
        <f aca="false">(I13/A13)</f>
        <v>35.23225</v>
      </c>
      <c r="K13" s="13" t="n">
        <f aca="false">IF($H13&gt;0,AVERAGE($H$2:$H13),"")</f>
        <v>35.23225</v>
      </c>
      <c r="L13" s="15" t="str">
        <f aca="false">IF(KWH&gt;0,((RATES*KWH)+TDU_DAILY)+(1*TAX),"")</f>
        <v/>
      </c>
      <c r="M13" s="16" t="e">
        <f aca="false">(M12+L13)</f>
        <v>#VALUE!</v>
      </c>
      <c r="N13" s="17" t="n">
        <f aca="false">IF(MOVING_AVERAGE&lt;&gt;"",MOVING_AVERAGE*$A$33,$N12)</f>
        <v>0</v>
      </c>
      <c r="O13" s="17" t="str">
        <f aca="false">IF(PROJ_USAGE&gt;1000,((RATES*PROJ_USAGE)+ONCOR)*1+TAX-(CREDIT),"")</f>
        <v/>
      </c>
      <c r="P13" s="18" t="n">
        <f aca="false">IF((BREAK-CUM_KWH)&gt;0,BREAK-CUM_KWH,"")</f>
        <v>577.213</v>
      </c>
      <c r="R13" s="22" t="s">
        <v>55</v>
      </c>
      <c r="S13" s="178" t="n">
        <f aca="false">INDEX(I2:I32,COUNT(I2:I32))</f>
        <v>1098.886</v>
      </c>
      <c r="T13" s="176"/>
    </row>
    <row r="14" customFormat="false" ht="15" hidden="false" customHeight="false" outlineLevel="0" collapsed="false">
      <c r="A14" s="4" t="n">
        <v>13</v>
      </c>
      <c r="B14" s="4" t="n">
        <f aca="false">$A$31-$A14</f>
        <v>17</v>
      </c>
      <c r="C14" s="11" t="str">
        <f aca="false">TEXT(D14,"ddd")</f>
        <v>Mon</v>
      </c>
      <c r="D14" s="51" t="n">
        <v>44557</v>
      </c>
      <c r="E14" s="51" t="n">
        <v>44558.2779976852</v>
      </c>
      <c r="F14" s="2" t="n">
        <v>64675.23</v>
      </c>
      <c r="G14" s="2" t="n">
        <v>64703.226</v>
      </c>
      <c r="H14" s="47" t="n">
        <v>27.997</v>
      </c>
      <c r="I14" s="13" t="n">
        <f aca="false">(I13+H14)</f>
        <v>450.784</v>
      </c>
      <c r="J14" s="13" t="n">
        <f aca="false">(I14/A14)</f>
        <v>34.6756923076923</v>
      </c>
      <c r="K14" s="13" t="n">
        <f aca="false">IF($H14&gt;0,AVERAGE($H$2:$H14),"")</f>
        <v>34.6756923076923</v>
      </c>
      <c r="L14" s="15" t="str">
        <f aca="false">IF(KWH&gt;0,((RATES*KWH)+TDU_DAILY)+(1*TAX),"")</f>
        <v/>
      </c>
      <c r="M14" s="16" t="e">
        <f aca="false">(M13+L14)</f>
        <v>#VALUE!</v>
      </c>
      <c r="N14" s="17" t="n">
        <f aca="false">IF(MOVING_AVERAGE&lt;&gt;"",MOVING_AVERAGE*$A$33,$N13)</f>
        <v>0</v>
      </c>
      <c r="O14" s="17" t="str">
        <f aca="false">IF(PROJ_USAGE&gt;1000,((RATES*PROJ_USAGE)+ONCOR)*1+TAX-(CREDIT),"")</f>
        <v/>
      </c>
      <c r="P14" s="18" t="n">
        <f aca="false">IF((BREAK-CUM_KWH)&gt;0,BREAK-CUM_KWH,"")</f>
        <v>549.216</v>
      </c>
      <c r="R14" s="40" t="s">
        <v>58</v>
      </c>
      <c r="S14" s="179" t="n">
        <f aca="false">INDEX(J2:J32,COUNT(J2:J32))</f>
        <v>36.6295333333333</v>
      </c>
      <c r="T14" s="180"/>
    </row>
    <row r="15" customFormat="false" ht="15" hidden="false" customHeight="false" outlineLevel="0" collapsed="false">
      <c r="A15" s="4" t="n">
        <v>14</v>
      </c>
      <c r="B15" s="4" t="n">
        <f aca="false">$A$31-$A15</f>
        <v>16</v>
      </c>
      <c r="C15" s="11" t="str">
        <f aca="false">TEXT(D15,"ddd")</f>
        <v>Tue</v>
      </c>
      <c r="D15" s="51" t="n">
        <v>44558</v>
      </c>
      <c r="E15" s="51" t="n">
        <v>44559.2788078704</v>
      </c>
      <c r="F15" s="2" t="n">
        <v>64703.226</v>
      </c>
      <c r="G15" s="2" t="n">
        <v>64727.525</v>
      </c>
      <c r="H15" s="47" t="n">
        <v>24.301</v>
      </c>
      <c r="I15" s="13" t="n">
        <f aca="false">(I14+H15)</f>
        <v>475.085</v>
      </c>
      <c r="J15" s="13" t="n">
        <f aca="false">(I15/A15)</f>
        <v>33.9346428571429</v>
      </c>
      <c r="K15" s="13" t="n">
        <f aca="false">IF($H15&gt;0,AVERAGE($H$2:$H15),"")</f>
        <v>33.9346428571429</v>
      </c>
      <c r="L15" s="15" t="str">
        <f aca="false">IF(KWH&gt;0,((RATES*KWH)+TDU_DAILY)+(1*TAX),"")</f>
        <v/>
      </c>
      <c r="M15" s="16" t="e">
        <f aca="false">(M14+L15)</f>
        <v>#VALUE!</v>
      </c>
      <c r="N15" s="17" t="n">
        <f aca="false">IF(MOVING_AVERAGE&lt;&gt;"",MOVING_AVERAGE*$A$33,$N14)</f>
        <v>0</v>
      </c>
      <c r="O15" s="17" t="str">
        <f aca="false">IF(PROJ_USAGE&gt;1000,((RATES*PROJ_USAGE)+ONCOR)*1+TAX-(CREDIT),"")</f>
        <v/>
      </c>
      <c r="P15" s="18" t="n">
        <f aca="false">IF((BREAK-CUM_KWH)&gt;0,BREAK-CUM_KWH,"")</f>
        <v>524.915</v>
      </c>
    </row>
    <row r="16" customFormat="false" ht="15" hidden="false" customHeight="false" outlineLevel="0" collapsed="false">
      <c r="A16" s="4" t="n">
        <v>15</v>
      </c>
      <c r="B16" s="4" t="n">
        <f aca="false">$A$31-$A16</f>
        <v>15</v>
      </c>
      <c r="C16" s="11" t="str">
        <f aca="false">TEXT(D16,"ddd")</f>
        <v>Wed</v>
      </c>
      <c r="D16" s="51" t="n">
        <v>44559</v>
      </c>
      <c r="E16" s="51" t="n">
        <v>44560.2775</v>
      </c>
      <c r="F16" s="2" t="n">
        <v>64727.525</v>
      </c>
      <c r="G16" s="2" t="n">
        <v>64760.407</v>
      </c>
      <c r="H16" s="47" t="n">
        <v>32.884</v>
      </c>
      <c r="I16" s="13" t="n">
        <f aca="false">(I15+H16)</f>
        <v>507.969</v>
      </c>
      <c r="J16" s="13" t="n">
        <f aca="false">(I16/A16)</f>
        <v>33.8646</v>
      </c>
      <c r="K16" s="13" t="n">
        <f aca="false">IF($H16&gt;0,AVERAGE($H$2:$H16),"")</f>
        <v>33.8646</v>
      </c>
      <c r="L16" s="15" t="str">
        <f aca="false">IF(KWH&gt;0,((RATES*KWH)+TDU_DAILY)+(1*TAX),"")</f>
        <v/>
      </c>
      <c r="M16" s="16" t="e">
        <f aca="false">(M15+L16)</f>
        <v>#VALUE!</v>
      </c>
      <c r="N16" s="17" t="n">
        <f aca="false">IF(MOVING_AVERAGE&lt;&gt;"",MOVING_AVERAGE*$A$33,$N15)</f>
        <v>0</v>
      </c>
      <c r="O16" s="17" t="str">
        <f aca="false">IF(PROJ_USAGE&gt;1000,((RATES*PROJ_USAGE)+ONCOR)*1+TAX-(CREDIT),"")</f>
        <v/>
      </c>
      <c r="P16" s="18" t="n">
        <f aca="false">IF((BREAK-CUM_KWH)&gt;0,BREAK-CUM_KWH,"")</f>
        <v>492.031</v>
      </c>
    </row>
    <row r="17" customFormat="false" ht="15" hidden="false" customHeight="false" outlineLevel="0" collapsed="false">
      <c r="A17" s="4" t="n">
        <v>16</v>
      </c>
      <c r="B17" s="4" t="n">
        <f aca="false">$A$31-$A17</f>
        <v>14</v>
      </c>
      <c r="C17" s="11" t="str">
        <f aca="false">TEXT(D17,"ddd")</f>
        <v>Thu</v>
      </c>
      <c r="D17" s="51" t="n">
        <v>44560</v>
      </c>
      <c r="E17" s="51" t="n">
        <v>44561.2775694444</v>
      </c>
      <c r="F17" s="2" t="n">
        <v>64760.407</v>
      </c>
      <c r="G17" s="2" t="n">
        <v>64785.469</v>
      </c>
      <c r="H17" s="47" t="n">
        <v>25.061</v>
      </c>
      <c r="I17" s="13" t="n">
        <f aca="false">(I16+H17)</f>
        <v>533.03</v>
      </c>
      <c r="J17" s="13" t="n">
        <f aca="false">(I17/A17)</f>
        <v>33.314375</v>
      </c>
      <c r="K17" s="13" t="n">
        <f aca="false">IF($H17&gt;0,AVERAGE($H$2:$H17),"")</f>
        <v>33.314375</v>
      </c>
      <c r="L17" s="15" t="str">
        <f aca="false">IF(KWH&gt;0,((RATES*KWH)+TDU_DAILY)+(1*TAX),"")</f>
        <v/>
      </c>
      <c r="M17" s="16" t="e">
        <f aca="false">(M16+L17)</f>
        <v>#VALUE!</v>
      </c>
      <c r="N17" s="17" t="n">
        <f aca="false">IF(MOVING_AVERAGE&lt;&gt;"",MOVING_AVERAGE*$A$33,$N16)</f>
        <v>0</v>
      </c>
      <c r="O17" s="17" t="str">
        <f aca="false">IF(PROJ_USAGE&gt;1000,((RATES*PROJ_USAGE)+ONCOR)*1+TAX-(CREDIT),"")</f>
        <v/>
      </c>
      <c r="P17" s="18" t="n">
        <f aca="false">IF((BREAK-CUM_KWH)&gt;0,BREAK-CUM_KWH,"")</f>
        <v>466.97</v>
      </c>
    </row>
    <row r="18" customFormat="false" ht="15" hidden="false" customHeight="false" outlineLevel="0" collapsed="false">
      <c r="A18" s="4" t="n">
        <v>17</v>
      </c>
      <c r="B18" s="4" t="n">
        <f aca="false">$A$31-$A18</f>
        <v>13</v>
      </c>
      <c r="C18" s="11" t="str">
        <f aca="false">TEXT(D18,"ddd")</f>
        <v>Fri</v>
      </c>
      <c r="D18" s="51" t="n">
        <v>44561</v>
      </c>
      <c r="E18" s="51" t="n">
        <v>44562.2769097222</v>
      </c>
      <c r="F18" s="2" t="n">
        <v>64785.469</v>
      </c>
      <c r="G18" s="2" t="n">
        <v>64824.407</v>
      </c>
      <c r="H18" s="47" t="n">
        <v>38.938</v>
      </c>
      <c r="I18" s="13" t="n">
        <f aca="false">(I17+H18)</f>
        <v>571.968</v>
      </c>
      <c r="J18" s="13" t="n">
        <f aca="false">(I18/A18)</f>
        <v>33.6451764705882</v>
      </c>
      <c r="K18" s="13" t="n">
        <f aca="false">IF($H18&gt;0,AVERAGE($H$2:$H18),"")</f>
        <v>33.6451764705882</v>
      </c>
      <c r="L18" s="15" t="str">
        <f aca="false">IF(KWH&gt;0,((RATES*KWH)+TDU_DAILY)+(1*TAX),"")</f>
        <v/>
      </c>
      <c r="M18" s="16" t="e">
        <f aca="false">(M17+L18)</f>
        <v>#VALUE!</v>
      </c>
      <c r="N18" s="17" t="n">
        <f aca="false">IF(MOVING_AVERAGE&lt;&gt;"",MOVING_AVERAGE*$A$33,$N17)</f>
        <v>0</v>
      </c>
      <c r="O18" s="17" t="str">
        <f aca="false">IF(PROJ_USAGE&gt;1000,((RATES*PROJ_USAGE)+ONCOR)*1+TAX-(CREDIT),"")</f>
        <v/>
      </c>
      <c r="P18" s="18" t="n">
        <f aca="false">IF((BREAK-CUM_KWH)&gt;0,BREAK-CUM_KWH,"")</f>
        <v>428.032</v>
      </c>
    </row>
    <row r="19" customFormat="false" ht="15" hidden="false" customHeight="false" outlineLevel="0" collapsed="false">
      <c r="A19" s="4" t="n">
        <v>18</v>
      </c>
      <c r="B19" s="4" t="n">
        <f aca="false">$A$31-$A19</f>
        <v>12</v>
      </c>
      <c r="C19" s="11" t="str">
        <f aca="false">TEXT(D19,"ddd")</f>
        <v>Sat</v>
      </c>
      <c r="D19" s="51" t="n">
        <v>44562</v>
      </c>
      <c r="E19" s="51" t="n">
        <v>44563.3101967593</v>
      </c>
      <c r="F19" s="2" t="n">
        <v>64824.407</v>
      </c>
      <c r="G19" s="2" t="n">
        <v>64860.875</v>
      </c>
      <c r="H19" s="47" t="n">
        <v>36.471</v>
      </c>
      <c r="I19" s="13" t="n">
        <f aca="false">(I18+H19)</f>
        <v>608.439</v>
      </c>
      <c r="J19" s="13" t="n">
        <f aca="false">(I19/A19)</f>
        <v>33.8021666666667</v>
      </c>
      <c r="K19" s="13" t="n">
        <f aca="false">IF($H19&gt;0,AVERAGE($H$2:$H19),"")</f>
        <v>33.8021666666667</v>
      </c>
      <c r="L19" s="15" t="str">
        <f aca="false">IF(KWH&gt;0,((RATES*KWH)+TDU_DAILY)+(1*TAX),"")</f>
        <v/>
      </c>
      <c r="M19" s="16" t="e">
        <f aca="false">(M18+L19)</f>
        <v>#VALUE!</v>
      </c>
      <c r="N19" s="17" t="n">
        <f aca="false">IF(MOVING_AVERAGE&lt;&gt;"",MOVING_AVERAGE*$A$33,$N18)</f>
        <v>0</v>
      </c>
      <c r="O19" s="17" t="str">
        <f aca="false">IF(PROJ_USAGE&gt;1000,((RATES*PROJ_USAGE)+ONCOR)*1+TAX-(CREDIT),"")</f>
        <v/>
      </c>
      <c r="P19" s="18" t="n">
        <f aca="false">IF((BREAK-CUM_KWH)&gt;0,BREAK-CUM_KWH,"")</f>
        <v>391.561</v>
      </c>
    </row>
    <row r="20" customFormat="false" ht="15" hidden="false" customHeight="false" outlineLevel="0" collapsed="false">
      <c r="A20" s="4" t="n">
        <v>19</v>
      </c>
      <c r="B20" s="4" t="n">
        <f aca="false">$A$31-$A20</f>
        <v>11</v>
      </c>
      <c r="C20" s="11" t="str">
        <f aca="false">TEXT(D20,"ddd")</f>
        <v>Sun</v>
      </c>
      <c r="D20" s="51" t="n">
        <v>44563</v>
      </c>
      <c r="E20" s="51" t="n">
        <v>44564.2759375</v>
      </c>
      <c r="F20" s="2" t="n">
        <v>64860.875</v>
      </c>
      <c r="G20" s="2" t="n">
        <v>64914.966</v>
      </c>
      <c r="H20" s="47" t="n">
        <v>54.089</v>
      </c>
      <c r="I20" s="13" t="n">
        <f aca="false">(I19+H20)</f>
        <v>662.528</v>
      </c>
      <c r="J20" s="13" t="n">
        <f aca="false">(I20/A20)</f>
        <v>34.8698947368421</v>
      </c>
      <c r="K20" s="13" t="n">
        <f aca="false">IF($H20&gt;0,AVERAGE($H$2:$H20),"")</f>
        <v>34.8698947368421</v>
      </c>
      <c r="L20" s="15" t="str">
        <f aca="false">IF(KWH&gt;0,((RATES*KWH)+TDU_DAILY)+(1*TAX),"")</f>
        <v/>
      </c>
      <c r="M20" s="16" t="e">
        <f aca="false">(M19+L20)</f>
        <v>#VALUE!</v>
      </c>
      <c r="N20" s="17" t="n">
        <f aca="false">IF(MOVING_AVERAGE&lt;&gt;"",MOVING_AVERAGE*$A$33,$N19)</f>
        <v>0</v>
      </c>
      <c r="O20" s="17" t="str">
        <f aca="false">IF(PROJ_USAGE&gt;1000,((RATES*PROJ_USAGE)+ONCOR)*1+TAX-(CREDIT),"")</f>
        <v/>
      </c>
      <c r="P20" s="18" t="n">
        <f aca="false">IF((BREAK-CUM_KWH)&gt;0,BREAK-CUM_KWH,"")</f>
        <v>337.472</v>
      </c>
    </row>
    <row r="21" customFormat="false" ht="15" hidden="false" customHeight="false" outlineLevel="0" collapsed="false">
      <c r="A21" s="4" t="n">
        <v>20</v>
      </c>
      <c r="B21" s="4" t="n">
        <f aca="false">$A$31-$A21</f>
        <v>10</v>
      </c>
      <c r="C21" s="11" t="str">
        <f aca="false">TEXT(D21,"ddd")</f>
        <v>Mon</v>
      </c>
      <c r="D21" s="51" t="n">
        <v>44564</v>
      </c>
      <c r="E21" s="51" t="n">
        <v>44565.2794328704</v>
      </c>
      <c r="F21" s="2" t="n">
        <v>64914.966</v>
      </c>
      <c r="G21" s="2" t="n">
        <v>64969.916</v>
      </c>
      <c r="H21" s="47" t="n">
        <v>54.955</v>
      </c>
      <c r="I21" s="13" t="n">
        <f aca="false">(I20+H21)</f>
        <v>717.483</v>
      </c>
      <c r="J21" s="13" t="n">
        <f aca="false">(I21/A21)</f>
        <v>35.87415</v>
      </c>
      <c r="K21" s="13" t="n">
        <f aca="false">IF($H21&gt;0,AVERAGE($H$2:$H21),"")</f>
        <v>35.87415</v>
      </c>
      <c r="L21" s="15" t="str">
        <f aca="false">IF(KWH&gt;0,((RATES*KWH)+TDU_DAILY)+(1*TAX),"")</f>
        <v/>
      </c>
      <c r="M21" s="16" t="e">
        <f aca="false">(M20+L21)</f>
        <v>#VALUE!</v>
      </c>
      <c r="N21" s="17" t="n">
        <f aca="false">IF(MOVING_AVERAGE&lt;&gt;"",MOVING_AVERAGE*$A$33,$N20)</f>
        <v>0</v>
      </c>
      <c r="O21" s="17" t="str">
        <f aca="false">IF(PROJ_USAGE&gt;1000,((RATES*PROJ_USAGE)+ONCOR)*1+TAX-(CREDIT),"")</f>
        <v/>
      </c>
      <c r="P21" s="18" t="n">
        <f aca="false">IF((BREAK-CUM_KWH)&gt;0,BREAK-CUM_KWH,"")</f>
        <v>282.517</v>
      </c>
    </row>
    <row r="22" customFormat="false" ht="15" hidden="false" customHeight="false" outlineLevel="0" collapsed="false">
      <c r="A22" s="4" t="n">
        <v>21</v>
      </c>
      <c r="B22" s="4" t="n">
        <f aca="false">$A$31-$A22</f>
        <v>9</v>
      </c>
      <c r="C22" s="11" t="str">
        <f aca="false">TEXT(D22,"ddd")</f>
        <v>Tue</v>
      </c>
      <c r="D22" s="51" t="n">
        <v>44565</v>
      </c>
      <c r="E22" s="51" t="n">
        <v>44566.2778125</v>
      </c>
      <c r="F22" s="2" t="n">
        <v>64969.916</v>
      </c>
      <c r="G22" s="2" t="n">
        <v>65013.959</v>
      </c>
      <c r="H22" s="47" t="n">
        <v>44.036</v>
      </c>
      <c r="I22" s="13" t="n">
        <f aca="false">(I21+H22)</f>
        <v>761.519</v>
      </c>
      <c r="J22" s="13" t="n">
        <f aca="false">(I22/A22)</f>
        <v>36.2628095238095</v>
      </c>
      <c r="K22" s="13" t="n">
        <f aca="false">IF($H22&gt;0,AVERAGE($H$2:$H22),"")</f>
        <v>36.2628095238095</v>
      </c>
      <c r="L22" s="15" t="str">
        <f aca="false">IF(KWH&gt;0,((RATES*KWH)+TDU_DAILY)+(1*TAX),"")</f>
        <v/>
      </c>
      <c r="M22" s="16" t="e">
        <f aca="false">(M21+L22)</f>
        <v>#VALUE!</v>
      </c>
      <c r="N22" s="17" t="n">
        <f aca="false">IF(MOVING_AVERAGE&lt;&gt;"",MOVING_AVERAGE*$A$33,$N21)</f>
        <v>0</v>
      </c>
      <c r="O22" s="17" t="str">
        <f aca="false">IF(PROJ_USAGE&gt;1000,((RATES*PROJ_USAGE)+ONCOR)*1+TAX-(CREDIT),"")</f>
        <v/>
      </c>
      <c r="P22" s="18" t="n">
        <f aca="false">IF((BREAK-CUM_KWH)&gt;0,BREAK-CUM_KWH,"")</f>
        <v>238.481</v>
      </c>
    </row>
    <row r="23" customFormat="false" ht="15" hidden="false" customHeight="false" outlineLevel="0" collapsed="false">
      <c r="A23" s="4" t="n">
        <v>22</v>
      </c>
      <c r="B23" s="4" t="n">
        <f aca="false">$A$31-$A23</f>
        <v>8</v>
      </c>
      <c r="C23" s="11" t="str">
        <f aca="false">TEXT(D23,"ddd")</f>
        <v>Wed</v>
      </c>
      <c r="D23" s="51" t="n">
        <v>44566</v>
      </c>
      <c r="E23" s="51" t="n">
        <v>44567.2848032407</v>
      </c>
      <c r="F23" s="2" t="n">
        <v>65013.959</v>
      </c>
      <c r="G23" s="2" t="n">
        <v>65039.996</v>
      </c>
      <c r="H23" s="47" t="n">
        <v>26.034</v>
      </c>
      <c r="I23" s="13" t="n">
        <f aca="false">(I22+H23)</f>
        <v>787.553</v>
      </c>
      <c r="J23" s="13" t="n">
        <f aca="false">(I23/A23)</f>
        <v>35.7978636363636</v>
      </c>
      <c r="K23" s="13" t="n">
        <f aca="false">IF($H23&gt;0,AVERAGE($H$2:$H23),"")</f>
        <v>35.7978636363636</v>
      </c>
      <c r="L23" s="15" t="str">
        <f aca="false">IF(KWH&gt;0,((RATES*KWH)+TDU_DAILY)+(1*TAX),"")</f>
        <v/>
      </c>
      <c r="M23" s="16" t="e">
        <f aca="false">(M22+L23)</f>
        <v>#VALUE!</v>
      </c>
      <c r="N23" s="17" t="n">
        <f aca="false">IF(MOVING_AVERAGE&lt;&gt;"",MOVING_AVERAGE*$A$33,$N22)</f>
        <v>0</v>
      </c>
      <c r="O23" s="17" t="str">
        <f aca="false">IF(PROJ_USAGE&gt;1000,((RATES*PROJ_USAGE)+ONCOR)*1+TAX-(CREDIT),"")</f>
        <v/>
      </c>
      <c r="P23" s="18" t="n">
        <f aca="false">IF((BREAK-CUM_KWH)&gt;0,BREAK-CUM_KWH,"")</f>
        <v>212.447</v>
      </c>
    </row>
    <row r="24" customFormat="false" ht="15" hidden="false" customHeight="false" outlineLevel="0" collapsed="false">
      <c r="A24" s="4" t="n">
        <v>23</v>
      </c>
      <c r="B24" s="4" t="n">
        <f aca="false">$A$31-$A24</f>
        <v>7</v>
      </c>
      <c r="C24" s="11" t="str">
        <f aca="false">TEXT(D24,"ddd")</f>
        <v>Thu</v>
      </c>
      <c r="D24" s="51" t="n">
        <v>44567</v>
      </c>
      <c r="E24" s="51" t="n">
        <v>44568.2782291667</v>
      </c>
      <c r="F24" s="2" t="n">
        <v>65039.996</v>
      </c>
      <c r="G24" s="2" t="n">
        <v>65084.962</v>
      </c>
      <c r="H24" s="47" t="n">
        <v>44.962</v>
      </c>
      <c r="I24" s="13" t="n">
        <f aca="false">(I23+H24)</f>
        <v>832.515</v>
      </c>
      <c r="J24" s="13" t="n">
        <f aca="false">(I24/A24)</f>
        <v>36.1963043478261</v>
      </c>
      <c r="K24" s="13" t="n">
        <f aca="false">IF($H24&gt;0,AVERAGE($H$2:$H24),"")</f>
        <v>36.1963043478261</v>
      </c>
      <c r="L24" s="15" t="str">
        <f aca="false">IF(KWH&gt;0,((RATES*KWH)+TDU_DAILY)+(1*TAX),"")</f>
        <v/>
      </c>
      <c r="M24" s="16" t="e">
        <f aca="false">(M23+L24)</f>
        <v>#VALUE!</v>
      </c>
      <c r="N24" s="17" t="n">
        <f aca="false">IF(MOVING_AVERAGE&lt;&gt;"",MOVING_AVERAGE*$A$33,$N23)</f>
        <v>0</v>
      </c>
      <c r="O24" s="17" t="str">
        <f aca="false">IF(PROJ_USAGE&gt;1000,((RATES*PROJ_USAGE)+ONCOR)*1+TAX-(CREDIT),"")</f>
        <v/>
      </c>
      <c r="P24" s="18" t="n">
        <f aca="false">IF((BREAK-CUM_KWH)&gt;0,BREAK-CUM_KWH,"")</f>
        <v>167.485</v>
      </c>
    </row>
    <row r="25" customFormat="false" ht="15" hidden="false" customHeight="false" outlineLevel="0" collapsed="false">
      <c r="A25" s="4" t="n">
        <v>24</v>
      </c>
      <c r="B25" s="4" t="n">
        <f aca="false">$A$31-$A25</f>
        <v>6</v>
      </c>
      <c r="C25" s="11" t="str">
        <f aca="false">TEXT(D25,"ddd")</f>
        <v>Fri</v>
      </c>
      <c r="D25" s="51" t="n">
        <v>44568</v>
      </c>
      <c r="E25" s="51" t="n">
        <v>44569.2764236111</v>
      </c>
      <c r="F25" s="2" t="n">
        <v>65084.962</v>
      </c>
      <c r="G25" s="2" t="n">
        <v>65137.16</v>
      </c>
      <c r="H25" s="47" t="n">
        <v>52.201</v>
      </c>
      <c r="I25" s="13" t="n">
        <f aca="false">(I24+H25)</f>
        <v>884.716</v>
      </c>
      <c r="J25" s="13" t="n">
        <f aca="false">(I25/A25)</f>
        <v>36.8631666666667</v>
      </c>
      <c r="K25" s="13" t="n">
        <f aca="false">IF($H25&gt;0,AVERAGE($H$2:$H25),"")</f>
        <v>36.8631666666667</v>
      </c>
      <c r="L25" s="15" t="str">
        <f aca="false">IF(KWH&gt;0,((RATES*KWH)+TDU_DAILY)+(1*TAX),"")</f>
        <v/>
      </c>
      <c r="M25" s="16" t="e">
        <f aca="false">(M24+L25)</f>
        <v>#VALUE!</v>
      </c>
      <c r="N25" s="17" t="n">
        <f aca="false">IF(MOVING_AVERAGE&lt;&gt;"",MOVING_AVERAGE*$A$33,$N24)</f>
        <v>0</v>
      </c>
      <c r="O25" s="17" t="str">
        <f aca="false">IF(PROJ_USAGE&gt;1000,((RATES*PROJ_USAGE)+ONCOR)*1+TAX-(CREDIT),"")</f>
        <v/>
      </c>
      <c r="P25" s="18" t="n">
        <f aca="false">IF((BREAK-CUM_KWH)&gt;0,BREAK-CUM_KWH,"")</f>
        <v>115.284</v>
      </c>
    </row>
    <row r="26" customFormat="false" ht="15" hidden="false" customHeight="false" outlineLevel="0" collapsed="false">
      <c r="A26" s="4" t="n">
        <v>25</v>
      </c>
      <c r="B26" s="4" t="n">
        <f aca="false">$A$31-$A26</f>
        <v>5</v>
      </c>
      <c r="C26" s="11" t="str">
        <f aca="false">TEXT(D26,"ddd")</f>
        <v>Sat</v>
      </c>
      <c r="D26" s="51" t="n">
        <v>44569</v>
      </c>
      <c r="E26" s="51" t="n">
        <v>44570.3101041667</v>
      </c>
      <c r="F26" s="2" t="n">
        <v>65137.16</v>
      </c>
      <c r="G26" s="2" t="n">
        <v>65169.787</v>
      </c>
      <c r="H26" s="47" t="n">
        <v>32.621</v>
      </c>
      <c r="I26" s="13" t="n">
        <f aca="false">(I25+H26)</f>
        <v>917.337</v>
      </c>
      <c r="J26" s="13" t="n">
        <f aca="false">(I26/A26)</f>
        <v>36.69348</v>
      </c>
      <c r="K26" s="13" t="n">
        <f aca="false">IF($H26&gt;0,AVERAGE($H$2:$H26),"")</f>
        <v>36.69348</v>
      </c>
      <c r="L26" s="15" t="str">
        <f aca="false">IF(KWH&gt;0,((RATES*KWH)+TDU_DAILY)+(1*TAX),"")</f>
        <v/>
      </c>
      <c r="M26" s="16" t="e">
        <f aca="false">(M25+L26)</f>
        <v>#VALUE!</v>
      </c>
      <c r="N26" s="17" t="n">
        <f aca="false">IF(MOVING_AVERAGE&lt;&gt;"",MOVING_AVERAGE*$A$33,$N25)</f>
        <v>0</v>
      </c>
      <c r="O26" s="17" t="str">
        <f aca="false">IF(PROJ_USAGE&gt;1000,((RATES*PROJ_USAGE)+ONCOR)*1+TAX-(CREDIT),"")</f>
        <v/>
      </c>
      <c r="P26" s="18" t="n">
        <f aca="false">IF((BREAK-CUM_KWH)&gt;0,BREAK-CUM_KWH,"")</f>
        <v>82.663</v>
      </c>
    </row>
    <row r="27" customFormat="false" ht="15" hidden="false" customHeight="false" outlineLevel="0" collapsed="false">
      <c r="A27" s="4" t="n">
        <v>26</v>
      </c>
      <c r="B27" s="4" t="n">
        <f aca="false">$A$31-$A27</f>
        <v>4</v>
      </c>
      <c r="C27" s="11" t="str">
        <f aca="false">TEXT(D27,"ddd")</f>
        <v>Sun</v>
      </c>
      <c r="D27" s="51" t="n">
        <v>44570</v>
      </c>
      <c r="E27" s="51" t="n">
        <v>44571.273912037</v>
      </c>
      <c r="F27" s="2" t="n">
        <v>65169.787</v>
      </c>
      <c r="G27" s="2" t="n">
        <v>65199.575</v>
      </c>
      <c r="H27" s="47" t="n">
        <v>29.795</v>
      </c>
      <c r="I27" s="13" t="n">
        <f aca="false">(I26+H27)</f>
        <v>947.132</v>
      </c>
      <c r="J27" s="13" t="n">
        <f aca="false">(I27/A27)</f>
        <v>36.4281538461539</v>
      </c>
      <c r="K27" s="13" t="n">
        <f aca="false">IF($H27&gt;0,AVERAGE($H$2:$H27),"")</f>
        <v>36.4281538461539</v>
      </c>
      <c r="L27" s="15" t="str">
        <f aca="false">IF(KWH&gt;0,((RATES*KWH)+TDU_DAILY)+(1*TAX),"")</f>
        <v/>
      </c>
      <c r="M27" s="16" t="e">
        <f aca="false">(M26+L27)</f>
        <v>#VALUE!</v>
      </c>
      <c r="N27" s="17" t="n">
        <f aca="false">IF(MOVING_AVERAGE&lt;&gt;"",MOVING_AVERAGE*$A$33,$N26)</f>
        <v>0</v>
      </c>
      <c r="O27" s="17" t="str">
        <f aca="false">IF(PROJ_USAGE&gt;1000,((RATES*PROJ_USAGE)+ONCOR)*1+TAX-(CREDIT),"")</f>
        <v/>
      </c>
      <c r="P27" s="18" t="n">
        <f aca="false">IF((BREAK-CUM_KWH)&gt;0,BREAK-CUM_KWH,"")</f>
        <v>52.8680000000001</v>
      </c>
    </row>
    <row r="28" customFormat="false" ht="15" hidden="false" customHeight="false" outlineLevel="0" collapsed="false">
      <c r="A28" s="4" t="n">
        <v>27</v>
      </c>
      <c r="B28" s="4" t="n">
        <f aca="false">$A$31-$A28</f>
        <v>3</v>
      </c>
      <c r="C28" s="11" t="str">
        <f aca="false">TEXT(D28,"ddd")</f>
        <v>Mon</v>
      </c>
      <c r="D28" s="51" t="n">
        <v>44571</v>
      </c>
      <c r="E28" s="51" t="n">
        <v>44572.2777199074</v>
      </c>
      <c r="F28" s="2" t="n">
        <v>65199.575</v>
      </c>
      <c r="G28" s="2" t="n">
        <v>65241.121</v>
      </c>
      <c r="H28" s="47" t="n">
        <v>41.542</v>
      </c>
      <c r="I28" s="13" t="n">
        <f aca="false">(I27+H28)</f>
        <v>988.674</v>
      </c>
      <c r="J28" s="13" t="n">
        <f aca="false">(I28/A28)</f>
        <v>36.6175555555556</v>
      </c>
      <c r="K28" s="13" t="n">
        <f aca="false">IF($H28&gt;0,AVERAGE($H$2:$H28),"")</f>
        <v>36.6175555555556</v>
      </c>
      <c r="L28" s="15" t="str">
        <f aca="false">IF(KWH&gt;0,((RATES*KWH)+TDU_DAILY)+(1*TAX),"")</f>
        <v/>
      </c>
      <c r="M28" s="16" t="e">
        <f aca="false">(M27+L28)</f>
        <v>#VALUE!</v>
      </c>
      <c r="N28" s="17" t="n">
        <f aca="false">IF(MOVING_AVERAGE&lt;&gt;"",MOVING_AVERAGE*$A$33,$N27)</f>
        <v>0</v>
      </c>
      <c r="O28" s="17" t="str">
        <f aca="false">IF(PROJ_USAGE&gt;1000,((RATES*PROJ_USAGE)+ONCOR)*1+TAX-(CREDIT),"")</f>
        <v/>
      </c>
      <c r="P28" s="18" t="n">
        <f aca="false">IF((BREAK-CUM_KWH)&gt;0,BREAK-CUM_KWH,"")</f>
        <v>11.326</v>
      </c>
    </row>
    <row r="29" customFormat="false" ht="15" hidden="false" customHeight="false" outlineLevel="0" collapsed="false">
      <c r="A29" s="4" t="n">
        <v>28</v>
      </c>
      <c r="B29" s="4" t="n">
        <f aca="false">$A$31-$A29</f>
        <v>2</v>
      </c>
      <c r="C29" s="11" t="str">
        <f aca="false">TEXT(D29,"ddd")</f>
        <v>Tue</v>
      </c>
      <c r="D29" s="51" t="n">
        <v>44572</v>
      </c>
      <c r="E29" s="51" t="n">
        <v>44573.2812152778</v>
      </c>
      <c r="F29" s="2" t="n">
        <v>65241.121</v>
      </c>
      <c r="G29" s="2" t="n">
        <v>65284.663</v>
      </c>
      <c r="H29" s="47" t="n">
        <v>43.548</v>
      </c>
      <c r="I29" s="13" t="n">
        <f aca="false">(I28+H29)</f>
        <v>1032.222</v>
      </c>
      <c r="J29" s="13" t="n">
        <f aca="false">(I29/A29)</f>
        <v>36.8650714285714</v>
      </c>
      <c r="K29" s="13" t="n">
        <f aca="false">IF($H29&gt;0,AVERAGE($H$2:$H29),"")</f>
        <v>36.8650714285714</v>
      </c>
      <c r="L29" s="15" t="str">
        <f aca="false">IF(KWH&gt;0,((RATES*KWH)+TDU_DAILY)+(1*TAX),"")</f>
        <v/>
      </c>
      <c r="M29" s="16" t="e">
        <f aca="false">(M28+L29)</f>
        <v>#VALUE!</v>
      </c>
      <c r="N29" s="17" t="n">
        <f aca="false">IF(MOVING_AVERAGE&lt;&gt;"",MOVING_AVERAGE*$A$33,$N28)</f>
        <v>0</v>
      </c>
      <c r="O29" s="17" t="str">
        <f aca="false">IF(PROJ_USAGE&gt;1000,((RATES*PROJ_USAGE)+ONCOR)*1+TAX-(CREDIT),"")</f>
        <v/>
      </c>
      <c r="P29" s="18" t="str">
        <f aca="false">IF((BREAK-CUM_KWH)&gt;0,BREAK-CUM_KWH,"")</f>
        <v/>
      </c>
    </row>
    <row r="30" customFormat="false" ht="15" hidden="false" customHeight="false" outlineLevel="0" collapsed="false">
      <c r="A30" s="4" t="n">
        <v>29</v>
      </c>
      <c r="B30" s="4" t="n">
        <f aca="false">$A$31-$A30</f>
        <v>1</v>
      </c>
      <c r="C30" s="11" t="str">
        <f aca="false">TEXT(D30,"ddd")</f>
        <v>Wed</v>
      </c>
      <c r="D30" s="51" t="n">
        <v>44573</v>
      </c>
      <c r="E30" s="51" t="n">
        <v>44574.2853240741</v>
      </c>
      <c r="F30" s="2" t="n">
        <v>65284.663</v>
      </c>
      <c r="G30" s="2" t="n">
        <v>65319.035</v>
      </c>
      <c r="H30" s="47" t="n">
        <v>34.372</v>
      </c>
      <c r="I30" s="13" t="n">
        <f aca="false">(I29+H30)</f>
        <v>1066.594</v>
      </c>
      <c r="J30" s="13" t="n">
        <f aca="false">(I30/A30)</f>
        <v>36.7791034482759</v>
      </c>
      <c r="K30" s="13" t="n">
        <f aca="false">IF($H30&gt;0,AVERAGE($H$2:$H30),"")</f>
        <v>36.7791034482759</v>
      </c>
      <c r="L30" s="15" t="str">
        <f aca="false">IF(KWH&gt;0,((RATES*KWH)+TDU_DAILY)+(1*TAX),"")</f>
        <v/>
      </c>
      <c r="M30" s="16" t="e">
        <f aca="false">(M29+L30)</f>
        <v>#VALUE!</v>
      </c>
      <c r="N30" s="17" t="n">
        <f aca="false">IF(MOVING_AVERAGE&lt;&gt;"",MOVING_AVERAGE*$A$33,$N29)</f>
        <v>0</v>
      </c>
      <c r="O30" s="17" t="str">
        <f aca="false">IF(PROJ_USAGE&gt;1000,((RATES*PROJ_USAGE)+ONCOR)*1+TAX-(CREDIT),"")</f>
        <v/>
      </c>
      <c r="P30" s="18" t="str">
        <f aca="false">IF((BREAK-CUM_KWH)&gt;0,BREAK-CUM_KWH,"")</f>
        <v/>
      </c>
    </row>
    <row r="31" customFormat="false" ht="15" hidden="false" customHeight="false" outlineLevel="0" collapsed="false">
      <c r="A31" s="4" t="n">
        <v>30</v>
      </c>
      <c r="B31" s="4" t="n">
        <f aca="false">$A$31-$A31</f>
        <v>0</v>
      </c>
      <c r="C31" s="11" t="str">
        <f aca="false">TEXT(D31,"ddd")</f>
        <v>Thu</v>
      </c>
      <c r="D31" s="51" t="n">
        <v>44574</v>
      </c>
      <c r="E31" s="51" t="n">
        <v>44575.2913194444</v>
      </c>
      <c r="F31" s="2" t="n">
        <v>65319.035</v>
      </c>
      <c r="G31" s="2" t="n">
        <v>65351.323</v>
      </c>
      <c r="H31" s="47" t="n">
        <v>32.292</v>
      </c>
      <c r="I31" s="13" t="n">
        <f aca="false">(I30+H31)</f>
        <v>1098.886</v>
      </c>
      <c r="J31" s="13" t="n">
        <f aca="false">(I31/A31)</f>
        <v>36.6295333333333</v>
      </c>
      <c r="K31" s="13" t="n">
        <f aca="false">IF($H31&gt;0,AVERAGE($H$2:$H31),"")</f>
        <v>36.6295333333333</v>
      </c>
      <c r="L31" s="15" t="str">
        <f aca="false">IF(KWH&gt;0,((RATES*KWH)+TDU_DAILY)+(1*TAX),"")</f>
        <v/>
      </c>
      <c r="M31" s="16" t="e">
        <f aca="false">(M30+L31)</f>
        <v>#VALUE!</v>
      </c>
      <c r="N31" s="17" t="n">
        <f aca="false">IF(MOVING_AVERAGE&lt;&gt;"",MOVING_AVERAGE*$A$33,$N30)</f>
        <v>0</v>
      </c>
      <c r="O31" s="17" t="str">
        <f aca="false">IF(PROJ_USAGE&gt;1000,((RATES*PROJ_USAGE)+ONCOR)*1+TAX-(CREDIT),"")</f>
        <v/>
      </c>
      <c r="P31" s="18" t="str">
        <f aca="false">IF((BREAK-CUM_KWH)&gt;0,BREAK-CUM_KWH,"")</f>
        <v/>
      </c>
    </row>
    <row r="32" customFormat="false" ht="15" hidden="false" customHeight="false" outlineLevel="0" collapsed="false">
      <c r="A32" s="4"/>
      <c r="B32" s="4"/>
      <c r="C32" s="11"/>
      <c r="I32" s="13"/>
      <c r="J32" s="13"/>
      <c r="K32" s="13"/>
      <c r="L32" s="15"/>
      <c r="M32" s="16"/>
      <c r="N32" s="17"/>
      <c r="O32" s="17"/>
      <c r="P32" s="18"/>
    </row>
    <row r="33" customFormat="false" ht="15" hidden="false" customHeight="false" outlineLevel="0" collapsed="false">
      <c r="A33" s="4"/>
      <c r="B33" s="4"/>
      <c r="C33" s="11"/>
      <c r="H33" s="47"/>
      <c r="I33" s="13"/>
      <c r="J33" s="13"/>
      <c r="K33" s="13"/>
      <c r="L33" s="15"/>
      <c r="M33" s="16"/>
      <c r="N33" s="17"/>
      <c r="O33" s="17"/>
      <c r="P33" s="18"/>
    </row>
    <row r="34" customFormat="false" ht="15" hidden="false" customHeight="false" outlineLevel="0" collapsed="false">
      <c r="M34" s="47"/>
      <c r="N34" s="2"/>
      <c r="O34" s="2"/>
    </row>
    <row r="35" customFormat="false" ht="15" hidden="false" customHeight="false" outlineLevel="0" collapsed="false">
      <c r="M35" s="47"/>
      <c r="N35" s="2"/>
      <c r="O35" s="2"/>
    </row>
    <row r="36" customFormat="false" ht="15" hidden="false" customHeight="false" outlineLevel="0" collapsed="false">
      <c r="I36" s="149"/>
      <c r="M36" s="47"/>
      <c r="N36" s="2"/>
      <c r="O36" s="2"/>
    </row>
    <row r="37" customFormat="false" ht="15" hidden="false" customHeight="false" outlineLevel="0" collapsed="false">
      <c r="L37" s="47"/>
      <c r="M37" s="2"/>
      <c r="N37" s="2"/>
    </row>
    <row r="38" customFormat="false" ht="15" hidden="false" customHeight="false" outlineLevel="0" collapsed="false">
      <c r="I38" s="81"/>
      <c r="L38" s="47"/>
      <c r="M38" s="2"/>
      <c r="N38" s="2"/>
    </row>
    <row r="39" customFormat="false" ht="15" hidden="false" customHeight="false" outlineLevel="0" collapsed="false">
      <c r="M39" s="2"/>
      <c r="N39" s="2"/>
    </row>
    <row r="53" customFormat="false" ht="15" hidden="false" customHeight="false" outlineLevel="0" collapsed="false">
      <c r="H53" s="47"/>
    </row>
    <row r="62" customFormat="false" ht="15" hidden="false" customHeight="false" outlineLevel="0" collapsed="false">
      <c r="H62" s="47"/>
    </row>
  </sheetData>
  <sheetProtection algorithmName="SHA-512" hashValue="Emw1MVIb2h31r1+n0b1QBNLmWCoxWI6UAafg8CIevkgAnnnJfkmTwqf0frgTAOnnhu7zkv4z3AaxnDUsKm7iDA==" saltValue="+ORRSIzSXAYnShX6GxCj4Q==" spinCount="100000" sheet="true" objects="true" scenarios="true"/>
  <conditionalFormatting sqref="R2:T14">
    <cfRule type="expression" priority="2" aboveAverage="0" equalAverage="0" bottom="0" percent="0" rank="0" text="" dxfId="55">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6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36" activeCellId="0" sqref="O36"/>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51" width="9.71"/>
    <col collapsed="false" customWidth="true" hidden="false" outlineLevel="0" max="7" min="6" style="2" width="10.71"/>
    <col collapsed="false" customWidth="true" hidden="false" outlineLevel="0" max="8" min="8" style="0" width="9.71"/>
    <col collapsed="false" customWidth="true" hidden="false" outlineLevel="0" max="10" min="10" style="0" width="10.42"/>
    <col collapsed="false" customWidth="true" hidden="false" outlineLevel="0" max="12" min="12" style="0" width="11"/>
    <col collapsed="false" customWidth="true" hidden="false" outlineLevel="0" max="14" min="13" style="0" width="11.29"/>
    <col collapsed="false" customWidth="true" hidden="false" outlineLevel="0" max="16" min="16" style="2" width="9.14"/>
    <col collapsed="false" customWidth="true" hidden="false" outlineLevel="0" max="18" min="18" style="0" width="28.71"/>
    <col collapsed="false" customWidth="true" hidden="false" outlineLevel="0" max="19" min="19" style="0" width="8.71"/>
    <col collapsed="false" customWidth="true" hidden="false" outlineLevel="0" max="20" min="20" style="0" width="10.71"/>
  </cols>
  <sheetData>
    <row r="1" customFormat="false" ht="49.5" hidden="false" customHeight="true" outlineLevel="0" collapsed="false">
      <c r="A1" s="5" t="s">
        <v>0</v>
      </c>
      <c r="B1" s="6" t="s">
        <v>1</v>
      </c>
      <c r="C1" s="6" t="s">
        <v>2</v>
      </c>
      <c r="D1" s="7" t="s">
        <v>145</v>
      </c>
      <c r="E1" s="7" t="s">
        <v>146</v>
      </c>
      <c r="F1" s="8" t="s">
        <v>5</v>
      </c>
      <c r="G1" s="8" t="s">
        <v>6</v>
      </c>
      <c r="H1" s="6" t="s">
        <v>7</v>
      </c>
      <c r="I1" s="6" t="s">
        <v>8</v>
      </c>
      <c r="J1" s="145" t="s">
        <v>147</v>
      </c>
      <c r="K1" s="6" t="s">
        <v>148</v>
      </c>
      <c r="L1" s="6" t="s">
        <v>149</v>
      </c>
      <c r="M1" s="6" t="s">
        <v>150</v>
      </c>
      <c r="N1" s="6" t="s">
        <v>12</v>
      </c>
      <c r="O1" s="8" t="s">
        <v>151</v>
      </c>
      <c r="P1" s="9" t="s">
        <v>137</v>
      </c>
      <c r="T1" s="10"/>
      <c r="U1" s="71"/>
      <c r="V1" s="72"/>
      <c r="W1" s="72"/>
      <c r="X1" s="71"/>
      <c r="Y1" s="71"/>
      <c r="Z1" s="71"/>
      <c r="AA1" s="73"/>
      <c r="AB1" s="71"/>
      <c r="AC1" s="71"/>
      <c r="AD1" s="71"/>
    </row>
    <row r="2" customFormat="false" ht="15" hidden="false" customHeight="true" outlineLevel="0" collapsed="false">
      <c r="A2" s="4" t="n">
        <v>1</v>
      </c>
      <c r="B2" s="11" t="str">
        <f aca="false">TEXT(D2,"ddd")</f>
        <v>Sat</v>
      </c>
      <c r="C2" s="4" t="n">
        <f aca="false">$A$31-$A2</f>
        <v>29</v>
      </c>
      <c r="I2" s="13" t="n">
        <f aca="false">H2</f>
        <v>0</v>
      </c>
      <c r="J2" s="13" t="n">
        <f aca="false">(I2/A2)</f>
        <v>0</v>
      </c>
      <c r="K2" s="182"/>
      <c r="L2" s="15" t="str">
        <f aca="false">IF(KWH&gt;0,((RATES*KWH)+TDU_DAILY)+(1*TAX),"")</f>
        <v/>
      </c>
      <c r="M2" s="16" t="str">
        <f aca="false">(L2)</f>
        <v/>
      </c>
      <c r="N2" s="183" t="s">
        <v>124</v>
      </c>
      <c r="O2" s="183" t="s">
        <v>124</v>
      </c>
      <c r="P2" s="18" t="n">
        <f aca="false">IF((BREAK-CUM_KWH)&gt;0,BREAK-CUM_KWH,"")</f>
        <v>1000</v>
      </c>
      <c r="R2" s="19" t="s">
        <v>18</v>
      </c>
      <c r="S2" s="20" t="s">
        <v>19</v>
      </c>
      <c r="T2" s="21"/>
      <c r="V2" s="74"/>
      <c r="W2" s="74"/>
    </row>
    <row r="3" customFormat="false" ht="15" hidden="false" customHeight="true" outlineLevel="0" collapsed="false">
      <c r="A3" s="4" t="n">
        <v>2</v>
      </c>
      <c r="B3" s="11" t="str">
        <f aca="false">TEXT(D3,"ddd")</f>
        <v>Sat</v>
      </c>
      <c r="C3" s="4" t="n">
        <f aca="false">$A$31-$A3</f>
        <v>28</v>
      </c>
      <c r="I3" s="13" t="n">
        <f aca="false">(I2+H3)</f>
        <v>0</v>
      </c>
      <c r="J3" s="13" t="n">
        <f aca="false">(I3/A3)</f>
        <v>0</v>
      </c>
      <c r="K3" s="182"/>
      <c r="L3" s="15" t="str">
        <f aca="false">IF(KWH&gt;0,((RATES*KWH)+TDU_DAILY)+(1*TAX),"")</f>
        <v/>
      </c>
      <c r="M3" s="16" t="e">
        <f aca="false">(M2+L3)</f>
        <v>#VALUE!</v>
      </c>
      <c r="N3" s="183"/>
      <c r="O3" s="183"/>
      <c r="P3" s="18" t="n">
        <f aca="false">IF((BREAK-CUM_KWH)&gt;0,BREAK-CUM_KWH,"")</f>
        <v>1000</v>
      </c>
      <c r="R3" s="22" t="s">
        <v>22</v>
      </c>
      <c r="S3" s="23" t="n">
        <f aca="false">(F2+1000)</f>
        <v>1000</v>
      </c>
      <c r="T3" s="24"/>
      <c r="W3" s="75"/>
      <c r="X3" s="76"/>
      <c r="Y3" s="76"/>
      <c r="Z3" s="77"/>
      <c r="AD3" s="78"/>
    </row>
    <row r="4" customFormat="false" ht="15" hidden="false" customHeight="true" outlineLevel="0" collapsed="false">
      <c r="A4" s="4" t="n">
        <v>3</v>
      </c>
      <c r="B4" s="11" t="str">
        <f aca="false">TEXT(D4,"ddd")</f>
        <v>Sat</v>
      </c>
      <c r="C4" s="4" t="n">
        <f aca="false">$A$31-$A4</f>
        <v>27</v>
      </c>
      <c r="I4" s="13" t="n">
        <f aca="false">(I3+H4)</f>
        <v>0</v>
      </c>
      <c r="J4" s="13" t="n">
        <f aca="false">(I4/A4)</f>
        <v>0</v>
      </c>
      <c r="K4" s="13" t="str">
        <f aca="false">IF($H4&gt;0,AVERAGE($H$2:$H4),"")</f>
        <v/>
      </c>
      <c r="L4" s="15" t="str">
        <f aca="false">IF(KWH&gt;0,((RATES*KWH)+TDU_DAILY)+(1*TAX),"")</f>
        <v/>
      </c>
      <c r="M4" s="16" t="e">
        <f aca="false">(M3+L4)</f>
        <v>#VALUE!</v>
      </c>
      <c r="N4" s="17" t="n">
        <f aca="false">IF(MOVING_AVERAGE&lt;&gt;"",MOVING_AVERAGE*$A$33,$N3)</f>
        <v>0</v>
      </c>
      <c r="O4" s="17" t="str">
        <f aca="false">IF(PROJ_USAGE&gt;1000,((RATES*PROJ_USAGE)+ONCOR)*1+TAX-(CREDIT),"")</f>
        <v/>
      </c>
      <c r="P4" s="18" t="n">
        <f aca="false">IF((BREAK-CUM_KWH)&gt;0,BREAK-CUM_KWH,"")</f>
        <v>1000</v>
      </c>
      <c r="R4" s="22" t="s">
        <v>25</v>
      </c>
      <c r="S4" s="25"/>
      <c r="T4" s="26" t="n">
        <v>0.001667</v>
      </c>
      <c r="V4" s="79"/>
      <c r="W4" s="80"/>
      <c r="X4" s="81"/>
      <c r="Y4" s="81"/>
      <c r="Z4" s="81"/>
      <c r="AA4" s="82"/>
      <c r="AD4" s="78"/>
    </row>
    <row r="5" s="45" customFormat="true" ht="15" hidden="false" customHeight="true" outlineLevel="0" collapsed="false">
      <c r="A5" s="4" t="n">
        <v>4</v>
      </c>
      <c r="B5" s="11" t="str">
        <f aca="false">TEXT(D5,"ddd")</f>
        <v>Sat</v>
      </c>
      <c r="C5" s="4" t="n">
        <f aca="false">$A$31-$A5</f>
        <v>26</v>
      </c>
      <c r="D5" s="51"/>
      <c r="E5" s="51"/>
      <c r="F5" s="2"/>
      <c r="G5" s="2"/>
      <c r="I5" s="13" t="n">
        <f aca="false">(I4+H5)</f>
        <v>0</v>
      </c>
      <c r="J5" s="13" t="n">
        <f aca="false">(I5/A5)</f>
        <v>0</v>
      </c>
      <c r="K5" s="13" t="str">
        <f aca="false">IF($H5&gt;0,AVERAGE($H$2:$H5),"")</f>
        <v/>
      </c>
      <c r="L5" s="15" t="str">
        <f aca="false">IF(KWH&gt;0,((RATES*KWH)+TDU_DAILY)+(1*TAX),"")</f>
        <v/>
      </c>
      <c r="M5" s="16" t="e">
        <f aca="false">(M4+L5)</f>
        <v>#VALUE!</v>
      </c>
      <c r="N5" s="17" t="n">
        <f aca="false">IF(MOVING_AVERAGE&lt;&gt;"",MOVING_AVERAGE*$A$33,$N4)</f>
        <v>0</v>
      </c>
      <c r="O5" s="17" t="str">
        <f aca="false">IF(PROJ_USAGE&gt;1000,((RATES*PROJ_USAGE)+ONCOR)*1+TAX-(CREDIT),"")</f>
        <v/>
      </c>
      <c r="P5" s="18" t="n">
        <f aca="false">IF((BREAK-CUM_KWH)&gt;0,BREAK-CUM_KWH,"")</f>
        <v>1000</v>
      </c>
      <c r="Q5" s="27"/>
      <c r="R5" s="22" t="s">
        <v>28</v>
      </c>
      <c r="S5" s="25"/>
      <c r="T5" s="26" t="n">
        <v>0.042</v>
      </c>
      <c r="U5" s="83"/>
    </row>
    <row r="6" customFormat="false" ht="15" hidden="false" customHeight="true" outlineLevel="0" collapsed="false">
      <c r="A6" s="4" t="n">
        <v>5</v>
      </c>
      <c r="B6" s="11" t="str">
        <f aca="false">TEXT(D6,"ddd")</f>
        <v>Sat</v>
      </c>
      <c r="C6" s="4" t="n">
        <f aca="false">$A$31-$A6</f>
        <v>25</v>
      </c>
      <c r="I6" s="13" t="n">
        <f aca="false">(I5+H6)</f>
        <v>0</v>
      </c>
      <c r="J6" s="13" t="n">
        <f aca="false">(I6/A6)</f>
        <v>0</v>
      </c>
      <c r="K6" s="13" t="str">
        <f aca="false">IF($H6&gt;0,AVERAGE($H$2:$H6),"")</f>
        <v/>
      </c>
      <c r="L6" s="15" t="str">
        <f aca="false">IF(KWH&gt;0,((RATES*KWH)+TDU_DAILY)+(1*TAX),"")</f>
        <v/>
      </c>
      <c r="M6" s="16" t="e">
        <f aca="false">(M5+L6)</f>
        <v>#VALUE!</v>
      </c>
      <c r="N6" s="17" t="n">
        <f aca="false">IF(MOVING_AVERAGE&lt;&gt;"",MOVING_AVERAGE*$A$33,$N5)</f>
        <v>0</v>
      </c>
      <c r="O6" s="17" t="str">
        <f aca="false">IF(PROJ_USAGE&gt;1000,((RATES*PROJ_USAGE)+ONCOR)*1+TAX-(CREDIT),"")</f>
        <v/>
      </c>
      <c r="P6" s="18" t="n">
        <f aca="false">IF((BREAK-CUM_KWH)&gt;0,BREAK-CUM_KWH,"")</f>
        <v>1000</v>
      </c>
      <c r="R6" s="22" t="s">
        <v>31</v>
      </c>
      <c r="S6" s="23" t="n">
        <v>3.4</v>
      </c>
      <c r="T6" s="26" t="n">
        <f aca="false">($S$6/DAYS)</f>
        <v>0.109677419354839</v>
      </c>
      <c r="U6" s="83"/>
    </row>
    <row r="7" customFormat="false" ht="15" hidden="false" customHeight="true" outlineLevel="0" collapsed="false">
      <c r="A7" s="4" t="n">
        <v>6</v>
      </c>
      <c r="B7" s="11" t="str">
        <f aca="false">TEXT(D7,"ddd")</f>
        <v>Sat</v>
      </c>
      <c r="C7" s="4" t="n">
        <f aca="false">$A$31-$A7</f>
        <v>24</v>
      </c>
      <c r="I7" s="13" t="n">
        <f aca="false">(I6+H7)</f>
        <v>0</v>
      </c>
      <c r="J7" s="13" t="n">
        <f aca="false">(I7/A7)</f>
        <v>0</v>
      </c>
      <c r="K7" s="13" t="str">
        <f aca="false">IF($H7&gt;0,AVERAGE($H$2:$H7),"")</f>
        <v/>
      </c>
      <c r="L7" s="15" t="str">
        <f aca="false">IF(KWH&gt;0,((RATES*KWH)+TDU_DAILY)+(1*TAX),"")</f>
        <v/>
      </c>
      <c r="M7" s="16" t="e">
        <f aca="false">(M6+L7)</f>
        <v>#VALUE!</v>
      </c>
      <c r="N7" s="17" t="n">
        <f aca="false">IF(MOVING_AVERAGE&lt;&gt;"",MOVING_AVERAGE*$A$33,$N6)</f>
        <v>0</v>
      </c>
      <c r="O7" s="17" t="str">
        <f aca="false">IF(PROJ_USAGE&gt;1000,((RATES*PROJ_USAGE)+ONCOR)*1+TAX-(CREDIT),"")</f>
        <v/>
      </c>
      <c r="P7" s="18" t="n">
        <f aca="false">IF((BREAK-CUM_KWH)&gt;0,BREAK-CUM_KWH,"")</f>
        <v>1000</v>
      </c>
      <c r="R7" s="22" t="s">
        <v>34</v>
      </c>
      <c r="S7" s="25"/>
      <c r="T7" s="28" t="n">
        <f aca="false">SUM(T4:T6)</f>
        <v>0.153344419354839</v>
      </c>
      <c r="U7" s="83"/>
    </row>
    <row r="8" customFormat="false" ht="15" hidden="false" customHeight="false" outlineLevel="0" collapsed="false">
      <c r="A8" s="4" t="n">
        <v>7</v>
      </c>
      <c r="B8" s="11" t="str">
        <f aca="false">TEXT(D8,"ddd")</f>
        <v>Sat</v>
      </c>
      <c r="C8" s="4" t="n">
        <f aca="false">$A$31-$A8</f>
        <v>23</v>
      </c>
      <c r="I8" s="13" t="n">
        <f aca="false">(I7+H8)</f>
        <v>0</v>
      </c>
      <c r="J8" s="13" t="n">
        <f aca="false">(I8/A8)</f>
        <v>0</v>
      </c>
      <c r="K8" s="13" t="str">
        <f aca="false">IF($H8&gt;0,AVERAGE($H$2:$H8),"")</f>
        <v/>
      </c>
      <c r="L8" s="15" t="str">
        <f aca="false">IF(KWH&gt;0,((RATES*KWH)+TDU_DAILY)+(1*TAX),"")</f>
        <v/>
      </c>
      <c r="M8" s="16" t="e">
        <f aca="false">(M7+L8)</f>
        <v>#VALUE!</v>
      </c>
      <c r="N8" s="17" t="n">
        <f aca="false">IF(MOVING_AVERAGE&lt;&gt;"",MOVING_AVERAGE*$A$33,$N7)</f>
        <v>0</v>
      </c>
      <c r="O8" s="17" t="str">
        <f aca="false">IF(PROJ_USAGE&gt;1000,((RATES*PROJ_USAGE)+ONCOR)*1+TAX-(CREDIT),"")</f>
        <v/>
      </c>
      <c r="P8" s="18" t="n">
        <f aca="false">IF((BREAK-CUM_KWH)&gt;0,BREAK-CUM_KWH,"")</f>
        <v>1000</v>
      </c>
      <c r="R8" s="22" t="s">
        <v>38</v>
      </c>
      <c r="S8" s="25"/>
      <c r="T8" s="67" t="n">
        <f aca="false">SUM(T4:T6)</f>
        <v>0.153344419354839</v>
      </c>
      <c r="U8" s="83"/>
    </row>
    <row r="9" customFormat="false" ht="15" hidden="false" customHeight="false" outlineLevel="0" collapsed="false">
      <c r="A9" s="4" t="n">
        <v>8</v>
      </c>
      <c r="B9" s="11" t="str">
        <f aca="false">TEXT(D9,"ddd")</f>
        <v>Sat</v>
      </c>
      <c r="C9" s="4" t="n">
        <f aca="false">$A$31-$A9</f>
        <v>22</v>
      </c>
      <c r="H9" s="47"/>
      <c r="I9" s="13" t="n">
        <f aca="false">(I8+H9)</f>
        <v>0</v>
      </c>
      <c r="J9" s="13" t="n">
        <f aca="false">(I9/A9)</f>
        <v>0</v>
      </c>
      <c r="K9" s="13" t="str">
        <f aca="false">IF($H9&gt;0,AVERAGE($H$2:$H9),"")</f>
        <v/>
      </c>
      <c r="L9" s="15" t="str">
        <f aca="false">IF(KWH&gt;0,((RATES*KWH)+TDU_DAILY)+(1*TAX),"")</f>
        <v/>
      </c>
      <c r="M9" s="16" t="e">
        <f aca="false">(M8+L9)</f>
        <v>#VALUE!</v>
      </c>
      <c r="N9" s="17" t="n">
        <f aca="false">IF(MOVING_AVERAGE&lt;&gt;"",MOVING_AVERAGE*$A$33,$N8)</f>
        <v>0</v>
      </c>
      <c r="O9" s="17" t="str">
        <f aca="false">IF(PROJ_USAGE&gt;1000,((RATES*PROJ_USAGE)+ONCOR)*1+TAX-(CREDIT),"")</f>
        <v/>
      </c>
      <c r="P9" s="18" t="n">
        <f aca="false">IF((BREAK-CUM_KWH)&gt;0,BREAK-CUM_KWH,"")</f>
        <v>1000</v>
      </c>
      <c r="R9" s="22" t="s">
        <v>42</v>
      </c>
      <c r="S9" s="30" t="n">
        <v>0.01997</v>
      </c>
      <c r="T9" s="32"/>
      <c r="U9" s="83"/>
    </row>
    <row r="10" customFormat="false" ht="15" hidden="false" customHeight="false" outlineLevel="0" collapsed="false">
      <c r="A10" s="4" t="n">
        <v>9</v>
      </c>
      <c r="B10" s="11" t="str">
        <f aca="false">TEXT(D10,"ddd")</f>
        <v>Sat</v>
      </c>
      <c r="C10" s="4" t="n">
        <f aca="false">$A$31-$A10</f>
        <v>21</v>
      </c>
      <c r="H10" s="47"/>
      <c r="I10" s="13" t="n">
        <f aca="false">(I9+H10)</f>
        <v>0</v>
      </c>
      <c r="J10" s="13" t="n">
        <f aca="false">(I10/A10)</f>
        <v>0</v>
      </c>
      <c r="K10" s="13" t="str">
        <f aca="false">IF($H10&gt;0,AVERAGE($H$2:$H10),"")</f>
        <v/>
      </c>
      <c r="L10" s="15" t="str">
        <f aca="false">IF(KWH&gt;0,((RATES*KWH)+TDU_DAILY)+(1*TAX),"")</f>
        <v/>
      </c>
      <c r="M10" s="16" t="e">
        <f aca="false">(M9+L10)</f>
        <v>#VALUE!</v>
      </c>
      <c r="N10" s="17" t="n">
        <f aca="false">IF(MOVING_AVERAGE&lt;&gt;"",MOVING_AVERAGE*$A$33,$N9)</f>
        <v>0</v>
      </c>
      <c r="O10" s="17" t="str">
        <f aca="false">IF(PROJ_USAGE&gt;1000,((RATES*PROJ_USAGE)+ONCOR)*1+TAX-(CREDIT),"")</f>
        <v/>
      </c>
      <c r="P10" s="18" t="n">
        <f aca="false">IF((BREAK-CUM_KWH)&gt;0,BREAK-CUM_KWH,"")</f>
        <v>1000</v>
      </c>
      <c r="R10" s="22" t="s">
        <v>46</v>
      </c>
      <c r="S10" s="33" t="n">
        <v>100</v>
      </c>
      <c r="T10" s="30" t="n">
        <v>1000</v>
      </c>
      <c r="U10" s="83"/>
    </row>
    <row r="11" customFormat="false" ht="15" hidden="false" customHeight="false" outlineLevel="0" collapsed="false">
      <c r="A11" s="4" t="n">
        <v>10</v>
      </c>
      <c r="B11" s="11" t="str">
        <f aca="false">TEXT(D11,"ddd")</f>
        <v>Sat</v>
      </c>
      <c r="C11" s="4" t="n">
        <f aca="false">$A$31-$A11</f>
        <v>20</v>
      </c>
      <c r="H11" s="47"/>
      <c r="I11" s="13" t="n">
        <f aca="false">(I10+H11)</f>
        <v>0</v>
      </c>
      <c r="J11" s="13" t="n">
        <f aca="false">(I11/A11)</f>
        <v>0</v>
      </c>
      <c r="K11" s="13" t="str">
        <f aca="false">IF($H11&gt;0,AVERAGE($H$2:$H11),"")</f>
        <v/>
      </c>
      <c r="L11" s="15" t="str">
        <f aca="false">IF(KWH&gt;0,((RATES*KWH)+TDU_DAILY)+(1*TAX),"")</f>
        <v/>
      </c>
      <c r="M11" s="16" t="e">
        <f aca="false">(M10+L11)</f>
        <v>#VALUE!</v>
      </c>
      <c r="N11" s="17" t="n">
        <f aca="false">IF(MOVING_AVERAGE&lt;&gt;"",MOVING_AVERAGE*$A$33,$N10)</f>
        <v>0</v>
      </c>
      <c r="O11" s="17" t="str">
        <f aca="false">IF(PROJ_USAGE&gt;1000,((RATES*PROJ_USAGE)+ONCOR)*1+TAX-(CREDIT),"")</f>
        <v/>
      </c>
      <c r="P11" s="18" t="n">
        <f aca="false">IF((BREAK-CUM_KWH)&gt;0,BREAK-CUM_KWH,"")</f>
        <v>1000</v>
      </c>
      <c r="R11" s="22" t="s">
        <v>49</v>
      </c>
      <c r="S11" s="33" t="n">
        <v>295</v>
      </c>
      <c r="T11" s="32"/>
      <c r="U11" s="83"/>
    </row>
    <row r="12" customFormat="false" ht="15" hidden="false" customHeight="false" outlineLevel="0" collapsed="false">
      <c r="A12" s="4" t="n">
        <v>11</v>
      </c>
      <c r="B12" s="11" t="str">
        <f aca="false">TEXT(D12,"ddd")</f>
        <v>Sat</v>
      </c>
      <c r="C12" s="4" t="n">
        <f aca="false">$A$31-$A12</f>
        <v>19</v>
      </c>
      <c r="H12" s="47"/>
      <c r="I12" s="13" t="n">
        <f aca="false">(I11+H12)</f>
        <v>0</v>
      </c>
      <c r="J12" s="13" t="n">
        <f aca="false">(I12/A12)</f>
        <v>0</v>
      </c>
      <c r="K12" s="13" t="str">
        <f aca="false">IF($H12&gt;0,AVERAGE($H$2:$H12),"")</f>
        <v/>
      </c>
      <c r="L12" s="15" t="str">
        <f aca="false">IF(KWH&gt;0,((RATES*KWH)+TDU_DAILY)+(1*TAX),"")</f>
        <v/>
      </c>
      <c r="M12" s="16" t="e">
        <f aca="false">(M11+L12)</f>
        <v>#VALUE!</v>
      </c>
      <c r="N12" s="17" t="n">
        <f aca="false">IF(MOVING_AVERAGE&lt;&gt;"",MOVING_AVERAGE*$A$33,$N11)</f>
        <v>0</v>
      </c>
      <c r="O12" s="17" t="str">
        <f aca="false">IF(PROJ_USAGE&gt;1000,((RATES*PROJ_USAGE)+ONCOR)*1+TAX-(CREDIT),"")</f>
        <v/>
      </c>
      <c r="P12" s="18" t="n">
        <f aca="false">IF((BREAK-CUM_KWH)&gt;0,BREAK-CUM_KWH,"")</f>
        <v>1000</v>
      </c>
      <c r="R12" s="22" t="s">
        <v>52</v>
      </c>
      <c r="S12" s="35" t="e">
        <f aca="false">INDEX(M2:M32,COUNT(M2:M32))</f>
        <v>#VALUE!</v>
      </c>
      <c r="T12" s="32"/>
      <c r="U12" s="83"/>
    </row>
    <row r="13" customFormat="false" ht="15" hidden="false" customHeight="false" outlineLevel="0" collapsed="false">
      <c r="A13" s="4" t="n">
        <v>12</v>
      </c>
      <c r="B13" s="11" t="str">
        <f aca="false">TEXT(D13,"ddd")</f>
        <v>Sat</v>
      </c>
      <c r="C13" s="4" t="n">
        <f aca="false">$A$31-$A13</f>
        <v>18</v>
      </c>
      <c r="H13" s="47"/>
      <c r="I13" s="13" t="n">
        <f aca="false">(I12+H13)</f>
        <v>0</v>
      </c>
      <c r="J13" s="13" t="n">
        <f aca="false">(I13/A13)</f>
        <v>0</v>
      </c>
      <c r="K13" s="13" t="str">
        <f aca="false">IF($H13&gt;0,AVERAGE($H$2:$H13),"")</f>
        <v/>
      </c>
      <c r="L13" s="15" t="str">
        <f aca="false">IF(KWH&gt;0,((RATES*KWH)+TDU_DAILY)+(1*TAX),"")</f>
        <v/>
      </c>
      <c r="M13" s="16" t="e">
        <f aca="false">(M12+L13)</f>
        <v>#VALUE!</v>
      </c>
      <c r="N13" s="17" t="n">
        <f aca="false">IF(MOVING_AVERAGE&lt;&gt;"",MOVING_AVERAGE*$A$33,$N12)</f>
        <v>0</v>
      </c>
      <c r="O13" s="17" t="str">
        <f aca="false">IF(PROJ_USAGE&gt;1000,((RATES*PROJ_USAGE)+ONCOR)*1+TAX-(CREDIT),"")</f>
        <v/>
      </c>
      <c r="P13" s="18" t="n">
        <f aca="false">IF((BREAK-CUM_KWH)&gt;0,BREAK-CUM_KWH,"")</f>
        <v>1000</v>
      </c>
      <c r="R13" s="22" t="s">
        <v>55</v>
      </c>
      <c r="S13" s="37" t="n">
        <f aca="false">INDEX(I2:I32,COUNT(I2:I32))</f>
        <v>0</v>
      </c>
      <c r="T13" s="32"/>
      <c r="U13" s="83"/>
    </row>
    <row r="14" customFormat="false" ht="15" hidden="false" customHeight="false" outlineLevel="0" collapsed="false">
      <c r="A14" s="4" t="n">
        <v>13</v>
      </c>
      <c r="B14" s="11" t="str">
        <f aca="false">TEXT(D14,"ddd")</f>
        <v>Sat</v>
      </c>
      <c r="C14" s="4" t="n">
        <f aca="false">$A$31-$A14</f>
        <v>17</v>
      </c>
      <c r="H14" s="47"/>
      <c r="I14" s="13" t="n">
        <f aca="false">(I13+H14)</f>
        <v>0</v>
      </c>
      <c r="J14" s="13" t="n">
        <f aca="false">(I14/A14)</f>
        <v>0</v>
      </c>
      <c r="K14" s="13" t="str">
        <f aca="false">IF($H14&gt;0,AVERAGE($H$2:$H14),"")</f>
        <v/>
      </c>
      <c r="L14" s="15" t="str">
        <f aca="false">IF(KWH&gt;0,((RATES*KWH)+TDU_DAILY)+(1*TAX),"")</f>
        <v/>
      </c>
      <c r="M14" s="16" t="e">
        <f aca="false">(M13+L14)</f>
        <v>#VALUE!</v>
      </c>
      <c r="N14" s="17" t="n">
        <f aca="false">IF(MOVING_AVERAGE&lt;&gt;"",MOVING_AVERAGE*$A$33,$N13)</f>
        <v>0</v>
      </c>
      <c r="O14" s="17" t="str">
        <f aca="false">IF(PROJ_USAGE&gt;1000,((RATES*PROJ_USAGE)+ONCOR)*1+TAX-(CREDIT),"")</f>
        <v/>
      </c>
      <c r="P14" s="18" t="n">
        <f aca="false">IF((BREAK-CUM_KWH)&gt;0,BREAK-CUM_KWH,"")</f>
        <v>1000</v>
      </c>
      <c r="R14" s="40" t="s">
        <v>58</v>
      </c>
      <c r="S14" s="144" t="n">
        <f aca="false">INDEX(J2:J32,COUNT(J2:J32))</f>
        <v>0</v>
      </c>
      <c r="T14" s="101"/>
      <c r="U14" s="83"/>
    </row>
    <row r="15" customFormat="false" ht="15" hidden="false" customHeight="false" outlineLevel="0" collapsed="false">
      <c r="A15" s="4" t="n">
        <v>14</v>
      </c>
      <c r="B15" s="11" t="str">
        <f aca="false">TEXT(D15,"ddd")</f>
        <v>Sat</v>
      </c>
      <c r="C15" s="4" t="n">
        <f aca="false">$A$31-$A15</f>
        <v>16</v>
      </c>
      <c r="H15" s="47"/>
      <c r="I15" s="13" t="n">
        <f aca="false">(I14+H15)</f>
        <v>0</v>
      </c>
      <c r="J15" s="13" t="n">
        <f aca="false">(I15/A15)</f>
        <v>0</v>
      </c>
      <c r="K15" s="13" t="str">
        <f aca="false">IF($H15&gt;0,AVERAGE($H$2:$H15),"")</f>
        <v/>
      </c>
      <c r="L15" s="15" t="str">
        <f aca="false">IF(KWH&gt;0,((RATES*KWH)+TDU_DAILY)+(1*TAX),"")</f>
        <v/>
      </c>
      <c r="M15" s="16" t="e">
        <f aca="false">(M14+L15)</f>
        <v>#VALUE!</v>
      </c>
      <c r="N15" s="17" t="n">
        <f aca="false">IF(MOVING_AVERAGE&lt;&gt;"",MOVING_AVERAGE*$A$33,$N14)</f>
        <v>0</v>
      </c>
      <c r="O15" s="17" t="str">
        <f aca="false">IF(PROJ_USAGE&gt;1000,((RATES*PROJ_USAGE)+ONCOR)*1+TAX-(CREDIT),"")</f>
        <v/>
      </c>
      <c r="P15" s="18" t="n">
        <f aca="false">IF((BREAK-CUM_KWH)&gt;0,BREAK-CUM_KWH,"")</f>
        <v>1000</v>
      </c>
    </row>
    <row r="16" customFormat="false" ht="15" hidden="false" customHeight="false" outlineLevel="0" collapsed="false">
      <c r="A16" s="4" t="n">
        <v>15</v>
      </c>
      <c r="B16" s="11" t="str">
        <f aca="false">TEXT(D16,"ddd")</f>
        <v>Sat</v>
      </c>
      <c r="C16" s="4" t="n">
        <f aca="false">$A$31-$A16</f>
        <v>15</v>
      </c>
      <c r="H16" s="47"/>
      <c r="I16" s="13" t="n">
        <f aca="false">(I15+H16)</f>
        <v>0</v>
      </c>
      <c r="J16" s="13" t="n">
        <f aca="false">(I16/A16)</f>
        <v>0</v>
      </c>
      <c r="K16" s="13" t="str">
        <f aca="false">IF($H16&gt;0,AVERAGE($H$2:$H16),"")</f>
        <v/>
      </c>
      <c r="L16" s="15" t="str">
        <f aca="false">IF(KWH&gt;0,((RATES*KWH)+TDU_DAILY)+(1*TAX),"")</f>
        <v/>
      </c>
      <c r="M16" s="16" t="e">
        <f aca="false">(M15+L16)</f>
        <v>#VALUE!</v>
      </c>
      <c r="N16" s="17" t="n">
        <f aca="false">IF(MOVING_AVERAGE&lt;&gt;"",MOVING_AVERAGE*$A$33,$N15)</f>
        <v>0</v>
      </c>
      <c r="O16" s="17" t="str">
        <f aca="false">IF(PROJ_USAGE&gt;1000,((RATES*PROJ_USAGE)+ONCOR)*1+TAX-(CREDIT),"")</f>
        <v/>
      </c>
      <c r="P16" s="18" t="n">
        <f aca="false">IF((BREAK-CUM_KWH)&gt;0,BREAK-CUM_KWH,"")</f>
        <v>1000</v>
      </c>
    </row>
    <row r="17" customFormat="false" ht="15" hidden="false" customHeight="false" outlineLevel="0" collapsed="false">
      <c r="A17" s="4" t="n">
        <v>16</v>
      </c>
      <c r="B17" s="11" t="str">
        <f aca="false">TEXT(D17,"ddd")</f>
        <v>Sat</v>
      </c>
      <c r="C17" s="4" t="n">
        <f aca="false">$A$31-$A17</f>
        <v>14</v>
      </c>
      <c r="H17" s="47"/>
      <c r="I17" s="13" t="n">
        <f aca="false">(I16+H17)</f>
        <v>0</v>
      </c>
      <c r="J17" s="13" t="n">
        <f aca="false">(I17/A17)</f>
        <v>0</v>
      </c>
      <c r="K17" s="13" t="str">
        <f aca="false">IF($H17&gt;0,AVERAGE($H$2:$H17),"")</f>
        <v/>
      </c>
      <c r="L17" s="15" t="str">
        <f aca="false">IF(KWH&gt;0,((RATES*KWH)+TDU_DAILY)+(1*TAX),"")</f>
        <v/>
      </c>
      <c r="M17" s="16" t="e">
        <f aca="false">(M16+L17)</f>
        <v>#VALUE!</v>
      </c>
      <c r="N17" s="17" t="n">
        <f aca="false">IF(MOVING_AVERAGE&lt;&gt;"",MOVING_AVERAGE*$A$33,$N16)</f>
        <v>0</v>
      </c>
      <c r="O17" s="17" t="str">
        <f aca="false">IF(PROJ_USAGE&gt;1000,((RATES*PROJ_USAGE)+ONCOR)*1+TAX-(CREDIT),"")</f>
        <v/>
      </c>
      <c r="P17" s="18" t="n">
        <f aca="false">IF((BREAK-CUM_KWH)&gt;0,BREAK-CUM_KWH,"")</f>
        <v>1000</v>
      </c>
    </row>
    <row r="18" customFormat="false" ht="15" hidden="false" customHeight="false" outlineLevel="0" collapsed="false">
      <c r="A18" s="4" t="n">
        <v>17</v>
      </c>
      <c r="B18" s="11" t="str">
        <f aca="false">TEXT(D18,"ddd")</f>
        <v>Sat</v>
      </c>
      <c r="C18" s="4" t="n">
        <f aca="false">$A$31-$A18</f>
        <v>13</v>
      </c>
      <c r="H18" s="47"/>
      <c r="I18" s="13" t="n">
        <f aca="false">(I17+H18)</f>
        <v>0</v>
      </c>
      <c r="J18" s="13" t="n">
        <f aca="false">(I18/A18)</f>
        <v>0</v>
      </c>
      <c r="K18" s="13" t="str">
        <f aca="false">IF($H18&gt;0,AVERAGE($H$2:$H18),"")</f>
        <v/>
      </c>
      <c r="L18" s="15" t="str">
        <f aca="false">IF(KWH&gt;0,((RATES*KWH)+TDU_DAILY)+(1*TAX),"")</f>
        <v/>
      </c>
      <c r="M18" s="16" t="e">
        <f aca="false">(M17+L18)</f>
        <v>#VALUE!</v>
      </c>
      <c r="N18" s="17" t="n">
        <f aca="false">IF(MOVING_AVERAGE&lt;&gt;"",MOVING_AVERAGE*$A$33,$N17)</f>
        <v>0</v>
      </c>
      <c r="O18" s="17" t="str">
        <f aca="false">IF(PROJ_USAGE&gt;1000,((RATES*PROJ_USAGE)+ONCOR)*1+TAX-(CREDIT),"")</f>
        <v/>
      </c>
      <c r="P18" s="18" t="n">
        <f aca="false">IF((BREAK-CUM_KWH)&gt;0,BREAK-CUM_KWH,"")</f>
        <v>1000</v>
      </c>
    </row>
    <row r="19" customFormat="false" ht="15" hidden="false" customHeight="false" outlineLevel="0" collapsed="false">
      <c r="A19" s="4" t="n">
        <v>18</v>
      </c>
      <c r="B19" s="11" t="str">
        <f aca="false">TEXT(D19,"ddd")</f>
        <v>Sat</v>
      </c>
      <c r="C19" s="4" t="n">
        <f aca="false">$A$31-$A19</f>
        <v>12</v>
      </c>
      <c r="H19" s="47"/>
      <c r="I19" s="13" t="n">
        <f aca="false">(I18+H19)</f>
        <v>0</v>
      </c>
      <c r="J19" s="13" t="n">
        <f aca="false">(I19/A19)</f>
        <v>0</v>
      </c>
      <c r="K19" s="13" t="str">
        <f aca="false">IF($H19&gt;0,AVERAGE($H$2:$H19),"")</f>
        <v/>
      </c>
      <c r="L19" s="15" t="str">
        <f aca="false">IF(KWH&gt;0,((RATES*KWH)+TDU_DAILY)+(1*TAX),"")</f>
        <v/>
      </c>
      <c r="M19" s="16" t="e">
        <f aca="false">(M18+L19)</f>
        <v>#VALUE!</v>
      </c>
      <c r="N19" s="17" t="n">
        <f aca="false">IF(MOVING_AVERAGE&lt;&gt;"",MOVING_AVERAGE*$A$33,$N18)</f>
        <v>0</v>
      </c>
      <c r="O19" s="17" t="str">
        <f aca="false">IF(PROJ_USAGE&gt;1000,((RATES*PROJ_USAGE)+ONCOR)*1+TAX-(CREDIT),"")</f>
        <v/>
      </c>
      <c r="P19" s="18" t="n">
        <f aca="false">IF((BREAK-CUM_KWH)&gt;0,BREAK-CUM_KWH,"")</f>
        <v>1000</v>
      </c>
    </row>
    <row r="20" customFormat="false" ht="15" hidden="false" customHeight="false" outlineLevel="0" collapsed="false">
      <c r="A20" s="4" t="n">
        <v>19</v>
      </c>
      <c r="B20" s="11" t="str">
        <f aca="false">TEXT(D20,"ddd")</f>
        <v>Sat</v>
      </c>
      <c r="C20" s="4" t="n">
        <f aca="false">$A$31-$A20</f>
        <v>11</v>
      </c>
      <c r="H20" s="47"/>
      <c r="I20" s="13" t="n">
        <f aca="false">(I19+H20)</f>
        <v>0</v>
      </c>
      <c r="J20" s="13" t="n">
        <f aca="false">(I20/A20)</f>
        <v>0</v>
      </c>
      <c r="K20" s="13" t="str">
        <f aca="false">IF($H20&gt;0,AVERAGE($H$2:$H20),"")</f>
        <v/>
      </c>
      <c r="L20" s="15" t="str">
        <f aca="false">IF(KWH&gt;0,((RATES*KWH)+TDU_DAILY)+(1*TAX),"")</f>
        <v/>
      </c>
      <c r="M20" s="16" t="e">
        <f aca="false">(M19+L20)</f>
        <v>#VALUE!</v>
      </c>
      <c r="N20" s="17" t="n">
        <f aca="false">IF(MOVING_AVERAGE&lt;&gt;"",MOVING_AVERAGE*$A$33,$N19)</f>
        <v>0</v>
      </c>
      <c r="O20" s="17" t="str">
        <f aca="false">IF(PROJ_USAGE&gt;1000,((RATES*PROJ_USAGE)+ONCOR)*1+TAX-(CREDIT),"")</f>
        <v/>
      </c>
      <c r="P20" s="18" t="n">
        <f aca="false">IF((BREAK-CUM_KWH)&gt;0,BREAK-CUM_KWH,"")</f>
        <v>1000</v>
      </c>
    </row>
    <row r="21" customFormat="false" ht="15" hidden="false" customHeight="false" outlineLevel="0" collapsed="false">
      <c r="A21" s="4" t="n">
        <v>20</v>
      </c>
      <c r="B21" s="11" t="str">
        <f aca="false">TEXT(D21,"ddd")</f>
        <v>Sat</v>
      </c>
      <c r="C21" s="4" t="n">
        <f aca="false">$A$31-$A21</f>
        <v>10</v>
      </c>
      <c r="H21" s="47"/>
      <c r="I21" s="13" t="n">
        <f aca="false">(I20+H21)</f>
        <v>0</v>
      </c>
      <c r="J21" s="13" t="n">
        <f aca="false">(I21/A21)</f>
        <v>0</v>
      </c>
      <c r="K21" s="13" t="str">
        <f aca="false">IF($H21&gt;0,AVERAGE($H$2:$H21),"")</f>
        <v/>
      </c>
      <c r="L21" s="15" t="str">
        <f aca="false">IF(KWH&gt;0,((RATES*KWH)+TDU_DAILY)+(1*TAX),"")</f>
        <v/>
      </c>
      <c r="M21" s="16" t="e">
        <f aca="false">(M20+L21)</f>
        <v>#VALUE!</v>
      </c>
      <c r="N21" s="17" t="n">
        <f aca="false">IF(MOVING_AVERAGE&lt;&gt;"",MOVING_AVERAGE*$A$33,$N20)</f>
        <v>0</v>
      </c>
      <c r="O21" s="17" t="str">
        <f aca="false">IF(PROJ_USAGE&gt;1000,((RATES*PROJ_USAGE)+ONCOR)*1+TAX-(CREDIT),"")</f>
        <v/>
      </c>
      <c r="P21" s="18" t="n">
        <f aca="false">IF((BREAK-CUM_KWH)&gt;0,BREAK-CUM_KWH,"")</f>
        <v>1000</v>
      </c>
    </row>
    <row r="22" customFormat="false" ht="15" hidden="false" customHeight="false" outlineLevel="0" collapsed="false">
      <c r="A22" s="4" t="n">
        <v>21</v>
      </c>
      <c r="B22" s="11" t="str">
        <f aca="false">TEXT(D22,"ddd")</f>
        <v>Sat</v>
      </c>
      <c r="C22" s="4" t="n">
        <f aca="false">$A$31-$A22</f>
        <v>9</v>
      </c>
      <c r="H22" s="47"/>
      <c r="I22" s="13" t="n">
        <f aca="false">(I21+H22)</f>
        <v>0</v>
      </c>
      <c r="J22" s="13" t="n">
        <f aca="false">(I22/A22)</f>
        <v>0</v>
      </c>
      <c r="K22" s="13" t="str">
        <f aca="false">IF($H22&gt;0,AVERAGE($H$2:$H22),"")</f>
        <v/>
      </c>
      <c r="L22" s="15" t="str">
        <f aca="false">IF(KWH&gt;0,((RATES*KWH)+TDU_DAILY)+(1*TAX),"")</f>
        <v/>
      </c>
      <c r="M22" s="16" t="e">
        <f aca="false">(M21+L22)</f>
        <v>#VALUE!</v>
      </c>
      <c r="N22" s="17" t="n">
        <f aca="false">IF(MOVING_AVERAGE&lt;&gt;"",MOVING_AVERAGE*$A$33,$N21)</f>
        <v>0</v>
      </c>
      <c r="O22" s="17" t="str">
        <f aca="false">IF(PROJ_USAGE&gt;1000,((RATES*PROJ_USAGE)+ONCOR)*1+TAX-(CREDIT),"")</f>
        <v/>
      </c>
      <c r="P22" s="18" t="n">
        <f aca="false">IF((BREAK-CUM_KWH)&gt;0,BREAK-CUM_KWH,"")</f>
        <v>1000</v>
      </c>
    </row>
    <row r="23" customFormat="false" ht="15" hidden="false" customHeight="false" outlineLevel="0" collapsed="false">
      <c r="A23" s="4" t="n">
        <v>22</v>
      </c>
      <c r="B23" s="11" t="str">
        <f aca="false">TEXT(D23,"ddd")</f>
        <v>Sat</v>
      </c>
      <c r="C23" s="4" t="n">
        <f aca="false">$A$31-$A23</f>
        <v>8</v>
      </c>
      <c r="H23" s="47"/>
      <c r="I23" s="13" t="n">
        <f aca="false">(I22+H23)</f>
        <v>0</v>
      </c>
      <c r="J23" s="13" t="n">
        <f aca="false">(I23/A23)</f>
        <v>0</v>
      </c>
      <c r="K23" s="13" t="str">
        <f aca="false">IF($H23&gt;0,AVERAGE($H$2:$H23),"")</f>
        <v/>
      </c>
      <c r="L23" s="15" t="str">
        <f aca="false">IF(KWH&gt;0,((RATES*KWH)+TDU_DAILY)+(1*TAX),"")</f>
        <v/>
      </c>
      <c r="M23" s="16" t="e">
        <f aca="false">(M22+L23)</f>
        <v>#VALUE!</v>
      </c>
      <c r="N23" s="17" t="n">
        <f aca="false">IF(MOVING_AVERAGE&lt;&gt;"",MOVING_AVERAGE*$A$33,$N22)</f>
        <v>0</v>
      </c>
      <c r="O23" s="17" t="str">
        <f aca="false">IF(PROJ_USAGE&gt;1000,((RATES*PROJ_USAGE)+ONCOR)*1+TAX-(CREDIT),"")</f>
        <v/>
      </c>
      <c r="P23" s="18" t="n">
        <f aca="false">IF((BREAK-CUM_KWH)&gt;0,BREAK-CUM_KWH,"")</f>
        <v>1000</v>
      </c>
    </row>
    <row r="24" customFormat="false" ht="15" hidden="false" customHeight="false" outlineLevel="0" collapsed="false">
      <c r="A24" s="4" t="n">
        <v>23</v>
      </c>
      <c r="B24" s="11" t="str">
        <f aca="false">TEXT(D24,"ddd")</f>
        <v>Sat</v>
      </c>
      <c r="C24" s="4" t="n">
        <f aca="false">$A$31-$A24</f>
        <v>7</v>
      </c>
      <c r="H24" s="47"/>
      <c r="I24" s="13" t="n">
        <f aca="false">(I23+H24)</f>
        <v>0</v>
      </c>
      <c r="J24" s="13" t="n">
        <f aca="false">(I24/A24)</f>
        <v>0</v>
      </c>
      <c r="K24" s="13" t="str">
        <f aca="false">IF($H24&gt;0,AVERAGE($H$2:$H24),"")</f>
        <v/>
      </c>
      <c r="L24" s="15" t="str">
        <f aca="false">IF(KWH&gt;0,((RATES*KWH)+TDU_DAILY)+(1*TAX),"")</f>
        <v/>
      </c>
      <c r="M24" s="16" t="e">
        <f aca="false">(M23+L24)</f>
        <v>#VALUE!</v>
      </c>
      <c r="N24" s="17" t="n">
        <f aca="false">IF(MOVING_AVERAGE&lt;&gt;"",MOVING_AVERAGE*$A$33,$N23)</f>
        <v>0</v>
      </c>
      <c r="O24" s="17" t="str">
        <f aca="false">IF(PROJ_USAGE&gt;1000,((RATES*PROJ_USAGE)+ONCOR)*1+TAX-(CREDIT),"")</f>
        <v/>
      </c>
      <c r="P24" s="18" t="n">
        <f aca="false">IF((BREAK-CUM_KWH)&gt;0,BREAK-CUM_KWH,"")</f>
        <v>1000</v>
      </c>
    </row>
    <row r="25" customFormat="false" ht="15" hidden="false" customHeight="false" outlineLevel="0" collapsed="false">
      <c r="A25" s="4" t="n">
        <v>24</v>
      </c>
      <c r="B25" s="11" t="str">
        <f aca="false">TEXT(D25,"ddd")</f>
        <v>Sat</v>
      </c>
      <c r="C25" s="4" t="n">
        <f aca="false">$A$31-$A25</f>
        <v>6</v>
      </c>
      <c r="H25" s="47"/>
      <c r="I25" s="13" t="n">
        <f aca="false">(I24+H25)</f>
        <v>0</v>
      </c>
      <c r="J25" s="13" t="n">
        <f aca="false">(I25/A25)</f>
        <v>0</v>
      </c>
      <c r="K25" s="13" t="str">
        <f aca="false">IF($H25&gt;0,AVERAGE($H$2:$H25),"")</f>
        <v/>
      </c>
      <c r="L25" s="15" t="str">
        <f aca="false">IF(KWH&gt;0,((RATES*KWH)+TDU_DAILY)+(1*TAX),"")</f>
        <v/>
      </c>
      <c r="M25" s="16" t="e">
        <f aca="false">(M24+L25)</f>
        <v>#VALUE!</v>
      </c>
      <c r="N25" s="17" t="n">
        <f aca="false">IF(MOVING_AVERAGE&lt;&gt;"",MOVING_AVERAGE*$A$33,$N24)</f>
        <v>0</v>
      </c>
      <c r="O25" s="17" t="str">
        <f aca="false">IF(PROJ_USAGE&gt;1000,((RATES*PROJ_USAGE)+ONCOR)*1+TAX-(CREDIT),"")</f>
        <v/>
      </c>
      <c r="P25" s="18" t="n">
        <f aca="false">IF((BREAK-CUM_KWH)&gt;0,BREAK-CUM_KWH,"")</f>
        <v>1000</v>
      </c>
    </row>
    <row r="26" customFormat="false" ht="15" hidden="false" customHeight="false" outlineLevel="0" collapsed="false">
      <c r="A26" s="4" t="n">
        <v>25</v>
      </c>
      <c r="B26" s="11" t="str">
        <f aca="false">TEXT(D26,"ddd")</f>
        <v>Sat</v>
      </c>
      <c r="C26" s="4" t="n">
        <f aca="false">$A$31-$A26</f>
        <v>5</v>
      </c>
      <c r="H26" s="47"/>
      <c r="I26" s="13" t="n">
        <f aca="false">(I25+H26)</f>
        <v>0</v>
      </c>
      <c r="J26" s="13" t="n">
        <f aca="false">(I26/A26)</f>
        <v>0</v>
      </c>
      <c r="K26" s="13" t="str">
        <f aca="false">IF($H26&gt;0,AVERAGE($H$2:$H26),"")</f>
        <v/>
      </c>
      <c r="L26" s="15" t="str">
        <f aca="false">IF(KWH&gt;0,((RATES*KWH)+TDU_DAILY)+(1*TAX),"")</f>
        <v/>
      </c>
      <c r="M26" s="16" t="e">
        <f aca="false">(M25+L26)</f>
        <v>#VALUE!</v>
      </c>
      <c r="N26" s="17" t="n">
        <f aca="false">IF(MOVING_AVERAGE&lt;&gt;"",MOVING_AVERAGE*$A$33,$N25)</f>
        <v>0</v>
      </c>
      <c r="O26" s="17" t="str">
        <f aca="false">IF(PROJ_USAGE&gt;1000,((RATES*PROJ_USAGE)+ONCOR)*1+TAX-(CREDIT),"")</f>
        <v/>
      </c>
      <c r="P26" s="18" t="n">
        <f aca="false">IF((BREAK-CUM_KWH)&gt;0,BREAK-CUM_KWH,"")</f>
        <v>1000</v>
      </c>
    </row>
    <row r="27" customFormat="false" ht="15" hidden="false" customHeight="false" outlineLevel="0" collapsed="false">
      <c r="A27" s="4" t="n">
        <v>26</v>
      </c>
      <c r="B27" s="11" t="str">
        <f aca="false">TEXT(D27,"ddd")</f>
        <v>Sat</v>
      </c>
      <c r="C27" s="4" t="n">
        <f aca="false">$A$31-$A27</f>
        <v>4</v>
      </c>
      <c r="H27" s="47"/>
      <c r="I27" s="13" t="n">
        <f aca="false">(I26+H27)</f>
        <v>0</v>
      </c>
      <c r="J27" s="13" t="n">
        <f aca="false">(I27/A27)</f>
        <v>0</v>
      </c>
      <c r="K27" s="13" t="str">
        <f aca="false">IF($H27&gt;0,AVERAGE($H$2:$H27),"")</f>
        <v/>
      </c>
      <c r="L27" s="15" t="str">
        <f aca="false">IF(KWH&gt;0,((RATES*KWH)+TDU_DAILY)+(1*TAX),"")</f>
        <v/>
      </c>
      <c r="M27" s="16" t="e">
        <f aca="false">(M26+L27)</f>
        <v>#VALUE!</v>
      </c>
      <c r="N27" s="17" t="n">
        <f aca="false">IF(MOVING_AVERAGE&lt;&gt;"",MOVING_AVERAGE*$A$33,$N26)</f>
        <v>0</v>
      </c>
      <c r="O27" s="17" t="str">
        <f aca="false">IF(PROJ_USAGE&gt;1000,((RATES*PROJ_USAGE)+ONCOR)*1+TAX-(CREDIT),"")</f>
        <v/>
      </c>
      <c r="P27" s="18" t="n">
        <f aca="false">IF((BREAK-CUM_KWH)&gt;0,BREAK-CUM_KWH,"")</f>
        <v>1000</v>
      </c>
    </row>
    <row r="28" customFormat="false" ht="15" hidden="false" customHeight="false" outlineLevel="0" collapsed="false">
      <c r="A28" s="4" t="n">
        <v>27</v>
      </c>
      <c r="B28" s="11" t="str">
        <f aca="false">TEXT(D28,"ddd")</f>
        <v>Sat</v>
      </c>
      <c r="C28" s="4" t="n">
        <f aca="false">$A$31-$A28</f>
        <v>3</v>
      </c>
      <c r="H28" s="47"/>
      <c r="I28" s="13" t="n">
        <f aca="false">(I27+H28)</f>
        <v>0</v>
      </c>
      <c r="J28" s="13" t="n">
        <f aca="false">(I28/A28)</f>
        <v>0</v>
      </c>
      <c r="K28" s="13" t="str">
        <f aca="false">IF($H28&gt;0,AVERAGE($H$2:$H28),"")</f>
        <v/>
      </c>
      <c r="L28" s="15" t="str">
        <f aca="false">IF(KWH&gt;0,((RATES*KWH)+TDU_DAILY)+(1*TAX),"")</f>
        <v/>
      </c>
      <c r="M28" s="16" t="e">
        <f aca="false">(M27+L28)</f>
        <v>#VALUE!</v>
      </c>
      <c r="N28" s="17" t="n">
        <f aca="false">IF(MOVING_AVERAGE&lt;&gt;"",MOVING_AVERAGE*$A$33,$N27)</f>
        <v>0</v>
      </c>
      <c r="O28" s="17" t="str">
        <f aca="false">IF(PROJ_USAGE&gt;1000,((RATES*PROJ_USAGE)+ONCOR)*1+TAX-(CREDIT),"")</f>
        <v/>
      </c>
      <c r="P28" s="18" t="n">
        <f aca="false">IF((BREAK-CUM_KWH)&gt;0,BREAK-CUM_KWH,"")</f>
        <v>1000</v>
      </c>
    </row>
    <row r="29" customFormat="false" ht="15" hidden="false" customHeight="false" outlineLevel="0" collapsed="false">
      <c r="A29" s="4" t="n">
        <v>28</v>
      </c>
      <c r="B29" s="11" t="str">
        <f aca="false">TEXT(D29,"ddd")</f>
        <v>Sat</v>
      </c>
      <c r="C29" s="4" t="n">
        <f aca="false">$A$31-$A29</f>
        <v>2</v>
      </c>
      <c r="H29" s="47"/>
      <c r="I29" s="13" t="n">
        <f aca="false">(I28+H29)</f>
        <v>0</v>
      </c>
      <c r="J29" s="13" t="n">
        <f aca="false">(I29/A29)</f>
        <v>0</v>
      </c>
      <c r="K29" s="13" t="str">
        <f aca="false">IF($H29&gt;0,AVERAGE($H$2:$H29),"")</f>
        <v/>
      </c>
      <c r="L29" s="15" t="str">
        <f aca="false">IF(KWH&gt;0,((RATES*KWH)+TDU_DAILY)+(1*TAX),"")</f>
        <v/>
      </c>
      <c r="M29" s="16" t="e">
        <f aca="false">(M28+L29)</f>
        <v>#VALUE!</v>
      </c>
      <c r="N29" s="17" t="n">
        <f aca="false">IF(MOVING_AVERAGE&lt;&gt;"",MOVING_AVERAGE*$A$33,$N28)</f>
        <v>0</v>
      </c>
      <c r="O29" s="17" t="str">
        <f aca="false">IF(PROJ_USAGE&gt;1000,((RATES*PROJ_USAGE)+ONCOR)*1+TAX-(CREDIT),"")</f>
        <v/>
      </c>
      <c r="P29" s="18" t="n">
        <f aca="false">IF((BREAK-CUM_KWH)&gt;0,BREAK-CUM_KWH,"")</f>
        <v>1000</v>
      </c>
    </row>
    <row r="30" customFormat="false" ht="15" hidden="false" customHeight="false" outlineLevel="0" collapsed="false">
      <c r="A30" s="4" t="n">
        <v>29</v>
      </c>
      <c r="B30" s="11" t="str">
        <f aca="false">TEXT(D30,"ddd")</f>
        <v>Sat</v>
      </c>
      <c r="C30" s="4" t="n">
        <f aca="false">$A$31-$A30</f>
        <v>1</v>
      </c>
      <c r="H30" s="47"/>
      <c r="I30" s="13" t="n">
        <f aca="false">(I29+H30)</f>
        <v>0</v>
      </c>
      <c r="J30" s="13" t="n">
        <f aca="false">(I30/A30)</f>
        <v>0</v>
      </c>
      <c r="K30" s="13" t="str">
        <f aca="false">IF($H30&gt;0,AVERAGE($H$2:$H30),"")</f>
        <v/>
      </c>
      <c r="L30" s="15" t="str">
        <f aca="false">IF(KWH&gt;0,((RATES*KWH)+TDU_DAILY)+(1*TAX),"")</f>
        <v/>
      </c>
      <c r="M30" s="16" t="e">
        <f aca="false">(M29+L30)</f>
        <v>#VALUE!</v>
      </c>
      <c r="N30" s="17" t="n">
        <f aca="false">IF(MOVING_AVERAGE&lt;&gt;"",MOVING_AVERAGE*$A$33,$N29)</f>
        <v>0</v>
      </c>
      <c r="O30" s="17" t="str">
        <f aca="false">IF(PROJ_USAGE&gt;1000,((RATES*PROJ_USAGE)+ONCOR)*1+TAX-(CREDIT),"")</f>
        <v/>
      </c>
      <c r="P30" s="18" t="n">
        <f aca="false">IF((BREAK-CUM_KWH)&gt;0,BREAK-CUM_KWH,"")</f>
        <v>1000</v>
      </c>
    </row>
    <row r="31" customFormat="false" ht="15" hidden="false" customHeight="false" outlineLevel="0" collapsed="false">
      <c r="A31" s="4" t="n">
        <v>30</v>
      </c>
      <c r="B31" s="11" t="str">
        <f aca="false">TEXT(D31,"ddd")</f>
        <v>Sat</v>
      </c>
      <c r="C31" s="4" t="n">
        <f aca="false">$A$31-$A31</f>
        <v>0</v>
      </c>
      <c r="H31" s="47"/>
      <c r="I31" s="13" t="n">
        <f aca="false">(I30+H31)</f>
        <v>0</v>
      </c>
      <c r="J31" s="13" t="n">
        <f aca="false">(I31/A31)</f>
        <v>0</v>
      </c>
      <c r="K31" s="13" t="str">
        <f aca="false">IF($H31&gt;0,AVERAGE($H$2:$H31),"")</f>
        <v/>
      </c>
      <c r="L31" s="15" t="str">
        <f aca="false">IF(KWH&gt;0,((RATES*KWH)+TDU_DAILY)+(1*TAX),"")</f>
        <v/>
      </c>
      <c r="M31" s="16" t="e">
        <f aca="false">(M30+L31)</f>
        <v>#VALUE!</v>
      </c>
      <c r="N31" s="17" t="n">
        <f aca="false">IF(MOVING_AVERAGE&lt;&gt;"",MOVING_AVERAGE*$A$33,$N30)</f>
        <v>0</v>
      </c>
      <c r="O31" s="17" t="str">
        <f aca="false">IF(PROJ_USAGE&gt;1000,((RATES*PROJ_USAGE)+ONCOR)*1+TAX-(CREDIT),"")</f>
        <v/>
      </c>
      <c r="P31" s="18" t="n">
        <f aca="false">IF((BREAK-CUM_KWH)&gt;0,BREAK-CUM_KWH,"")</f>
        <v>1000</v>
      </c>
    </row>
    <row r="32" customFormat="false" ht="15" hidden="false" customHeight="false" outlineLevel="0" collapsed="false">
      <c r="A32" s="4"/>
      <c r="B32" s="11"/>
      <c r="C32" s="4"/>
      <c r="I32" s="13"/>
      <c r="J32" s="13"/>
      <c r="K32" s="13"/>
      <c r="L32" s="15"/>
      <c r="M32" s="16"/>
      <c r="N32" s="17"/>
      <c r="O32" s="17"/>
      <c r="P32" s="18"/>
    </row>
    <row r="33" customFormat="false" ht="15" hidden="false" customHeight="false" outlineLevel="0" collapsed="false">
      <c r="A33" s="4"/>
      <c r="B33" s="11"/>
      <c r="C33" s="4"/>
      <c r="H33" s="47"/>
      <c r="I33" s="13"/>
      <c r="J33" s="13"/>
      <c r="K33" s="13"/>
      <c r="L33" s="15"/>
      <c r="M33" s="16"/>
      <c r="N33" s="17"/>
      <c r="O33" s="17"/>
      <c r="P33" s="18"/>
    </row>
    <row r="34" customFormat="false" ht="15" hidden="false" customHeight="false" outlineLevel="0" collapsed="false">
      <c r="M34" s="47"/>
      <c r="N34" s="2"/>
      <c r="O34" s="2"/>
    </row>
    <row r="35" customFormat="false" ht="15" hidden="false" customHeight="false" outlineLevel="0" collapsed="false">
      <c r="M35" s="47"/>
      <c r="N35" s="2"/>
      <c r="O35" s="2"/>
    </row>
    <row r="36" customFormat="false" ht="15" hidden="false" customHeight="false" outlineLevel="0" collapsed="false">
      <c r="I36" s="149"/>
      <c r="M36" s="47"/>
      <c r="N36" s="2"/>
      <c r="O36" s="2"/>
    </row>
    <row r="37" customFormat="false" ht="15" hidden="false" customHeight="false" outlineLevel="0" collapsed="false">
      <c r="L37" s="47"/>
      <c r="M37" s="2"/>
      <c r="N37" s="2"/>
    </row>
    <row r="38" customFormat="false" ht="15" hidden="false" customHeight="false" outlineLevel="0" collapsed="false">
      <c r="I38" s="81"/>
      <c r="L38" s="47"/>
      <c r="M38" s="2"/>
      <c r="N38" s="2"/>
    </row>
    <row r="39" customFormat="false" ht="15" hidden="false" customHeight="false" outlineLevel="0" collapsed="false">
      <c r="M39" s="2"/>
      <c r="N39" s="2"/>
    </row>
    <row r="53" customFormat="false" ht="15" hidden="false" customHeight="false" outlineLevel="0" collapsed="false">
      <c r="H53" s="47"/>
    </row>
    <row r="62" customFormat="false" ht="15" hidden="false" customHeight="false" outlineLevel="0" collapsed="false">
      <c r="H62" s="47"/>
    </row>
  </sheetData>
  <conditionalFormatting sqref="R2:R14">
    <cfRule type="expression" priority="2" aboveAverage="0" equalAverage="0" bottom="0" percent="0" rank="0" text="" dxfId="56">
      <formula>" =CELL(“Protect”,A1)=1"</formula>
    </cfRule>
    <cfRule type="expression" priority="3"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45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0" activeCellId="0" sqref="D30"/>
    </sheetView>
  </sheetViews>
  <sheetFormatPr defaultColWidth="8.453125" defaultRowHeight="15" zeroHeight="false" outlineLevelRow="0" outlineLevelCol="0"/>
  <cols>
    <col collapsed="false" customWidth="true" hidden="false" outlineLevel="0" max="1" min="1" style="0" width="11.71"/>
    <col collapsed="false" customWidth="true" hidden="false" outlineLevel="0" max="2" min="2" style="2" width="10.71"/>
    <col collapsed="false" customWidth="true" hidden="false" outlineLevel="0" max="8" min="3" style="0" width="10.71"/>
  </cols>
  <sheetData>
    <row r="1" customFormat="false" ht="25" hidden="false" customHeight="false" outlineLevel="0" collapsed="false">
      <c r="B1" s="213" t="s">
        <v>153</v>
      </c>
      <c r="C1" s="214" t="s">
        <v>154</v>
      </c>
      <c r="D1" s="214" t="s">
        <v>155</v>
      </c>
      <c r="E1" s="214" t="s">
        <v>156</v>
      </c>
      <c r="F1" s="214" t="s">
        <v>9</v>
      </c>
      <c r="G1" s="214" t="s">
        <v>157</v>
      </c>
      <c r="H1" s="214" t="s">
        <v>158</v>
      </c>
    </row>
    <row r="3" customFormat="false" ht="15" hidden="false" customHeight="false" outlineLevel="0" collapsed="false">
      <c r="A3" s="0" t="s">
        <v>159</v>
      </c>
      <c r="B3" s="2" t="n">
        <v>1098.98</v>
      </c>
    </row>
    <row r="4" customFormat="false" ht="15" hidden="false" customHeight="false" outlineLevel="0" collapsed="false">
      <c r="A4" s="0" t="s">
        <v>160</v>
      </c>
      <c r="B4" s="2" t="n">
        <v>1306.935</v>
      </c>
    </row>
    <row r="5" customFormat="false" ht="15" hidden="false" customHeight="false" outlineLevel="0" collapsed="false">
      <c r="A5" s="0" t="s">
        <v>161</v>
      </c>
      <c r="B5" s="87" t="n">
        <v>1125.83601092009</v>
      </c>
    </row>
    <row r="6" customFormat="false" ht="15" hidden="false" customHeight="false" outlineLevel="0" collapsed="false">
      <c r="A6" s="0" t="s">
        <v>162</v>
      </c>
      <c r="B6" s="2" t="n">
        <v>1050.801</v>
      </c>
    </row>
    <row r="7" customFormat="false" ht="15" hidden="false" customHeight="false" outlineLevel="0" collapsed="false">
      <c r="A7" s="0" t="s">
        <v>68</v>
      </c>
      <c r="B7" s="2" t="n">
        <v>1101.811</v>
      </c>
    </row>
    <row r="8" customFormat="false" ht="15" hidden="false" customHeight="false" outlineLevel="0" collapsed="false">
      <c r="A8" s="0" t="s">
        <v>163</v>
      </c>
      <c r="B8" s="2" t="n">
        <v>1833.943</v>
      </c>
    </row>
    <row r="9" customFormat="false" ht="15" hidden="false" customHeight="false" outlineLevel="0" collapsed="false">
      <c r="A9" s="0" t="s">
        <v>164</v>
      </c>
      <c r="B9" s="2" t="n">
        <v>1833.943</v>
      </c>
    </row>
    <row r="10" customFormat="false" ht="15" hidden="false" customHeight="false" outlineLevel="0" collapsed="false">
      <c r="A10" s="0" t="s">
        <v>165</v>
      </c>
      <c r="B10" s="2" t="n">
        <v>1786.82</v>
      </c>
    </row>
    <row r="11" customFormat="false" ht="15" hidden="false" customHeight="false" outlineLevel="0" collapsed="false">
      <c r="A11" s="0" t="s">
        <v>166</v>
      </c>
      <c r="B11" s="2" t="n">
        <v>1281.639</v>
      </c>
    </row>
    <row r="12" customFormat="false" ht="15" hidden="false" customHeight="false" outlineLevel="0" collapsed="false">
      <c r="A12" s="0" t="s">
        <v>167</v>
      </c>
      <c r="B12" s="2" t="n">
        <v>1277.479</v>
      </c>
    </row>
    <row r="13" customFormat="false" ht="15" hidden="false" customHeight="false" outlineLevel="0" collapsed="false">
      <c r="A13" s="0" t="s">
        <v>168</v>
      </c>
      <c r="B13" s="2" t="n">
        <v>1086.125</v>
      </c>
    </row>
    <row r="14" customFormat="false" ht="15" hidden="false" customHeight="false" outlineLevel="0" collapsed="false">
      <c r="A14" s="0" t="s">
        <v>169</v>
      </c>
      <c r="B14" s="2" t="n">
        <v>1018.645</v>
      </c>
    </row>
    <row r="16" customFormat="false" ht="15" hidden="false" customHeight="false" outlineLevel="0" collapsed="false">
      <c r="A16" s="215" t="s">
        <v>170</v>
      </c>
      <c r="B16" s="2" t="n">
        <f aca="false">SUM(B3:B15)</f>
        <v>15802.9570109201</v>
      </c>
      <c r="C16" s="29" t="n">
        <f aca="false">SUM(C3:C15)+MIN(B16)</f>
        <v>15802.9570109201</v>
      </c>
      <c r="D16" s="29" t="n">
        <f aca="false">SUM(D3:D15)</f>
        <v>0</v>
      </c>
      <c r="E16" s="29" t="n">
        <f aca="false">SUM(E3:E15)</f>
        <v>0</v>
      </c>
      <c r="F16" s="216"/>
      <c r="G16" s="216"/>
      <c r="H16" s="216"/>
    </row>
    <row r="18" customFormat="false" ht="15" hidden="false" customHeight="false" outlineLevel="0" collapsed="false">
      <c r="C18" s="29" t="n">
        <f aca="false">(B16/365)</f>
        <v>43.2957726326578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453125" defaultRowHeight="15" zeroHeight="false" outlineLevelRow="0" outlineLevelCol="0"/>
  <cols>
    <col collapsed="false" customWidth="true" hidden="false" outlineLevel="0" max="1" min="1" style="0" width="6"/>
    <col collapsed="false" customWidth="true" hidden="false" outlineLevel="0" max="2" min="2" style="0" width="6.14"/>
    <col collapsed="false" customWidth="true" hidden="false" outlineLevel="0" max="3" min="3" style="0" width="5.42"/>
    <col collapsed="false" customWidth="true" hidden="false" outlineLevel="0" max="5" min="4" style="1" width="9.71"/>
    <col collapsed="false" customWidth="true" hidden="false" outlineLevel="0" max="7" min="6" style="2" width="10.71"/>
    <col collapsed="false" customWidth="true" hidden="false" outlineLevel="0" max="8" min="8" style="0" width="9.71"/>
    <col collapsed="false" customWidth="true" hidden="false" outlineLevel="0" max="13" min="11" style="0" width="9.71"/>
    <col collapsed="false" customWidth="true" hidden="false" outlineLevel="0" max="15" min="15" style="2" width="9.14"/>
    <col collapsed="false" customWidth="true" hidden="false" outlineLevel="0" max="17" min="17" style="0" width="28.71"/>
    <col collapsed="false" customWidth="true" hidden="false" outlineLevel="0" max="18" min="18" style="0" width="8.71"/>
    <col collapsed="false" customWidth="true" hidden="false" outlineLevel="0" max="19" min="19" style="0" width="10.71"/>
  </cols>
  <sheetData>
    <row r="1" customFormat="false" ht="49.5" hidden="false" customHeight="true" outlineLevel="0" collapsed="false">
      <c r="A1" s="5" t="s">
        <v>0</v>
      </c>
      <c r="B1" s="6" t="s">
        <v>1</v>
      </c>
      <c r="C1" s="6" t="s">
        <v>2</v>
      </c>
      <c r="D1" s="7" t="s">
        <v>3</v>
      </c>
      <c r="E1" s="7" t="s">
        <v>4</v>
      </c>
      <c r="F1" s="114" t="s">
        <v>5</v>
      </c>
      <c r="G1" s="114" t="s">
        <v>6</v>
      </c>
      <c r="H1" s="6" t="s">
        <v>7</v>
      </c>
      <c r="I1" s="6" t="s">
        <v>8</v>
      </c>
      <c r="J1" s="6" t="s">
        <v>9</v>
      </c>
      <c r="K1" s="6" t="s">
        <v>10</v>
      </c>
      <c r="L1" s="6" t="s">
        <v>11</v>
      </c>
      <c r="M1" s="6" t="s">
        <v>12</v>
      </c>
      <c r="N1" s="8" t="s">
        <v>13</v>
      </c>
      <c r="O1" s="9" t="s">
        <v>77</v>
      </c>
      <c r="S1" s="10"/>
      <c r="T1" s="71"/>
      <c r="U1" s="72"/>
      <c r="V1" s="72"/>
      <c r="W1" s="71"/>
      <c r="X1" s="71"/>
      <c r="Y1" s="71"/>
      <c r="Z1" s="73"/>
      <c r="AA1" s="71"/>
      <c r="AB1" s="71"/>
      <c r="AC1" s="71"/>
    </row>
    <row r="2" customFormat="false" ht="15" hidden="false" customHeight="true" outlineLevel="0" collapsed="false">
      <c r="A2" s="11" t="n">
        <v>1</v>
      </c>
      <c r="B2" s="11" t="str">
        <f aca="false">TEXT(D2,"ddd")</f>
        <v>Sat</v>
      </c>
      <c r="C2" s="11" t="n">
        <f aca="false">$A$31-$A2</f>
        <v>29</v>
      </c>
      <c r="I2" s="13" t="n">
        <f aca="false">H2</f>
        <v>0</v>
      </c>
      <c r="J2" s="13" t="n">
        <f aca="false">(I2)</f>
        <v>0</v>
      </c>
      <c r="K2" s="15" t="n">
        <f aca="false">(J2)</f>
        <v>0</v>
      </c>
      <c r="L2" s="16" t="n">
        <f aca="false">IF(AVERAGE_KWH&lt;&gt;"",AVERAGE_KWH*DAYS-$A2,"")</f>
        <v>-1</v>
      </c>
      <c r="M2" s="17" t="e">
        <f aca="false">IF(PROJ_USAGE&lt;&gt;"",IF(PROJ_USAGE&gt;1000,((RATES*PROJ_USAGE)+TDU)*1+TAX-(CREDIT),(RATES*PROJ_USAGE)+TDU)*1+TAX,"")</f>
        <v>#VALUE!</v>
      </c>
      <c r="N2" s="17" t="str">
        <f aca="false">IF(KWH&lt;&gt;"",IF((BREAK-CUM_KWH)&gt;0,BREAK-CUM_KWH,0),"")</f>
        <v/>
      </c>
      <c r="O2" s="18" t="str">
        <f aca="false">IF(KWH&lt;&gt;"",IF((BREAK-CUM_KWH)&gt;0,BREAK-CUM_KWH,0),"")</f>
        <v/>
      </c>
      <c r="Q2" s="19" t="s">
        <v>18</v>
      </c>
      <c r="R2" s="20" t="s">
        <v>19</v>
      </c>
      <c r="S2" s="21"/>
      <c r="U2" s="74"/>
      <c r="V2" s="74"/>
    </row>
    <row r="3" customFormat="false" ht="15" hidden="false" customHeight="true" outlineLevel="0" collapsed="false">
      <c r="A3" s="11" t="n">
        <v>2</v>
      </c>
      <c r="B3" s="11" t="str">
        <f aca="false">TEXT(D3,"ddd")</f>
        <v>Sat</v>
      </c>
      <c r="C3" s="11" t="n">
        <f aca="false">$A$31-$A3</f>
        <v>28</v>
      </c>
      <c r="I3" s="13" t="str">
        <f aca="false">IF($H3&gt;0,($I2+$H3),"")</f>
        <v/>
      </c>
      <c r="J3" s="13" t="str">
        <f aca="false">IF(KWH&gt;0,((RATES*KWH)+TDU_DAILY)*(1+TAX),"")</f>
        <v/>
      </c>
      <c r="K3" s="15" t="str">
        <f aca="false">IF(KWH&gt;0,$K2+$J3-100*AND(I2&lt;=1000,I3&gt;1000),"")</f>
        <v/>
      </c>
      <c r="L3" s="16" t="n">
        <f aca="false">IF(AVERAGE_KWH&lt;&gt;"",AVERAGE_KWH*DAYS-$A3,"")</f>
        <v>-2</v>
      </c>
      <c r="M3" s="17" t="e">
        <f aca="false">IF(PROJ_USAGE&lt;&gt;"",IF(PROJ_USAGE&gt;1000,((RATES*PROJ_USAGE)+TDU)*1+TAX-(CREDIT),(RATES*PROJ_USAGE)+TDU)*1+TAX,"")</f>
        <v>#VALUE!</v>
      </c>
      <c r="N3" s="17" t="str">
        <f aca="false">IF(KWH&lt;&gt;"",IF((BREAK-CUM_KWH)&gt;0,BREAK-CUM_KWH,0),"")</f>
        <v/>
      </c>
      <c r="O3" s="18" t="str">
        <f aca="false">IF(KWH&lt;&gt;"",IF((BREAK-CUM_KWH)&gt;0,BREAK-CUM_KWH,0),"")</f>
        <v/>
      </c>
      <c r="Q3" s="22" t="s">
        <v>22</v>
      </c>
      <c r="R3" s="23" t="n">
        <f aca="false">(F2+1000)</f>
        <v>1000</v>
      </c>
      <c r="S3" s="24"/>
      <c r="V3" s="75"/>
      <c r="W3" s="76"/>
      <c r="X3" s="76"/>
      <c r="Y3" s="77"/>
      <c r="AC3" s="78"/>
    </row>
    <row r="4" customFormat="false" ht="15" hidden="false" customHeight="true" outlineLevel="0" collapsed="false">
      <c r="A4" s="11" t="n">
        <v>3</v>
      </c>
      <c r="B4" s="11" t="str">
        <f aca="false">TEXT(D4,"ddd")</f>
        <v>Sat</v>
      </c>
      <c r="C4" s="11" t="n">
        <f aca="false">$A$31-$A4</f>
        <v>27</v>
      </c>
      <c r="I4" s="13" t="str">
        <f aca="false">IF($H4&gt;0,($I3+$H4),"")</f>
        <v/>
      </c>
      <c r="J4" s="13" t="str">
        <f aca="false">IF(KWH&gt;0,((RATES*KWH)+TDU_DAILY)*(1+TAX),"")</f>
        <v/>
      </c>
      <c r="K4" s="15" t="str">
        <f aca="false">IF(KWH&gt;0,$K3+$J4-100*AND(I3&lt;=1000,I4&gt;1000),"")</f>
        <v/>
      </c>
      <c r="L4" s="16" t="n">
        <f aca="false">IF(AVERAGE_KWH&lt;&gt;"",AVERAGE_KWH*DAYS-$A4,"")</f>
        <v>-3</v>
      </c>
      <c r="M4" s="17" t="e">
        <f aca="false">IF(PROJ_USAGE&lt;&gt;"",IF(PROJ_USAGE&gt;1000,((RATES*PROJ_USAGE)+TDU)*1+TAX-(CREDIT),(RATES*PROJ_USAGE)+TDU)*1+TAX,"")</f>
        <v>#VALUE!</v>
      </c>
      <c r="N4" s="17" t="str">
        <f aca="false">IF(KWH&lt;&gt;"",IF((BREAK-CUM_KWH)&gt;0,BREAK-CUM_KWH,0),"")</f>
        <v/>
      </c>
      <c r="O4" s="18" t="str">
        <f aca="false">IF(KWH&lt;&gt;"",IF((BREAK-CUM_KWH)&gt;0,BREAK-CUM_KWH,0),"")</f>
        <v/>
      </c>
      <c r="Q4" s="22" t="s">
        <v>25</v>
      </c>
      <c r="R4" s="25"/>
      <c r="S4" s="26" t="n">
        <v>0.001667</v>
      </c>
      <c r="U4" s="79"/>
      <c r="V4" s="80"/>
      <c r="W4" s="81"/>
      <c r="X4" s="81"/>
      <c r="Y4" s="81"/>
      <c r="Z4" s="82"/>
      <c r="AC4" s="78"/>
    </row>
    <row r="5" s="45" customFormat="true" ht="15" hidden="false" customHeight="true" outlineLevel="0" collapsed="false">
      <c r="A5" s="11" t="n">
        <v>4</v>
      </c>
      <c r="B5" s="11" t="str">
        <f aca="false">TEXT(D5,"ddd")</f>
        <v>Sat</v>
      </c>
      <c r="C5" s="11" t="n">
        <f aca="false">$A$31-$A5</f>
        <v>26</v>
      </c>
      <c r="D5" s="1"/>
      <c r="E5" s="1"/>
      <c r="F5" s="2"/>
      <c r="G5" s="2"/>
      <c r="I5" s="13" t="str">
        <f aca="false">IF($H5&gt;0,($I4+$H5),"")</f>
        <v/>
      </c>
      <c r="J5" s="13" t="str">
        <f aca="false">IF(KWH&gt;0,((RATES*KWH)+TDU_DAILY)*(1+TAX),"")</f>
        <v/>
      </c>
      <c r="K5" s="15" t="str">
        <f aca="false">IF(KWH&gt;0,$K4+$J5-100*AND(I4&lt;=1000,I5&gt;1000),"")</f>
        <v/>
      </c>
      <c r="L5" s="16" t="n">
        <f aca="false">IF(AVERAGE_KWH&lt;&gt;"",AVERAGE_KWH*DAYS-$A5,"")</f>
        <v>-4</v>
      </c>
      <c r="M5" s="17" t="e">
        <f aca="false">IF(PROJ_USAGE&lt;&gt;"",IF(PROJ_USAGE&gt;1000,((RATES*PROJ_USAGE)+TDU)*1+TAX-(CREDIT),(RATES*PROJ_USAGE)+TDU)*1+TAX,"")</f>
        <v>#VALUE!</v>
      </c>
      <c r="N5" s="17" t="str">
        <f aca="false">IF(KWH&lt;&gt;"",IF((BREAK-CUM_KWH)&gt;0,BREAK-CUM_KWH,0),"")</f>
        <v/>
      </c>
      <c r="O5" s="18" t="str">
        <f aca="false">IF(KWH&lt;&gt;"",IF((BREAK-CUM_KWH)&gt;0,BREAK-CUM_KWH,0),"")</f>
        <v/>
      </c>
      <c r="P5" s="27"/>
      <c r="Q5" s="22" t="s">
        <v>28</v>
      </c>
      <c r="R5" s="25"/>
      <c r="S5" s="26" t="n">
        <v>0.042</v>
      </c>
      <c r="T5" s="83"/>
    </row>
    <row r="6" customFormat="false" ht="15" hidden="false" customHeight="true" outlineLevel="0" collapsed="false">
      <c r="A6" s="11" t="n">
        <v>5</v>
      </c>
      <c r="B6" s="11" t="str">
        <f aca="false">TEXT(D6,"ddd")</f>
        <v>Sat</v>
      </c>
      <c r="C6" s="11" t="n">
        <f aca="false">$A$31-$A6</f>
        <v>25</v>
      </c>
      <c r="I6" s="13" t="str">
        <f aca="false">IF($H6&gt;0,($I5+$H6),"")</f>
        <v/>
      </c>
      <c r="J6" s="13" t="str">
        <f aca="false">IF(KWH&gt;0,((RATES*KWH)+TDU_DAILY)*(1+TAX),"")</f>
        <v/>
      </c>
      <c r="K6" s="15" t="str">
        <f aca="false">IF(KWH&gt;0,$K5+$J6-100*AND(I5&lt;=1000,I6&gt;1000),"")</f>
        <v/>
      </c>
      <c r="L6" s="16" t="n">
        <f aca="false">IF(AVERAGE_KWH&lt;&gt;"",AVERAGE_KWH*DAYS-$A6,"")</f>
        <v>-5</v>
      </c>
      <c r="M6" s="17" t="e">
        <f aca="false">IF(PROJ_USAGE&lt;&gt;"",IF(PROJ_USAGE&gt;1000,((RATES*PROJ_USAGE)+TDU)*1+TAX-(CREDIT),(RATES*PROJ_USAGE)+TDU)*1+TAX,"")</f>
        <v>#VALUE!</v>
      </c>
      <c r="N6" s="17" t="str">
        <f aca="false">IF(KWH&lt;&gt;"",IF((BREAK-CUM_KWH)&gt;0,BREAK-CUM_KWH,0),"")</f>
        <v/>
      </c>
      <c r="O6" s="18" t="str">
        <f aca="false">IF(KWH&lt;&gt;"",IF((BREAK-CUM_KWH)&gt;0,BREAK-CUM_KWH,0),"")</f>
        <v/>
      </c>
      <c r="Q6" s="22" t="s">
        <v>31</v>
      </c>
      <c r="R6" s="23" t="n">
        <v>3.4</v>
      </c>
      <c r="S6" s="26" t="n">
        <f aca="false">($R$6/DAYS)</f>
        <v>0.109677419354839</v>
      </c>
      <c r="T6" s="83"/>
    </row>
    <row r="7" customFormat="false" ht="15" hidden="false" customHeight="true" outlineLevel="0" collapsed="false">
      <c r="A7" s="11" t="n">
        <v>6</v>
      </c>
      <c r="B7" s="11" t="str">
        <f aca="false">TEXT(D7,"ddd")</f>
        <v>Sat</v>
      </c>
      <c r="C7" s="11" t="n">
        <f aca="false">$A$31-$A7</f>
        <v>24</v>
      </c>
      <c r="I7" s="13" t="str">
        <f aca="false">IF($H7&gt;0,($I6+$H7),"")</f>
        <v/>
      </c>
      <c r="J7" s="13" t="str">
        <f aca="false">IF(KWH&gt;0,((RATES*KWH)+TDU_DAILY)*(1+TAX),"")</f>
        <v/>
      </c>
      <c r="K7" s="15" t="str">
        <f aca="false">IF(KWH&gt;0,$K6+$J7-100*AND(I6&lt;=1000,I7&gt;1000),"")</f>
        <v/>
      </c>
      <c r="L7" s="16" t="n">
        <f aca="false">IF(AVERAGE_KWH&lt;&gt;"",AVERAGE_KWH*DAYS-$A7,"")</f>
        <v>-6</v>
      </c>
      <c r="M7" s="17" t="e">
        <f aca="false">IF(PROJ_USAGE&lt;&gt;"",IF(PROJ_USAGE&gt;1000,((RATES*PROJ_USAGE)+TDU)*1+TAX-(CREDIT),(RATES*PROJ_USAGE)+TDU)*1+TAX,"")</f>
        <v>#VALUE!</v>
      </c>
      <c r="N7" s="17" t="str">
        <f aca="false">IF(KWH&lt;&gt;"",IF((BREAK-CUM_KWH)&gt;0,BREAK-CUM_KWH,0),"")</f>
        <v/>
      </c>
      <c r="O7" s="18" t="str">
        <f aca="false">IF(KWH&lt;&gt;"",IF((BREAK-CUM_KWH)&gt;0,BREAK-CUM_KWH,0),"")</f>
        <v/>
      </c>
      <c r="Q7" s="22" t="s">
        <v>34</v>
      </c>
      <c r="R7" s="25"/>
      <c r="S7" s="28" t="n">
        <f aca="false">SUM(S4:S6)</f>
        <v>0.153344419354839</v>
      </c>
      <c r="T7" s="83"/>
    </row>
    <row r="8" customFormat="false" ht="15" hidden="false" customHeight="false" outlineLevel="0" collapsed="false">
      <c r="A8" s="11" t="n">
        <v>7</v>
      </c>
      <c r="B8" s="11" t="str">
        <f aca="false">TEXT(D8,"ddd")</f>
        <v>Sat</v>
      </c>
      <c r="C8" s="11" t="n">
        <f aca="false">$A$31-$A8</f>
        <v>23</v>
      </c>
      <c r="I8" s="13" t="str">
        <f aca="false">IF($H8&gt;0,($I7+$H8),"")</f>
        <v/>
      </c>
      <c r="J8" s="13" t="str">
        <f aca="false">IF(KWH&gt;0,((RATES*KWH)+TDU_DAILY)*(1+TAX),"")</f>
        <v/>
      </c>
      <c r="K8" s="15" t="str">
        <f aca="false">IF(KWH&gt;0,$K7+$J8-100*AND(I7&lt;=1000,I8&gt;1000),"")</f>
        <v/>
      </c>
      <c r="L8" s="16" t="n">
        <f aca="false">IF(AVERAGE_KWH&lt;&gt;"",AVERAGE_KWH*DAYS-$A8,"")</f>
        <v>-7</v>
      </c>
      <c r="M8" s="17" t="e">
        <f aca="false">IF(PROJ_USAGE&lt;&gt;"",IF(PROJ_USAGE&gt;1000,((RATES*PROJ_USAGE)+TDU)*1+TAX-(CREDIT),(RATES*PROJ_USAGE)+TDU)*1+TAX,"")</f>
        <v>#VALUE!</v>
      </c>
      <c r="N8" s="17" t="str">
        <f aca="false">IF(KWH&lt;&gt;"",IF((BREAK-CUM_KWH)&gt;0,BREAK-CUM_KWH,0),"")</f>
        <v/>
      </c>
      <c r="O8" s="18" t="str">
        <f aca="false">IF(KWH&lt;&gt;"",IF((BREAK-CUM_KWH)&gt;0,BREAK-CUM_KWH,0),"")</f>
        <v/>
      </c>
      <c r="Q8" s="22" t="s">
        <v>38</v>
      </c>
      <c r="R8" s="25"/>
      <c r="S8" s="67" t="n">
        <f aca="false">SUM(S4:S6)</f>
        <v>0.153344419354839</v>
      </c>
      <c r="T8" s="83"/>
    </row>
    <row r="9" customFormat="false" ht="15" hidden="false" customHeight="false" outlineLevel="0" collapsed="false">
      <c r="A9" s="11" t="n">
        <v>8</v>
      </c>
      <c r="B9" s="11" t="str">
        <f aca="false">TEXT(D9,"ddd")</f>
        <v>Sat</v>
      </c>
      <c r="C9" s="11" t="n">
        <f aca="false">$A$31-$A9</f>
        <v>22</v>
      </c>
      <c r="H9" s="47"/>
      <c r="I9" s="13" t="str">
        <f aca="false">IF($H9&gt;0,($I8+$H9),"")</f>
        <v/>
      </c>
      <c r="J9" s="13" t="str">
        <f aca="false">IF(KWH&gt;0,((RATES*KWH)+TDU_DAILY)*(1+TAX),"")</f>
        <v/>
      </c>
      <c r="K9" s="15" t="str">
        <f aca="false">IF(KWH&gt;0,$K8+$J9-100*AND(I8&lt;=1000,I9&gt;1000),"")</f>
        <v/>
      </c>
      <c r="L9" s="16" t="n">
        <f aca="false">IF(AVERAGE_KWH&lt;&gt;"",AVERAGE_KWH*DAYS-$A9,"")</f>
        <v>-8</v>
      </c>
      <c r="M9" s="17" t="e">
        <f aca="false">IF(PROJ_USAGE&lt;&gt;"",IF(PROJ_USAGE&gt;1000,((RATES*PROJ_USAGE)+TDU)*1+TAX-(CREDIT),(RATES*PROJ_USAGE)+TDU)*1+TAX,"")</f>
        <v>#VALUE!</v>
      </c>
      <c r="N9" s="17" t="str">
        <f aca="false">IF(KWH&lt;&gt;"",IF((BREAK-CUM_KWH)&gt;0,BREAK-CUM_KWH,0),"")</f>
        <v/>
      </c>
      <c r="O9" s="18" t="str">
        <f aca="false">IF(KWH&lt;&gt;"",IF((BREAK-CUM_KWH)&gt;0,BREAK-CUM_KWH,0),"")</f>
        <v/>
      </c>
      <c r="Q9" s="22" t="s">
        <v>42</v>
      </c>
      <c r="R9" s="30" t="n">
        <v>0.01997</v>
      </c>
      <c r="S9" s="32"/>
      <c r="T9" s="83"/>
    </row>
    <row r="10" customFormat="false" ht="15" hidden="false" customHeight="false" outlineLevel="0" collapsed="false">
      <c r="A10" s="11" t="n">
        <v>9</v>
      </c>
      <c r="B10" s="11" t="str">
        <f aca="false">TEXT(D10,"ddd")</f>
        <v>Sat</v>
      </c>
      <c r="C10" s="11" t="n">
        <f aca="false">$A$31-$A10</f>
        <v>21</v>
      </c>
      <c r="H10" s="47"/>
      <c r="I10" s="13" t="str">
        <f aca="false">IF($H10&gt;0,($I9+$H10),"")</f>
        <v/>
      </c>
      <c r="J10" s="13" t="str">
        <f aca="false">IF(KWH&gt;0,((RATES*KWH)+TDU_DAILY)*(1+TAX),"")</f>
        <v/>
      </c>
      <c r="K10" s="15" t="str">
        <f aca="false">IF(KWH&gt;0,$K9+$J10-100*AND(I9&lt;=1000,I10&gt;1000),"")</f>
        <v/>
      </c>
      <c r="L10" s="16" t="n">
        <f aca="false">IF(AVERAGE_KWH&lt;&gt;"",AVERAGE_KWH*DAYS-$A10,"")</f>
        <v>-9</v>
      </c>
      <c r="M10" s="17" t="e">
        <f aca="false">IF(PROJ_USAGE&lt;&gt;"",IF(PROJ_USAGE&gt;1000,((RATES*PROJ_USAGE)+TDU)*1+TAX-(CREDIT),(RATES*PROJ_USAGE)+TDU)*1+TAX,"")</f>
        <v>#VALUE!</v>
      </c>
      <c r="N10" s="17" t="str">
        <f aca="false">IF(KWH&lt;&gt;"",IF((BREAK-CUM_KWH)&gt;0,BREAK-CUM_KWH,0),"")</f>
        <v/>
      </c>
      <c r="O10" s="18" t="str">
        <f aca="false">IF(KWH&lt;&gt;"",IF((BREAK-CUM_KWH)&gt;0,BREAK-CUM_KWH,0),"")</f>
        <v/>
      </c>
      <c r="Q10" s="22" t="s">
        <v>46</v>
      </c>
      <c r="R10" s="33" t="n">
        <v>100</v>
      </c>
      <c r="S10" s="30" t="n">
        <v>1000</v>
      </c>
      <c r="T10" s="83"/>
    </row>
    <row r="11" customFormat="false" ht="15" hidden="false" customHeight="false" outlineLevel="0" collapsed="false">
      <c r="A11" s="11" t="n">
        <v>10</v>
      </c>
      <c r="B11" s="11" t="str">
        <f aca="false">TEXT(D11,"ddd")</f>
        <v>Sat</v>
      </c>
      <c r="C11" s="11" t="n">
        <f aca="false">$A$31-$A11</f>
        <v>20</v>
      </c>
      <c r="H11" s="47"/>
      <c r="I11" s="13" t="str">
        <f aca="false">IF($H11&gt;0,($I10+$H11),"")</f>
        <v/>
      </c>
      <c r="J11" s="13" t="str">
        <f aca="false">IF(KWH&gt;0,((RATES*KWH)+TDU_DAILY)*(1+TAX),"")</f>
        <v/>
      </c>
      <c r="K11" s="15" t="str">
        <f aca="false">IF(KWH&gt;0,$K10+$J11-100*AND(I10&lt;=1000,I11&gt;1000),"")</f>
        <v/>
      </c>
      <c r="L11" s="16" t="n">
        <f aca="false">IF(AVERAGE_KWH&lt;&gt;"",AVERAGE_KWH*DAYS-$A11,"")</f>
        <v>-10</v>
      </c>
      <c r="M11" s="17" t="e">
        <f aca="false">IF(PROJ_USAGE&lt;&gt;"",IF(PROJ_USAGE&gt;1000,((RATES*PROJ_USAGE)+TDU)*1+TAX-(CREDIT),(RATES*PROJ_USAGE)+TDU)*1+TAX,"")</f>
        <v>#VALUE!</v>
      </c>
      <c r="N11" s="17" t="str">
        <f aca="false">IF(KWH&lt;&gt;"",IF((BREAK-CUM_KWH)&gt;0,BREAK-CUM_KWH,0),"")</f>
        <v/>
      </c>
      <c r="O11" s="18" t="str">
        <f aca="false">IF(KWH&lt;&gt;"",IF((BREAK-CUM_KWH)&gt;0,BREAK-CUM_KWH,0),"")</f>
        <v/>
      </c>
      <c r="Q11" s="22" t="s">
        <v>49</v>
      </c>
      <c r="R11" s="33" t="n">
        <v>295</v>
      </c>
      <c r="S11" s="32"/>
      <c r="T11" s="83"/>
    </row>
    <row r="12" customFormat="false" ht="15" hidden="false" customHeight="false" outlineLevel="0" collapsed="false">
      <c r="A12" s="11" t="n">
        <v>11</v>
      </c>
      <c r="B12" s="11" t="str">
        <f aca="false">TEXT(D12,"ddd")</f>
        <v>Sat</v>
      </c>
      <c r="C12" s="11" t="n">
        <f aca="false">$A$31-$A12</f>
        <v>19</v>
      </c>
      <c r="H12" s="47"/>
      <c r="I12" s="13" t="str">
        <f aca="false">IF($H12&gt;0,($I11+$H12),"")</f>
        <v/>
      </c>
      <c r="J12" s="13" t="str">
        <f aca="false">IF(KWH&gt;0,((RATES*KWH)+TDU_DAILY)*(1+TAX),"")</f>
        <v/>
      </c>
      <c r="K12" s="15" t="str">
        <f aca="false">IF(KWH&gt;0,$K11+$J12-100*AND(I11&lt;=1000,I12&gt;1000),"")</f>
        <v/>
      </c>
      <c r="L12" s="16" t="n">
        <f aca="false">IF(AVERAGE_KWH&lt;&gt;"",AVERAGE_KWH*DAYS-$A12,"")</f>
        <v>-11</v>
      </c>
      <c r="M12" s="17" t="e">
        <f aca="false">IF(PROJ_USAGE&lt;&gt;"",IF(PROJ_USAGE&gt;1000,((RATES*PROJ_USAGE)+TDU)*1+TAX-(CREDIT),(RATES*PROJ_USAGE)+TDU)*1+TAX,"")</f>
        <v>#VALUE!</v>
      </c>
      <c r="N12" s="17" t="str">
        <f aca="false">IF(KWH&lt;&gt;"",IF((BREAK-CUM_KWH)&gt;0,BREAK-CUM_KWH,0),"")</f>
        <v/>
      </c>
      <c r="O12" s="18" t="str">
        <f aca="false">IF(KWH&lt;&gt;"",IF((BREAK-CUM_KWH)&gt;0,BREAK-CUM_KWH,0),"")</f>
        <v/>
      </c>
      <c r="Q12" s="22" t="s">
        <v>52</v>
      </c>
      <c r="R12" s="35" t="n">
        <f aca="false">INDEX(L2:L32,COUNT(L2:L32))</f>
        <v>-30</v>
      </c>
      <c r="S12" s="32"/>
      <c r="T12" s="83"/>
    </row>
    <row r="13" customFormat="false" ht="15" hidden="false" customHeight="false" outlineLevel="0" collapsed="false">
      <c r="A13" s="11" t="n">
        <v>12</v>
      </c>
      <c r="B13" s="11" t="str">
        <f aca="false">TEXT(D13,"ddd")</f>
        <v>Sat</v>
      </c>
      <c r="C13" s="11" t="n">
        <f aca="false">$A$31-$A13</f>
        <v>18</v>
      </c>
      <c r="H13" s="47"/>
      <c r="I13" s="13" t="str">
        <f aca="false">IF($H13&gt;0,($I12+$H13),"")</f>
        <v/>
      </c>
      <c r="J13" s="13" t="str">
        <f aca="false">IF(KWH&gt;0,((RATES*KWH)+TDU_DAILY)*(1+TAX),"")</f>
        <v/>
      </c>
      <c r="K13" s="15" t="str">
        <f aca="false">IF(KWH&gt;0,$K12+$J13-100*AND(I12&lt;=1000,I13&gt;1000),"")</f>
        <v/>
      </c>
      <c r="L13" s="16" t="n">
        <f aca="false">IF(AVERAGE_KWH&lt;&gt;"",AVERAGE_KWH*DAYS-$A13,"")</f>
        <v>-12</v>
      </c>
      <c r="M13" s="17" t="e">
        <f aca="false">IF(PROJ_USAGE&lt;&gt;"",IF(PROJ_USAGE&gt;1000,((RATES*PROJ_USAGE)+TDU)*1+TAX-(CREDIT),(RATES*PROJ_USAGE)+TDU)*1+TAX,"")</f>
        <v>#VALUE!</v>
      </c>
      <c r="N13" s="17" t="str">
        <f aca="false">IF(KWH&lt;&gt;"",IF((BREAK-CUM_KWH)&gt;0,BREAK-CUM_KWH,0),"")</f>
        <v/>
      </c>
      <c r="O13" s="18" t="str">
        <f aca="false">IF(KWH&lt;&gt;"",IF((BREAK-CUM_KWH)&gt;0,BREAK-CUM_KWH,0),"")</f>
        <v/>
      </c>
      <c r="Q13" s="22" t="s">
        <v>55</v>
      </c>
      <c r="R13" s="37" t="n">
        <f aca="false">INDEX(I2:I32,COUNT(I2:I32))</f>
        <v>0</v>
      </c>
      <c r="S13" s="32"/>
      <c r="T13" s="83"/>
    </row>
    <row r="14" customFormat="false" ht="15" hidden="false" customHeight="false" outlineLevel="0" collapsed="false">
      <c r="A14" s="11" t="n">
        <v>13</v>
      </c>
      <c r="B14" s="11" t="str">
        <f aca="false">TEXT(D14,"ddd")</f>
        <v>Sat</v>
      </c>
      <c r="C14" s="11" t="n">
        <f aca="false">$A$31-$A14</f>
        <v>17</v>
      </c>
      <c r="H14" s="47"/>
      <c r="I14" s="13" t="str">
        <f aca="false">IF($H14&gt;0,($I13+$H14),"")</f>
        <v/>
      </c>
      <c r="J14" s="13" t="str">
        <f aca="false">IF(KWH&gt;0,((RATES*KWH)+TDU_DAILY)*(1+TAX),"")</f>
        <v/>
      </c>
      <c r="K14" s="15" t="str">
        <f aca="false">IF(KWH&gt;0,$K13+$J14-100*AND(I13&lt;=1000,I14&gt;1000),"")</f>
        <v/>
      </c>
      <c r="L14" s="16" t="n">
        <f aca="false">IF(AVERAGE_KWH&lt;&gt;"",AVERAGE_KWH*DAYS-$A14,"")</f>
        <v>-13</v>
      </c>
      <c r="M14" s="17" t="e">
        <f aca="false">IF(PROJ_USAGE&lt;&gt;"",IF(PROJ_USAGE&gt;1000,((RATES*PROJ_USAGE)+TDU)*1+TAX-(CREDIT),(RATES*PROJ_USAGE)+TDU)*1+TAX,"")</f>
        <v>#VALUE!</v>
      </c>
      <c r="N14" s="17" t="str">
        <f aca="false">IF(KWH&lt;&gt;"",IF((BREAK-CUM_KWH)&gt;0,BREAK-CUM_KWH,0),"")</f>
        <v/>
      </c>
      <c r="O14" s="18" t="str">
        <f aca="false">IF(KWH&lt;&gt;"",IF((BREAK-CUM_KWH)&gt;0,BREAK-CUM_KWH,0),"")</f>
        <v/>
      </c>
      <c r="Q14" s="40" t="s">
        <v>58</v>
      </c>
      <c r="R14" s="144" t="e">
        <f aca="false">INDEX(#REF!,COUNT(#REF!))</f>
        <v>#REF!</v>
      </c>
      <c r="S14" s="101"/>
      <c r="T14" s="83"/>
    </row>
    <row r="15" customFormat="false" ht="15" hidden="false" customHeight="false" outlineLevel="0" collapsed="false">
      <c r="A15" s="11" t="n">
        <v>14</v>
      </c>
      <c r="B15" s="11" t="str">
        <f aca="false">TEXT(D15,"ddd")</f>
        <v>Sat</v>
      </c>
      <c r="C15" s="11" t="n">
        <f aca="false">$A$31-$A15</f>
        <v>16</v>
      </c>
      <c r="H15" s="47"/>
      <c r="I15" s="13" t="str">
        <f aca="false">IF($H15&gt;0,($I14+$H15),"")</f>
        <v/>
      </c>
      <c r="J15" s="13" t="str">
        <f aca="false">IF(KWH&gt;0,((RATES*KWH)+TDU_DAILY)*(1+TAX),"")</f>
        <v/>
      </c>
      <c r="K15" s="15" t="str">
        <f aca="false">IF(KWH&gt;0,$K14+$J15-100*AND(I14&lt;=1000,I15&gt;1000),"")</f>
        <v/>
      </c>
      <c r="L15" s="16" t="n">
        <f aca="false">IF(AVERAGE_KWH&lt;&gt;"",AVERAGE_KWH*DAYS-$A15,"")</f>
        <v>-14</v>
      </c>
      <c r="M15" s="17" t="e">
        <f aca="false">IF(PROJ_USAGE&lt;&gt;"",IF(PROJ_USAGE&gt;1000,((RATES*PROJ_USAGE)+TDU)*1+TAX-(CREDIT),(RATES*PROJ_USAGE)+TDU)*1+TAX,"")</f>
        <v>#VALUE!</v>
      </c>
      <c r="N15" s="17" t="str">
        <f aca="false">IF(KWH&lt;&gt;"",IF((BREAK-CUM_KWH)&gt;0,BREAK-CUM_KWH,0),"")</f>
        <v/>
      </c>
      <c r="O15" s="18" t="str">
        <f aca="false">IF(KWH&lt;&gt;"",IF((BREAK-CUM_KWH)&gt;0,BREAK-CUM_KWH,0),"")</f>
        <v/>
      </c>
    </row>
    <row r="16" customFormat="false" ht="15" hidden="false" customHeight="false" outlineLevel="0" collapsed="false">
      <c r="A16" s="11" t="n">
        <v>15</v>
      </c>
      <c r="B16" s="11" t="str">
        <f aca="false">TEXT(D16,"ddd")</f>
        <v>Sat</v>
      </c>
      <c r="C16" s="11" t="n">
        <f aca="false">$A$31-$A16</f>
        <v>15</v>
      </c>
      <c r="H16" s="47"/>
      <c r="I16" s="13" t="str">
        <f aca="false">IF($H16&gt;0,($I15+$H16),"")</f>
        <v/>
      </c>
      <c r="J16" s="13" t="str">
        <f aca="false">IF(KWH&gt;0,((RATES*KWH)+TDU_DAILY)*(1+TAX),"")</f>
        <v/>
      </c>
      <c r="K16" s="15" t="str">
        <f aca="false">IF(KWH&gt;0,$K15+$J16-100*AND(I15&lt;=1000,I16&gt;1000),"")</f>
        <v/>
      </c>
      <c r="L16" s="16" t="n">
        <f aca="false">IF(AVERAGE_KWH&lt;&gt;"",AVERAGE_KWH*DAYS-$A16,"")</f>
        <v>-15</v>
      </c>
      <c r="M16" s="17" t="e">
        <f aca="false">IF(PROJ_USAGE&lt;&gt;"",IF(PROJ_USAGE&gt;1000,((RATES*PROJ_USAGE)+TDU)*1+TAX-(CREDIT),(RATES*PROJ_USAGE)+TDU)*1+TAX,"")</f>
        <v>#VALUE!</v>
      </c>
      <c r="N16" s="17" t="str">
        <f aca="false">IF(KWH&lt;&gt;"",IF((BREAK-CUM_KWH)&gt;0,BREAK-CUM_KWH,0),"")</f>
        <v/>
      </c>
      <c r="O16" s="18" t="str">
        <f aca="false">IF(KWH&lt;&gt;"",IF((BREAK-CUM_KWH)&gt;0,BREAK-CUM_KWH,0),"")</f>
        <v/>
      </c>
    </row>
    <row r="17" customFormat="false" ht="15" hidden="false" customHeight="false" outlineLevel="0" collapsed="false">
      <c r="A17" s="11" t="n">
        <v>16</v>
      </c>
      <c r="B17" s="11" t="str">
        <f aca="false">TEXT(D17,"ddd")</f>
        <v>Sat</v>
      </c>
      <c r="C17" s="11" t="n">
        <f aca="false">$A$31-$A17</f>
        <v>14</v>
      </c>
      <c r="H17" s="47"/>
      <c r="I17" s="13" t="str">
        <f aca="false">IF($H17&gt;0,($I16+$H17),"")</f>
        <v/>
      </c>
      <c r="J17" s="13" t="str">
        <f aca="false">IF(KWH&gt;0,((RATES*KWH)+TDU_DAILY)+(1*TAX),"")</f>
        <v/>
      </c>
      <c r="K17" s="15" t="str">
        <f aca="false">IF(KWH&gt;0,$K16+$J17-100*AND(I16&lt;=1000,I17&gt;1000),"")</f>
        <v/>
      </c>
      <c r="L17" s="16" t="n">
        <f aca="false">IF(AVERAGE_KWH&lt;&gt;"",AVERAGE_KWH*DAYS-$A17,"")</f>
        <v>-16</v>
      </c>
      <c r="M17" s="17" t="e">
        <f aca="false">IF(PROJ_USAGE&lt;&gt;"",IF(PROJ_USAGE&gt;1000,((RATES*PROJ_USAGE)+TDU)*1+TAX-(CREDIT),(RATES*PROJ_USAGE)+TDU)*1+TAX,"")</f>
        <v>#VALUE!</v>
      </c>
      <c r="N17" s="17" t="str">
        <f aca="false">IF(KWH&lt;&gt;"",IF((BREAK-CUM_KWH)&gt;0,BREAK-CUM_KWH,0),"")</f>
        <v/>
      </c>
      <c r="O17" s="18" t="str">
        <f aca="false">IF(KWH&lt;&gt;"",IF((BREAK-CUM_KWH)&gt;0,BREAK-CUM_KWH,0),"")</f>
        <v/>
      </c>
    </row>
    <row r="18" customFormat="false" ht="15" hidden="false" customHeight="false" outlineLevel="0" collapsed="false">
      <c r="A18" s="11" t="n">
        <v>17</v>
      </c>
      <c r="B18" s="11" t="str">
        <f aca="false">TEXT(D18,"ddd")</f>
        <v>Sat</v>
      </c>
      <c r="C18" s="11" t="n">
        <f aca="false">$A$31-$A18</f>
        <v>13</v>
      </c>
      <c r="H18" s="47"/>
      <c r="I18" s="13" t="str">
        <f aca="false">IF($H18&gt;0,($I17+$H18),"")</f>
        <v/>
      </c>
      <c r="J18" s="13" t="str">
        <f aca="false">IF(KWH&gt;0,((RATES*KWH)+TDU_DAILY)+(1*TAX),"")</f>
        <v/>
      </c>
      <c r="K18" s="15" t="str">
        <f aca="false">IF(KWH&gt;0,$K17+$J18-100*AND(I17&lt;=1000,I18&gt;1000),"")</f>
        <v/>
      </c>
      <c r="L18" s="16" t="n">
        <f aca="false">IF(AVERAGE_KWH&lt;&gt;"",AVERAGE_KWH*DAYS-$A18,"")</f>
        <v>-17</v>
      </c>
      <c r="M18" s="17" t="e">
        <f aca="false">IF(PROJ_USAGE&lt;&gt;"",IF(PROJ_USAGE&gt;1000,((RATES*PROJ_USAGE)+TDU)*1+TAX-(CREDIT),(RATES*PROJ_USAGE)+TDU)*1+TAX,"")</f>
        <v>#VALUE!</v>
      </c>
      <c r="N18" s="17" t="str">
        <f aca="false">IF(KWH&lt;&gt;"",IF((BREAK-CUM_KWH)&gt;0,BREAK-CUM_KWH,0),"")</f>
        <v/>
      </c>
      <c r="O18" s="18" t="str">
        <f aca="false">IF(KWH&lt;&gt;"",IF((BREAK-CUM_KWH)&gt;0,BREAK-CUM_KWH,0),"")</f>
        <v/>
      </c>
    </row>
    <row r="19" customFormat="false" ht="15" hidden="false" customHeight="false" outlineLevel="0" collapsed="false">
      <c r="A19" s="11" t="n">
        <v>18</v>
      </c>
      <c r="B19" s="11" t="str">
        <f aca="false">TEXT(D19,"ddd")</f>
        <v>Sat</v>
      </c>
      <c r="C19" s="11" t="n">
        <f aca="false">$A$31-$A19</f>
        <v>12</v>
      </c>
      <c r="H19" s="47"/>
      <c r="I19" s="13" t="str">
        <f aca="false">IF($H19&gt;0,($I18+$H19),"")</f>
        <v/>
      </c>
      <c r="J19" s="13" t="str">
        <f aca="false">IF(KWH&gt;0,((RATES*KWH)+TDU_DAILY)+(1*TAX),"")</f>
        <v/>
      </c>
      <c r="K19" s="15" t="str">
        <f aca="false">IF(KWH&gt;0,$K18+$J19-100*AND(I18&lt;=1000,I19&gt;1000),"")</f>
        <v/>
      </c>
      <c r="L19" s="16" t="n">
        <f aca="false">IF(AVERAGE_KWH&lt;&gt;"",AVERAGE_KWH*DAYS-$A19,"")</f>
        <v>-18</v>
      </c>
      <c r="M19" s="17" t="e">
        <f aca="false">IF(PROJ_USAGE&lt;&gt;"",IF(PROJ_USAGE&gt;1000,((RATES*PROJ_USAGE)+TDU)*1+TAX-(CREDIT),(RATES*PROJ_USAGE)+TDU)*1+TAX,"")</f>
        <v>#VALUE!</v>
      </c>
      <c r="N19" s="17" t="str">
        <f aca="false">IF(KWH&lt;&gt;"",IF((BREAK-CUM_KWH)&gt;0,BREAK-CUM_KWH,0),"")</f>
        <v/>
      </c>
      <c r="O19" s="18" t="str">
        <f aca="false">IF(KWH&lt;&gt;"",IF((BREAK-CUM_KWH)&gt;0,BREAK-CUM_KWH,0),"")</f>
        <v/>
      </c>
    </row>
    <row r="20" customFormat="false" ht="15" hidden="false" customHeight="false" outlineLevel="0" collapsed="false">
      <c r="A20" s="11" t="n">
        <v>19</v>
      </c>
      <c r="B20" s="11" t="str">
        <f aca="false">TEXT(D20,"ddd")</f>
        <v>Sat</v>
      </c>
      <c r="C20" s="11" t="n">
        <f aca="false">$A$31-$A20</f>
        <v>11</v>
      </c>
      <c r="H20" s="47"/>
      <c r="I20" s="13" t="str">
        <f aca="false">IF($H20&gt;0,($I19+$H20),"")</f>
        <v/>
      </c>
      <c r="J20" s="13" t="str">
        <f aca="false">IF(KWH&gt;0,((RATES*KWH)+TDU_DAILY)+(1*TAX),"")</f>
        <v/>
      </c>
      <c r="K20" s="15" t="str">
        <f aca="false">IF(KWH&gt;0,$K19+$J20-100*AND(I19&lt;=1000,I20&gt;1000),"")</f>
        <v/>
      </c>
      <c r="L20" s="16" t="n">
        <f aca="false">IF(AVERAGE_KWH&lt;&gt;"",AVERAGE_KWH*DAYS-$A20,"")</f>
        <v>-19</v>
      </c>
      <c r="M20" s="17" t="e">
        <f aca="false">IF(PROJ_USAGE&lt;&gt;"",IF(PROJ_USAGE&gt;1000,((RATES*PROJ_USAGE)+TDU)*1+TAX-(CREDIT),(RATES*PROJ_USAGE)+TDU)*1+TAX,"")</f>
        <v>#VALUE!</v>
      </c>
      <c r="N20" s="17" t="str">
        <f aca="false">IF(KWH&lt;&gt;"",IF((BREAK-CUM_KWH)&gt;0,BREAK-CUM_KWH,0),"")</f>
        <v/>
      </c>
      <c r="O20" s="18" t="str">
        <f aca="false">IF(KWH&lt;&gt;"",IF((BREAK-CUM_KWH)&gt;0,BREAK-CUM_KWH,0),"")</f>
        <v/>
      </c>
    </row>
    <row r="21" customFormat="false" ht="15" hidden="false" customHeight="false" outlineLevel="0" collapsed="false">
      <c r="A21" s="11" t="n">
        <v>20</v>
      </c>
      <c r="B21" s="11" t="str">
        <f aca="false">TEXT(D21,"ddd")</f>
        <v>Sat</v>
      </c>
      <c r="C21" s="11" t="n">
        <f aca="false">$A$31-$A21</f>
        <v>10</v>
      </c>
      <c r="H21" s="47"/>
      <c r="I21" s="13" t="str">
        <f aca="false">IF($H21&gt;0,($I20+$H21),"")</f>
        <v/>
      </c>
      <c r="J21" s="13" t="str">
        <f aca="false">IF(KWH&gt;0,((RATES*KWH)+TDU_DAILY)+(1*TAX),"")</f>
        <v/>
      </c>
      <c r="K21" s="15" t="str">
        <f aca="false">IF(KWH&gt;0,$K20+$J21-100*AND(I20&lt;=1000,I21&gt;1000),"")</f>
        <v/>
      </c>
      <c r="L21" s="16" t="n">
        <f aca="false">IF(AVERAGE_KWH&lt;&gt;"",AVERAGE_KWH*DAYS-$A21,"")</f>
        <v>-20</v>
      </c>
      <c r="M21" s="17" t="e">
        <f aca="false">IF(PROJ_USAGE&lt;&gt;"",IF(PROJ_USAGE&gt;1000,((RATES*PROJ_USAGE)+TDU)*1+TAX-(CREDIT),(RATES*PROJ_USAGE)+TDU)*1+TAX,"")</f>
        <v>#VALUE!</v>
      </c>
      <c r="N21" s="17" t="str">
        <f aca="false">IF(KWH&lt;&gt;"",IF((BREAK-CUM_KWH)&gt;0,BREAK-CUM_KWH,0),"")</f>
        <v/>
      </c>
      <c r="O21" s="18" t="str">
        <f aca="false">IF(KWH&lt;&gt;"",IF((BREAK-CUM_KWH)&gt;0,BREAK-CUM_KWH,0),"")</f>
        <v/>
      </c>
    </row>
    <row r="22" customFormat="false" ht="15" hidden="false" customHeight="false" outlineLevel="0" collapsed="false">
      <c r="A22" s="11" t="n">
        <v>21</v>
      </c>
      <c r="B22" s="11" t="str">
        <f aca="false">TEXT(D22,"ddd")</f>
        <v>Sat</v>
      </c>
      <c r="C22" s="11" t="n">
        <f aca="false">$A$31-$A22</f>
        <v>9</v>
      </c>
      <c r="H22" s="47"/>
      <c r="I22" s="13" t="str">
        <f aca="false">IF($H22&gt;0,($I21+$H22),"")</f>
        <v/>
      </c>
      <c r="J22" s="13" t="str">
        <f aca="false">IF(KWH&gt;0,((RATES*KWH)+TDU_DAILY)+(1*TAX),"")</f>
        <v/>
      </c>
      <c r="K22" s="15" t="str">
        <f aca="false">IF(KWH&gt;0,$K21+$J22-100*AND(I21&lt;=1000,I22&gt;1000),"")</f>
        <v/>
      </c>
      <c r="L22" s="16" t="n">
        <f aca="false">IF(AVERAGE_KWH&lt;&gt;"",AVERAGE_KWH*DAYS-$A22,"")</f>
        <v>-21</v>
      </c>
      <c r="M22" s="17" t="e">
        <f aca="false">IF(PROJ_USAGE&lt;&gt;"",IF(PROJ_USAGE&gt;1000,((RATES*PROJ_USAGE)+TDU)*1+TAX-(CREDIT),(RATES*PROJ_USAGE)+TDU)*1+TAX,"")</f>
        <v>#VALUE!</v>
      </c>
      <c r="N22" s="17" t="str">
        <f aca="false">IF(KWH&lt;&gt;"",IF((BREAK-CUM_KWH)&gt;0,BREAK-CUM_KWH,0),"")</f>
        <v/>
      </c>
      <c r="O22" s="18" t="str">
        <f aca="false">IF(KWH&lt;&gt;"",IF((BREAK-CUM_KWH)&gt;0,BREAK-CUM_KWH,0),"")</f>
        <v/>
      </c>
    </row>
    <row r="23" customFormat="false" ht="15" hidden="false" customHeight="false" outlineLevel="0" collapsed="false">
      <c r="A23" s="11" t="n">
        <v>22</v>
      </c>
      <c r="B23" s="11" t="str">
        <f aca="false">TEXT(D23,"ddd")</f>
        <v>Sat</v>
      </c>
      <c r="C23" s="11" t="n">
        <f aca="false">$A$31-$A23</f>
        <v>8</v>
      </c>
      <c r="H23" s="47"/>
      <c r="I23" s="13" t="str">
        <f aca="false">IF($H23&gt;0,($I22+$H23),"")</f>
        <v/>
      </c>
      <c r="J23" s="13" t="str">
        <f aca="false">IF(KWH&gt;0,((RATES*KWH)+TDU_DAILY)+(1*TAX),"")</f>
        <v/>
      </c>
      <c r="K23" s="15" t="str">
        <f aca="false">IF(KWH&gt;0,$K22+$J23-100*AND(I22&lt;=1000,I23&gt;1000),"")</f>
        <v/>
      </c>
      <c r="L23" s="16" t="n">
        <f aca="false">IF(AVERAGE_KWH&lt;&gt;"",AVERAGE_KWH*DAYS-$A23,"")</f>
        <v>-22</v>
      </c>
      <c r="M23" s="17" t="e">
        <f aca="false">IF(PROJ_USAGE&lt;&gt;"",IF(PROJ_USAGE&gt;1000,((RATES*PROJ_USAGE)+TDU)*1+TAX-(CREDIT),(RATES*PROJ_USAGE)+TDU)*1+TAX,"")</f>
        <v>#VALUE!</v>
      </c>
      <c r="N23" s="17" t="str">
        <f aca="false">IF(KWH&lt;&gt;"",IF((BREAK-CUM_KWH)&gt;0,BREAK-CUM_KWH,0),"")</f>
        <v/>
      </c>
      <c r="O23" s="18" t="str">
        <f aca="false">IF(KWH&lt;&gt;"",IF((BREAK-CUM_KWH)&gt;0,BREAK-CUM_KWH,0),"")</f>
        <v/>
      </c>
    </row>
    <row r="24" customFormat="false" ht="15" hidden="false" customHeight="false" outlineLevel="0" collapsed="false">
      <c r="A24" s="11" t="n">
        <v>23</v>
      </c>
      <c r="B24" s="11" t="str">
        <f aca="false">TEXT(D24,"ddd")</f>
        <v>Sat</v>
      </c>
      <c r="C24" s="11" t="n">
        <f aca="false">$A$31-$A24</f>
        <v>7</v>
      </c>
      <c r="H24" s="47"/>
      <c r="I24" s="13" t="str">
        <f aca="false">IF($H24&gt;0,($I23+$H24),"")</f>
        <v/>
      </c>
      <c r="J24" s="13" t="str">
        <f aca="false">IF(KWH&gt;0,((RATES*KWH)+TDU_DAILY)+(1*TAX),"")</f>
        <v/>
      </c>
      <c r="K24" s="15" t="str">
        <f aca="false">IF(KWH&gt;0,$K23+$J24-100*AND(I23&lt;=1000,I24&gt;1000),"")</f>
        <v/>
      </c>
      <c r="L24" s="16" t="n">
        <f aca="false">IF(AVERAGE_KWH&lt;&gt;"",AVERAGE_KWH*DAYS-$A24,"")</f>
        <v>-23</v>
      </c>
      <c r="M24" s="17" t="e">
        <f aca="false">IF(PROJ_USAGE&lt;&gt;"",IF(PROJ_USAGE&gt;1000,((RATES*PROJ_USAGE)+TDU)*1+TAX-(CREDIT),(RATES*PROJ_USAGE)+TDU)*1+TAX,"")</f>
        <v>#VALUE!</v>
      </c>
      <c r="N24" s="17" t="str">
        <f aca="false">IF(KWH&lt;&gt;"",IF((BREAK-CUM_KWH)&gt;0,BREAK-CUM_KWH,0),"")</f>
        <v/>
      </c>
      <c r="O24" s="18" t="str">
        <f aca="false">IF(KWH&lt;&gt;"",IF((BREAK-CUM_KWH)&gt;0,BREAK-CUM_KWH,0),"")</f>
        <v/>
      </c>
    </row>
    <row r="25" customFormat="false" ht="15" hidden="false" customHeight="false" outlineLevel="0" collapsed="false">
      <c r="A25" s="11" t="n">
        <v>24</v>
      </c>
      <c r="B25" s="11" t="str">
        <f aca="false">TEXT(D25,"ddd")</f>
        <v>Sat</v>
      </c>
      <c r="C25" s="11" t="n">
        <f aca="false">$A$31-$A25</f>
        <v>6</v>
      </c>
      <c r="H25" s="47"/>
      <c r="I25" s="13" t="str">
        <f aca="false">IF($H25&gt;0,($I24+$H25),"")</f>
        <v/>
      </c>
      <c r="J25" s="13" t="str">
        <f aca="false">IF(KWH&gt;0,((RATES*KWH)+TDU_DAILY)+(1*TAX),"")</f>
        <v/>
      </c>
      <c r="K25" s="15" t="str">
        <f aca="false">IF(KWH&gt;0,$K24+$J25-100*AND(I24&lt;=1000,I25&gt;1000),"")</f>
        <v/>
      </c>
      <c r="L25" s="16" t="n">
        <f aca="false">IF(AVERAGE_KWH&lt;&gt;"",AVERAGE_KWH*DAYS-$A25,"")</f>
        <v>-24</v>
      </c>
      <c r="M25" s="17" t="e">
        <f aca="false">IF(PROJ_USAGE&lt;&gt;"",IF(PROJ_USAGE&gt;1000,((RATES*PROJ_USAGE)+TDU)*1+TAX-(CREDIT),(RATES*PROJ_USAGE)+TDU)*1+TAX,"")</f>
        <v>#VALUE!</v>
      </c>
      <c r="N25" s="17" t="str">
        <f aca="false">IF(KWH&lt;&gt;"",IF((BREAK-CUM_KWH)&gt;0,BREAK-CUM_KWH,0),"")</f>
        <v/>
      </c>
      <c r="O25" s="18" t="str">
        <f aca="false">IF(KWH&lt;&gt;"",IF((BREAK-CUM_KWH)&gt;0,BREAK-CUM_KWH,0),"")</f>
        <v/>
      </c>
    </row>
    <row r="26" customFormat="false" ht="15" hidden="false" customHeight="false" outlineLevel="0" collapsed="false">
      <c r="A26" s="11" t="n">
        <v>25</v>
      </c>
      <c r="B26" s="11" t="str">
        <f aca="false">TEXT(D26,"ddd")</f>
        <v>Sat</v>
      </c>
      <c r="C26" s="11" t="n">
        <f aca="false">$A$31-$A26</f>
        <v>5</v>
      </c>
      <c r="H26" s="47"/>
      <c r="I26" s="13" t="str">
        <f aca="false">IF($H26&gt;0,($I25+$H26),"")</f>
        <v/>
      </c>
      <c r="J26" s="13" t="str">
        <f aca="false">IF(KWH&gt;0,((RATES*KWH)+TDU_DAILY)+(1*TAX),"")</f>
        <v/>
      </c>
      <c r="K26" s="15" t="str">
        <f aca="false">IF(KWH&gt;0,$K25+$J26-100*AND(I25&lt;=1000,I26&gt;1000),"")</f>
        <v/>
      </c>
      <c r="L26" s="16" t="n">
        <f aca="false">IF(AVERAGE_KWH&lt;&gt;"",AVERAGE_KWH*DAYS-$A26,"")</f>
        <v>-25</v>
      </c>
      <c r="M26" s="17" t="e">
        <f aca="false">IF(PROJ_USAGE&lt;&gt;"",IF(PROJ_USAGE&gt;1000,((RATES*PROJ_USAGE)+TDU)*1+TAX-(CREDIT),(RATES*PROJ_USAGE)+TDU)*1+TAX,"")</f>
        <v>#VALUE!</v>
      </c>
      <c r="N26" s="17" t="str">
        <f aca="false">IF(KWH&lt;&gt;"",IF((BREAK-CUM_KWH)&gt;0,BREAK-CUM_KWH,0),"")</f>
        <v/>
      </c>
      <c r="O26" s="18" t="str">
        <f aca="false">IF(KWH&lt;&gt;"",IF((BREAK-CUM_KWH)&gt;0,BREAK-CUM_KWH,0),"")</f>
        <v/>
      </c>
    </row>
    <row r="27" customFormat="false" ht="15" hidden="false" customHeight="false" outlineLevel="0" collapsed="false">
      <c r="A27" s="11" t="n">
        <v>26</v>
      </c>
      <c r="B27" s="11" t="str">
        <f aca="false">TEXT(D27,"ddd")</f>
        <v>Sat</v>
      </c>
      <c r="C27" s="11" t="n">
        <f aca="false">$A$31-$A27</f>
        <v>4</v>
      </c>
      <c r="H27" s="47"/>
      <c r="I27" s="13" t="str">
        <f aca="false">IF($H27&gt;0,($I26+$H27),"")</f>
        <v/>
      </c>
      <c r="J27" s="13" t="str">
        <f aca="false">IF(KWH&gt;0,((RATES*KWH)+TDU_DAILY)+(1*TAX),"")</f>
        <v/>
      </c>
      <c r="K27" s="15" t="str">
        <f aca="false">IF(KWH&gt;0,$K26+$J27-100*AND(I26&lt;=1000,I27&gt;1000),"")</f>
        <v/>
      </c>
      <c r="L27" s="16" t="n">
        <f aca="false">IF(AVERAGE_KWH&lt;&gt;"",AVERAGE_KWH*DAYS-$A27,"")</f>
        <v>-26</v>
      </c>
      <c r="M27" s="17" t="e">
        <f aca="false">IF(PROJ_USAGE&lt;&gt;"",IF(PROJ_USAGE&gt;1000,((RATES*PROJ_USAGE)+TDU)*1+TAX-(CREDIT),(RATES*PROJ_USAGE)+TDU)*1+TAX,"")</f>
        <v>#VALUE!</v>
      </c>
      <c r="N27" s="17" t="str">
        <f aca="false">IF(KWH&lt;&gt;"",IF((BREAK-CUM_KWH)&gt;0,BREAK-CUM_KWH,0),"")</f>
        <v/>
      </c>
      <c r="O27" s="18" t="str">
        <f aca="false">IF(KWH&lt;&gt;"",IF((BREAK-CUM_KWH)&gt;0,BREAK-CUM_KWH,0),"")</f>
        <v/>
      </c>
    </row>
    <row r="28" customFormat="false" ht="15" hidden="false" customHeight="false" outlineLevel="0" collapsed="false">
      <c r="A28" s="11" t="n">
        <v>27</v>
      </c>
      <c r="B28" s="11" t="str">
        <f aca="false">TEXT(D28,"ddd")</f>
        <v>Sat</v>
      </c>
      <c r="C28" s="11" t="n">
        <f aca="false">$A$31-$A28</f>
        <v>3</v>
      </c>
      <c r="H28" s="47"/>
      <c r="I28" s="13" t="str">
        <f aca="false">IF($H28&gt;0,($I27+$H28),"")</f>
        <v/>
      </c>
      <c r="J28" s="13" t="str">
        <f aca="false">IF(KWH&gt;0,((RATES*KWH)+TDU_DAILY)+(1*TAX),"")</f>
        <v/>
      </c>
      <c r="K28" s="15" t="str">
        <f aca="false">IF(KWH&gt;0,$K27+$J28-100*AND(I27&lt;=1000,I28&gt;1000),"")</f>
        <v/>
      </c>
      <c r="L28" s="16" t="n">
        <f aca="false">IF(AVERAGE_KWH&lt;&gt;"",AVERAGE_KWH*DAYS-$A28,"")</f>
        <v>-27</v>
      </c>
      <c r="M28" s="17" t="e">
        <f aca="false">IF(PROJ_USAGE&lt;&gt;"",IF(PROJ_USAGE&gt;1000,((RATES*PROJ_USAGE)+TDU)*1+TAX-(CREDIT),(RATES*PROJ_USAGE)+TDU)*1+TAX,"")</f>
        <v>#VALUE!</v>
      </c>
      <c r="N28" s="17" t="str">
        <f aca="false">IF(KWH&lt;&gt;"",IF((BREAK-CUM_KWH)&gt;0,BREAK-CUM_KWH,0),"")</f>
        <v/>
      </c>
      <c r="O28" s="18" t="str">
        <f aca="false">IF(KWH&lt;&gt;"",IF((BREAK-CUM_KWH)&gt;0,BREAK-CUM_KWH,0),"")</f>
        <v/>
      </c>
    </row>
    <row r="29" customFormat="false" ht="15" hidden="false" customHeight="false" outlineLevel="0" collapsed="false">
      <c r="A29" s="11" t="n">
        <v>28</v>
      </c>
      <c r="B29" s="11" t="str">
        <f aca="false">TEXT(D29,"ddd")</f>
        <v>Sat</v>
      </c>
      <c r="C29" s="11" t="n">
        <f aca="false">$A$31-$A29</f>
        <v>2</v>
      </c>
      <c r="H29" s="47"/>
      <c r="I29" s="13" t="str">
        <f aca="false">IF($H29&gt;0,($I28+$H29),"")</f>
        <v/>
      </c>
      <c r="J29" s="13" t="str">
        <f aca="false">IF(KWH&gt;0,((RATES*KWH)+TDU_DAILY)+(1*TAX),"")</f>
        <v/>
      </c>
      <c r="K29" s="15" t="str">
        <f aca="false">IF(KWH&gt;0,$K28+$J29-100*AND(I28&lt;=1000,I29&gt;1000),"")</f>
        <v/>
      </c>
      <c r="L29" s="16" t="n">
        <f aca="false">IF(AVERAGE_KWH&lt;&gt;"",AVERAGE_KWH*DAYS-$A29,"")</f>
        <v>-28</v>
      </c>
      <c r="M29" s="17" t="e">
        <f aca="false">IF(PROJ_USAGE&lt;&gt;"",IF(PROJ_USAGE&gt;1000,((RATES*PROJ_USAGE)+TDU)*1+TAX-(CREDIT),(RATES*PROJ_USAGE)+TDU)*1+TAX,"")</f>
        <v>#VALUE!</v>
      </c>
      <c r="N29" s="17" t="str">
        <f aca="false">IF(KWH&lt;&gt;"",IF((BREAK-CUM_KWH)&gt;0,BREAK-CUM_KWH,0),"")</f>
        <v/>
      </c>
      <c r="O29" s="18" t="str">
        <f aca="false">IF(KWH&lt;&gt;"",IF((BREAK-CUM_KWH)&gt;0,BREAK-CUM_KWH,0),"")</f>
        <v/>
      </c>
    </row>
    <row r="30" customFormat="false" ht="15" hidden="false" customHeight="false" outlineLevel="0" collapsed="false">
      <c r="A30" s="11" t="n">
        <v>29</v>
      </c>
      <c r="B30" s="11" t="str">
        <f aca="false">TEXT(D30,"ddd")</f>
        <v>Sat</v>
      </c>
      <c r="C30" s="11" t="n">
        <f aca="false">$A$31-$A30</f>
        <v>1</v>
      </c>
      <c r="H30" s="47"/>
      <c r="I30" s="13" t="str">
        <f aca="false">IF($H30&gt;0,($I29+$H30),"")</f>
        <v/>
      </c>
      <c r="J30" s="13" t="str">
        <f aca="false">IF(KWH&gt;0,((RATES*KWH)+TDU_DAILY)+(1*TAX),"")</f>
        <v/>
      </c>
      <c r="K30" s="15" t="str">
        <f aca="false">IF(KWH&gt;0,$K29+$J30-100*AND(I29&lt;=1000,I30&gt;1000),"")</f>
        <v/>
      </c>
      <c r="L30" s="16" t="n">
        <f aca="false">IF(AVERAGE_KWH&lt;&gt;"",AVERAGE_KWH*DAYS-$A30,"")</f>
        <v>-29</v>
      </c>
      <c r="M30" s="17" t="e">
        <f aca="false">IF(PROJ_USAGE&lt;&gt;"",IF(PROJ_USAGE&gt;1000,((RATES*PROJ_USAGE)+TDU)*1+TAX-(CREDIT),(RATES*PROJ_USAGE)+TDU)*1+TAX,"")</f>
        <v>#VALUE!</v>
      </c>
      <c r="N30" s="17" t="str">
        <f aca="false">IF(KWH&lt;&gt;"",IF((BREAK-CUM_KWH)&gt;0,BREAK-CUM_KWH,0),"")</f>
        <v/>
      </c>
      <c r="O30" s="18" t="str">
        <f aca="false">IF(KWH&lt;&gt;"",IF((BREAK-CUM_KWH)&gt;0,BREAK-CUM_KWH,0),"")</f>
        <v/>
      </c>
    </row>
    <row r="31" customFormat="false" ht="15" hidden="false" customHeight="false" outlineLevel="0" collapsed="false">
      <c r="A31" s="11" t="n">
        <v>30</v>
      </c>
      <c r="B31" s="11" t="str">
        <f aca="false">TEXT(D31,"ddd")</f>
        <v>Sat</v>
      </c>
      <c r="C31" s="11" t="n">
        <f aca="false">$A$31-$A31</f>
        <v>0</v>
      </c>
      <c r="H31" s="47"/>
      <c r="I31" s="13" t="str">
        <f aca="false">IF($H31&gt;0,($I30+$H31),"")</f>
        <v/>
      </c>
      <c r="J31" s="13" t="str">
        <f aca="false">IF(KWH&gt;0,((RATES*KWH)+TDU_DAILY)+(1*TAX),"")</f>
        <v/>
      </c>
      <c r="K31" s="15" t="str">
        <f aca="false">IF(KWH&gt;0,$K30+$J31-100*AND(I30&lt;=1000,I31&gt;1000),"")</f>
        <v/>
      </c>
      <c r="L31" s="16" t="n">
        <f aca="false">IF(AVERAGE_KWH&lt;&gt;"",AVERAGE_KWH*DAYS-$A31,"")</f>
        <v>-30</v>
      </c>
      <c r="M31" s="17" t="e">
        <f aca="false">IF(PROJ_USAGE&lt;&gt;"",IF(PROJ_USAGE&gt;1000,((RATES*PROJ_USAGE)+TDU)*1+TAX-(CREDIT),(RATES*PROJ_USAGE)+TDU)*1+TAX,"")</f>
        <v>#VALUE!</v>
      </c>
      <c r="N31" s="17" t="str">
        <f aca="false">IF(KWH&lt;&gt;"",IF((BREAK-CUM_KWH)&gt;0,BREAK-CUM_KWH,0),"")</f>
        <v/>
      </c>
      <c r="O31" s="18" t="str">
        <f aca="false">IF(KWH&lt;&gt;"",IF((BREAK-CUM_KWH)&gt;0,BREAK-CUM_KWH,0),"")</f>
        <v/>
      </c>
    </row>
    <row r="32" customFormat="false" ht="15" hidden="false" customHeight="false" outlineLevel="0" collapsed="false">
      <c r="A32" s="4"/>
      <c r="B32" s="11"/>
      <c r="C32" s="4"/>
      <c r="I32" s="13"/>
      <c r="J32" s="13"/>
      <c r="K32" s="15"/>
      <c r="L32" s="16"/>
      <c r="M32" s="17"/>
      <c r="N32" s="17"/>
      <c r="O32" s="18"/>
    </row>
    <row r="33" customFormat="false" ht="15" hidden="false" customHeight="false" outlineLevel="0" collapsed="false">
      <c r="A33" s="4"/>
      <c r="B33" s="11"/>
      <c r="C33" s="4"/>
      <c r="H33" s="47"/>
      <c r="I33" s="13"/>
      <c r="J33" s="13"/>
      <c r="K33" s="15"/>
      <c r="L33" s="16"/>
      <c r="M33" s="17"/>
      <c r="N33" s="17"/>
      <c r="O33" s="18"/>
    </row>
    <row r="34" customFormat="false" ht="51.75" hidden="false" customHeight="true" outlineLevel="0" collapsed="false">
      <c r="A34" s="45" t="s">
        <v>0</v>
      </c>
      <c r="B34" s="45" t="s">
        <v>1</v>
      </c>
      <c r="C34" s="45" t="s">
        <v>2</v>
      </c>
      <c r="D34" s="50" t="s">
        <v>3</v>
      </c>
      <c r="E34" s="50" t="s">
        <v>4</v>
      </c>
      <c r="F34" s="66" t="s">
        <v>5</v>
      </c>
      <c r="G34" s="66" t="s">
        <v>6</v>
      </c>
      <c r="H34" s="45" t="s">
        <v>7</v>
      </c>
      <c r="I34" s="45" t="s">
        <v>8</v>
      </c>
      <c r="J34" s="45" t="s">
        <v>9</v>
      </c>
      <c r="K34" s="27" t="s">
        <v>10</v>
      </c>
      <c r="L34" s="66" t="s">
        <v>11</v>
      </c>
      <c r="M34" s="66" t="s">
        <v>12</v>
      </c>
      <c r="N34" s="45" t="s">
        <v>13</v>
      </c>
      <c r="O34" s="66" t="s">
        <v>77</v>
      </c>
      <c r="P34" s="45"/>
    </row>
    <row r="35" customFormat="false" ht="15" hidden="false" customHeight="false" outlineLevel="0" collapsed="false">
      <c r="I35" s="81"/>
      <c r="K35" s="47"/>
      <c r="L35" s="2"/>
      <c r="M35" s="2"/>
    </row>
    <row r="36" customFormat="false" ht="15" hidden="false" customHeight="false" outlineLevel="0" collapsed="false">
      <c r="L36" s="2"/>
      <c r="M36" s="2"/>
    </row>
    <row r="50" customFormat="false" ht="15" hidden="false" customHeight="false" outlineLevel="0" collapsed="false">
      <c r="H50" s="47"/>
    </row>
    <row r="59" customFormat="false" ht="15" hidden="false" customHeight="false" outlineLevel="0" collapsed="false">
      <c r="H59" s="47"/>
    </row>
  </sheetData>
  <sheetProtection algorithmName="SHA-512" hashValue="iFse5fdutu0tZ1kn8RkSCk+GFeDs74xI8aBjIdRtey/ZPbMF1dWLkthSYXI/E2Vr1dBvdEY0T3+8ZCBkdVUgmA==" saltValue="hMOkOXRQbXzhVKOWBIFAeg==" spinCount="100000" sheet="true" objects="true" scenarios="true"/>
  <conditionalFormatting sqref="A1:I1 K1:O1">
    <cfRule type="expression" priority="2" aboveAverage="0" equalAverage="0" bottom="0" percent="0" rank="0" text="" dxfId="57">
      <formula>" =CELL(“Protect”,A1)=1"</formula>
    </cfRule>
    <cfRule type="expression" priority="3" aboveAverage="0" equalAverage="0" bottom="0" percent="0" rank="0" text="" dxfId="1">
      <formula>" =CELL(“Protect”,A1)=1"</formula>
    </cfRule>
  </conditionalFormatting>
  <conditionalFormatting sqref="Q2:Q14">
    <cfRule type="expression" priority="4" aboveAverage="0" equalAverage="0" bottom="0" percent="0" rank="0" text="" dxfId="58">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R25" activeCellId="0" sqref="R25"/>
    </sheetView>
  </sheetViews>
  <sheetFormatPr defaultColWidth="8.453125" defaultRowHeight="15" zeroHeight="false" outlineLevelRow="0" outlineLevelCol="0"/>
  <cols>
    <col collapsed="false" customWidth="true" hidden="false" outlineLevel="0" max="17" min="17" style="0" width="25.85"/>
    <col collapsed="false" customWidth="true" hidden="false" outlineLevel="0" max="19" min="19" style="0" width="11.71"/>
  </cols>
  <sheetData>
    <row r="1" customFormat="false" ht="36.5" hidden="false" customHeight="false" outlineLevel="0" collapsed="false">
      <c r="A1" s="5" t="s">
        <v>0</v>
      </c>
      <c r="B1" s="6" t="s">
        <v>1</v>
      </c>
      <c r="C1" s="6" t="s">
        <v>2</v>
      </c>
      <c r="D1" s="7" t="s">
        <v>3</v>
      </c>
      <c r="E1" s="7" t="s">
        <v>4</v>
      </c>
      <c r="F1" s="114" t="s">
        <v>5</v>
      </c>
      <c r="G1" s="114" t="s">
        <v>6</v>
      </c>
      <c r="H1" s="6" t="s">
        <v>7</v>
      </c>
      <c r="I1" s="6" t="s">
        <v>8</v>
      </c>
      <c r="J1" s="6" t="s">
        <v>9</v>
      </c>
      <c r="K1" s="6" t="s">
        <v>10</v>
      </c>
      <c r="L1" s="6" t="s">
        <v>11</v>
      </c>
      <c r="M1" s="6" t="s">
        <v>12</v>
      </c>
      <c r="N1" s="8" t="s">
        <v>13</v>
      </c>
      <c r="O1" s="9" t="s">
        <v>77</v>
      </c>
      <c r="S1" s="10"/>
      <c r="T1" s="71"/>
      <c r="U1" s="72"/>
    </row>
    <row r="2" customFormat="false" ht="15" hidden="false" customHeight="false" outlineLevel="0" collapsed="false">
      <c r="A2" s="11" t="n">
        <v>1</v>
      </c>
      <c r="B2" s="11" t="s">
        <v>171</v>
      </c>
      <c r="C2" s="11" t="n">
        <v>29</v>
      </c>
      <c r="D2" s="1"/>
      <c r="E2" s="1"/>
      <c r="F2" s="2"/>
      <c r="G2" s="2"/>
      <c r="I2" s="13" t="n">
        <v>0</v>
      </c>
      <c r="J2" s="13" t="n">
        <v>0</v>
      </c>
      <c r="K2" s="15" t="n">
        <v>0</v>
      </c>
      <c r="L2" s="16" t="n">
        <v>-1</v>
      </c>
      <c r="M2" s="17" t="n">
        <v>307.663688058</v>
      </c>
      <c r="N2" s="17"/>
      <c r="O2" s="18"/>
      <c r="Q2" s="19" t="s">
        <v>18</v>
      </c>
      <c r="R2" s="20" t="s">
        <v>19</v>
      </c>
      <c r="S2" s="21"/>
      <c r="U2" s="74"/>
    </row>
    <row r="3" customFormat="false" ht="15" hidden="false" customHeight="false" outlineLevel="0" collapsed="false">
      <c r="A3" s="11" t="n">
        <v>2</v>
      </c>
      <c r="B3" s="11" t="s">
        <v>171</v>
      </c>
      <c r="C3" s="11" t="n">
        <v>28</v>
      </c>
      <c r="D3" s="1"/>
      <c r="E3" s="1"/>
      <c r="F3" s="2"/>
      <c r="G3" s="2"/>
      <c r="I3" s="13"/>
      <c r="J3" s="13"/>
      <c r="K3" s="15"/>
      <c r="L3" s="16" t="n">
        <v>-2</v>
      </c>
      <c r="M3" s="17" t="n">
        <v>307.2117224625</v>
      </c>
      <c r="N3" s="17"/>
      <c r="O3" s="18"/>
      <c r="Q3" s="22" t="s">
        <v>22</v>
      </c>
      <c r="R3" s="23" t="n">
        <v>87412.397</v>
      </c>
      <c r="S3" s="24"/>
    </row>
    <row r="4" customFormat="false" ht="24.45" hidden="false" customHeight="false" outlineLevel="0" collapsed="false">
      <c r="A4" s="11" t="n">
        <v>3</v>
      </c>
      <c r="B4" s="11" t="s">
        <v>171</v>
      </c>
      <c r="C4" s="11" t="n">
        <v>27</v>
      </c>
      <c r="D4" s="1"/>
      <c r="E4" s="1"/>
      <c r="F4" s="2"/>
      <c r="G4" s="2"/>
      <c r="I4" s="13"/>
      <c r="J4" s="13"/>
      <c r="K4" s="15"/>
      <c r="L4" s="16" t="n">
        <v>-3</v>
      </c>
      <c r="M4" s="17" t="n">
        <v>307.384779921</v>
      </c>
      <c r="N4" s="17"/>
      <c r="O4" s="18"/>
      <c r="Q4" s="22" t="s">
        <v>25</v>
      </c>
      <c r="R4" s="25"/>
      <c r="S4" s="26" t="n">
        <v>0.001667</v>
      </c>
      <c r="U4" s="79"/>
    </row>
    <row r="5" customFormat="false" ht="15" hidden="false" customHeight="false" outlineLevel="0" collapsed="false">
      <c r="A5" s="11" t="n">
        <v>4</v>
      </c>
      <c r="B5" s="11" t="s">
        <v>171</v>
      </c>
      <c r="C5" s="11" t="n">
        <v>26</v>
      </c>
      <c r="D5" s="1"/>
      <c r="E5" s="1"/>
      <c r="F5" s="2"/>
      <c r="G5" s="2"/>
      <c r="I5" s="13"/>
      <c r="J5" s="13"/>
      <c r="K5" s="15"/>
      <c r="L5" s="16" t="n">
        <v>-4</v>
      </c>
      <c r="M5" s="17" t="n">
        <v>308.60720206575</v>
      </c>
      <c r="N5" s="17"/>
      <c r="O5" s="18"/>
      <c r="P5" s="27"/>
      <c r="Q5" s="22" t="s">
        <v>28</v>
      </c>
      <c r="R5" s="25"/>
      <c r="S5" s="26" t="n">
        <v>0.042</v>
      </c>
      <c r="T5" s="83"/>
      <c r="U5" s="45"/>
    </row>
    <row r="6" customFormat="false" ht="15" hidden="false" customHeight="false" outlineLevel="0" collapsed="false">
      <c r="A6" s="11" t="n">
        <v>5</v>
      </c>
      <c r="B6" s="11" t="s">
        <v>171</v>
      </c>
      <c r="C6" s="11" t="n">
        <v>25</v>
      </c>
      <c r="D6" s="1"/>
      <c r="E6" s="1"/>
      <c r="F6" s="2"/>
      <c r="G6" s="2"/>
      <c r="I6" s="13"/>
      <c r="J6" s="13"/>
      <c r="K6" s="15"/>
      <c r="L6" s="16" t="n">
        <v>-5</v>
      </c>
      <c r="M6" s="17" t="n">
        <v>306.6683556462</v>
      </c>
      <c r="N6" s="17"/>
      <c r="O6" s="18"/>
      <c r="Q6" s="22" t="s">
        <v>31</v>
      </c>
      <c r="R6" s="23" t="n">
        <v>3.4</v>
      </c>
      <c r="S6" s="26" t="n">
        <v>0.109677419354839</v>
      </c>
      <c r="T6" s="83"/>
    </row>
    <row r="7" customFormat="false" ht="15" hidden="false" customHeight="false" outlineLevel="0" collapsed="false">
      <c r="A7" s="11" t="n">
        <v>6</v>
      </c>
      <c r="B7" s="11" t="s">
        <v>171</v>
      </c>
      <c r="C7" s="11" t="n">
        <v>24</v>
      </c>
      <c r="D7" s="1"/>
      <c r="E7" s="1"/>
      <c r="F7" s="2"/>
      <c r="G7" s="2"/>
      <c r="I7" s="13"/>
      <c r="J7" s="13"/>
      <c r="K7" s="15"/>
      <c r="L7" s="16" t="n">
        <v>-6</v>
      </c>
      <c r="M7" s="17" t="n">
        <v>299.2108211925</v>
      </c>
      <c r="N7" s="17"/>
      <c r="O7" s="18"/>
      <c r="Q7" s="22" t="s">
        <v>34</v>
      </c>
      <c r="R7" s="25"/>
      <c r="S7" s="28" t="n">
        <v>0.153344419354839</v>
      </c>
      <c r="T7" s="83"/>
    </row>
    <row r="8" customFormat="false" ht="15" hidden="false" customHeight="false" outlineLevel="0" collapsed="false">
      <c r="A8" s="11" t="n">
        <v>7</v>
      </c>
      <c r="B8" s="11" t="s">
        <v>171</v>
      </c>
      <c r="C8" s="11" t="n">
        <v>23</v>
      </c>
      <c r="D8" s="1"/>
      <c r="E8" s="1"/>
      <c r="F8" s="2"/>
      <c r="G8" s="2"/>
      <c r="I8" s="13"/>
      <c r="J8" s="13"/>
      <c r="K8" s="15"/>
      <c r="L8" s="16" t="n">
        <v>-7</v>
      </c>
      <c r="M8" s="17" t="n">
        <v>296.134167282</v>
      </c>
      <c r="N8" s="17"/>
      <c r="O8" s="18"/>
      <c r="Q8" s="22" t="s">
        <v>38</v>
      </c>
      <c r="R8" s="25"/>
      <c r="S8" s="67" t="n">
        <v>0.153344419354839</v>
      </c>
      <c r="T8" s="83"/>
    </row>
    <row r="9" customFormat="false" ht="15" hidden="false" customHeight="false" outlineLevel="0" collapsed="false">
      <c r="A9" s="11" t="n">
        <v>8</v>
      </c>
      <c r="B9" s="11" t="s">
        <v>171</v>
      </c>
      <c r="C9" s="11" t="n">
        <v>22</v>
      </c>
      <c r="D9" s="1"/>
      <c r="E9" s="1"/>
      <c r="F9" s="2"/>
      <c r="G9" s="2"/>
      <c r="H9" s="47"/>
      <c r="I9" s="13"/>
      <c r="J9" s="13"/>
      <c r="K9" s="15"/>
      <c r="L9" s="16" t="n">
        <v>-8</v>
      </c>
      <c r="M9" s="17" t="n">
        <v>291.637168906875</v>
      </c>
      <c r="N9" s="17"/>
      <c r="O9" s="18"/>
      <c r="Q9" s="22" t="s">
        <v>42</v>
      </c>
      <c r="R9" s="30" t="n">
        <v>0.01997</v>
      </c>
      <c r="S9" s="32"/>
      <c r="T9" s="83"/>
    </row>
    <row r="10" customFormat="false" ht="15" hidden="false" customHeight="false" outlineLevel="0" collapsed="false">
      <c r="A10" s="11" t="n">
        <v>9</v>
      </c>
      <c r="B10" s="11" t="s">
        <v>171</v>
      </c>
      <c r="C10" s="11" t="n">
        <v>21</v>
      </c>
      <c r="D10" s="1"/>
      <c r="E10" s="1"/>
      <c r="F10" s="2"/>
      <c r="G10" s="2"/>
      <c r="H10" s="47"/>
      <c r="I10" s="13"/>
      <c r="J10" s="13"/>
      <c r="K10" s="15"/>
      <c r="L10" s="16" t="n">
        <v>-9</v>
      </c>
      <c r="M10" s="17" t="n">
        <v>286.972850907</v>
      </c>
      <c r="N10" s="17"/>
      <c r="O10" s="18"/>
      <c r="Q10" s="22" t="s">
        <v>46</v>
      </c>
      <c r="R10" s="33" t="n">
        <v>100</v>
      </c>
      <c r="S10" s="30" t="n">
        <v>1000</v>
      </c>
      <c r="T10" s="83"/>
    </row>
    <row r="11" customFormat="false" ht="15" hidden="false" customHeight="false" outlineLevel="0" collapsed="false">
      <c r="A11" s="11" t="n">
        <v>10</v>
      </c>
      <c r="B11" s="11" t="s">
        <v>171</v>
      </c>
      <c r="C11" s="11" t="n">
        <v>20</v>
      </c>
      <c r="D11" s="1"/>
      <c r="E11" s="1"/>
      <c r="F11" s="2"/>
      <c r="G11" s="2"/>
      <c r="H11" s="47"/>
      <c r="I11" s="13"/>
      <c r="J11" s="13"/>
      <c r="K11" s="15"/>
      <c r="L11" s="16" t="n">
        <v>-10</v>
      </c>
      <c r="M11" s="17" t="n">
        <v>284.7693228837</v>
      </c>
      <c r="N11" s="17"/>
      <c r="O11" s="18"/>
      <c r="Q11" s="22" t="s">
        <v>49</v>
      </c>
      <c r="R11" s="33" t="n">
        <v>295</v>
      </c>
      <c r="S11" s="32"/>
      <c r="T11" s="83"/>
    </row>
    <row r="12" customFormat="false" ht="15" hidden="false" customHeight="false" outlineLevel="0" collapsed="false">
      <c r="A12" s="11" t="n">
        <v>11</v>
      </c>
      <c r="B12" s="11" t="s">
        <v>171</v>
      </c>
      <c r="C12" s="11" t="n">
        <v>19</v>
      </c>
      <c r="D12" s="1"/>
      <c r="E12" s="1"/>
      <c r="F12" s="2"/>
      <c r="G12" s="2"/>
      <c r="H12" s="47"/>
      <c r="I12" s="13"/>
      <c r="J12" s="13"/>
      <c r="K12" s="15"/>
      <c r="L12" s="16" t="n">
        <v>-11</v>
      </c>
      <c r="M12" s="17" t="n">
        <v>286.040014411364</v>
      </c>
      <c r="N12" s="17"/>
      <c r="O12" s="18"/>
      <c r="Q12" s="22" t="s">
        <v>52</v>
      </c>
      <c r="R12" s="35" t="n">
        <v>172.078047034161</v>
      </c>
      <c r="S12" s="32"/>
      <c r="T12" s="83"/>
    </row>
    <row r="13" customFormat="false" ht="15" hidden="false" customHeight="false" outlineLevel="0" collapsed="false">
      <c r="A13" s="11" t="n">
        <v>12</v>
      </c>
      <c r="B13" s="11" t="s">
        <v>171</v>
      </c>
      <c r="C13" s="11" t="n">
        <v>18</v>
      </c>
      <c r="D13" s="1"/>
      <c r="E13" s="1"/>
      <c r="F13" s="2"/>
      <c r="G13" s="2"/>
      <c r="H13" s="47"/>
      <c r="I13" s="13"/>
      <c r="J13" s="13"/>
      <c r="K13" s="15"/>
      <c r="L13" s="16" t="n">
        <v>-12</v>
      </c>
      <c r="M13" s="17" t="n">
        <v>283.137627921</v>
      </c>
      <c r="N13" s="17"/>
      <c r="O13" s="18"/>
      <c r="Q13" s="22" t="s">
        <v>55</v>
      </c>
      <c r="R13" s="37" t="n">
        <v>951.167</v>
      </c>
      <c r="S13" s="32"/>
      <c r="T13" s="83"/>
    </row>
    <row r="14" customFormat="false" ht="15" hidden="false" customHeight="false" outlineLevel="0" collapsed="false">
      <c r="A14" s="11" t="n">
        <v>13</v>
      </c>
      <c r="B14" s="11" t="s">
        <v>171</v>
      </c>
      <c r="C14" s="11" t="n">
        <v>17</v>
      </c>
      <c r="D14" s="1"/>
      <c r="E14" s="1"/>
      <c r="F14" s="2"/>
      <c r="G14" s="2"/>
      <c r="H14" s="47"/>
      <c r="I14" s="13"/>
      <c r="J14" s="13"/>
      <c r="K14" s="15"/>
      <c r="L14" s="16" t="n">
        <v>-13</v>
      </c>
      <c r="M14" s="17" t="n">
        <v>280.531626740077</v>
      </c>
      <c r="N14" s="17"/>
      <c r="O14" s="18"/>
      <c r="Q14" s="22" t="s">
        <v>58</v>
      </c>
      <c r="R14" s="37" t="n">
        <v>52.8426111111111</v>
      </c>
      <c r="S14" s="32"/>
      <c r="T14" s="83"/>
    </row>
    <row r="15" customFormat="false" ht="15" hidden="false" customHeight="false" outlineLevel="0" collapsed="false">
      <c r="A15" s="11" t="n">
        <v>14</v>
      </c>
      <c r="B15" s="11" t="s">
        <v>171</v>
      </c>
      <c r="C15" s="11" t="n">
        <v>16</v>
      </c>
      <c r="D15" s="1"/>
      <c r="E15" s="1"/>
      <c r="F15" s="2"/>
      <c r="G15" s="2"/>
      <c r="H15" s="47"/>
      <c r="I15" s="13"/>
      <c r="J15" s="13"/>
      <c r="K15" s="15"/>
      <c r="L15" s="16" t="n">
        <v>-14</v>
      </c>
      <c r="M15" s="17" t="n">
        <v>278.712616808143</v>
      </c>
      <c r="N15" s="17"/>
      <c r="O15" s="18"/>
      <c r="Q15" s="83"/>
      <c r="R15" s="217"/>
      <c r="S15" s="218"/>
    </row>
    <row r="16" customFormat="false" ht="15" hidden="false" customHeight="false" outlineLevel="0" collapsed="false">
      <c r="A16" s="11" t="n">
        <v>15</v>
      </c>
      <c r="B16" s="11" t="s">
        <v>171</v>
      </c>
      <c r="C16" s="11" t="n">
        <v>15</v>
      </c>
      <c r="D16" s="1"/>
      <c r="E16" s="1"/>
      <c r="F16" s="2"/>
      <c r="G16" s="2"/>
      <c r="H16" s="47"/>
      <c r="I16" s="13"/>
      <c r="J16" s="13"/>
      <c r="K16" s="15"/>
      <c r="L16" s="16" t="n">
        <v>-15</v>
      </c>
      <c r="M16" s="17" t="n">
        <v>276.7327295424</v>
      </c>
      <c r="N16" s="17"/>
      <c r="O16" s="18"/>
      <c r="Q16" s="22" t="s">
        <v>59</v>
      </c>
      <c r="R16" s="37" t="n">
        <v>45.502</v>
      </c>
      <c r="S16" s="218"/>
    </row>
    <row r="17" customFormat="false" ht="15" hidden="false" customHeight="false" outlineLevel="0" collapsed="false">
      <c r="A17" s="11" t="n">
        <v>16</v>
      </c>
      <c r="B17" s="11" t="s">
        <v>171</v>
      </c>
      <c r="C17" s="11" t="n">
        <v>14</v>
      </c>
      <c r="D17" s="1"/>
      <c r="E17" s="1"/>
      <c r="F17" s="2"/>
      <c r="G17" s="2"/>
      <c r="H17" s="47"/>
      <c r="I17" s="13"/>
      <c r="J17" s="13"/>
      <c r="K17" s="15"/>
      <c r="L17" s="16" t="n">
        <v>-16</v>
      </c>
      <c r="M17" s="17" t="n">
        <v>275.656940896313</v>
      </c>
      <c r="N17" s="17"/>
      <c r="O17" s="18"/>
      <c r="Q17" s="22" t="s">
        <v>60</v>
      </c>
      <c r="R17" s="219" t="n">
        <v>61.79</v>
      </c>
      <c r="S17" s="218"/>
    </row>
    <row r="18" customFormat="false" ht="15" hidden="false" customHeight="false" outlineLevel="0" collapsed="false">
      <c r="A18" s="11" t="n">
        <v>17</v>
      </c>
      <c r="B18" s="11" t="s">
        <v>171</v>
      </c>
      <c r="C18" s="11" t="n">
        <v>13</v>
      </c>
      <c r="D18" s="1"/>
      <c r="E18" s="1"/>
      <c r="F18" s="2"/>
      <c r="G18" s="2"/>
      <c r="H18" s="47"/>
      <c r="I18" s="13"/>
      <c r="J18" s="13"/>
      <c r="K18" s="15"/>
      <c r="L18" s="16" t="n">
        <v>-17</v>
      </c>
      <c r="M18" s="17" t="n">
        <v>275.002018528412</v>
      </c>
      <c r="N18" s="17"/>
      <c r="O18" s="18"/>
      <c r="Q18" s="83"/>
      <c r="S18" s="218"/>
    </row>
    <row r="19" customFormat="false" ht="15" hidden="false" customHeight="false" outlineLevel="0" collapsed="false">
      <c r="A19" s="11" t="n">
        <v>18</v>
      </c>
      <c r="B19" s="11" t="s">
        <v>171</v>
      </c>
      <c r="C19" s="11" t="n">
        <v>12</v>
      </c>
      <c r="D19" s="1"/>
      <c r="E19" s="1"/>
      <c r="F19" s="2"/>
      <c r="G19" s="2"/>
      <c r="H19" s="47"/>
      <c r="I19" s="13"/>
      <c r="J19" s="13"/>
      <c r="K19" s="15"/>
      <c r="L19" s="16" t="n">
        <v>-18</v>
      </c>
      <c r="M19" s="17" t="n">
        <v>272.9361109215</v>
      </c>
      <c r="N19" s="17"/>
      <c r="O19" s="18"/>
      <c r="Q19" s="220"/>
      <c r="R19" s="221"/>
      <c r="S19" s="222"/>
    </row>
    <row r="20" customFormat="false" ht="15" hidden="false" customHeight="false" outlineLevel="0" collapsed="false">
      <c r="A20" s="11" t="n">
        <v>19</v>
      </c>
      <c r="B20" s="11" t="s">
        <v>171</v>
      </c>
      <c r="C20" s="11" t="n">
        <v>11</v>
      </c>
      <c r="D20" s="1"/>
      <c r="E20" s="1"/>
      <c r="F20" s="2"/>
      <c r="G20" s="2"/>
      <c r="H20" s="47"/>
      <c r="I20" s="13"/>
      <c r="J20" s="13"/>
      <c r="K20" s="15"/>
      <c r="L20" s="16" t="n">
        <v>-19</v>
      </c>
      <c r="M20" s="17" t="n">
        <v>274.220033801053</v>
      </c>
      <c r="N20" s="17"/>
      <c r="O20" s="18"/>
    </row>
    <row r="21" customFormat="false" ht="15" hidden="false" customHeight="false" outlineLevel="0" collapsed="false">
      <c r="A21" s="11" t="n">
        <v>20</v>
      </c>
      <c r="B21" s="11" t="s">
        <v>171</v>
      </c>
      <c r="C21" s="11" t="n">
        <v>10</v>
      </c>
      <c r="D21" s="1"/>
      <c r="E21" s="1"/>
      <c r="F21" s="2"/>
      <c r="G21" s="2"/>
      <c r="H21" s="47"/>
      <c r="I21" s="13"/>
      <c r="J21" s="13"/>
      <c r="K21" s="15"/>
      <c r="L21" s="16" t="n">
        <v>-20</v>
      </c>
      <c r="M21" s="17" t="n">
        <v>272.18043547125</v>
      </c>
      <c r="N21" s="17"/>
      <c r="O21" s="18"/>
    </row>
    <row r="22" customFormat="false" ht="15" hidden="false" customHeight="false" outlineLevel="0" collapsed="false">
      <c r="A22" s="11" t="n">
        <v>21</v>
      </c>
      <c r="B22" s="11" t="s">
        <v>171</v>
      </c>
      <c r="C22" s="11" t="n">
        <v>9</v>
      </c>
      <c r="D22" s="1"/>
      <c r="E22" s="1"/>
      <c r="F22" s="2"/>
      <c r="G22" s="2"/>
      <c r="H22" s="47"/>
      <c r="I22" s="13"/>
      <c r="J22" s="13"/>
      <c r="K22" s="15"/>
      <c r="L22" s="16" t="n">
        <v>-21</v>
      </c>
      <c r="M22" s="17" t="n">
        <v>269.889947930143</v>
      </c>
      <c r="N22" s="17"/>
      <c r="O22" s="18"/>
    </row>
    <row r="23" customFormat="false" ht="15" hidden="false" customHeight="false" outlineLevel="0" collapsed="false">
      <c r="A23" s="11" t="n">
        <v>22</v>
      </c>
      <c r="B23" s="11" t="s">
        <v>171</v>
      </c>
      <c r="C23" s="11" t="n">
        <v>8</v>
      </c>
      <c r="D23" s="1"/>
      <c r="E23" s="1"/>
      <c r="F23" s="2"/>
      <c r="G23" s="2"/>
      <c r="H23" s="47"/>
      <c r="I23" s="13"/>
      <c r="J23" s="13"/>
      <c r="K23" s="15"/>
      <c r="L23" s="16" t="n">
        <v>-22</v>
      </c>
      <c r="M23" s="17" t="n">
        <v>270.261677409818</v>
      </c>
      <c r="N23" s="17"/>
      <c r="O23" s="18"/>
    </row>
    <row r="24" customFormat="false" ht="15" hidden="false" customHeight="false" outlineLevel="0" collapsed="false">
      <c r="A24" s="11" t="n">
        <v>23</v>
      </c>
      <c r="B24" s="11" t="s">
        <v>171</v>
      </c>
      <c r="C24" s="11" t="n">
        <v>7</v>
      </c>
      <c r="D24" s="1"/>
      <c r="E24" s="1"/>
      <c r="F24" s="2"/>
      <c r="G24" s="2"/>
      <c r="H24" s="47"/>
      <c r="I24" s="13"/>
      <c r="J24" s="13"/>
      <c r="K24" s="15"/>
      <c r="L24" s="16" t="n">
        <v>-23</v>
      </c>
      <c r="M24" s="17" t="n">
        <v>269.298147665087</v>
      </c>
      <c r="N24" s="17"/>
      <c r="O24" s="18"/>
    </row>
    <row r="25" customFormat="false" ht="15" hidden="false" customHeight="false" outlineLevel="0" collapsed="false">
      <c r="A25" s="11" t="n">
        <v>24</v>
      </c>
      <c r="B25" s="11" t="s">
        <v>171</v>
      </c>
      <c r="C25" s="11" t="n">
        <v>6</v>
      </c>
      <c r="D25" s="1"/>
      <c r="E25" s="1"/>
      <c r="F25" s="2"/>
      <c r="G25" s="2"/>
      <c r="H25" s="47"/>
      <c r="I25" s="13"/>
      <c r="J25" s="13"/>
      <c r="K25" s="15"/>
      <c r="L25" s="16" t="n">
        <v>-24</v>
      </c>
      <c r="M25" s="17" t="n">
        <v>267.637841908125</v>
      </c>
      <c r="N25" s="17"/>
      <c r="O25" s="18"/>
    </row>
    <row r="26" customFormat="false" ht="15" hidden="false" customHeight="false" outlineLevel="0" collapsed="false">
      <c r="A26" s="11" t="n">
        <v>25</v>
      </c>
      <c r="B26" s="11" t="s">
        <v>171</v>
      </c>
      <c r="C26" s="11" t="n">
        <v>5</v>
      </c>
      <c r="D26" s="1"/>
      <c r="E26" s="1"/>
      <c r="F26" s="2"/>
      <c r="G26" s="2"/>
      <c r="H26" s="47"/>
      <c r="I26" s="13"/>
      <c r="J26" s="13"/>
      <c r="K26" s="15"/>
      <c r="L26" s="16" t="n">
        <v>-25</v>
      </c>
      <c r="M26" s="17" t="n">
        <v>266.22886593156</v>
      </c>
      <c r="N26" s="17"/>
      <c r="O26" s="18"/>
    </row>
    <row r="27" customFormat="false" ht="15" hidden="false" customHeight="false" outlineLevel="0" collapsed="false">
      <c r="A27" s="11" t="n">
        <v>26</v>
      </c>
      <c r="B27" s="11" t="s">
        <v>171</v>
      </c>
      <c r="C27" s="11" t="n">
        <v>4</v>
      </c>
      <c r="D27" s="1"/>
      <c r="E27" s="1"/>
      <c r="F27" s="2"/>
      <c r="G27" s="2"/>
      <c r="H27" s="47"/>
      <c r="I27" s="13"/>
      <c r="J27" s="13"/>
      <c r="K27" s="15"/>
      <c r="L27" s="16" t="n">
        <v>-26</v>
      </c>
      <c r="M27" s="17" t="n">
        <v>264.918723885808</v>
      </c>
      <c r="N27" s="17"/>
      <c r="O27" s="18"/>
    </row>
    <row r="28" customFormat="false" ht="15" hidden="false" customHeight="false" outlineLevel="0" collapsed="false">
      <c r="A28" s="11" t="n">
        <v>27</v>
      </c>
      <c r="B28" s="11" t="s">
        <v>171</v>
      </c>
      <c r="C28" s="11" t="n">
        <v>3</v>
      </c>
      <c r="D28" s="1"/>
      <c r="E28" s="1"/>
      <c r="F28" s="2"/>
      <c r="G28" s="2"/>
      <c r="H28" s="47"/>
      <c r="I28" s="13"/>
      <c r="J28" s="13"/>
      <c r="K28" s="15"/>
      <c r="L28" s="16" t="n">
        <v>-27</v>
      </c>
      <c r="M28" s="17" t="n">
        <v>264.693883868</v>
      </c>
      <c r="N28" s="17"/>
      <c r="O28" s="18"/>
    </row>
    <row r="29" customFormat="false" ht="15" hidden="false" customHeight="false" outlineLevel="0" collapsed="false">
      <c r="A29" s="11" t="n">
        <v>28</v>
      </c>
      <c r="B29" s="11" t="s">
        <v>171</v>
      </c>
      <c r="C29" s="11" t="n">
        <v>2</v>
      </c>
      <c r="D29" s="1"/>
      <c r="E29" s="1"/>
      <c r="F29" s="2"/>
      <c r="G29" s="2"/>
      <c r="H29" s="47"/>
      <c r="I29" s="13"/>
      <c r="J29" s="13"/>
      <c r="K29" s="15"/>
      <c r="L29" s="16" t="n">
        <v>-28</v>
      </c>
      <c r="M29" s="17" t="n">
        <v>261.413930493857</v>
      </c>
      <c r="N29" s="17"/>
      <c r="O29" s="18"/>
    </row>
    <row r="30" customFormat="false" ht="15" hidden="false" customHeight="false" outlineLevel="0" collapsed="false">
      <c r="A30" s="11" t="n">
        <v>29</v>
      </c>
      <c r="B30" s="11" t="s">
        <v>171</v>
      </c>
      <c r="C30" s="11" t="n">
        <v>1</v>
      </c>
      <c r="D30" s="1"/>
      <c r="E30" s="1"/>
      <c r="F30" s="2"/>
      <c r="G30" s="2"/>
      <c r="H30" s="47"/>
      <c r="I30" s="13"/>
      <c r="J30" s="13"/>
      <c r="K30" s="15"/>
      <c r="L30" s="16" t="n">
        <v>-29</v>
      </c>
      <c r="M30" s="17" t="n">
        <v>259.889244103345</v>
      </c>
      <c r="N30" s="17"/>
      <c r="O30" s="18"/>
    </row>
    <row r="31" customFormat="false" ht="15" hidden="false" customHeight="false" outlineLevel="0" collapsed="false">
      <c r="A31" s="11" t="n">
        <v>30</v>
      </c>
      <c r="B31" s="11" t="s">
        <v>171</v>
      </c>
      <c r="C31" s="11" t="n">
        <v>0</v>
      </c>
      <c r="D31" s="1"/>
      <c r="E31" s="1"/>
      <c r="F31" s="2"/>
      <c r="G31" s="2"/>
      <c r="H31" s="47"/>
      <c r="I31" s="13"/>
      <c r="J31" s="13"/>
      <c r="K31" s="15"/>
      <c r="L31" s="16" t="n">
        <v>-30</v>
      </c>
      <c r="M31" s="17"/>
      <c r="N31" s="17"/>
      <c r="O31" s="18"/>
    </row>
    <row r="32" customFormat="false" ht="15" hidden="false" customHeight="false" outlineLevel="0" collapsed="false">
      <c r="A32" s="4"/>
      <c r="B32" s="11"/>
      <c r="C32" s="4"/>
      <c r="D32" s="1"/>
      <c r="E32" s="1"/>
      <c r="F32" s="2"/>
      <c r="G32" s="2"/>
      <c r="I32" s="13"/>
      <c r="J32" s="13"/>
      <c r="K32" s="15"/>
      <c r="L32" s="16"/>
      <c r="M32" s="17"/>
      <c r="N32" s="17"/>
      <c r="O32" s="18"/>
    </row>
    <row r="33" customFormat="false" ht="15" hidden="false" customHeight="false" outlineLevel="0" collapsed="false">
      <c r="A33" s="4"/>
      <c r="B33" s="11"/>
      <c r="C33" s="4"/>
      <c r="D33" s="1"/>
      <c r="E33" s="1"/>
      <c r="F33" s="2"/>
      <c r="G33" s="2"/>
      <c r="H33" s="47"/>
      <c r="I33" s="13"/>
      <c r="J33" s="13"/>
      <c r="K33" s="15"/>
      <c r="L33" s="16"/>
      <c r="M33" s="17"/>
      <c r="N33" s="17"/>
      <c r="O33" s="18"/>
    </row>
  </sheetData>
  <conditionalFormatting sqref="Q2:Q14 Q16:Q17">
    <cfRule type="expression" priority="2" aboveAverage="0" equalAverage="0" bottom="0" percent="0" rank="0" text="" dxfId="59">
      <formula>" =CELL(“Protect”,A1)=1"</formula>
    </cfRule>
    <cfRule type="expression" priority="3" aboveAverage="0" equalAverage="0" bottom="0" percent="0" rank="0" text="" dxfId="1">
      <formula>" =CELL(“Protect”,A1)=1"</formula>
    </cfRule>
  </conditionalFormatting>
  <conditionalFormatting sqref="A1:I1 K1:O1">
    <cfRule type="expression" priority="4" aboveAverage="0" equalAverage="0" bottom="0" percent="0" rank="0" text="" dxfId="60">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11" activePane="bottomLeft" state="frozen"/>
      <selection pane="topLeft" activeCell="A1" activeCellId="0" sqref="A1"/>
      <selection pane="bottomLeft" activeCell="L39" activeCellId="0" sqref="L39"/>
    </sheetView>
  </sheetViews>
  <sheetFormatPr defaultColWidth="8.453125" defaultRowHeight="15" zeroHeight="false" outlineLevelRow="0" outlineLevelCol="0"/>
  <cols>
    <col collapsed="false" customWidth="true" hidden="false" outlineLevel="0" max="1" min="1" style="0" width="6.14"/>
    <col collapsed="false" customWidth="true" hidden="true" outlineLevel="0" max="2" min="2" style="0" width="6.29"/>
    <col collapsed="false" customWidth="true" hidden="false" outlineLevel="0" max="3" min="3" style="0" width="6.29"/>
    <col collapsed="false" customWidth="true" hidden="false" outlineLevel="0" max="5" min="4" style="1" width="10.71"/>
    <col collapsed="false" customWidth="true" hidden="false" outlineLevel="0" max="7" min="6" style="2" width="9.14"/>
    <col collapsed="false" customWidth="true" hidden="false" outlineLevel="0" max="8" min="8" style="3" width="9.42"/>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6" min="16" style="0" width="12.71"/>
    <col collapsed="false" customWidth="true" hidden="false" outlineLevel="0" max="17" min="17" style="0" width="28.57"/>
    <col collapsed="false" customWidth="true" hidden="false" outlineLevel="0" max="19" min="19" style="0" width="10.71"/>
    <col collapsed="false" customWidth="true" hidden="false" outlineLevel="0" max="23" min="23" style="0" width="10.71"/>
  </cols>
  <sheetData>
    <row r="1" customFormat="false" ht="41.25" hidden="false" customHeight="tru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14</v>
      </c>
      <c r="Q1" s="6" t="s">
        <v>15</v>
      </c>
      <c r="S1" s="10"/>
    </row>
    <row r="2" customFormat="false" ht="15" hidden="false" customHeight="false" outlineLevel="0" collapsed="false">
      <c r="A2" s="11" t="n">
        <v>1</v>
      </c>
      <c r="B2" s="11" t="str">
        <f aca="false">TEXT($D2,"ddd")</f>
        <v>Fri</v>
      </c>
      <c r="C2" s="11" t="n">
        <v>33</v>
      </c>
      <c r="D2" s="49" t="n">
        <v>45275</v>
      </c>
      <c r="E2" s="1" t="n">
        <v>45276.2567013889</v>
      </c>
      <c r="F2" s="2" t="n">
        <v>94588.168</v>
      </c>
      <c r="G2" s="2" t="n">
        <v>94618.164</v>
      </c>
      <c r="H2" s="3" t="n">
        <v>29.999</v>
      </c>
      <c r="I2" s="13" t="n">
        <v>29.999</v>
      </c>
      <c r="J2" s="14" t="n">
        <f aca="false">(I2)</f>
        <v>29.999</v>
      </c>
      <c r="K2" s="15" t="n">
        <f aca="false">IF($H2&gt;0,(($H2*$S$7)+$S$8)*(1+$R$9),"")</f>
        <v>6.61549328482518</v>
      </c>
      <c r="L2" s="16" t="n">
        <f aca="false">IF(I2 &gt;1000,($K2-100),K2)</f>
        <v>6.61549328482518</v>
      </c>
      <c r="M2" s="17" t="n">
        <f aca="false">IF($J2&lt;&gt;"",$J2*(LOOKUP(1E+307,$A:$A)-$A$2),"")</f>
        <v>959.968</v>
      </c>
      <c r="N2" s="17" t="n">
        <f aca="false">IF($M2&lt;&gt;"",IF($M2&gt;1000,(($M2*$S$7)+($A2*$S$8))*(1+$R$9)-100,($M2*$S$7)+($A2*$R$9)*(1+$R$9)),"")</f>
        <v>203.0593606089</v>
      </c>
      <c r="O2" s="18" t="n">
        <f aca="false">IF(I2&gt;=1000,"",(1000-I2))</f>
        <v>970.001</v>
      </c>
      <c r="Q2" s="19" t="s">
        <v>18</v>
      </c>
      <c r="R2" s="20" t="s">
        <v>19</v>
      </c>
      <c r="S2" s="21"/>
    </row>
    <row r="3" customFormat="false" ht="15" hidden="false" customHeight="false" outlineLevel="0" collapsed="false">
      <c r="A3" s="11" t="n">
        <v>2</v>
      </c>
      <c r="B3" s="11" t="str">
        <f aca="false">TEXT($D3,"ddd")</f>
        <v>Sat</v>
      </c>
      <c r="C3" s="11" t="n">
        <f aca="false">$A$34-$A2</f>
        <v>32</v>
      </c>
      <c r="D3" s="1" t="n">
        <v>45276</v>
      </c>
      <c r="E3" s="1" t="n">
        <v>45277.276412037</v>
      </c>
      <c r="F3" s="2" t="n">
        <v>94618.164</v>
      </c>
      <c r="G3" s="2" t="n">
        <v>94665.254</v>
      </c>
      <c r="H3" s="3" t="n">
        <v>47.086</v>
      </c>
      <c r="I3" s="13" t="n">
        <f aca="false">IF(H3&gt;0,(H3+J2),"")</f>
        <v>77.085</v>
      </c>
      <c r="J3" s="14" t="n">
        <f aca="false">IF($H3&gt;0,($I3/$A3),"")</f>
        <v>38.5425</v>
      </c>
      <c r="K3" s="15" t="n">
        <f aca="false">IF($H3&gt;0,(($H3*$S$7)+$S$8)*(1+$R$9),"")</f>
        <v>10.3016679471745</v>
      </c>
      <c r="L3" s="16" t="n">
        <f aca="false">IF($H3&gt;0,($K3+$L2),"")</f>
        <v>16.9171612319997</v>
      </c>
      <c r="M3" s="17" t="n">
        <f aca="false">IF($J3&lt;&gt;"",$J3*(LOOKUP(1E+307,$A:$A)-$A$2),"")</f>
        <v>1233.36</v>
      </c>
      <c r="N3" s="17" t="n">
        <f aca="false">IF($M3&lt;&gt;"",IF($M3&gt;1000,(($M3*$S$7)+($A3*$S$8))*(1+$R$9)-100,($M3*$S$7)+($A3*$R$9)*(1+$R$9)),"")</f>
        <v>166.360106611995</v>
      </c>
      <c r="O3" s="18" t="n">
        <f aca="false">IF(I3&gt;=1000,"",(1000-I3))</f>
        <v>922.915</v>
      </c>
      <c r="Q3" s="22" t="s">
        <v>22</v>
      </c>
      <c r="R3" s="23" t="n">
        <f aca="false">($F$2+1000)</f>
        <v>95588.168</v>
      </c>
      <c r="S3" s="24"/>
    </row>
    <row r="4" customFormat="false" ht="15" hidden="false" customHeight="false" outlineLevel="0" collapsed="false">
      <c r="A4" s="11" t="n">
        <v>3</v>
      </c>
      <c r="B4" s="11" t="str">
        <f aca="false">TEXT($D4,"ddd")</f>
        <v>Sun</v>
      </c>
      <c r="C4" s="11" t="n">
        <f aca="false">$A$34-$A3</f>
        <v>31</v>
      </c>
      <c r="D4" s="1" t="n">
        <v>45277</v>
      </c>
      <c r="E4" s="1" t="n">
        <v>45278.2562384259</v>
      </c>
      <c r="F4" s="2" t="n">
        <v>94665.254</v>
      </c>
      <c r="G4" s="2" t="n">
        <v>94707.496</v>
      </c>
      <c r="H4" s="3" t="n">
        <v>42.241</v>
      </c>
      <c r="I4" s="13" t="n">
        <f aca="false">IF(H4&gt;0,(H4+I3),"")</f>
        <v>119.326</v>
      </c>
      <c r="J4" s="14" t="n">
        <f aca="false">IF($H4&gt;0,($I4/$A4),"")</f>
        <v>39.7753333333333</v>
      </c>
      <c r="K4" s="15" t="n">
        <f aca="false">IF($H4&gt;0,(($H4*$S$7)+$S$8)*(1+$R$9),"")</f>
        <v>9.25645718817162</v>
      </c>
      <c r="L4" s="16" t="n">
        <f aca="false">IF($H4&gt;0,($K4+$L3),"")</f>
        <v>26.1736184201713</v>
      </c>
      <c r="M4" s="17" t="n">
        <f aca="false">IF($J4&lt;&gt;"",$J4*(LOOKUP(1E+307,$A:$A)-$A$2),"")</f>
        <v>1272.81066666667</v>
      </c>
      <c r="N4" s="17" t="n">
        <f aca="false">IF($M4&lt;&gt;"",IF($M4&gt;1000,(($M4*$S$7)+($A4*$S$8))*(1+$R$9)-100,($M4*$S$7)+($A4*$R$9)*(1+$R$9)),"")</f>
        <v>175.014605818494</v>
      </c>
      <c r="O4" s="18" t="n">
        <f aca="false">IF(I4&gt;=1000,"",(1000-I4))</f>
        <v>880.674</v>
      </c>
      <c r="Q4" s="22" t="s">
        <v>25</v>
      </c>
      <c r="R4" s="25"/>
      <c r="S4" s="26" t="n">
        <v>0.001667</v>
      </c>
    </row>
    <row r="5" customFormat="false" ht="15" hidden="false" customHeight="false" outlineLevel="0" collapsed="false">
      <c r="A5" s="11" t="n">
        <v>4</v>
      </c>
      <c r="B5" s="11" t="str">
        <f aca="false">TEXT($D5,"ddd")</f>
        <v>Mon</v>
      </c>
      <c r="C5" s="11" t="n">
        <f aca="false">$A$34-$A4</f>
        <v>30</v>
      </c>
      <c r="D5" s="1" t="n">
        <v>45278</v>
      </c>
      <c r="E5" s="1" t="n">
        <v>45279.2580902778</v>
      </c>
      <c r="F5" s="2" t="n">
        <v>94707.496</v>
      </c>
      <c r="G5" s="2" t="n">
        <v>94740.494</v>
      </c>
      <c r="H5" s="3" t="n">
        <v>33.003</v>
      </c>
      <c r="I5" s="13" t="n">
        <f aca="false">IF(H5&gt;0,(H5+I4),"")</f>
        <v>152.329</v>
      </c>
      <c r="J5" s="14" t="n">
        <f aca="false">IF($H5&gt;0,($I5/$A5),"")</f>
        <v>38.08225</v>
      </c>
      <c r="K5" s="15" t="n">
        <f aca="false">IF($H5&gt;0,(($H5*$S$7)+$S$8)*(1+$R$9),"")</f>
        <v>7.26354552838446</v>
      </c>
      <c r="L5" s="16" t="n">
        <f aca="false">IF($H5&gt;0,($K5+$L4),"")</f>
        <v>33.4371639485558</v>
      </c>
      <c r="M5" s="17" t="n">
        <f aca="false">IF($J5&lt;&gt;"",$J5*(LOOKUP(1E+307,$A:$A)-$A$2),"")</f>
        <v>1218.632</v>
      </c>
      <c r="N5" s="17" t="n">
        <f aca="false">IF($M5&lt;&gt;"",IF($M5&gt;1000,(($M5*$S$7)+($A5*$S$8))*(1+$R$9)-100,($M5*$S$7)+($A5*$R$9)*(1+$R$9)),"")</f>
        <v>163.470470028446</v>
      </c>
      <c r="O5" s="18" t="n">
        <f aca="false">IF(I5&gt;=1000,"",(1000-I5))</f>
        <v>847.671</v>
      </c>
      <c r="P5" s="27"/>
      <c r="Q5" s="22" t="s">
        <v>28</v>
      </c>
      <c r="R5" s="25"/>
      <c r="S5" s="26" t="n">
        <v>0.050339</v>
      </c>
    </row>
    <row r="6" customFormat="false" ht="15" hidden="false" customHeight="false" outlineLevel="0" collapsed="false">
      <c r="A6" s="11" t="n">
        <v>5</v>
      </c>
      <c r="B6" s="11" t="str">
        <f aca="false">TEXT($D6,"ddd")</f>
        <v>Tue</v>
      </c>
      <c r="C6" s="11" t="n">
        <f aca="false">$A$34-$A5</f>
        <v>29</v>
      </c>
      <c r="D6" s="1" t="n">
        <v>45279</v>
      </c>
      <c r="E6" s="1" t="n">
        <v>45280.2571990741</v>
      </c>
      <c r="F6" s="2" t="n">
        <v>94740.494</v>
      </c>
      <c r="G6" s="2" t="n">
        <v>94784.891</v>
      </c>
      <c r="H6" s="3" t="n">
        <v>44.399</v>
      </c>
      <c r="I6" s="13" t="n">
        <f aca="false">IF(H6&gt;0,(H6+I5),"")</f>
        <v>196.728</v>
      </c>
      <c r="J6" s="14" t="n">
        <f aca="false">IF($H6&gt;0,($I6/$A6),"")</f>
        <v>39.3456</v>
      </c>
      <c r="K6" s="15" t="n">
        <f aca="false">IF($H6&gt;0,(($H6*$S$7)+$S$8)*(1+$R$9),"")</f>
        <v>9.72200204223318</v>
      </c>
      <c r="L6" s="16" t="n">
        <f aca="false">IF($H6&gt;0,($K6+$L5),"")</f>
        <v>43.159165990789</v>
      </c>
      <c r="M6" s="17" t="n">
        <f aca="false">IF($J6&lt;&gt;"",$J6*(LOOKUP(1E+307,$A:$A)-$A$2),"")</f>
        <v>1259.0592</v>
      </c>
      <c r="N6" s="17" t="n">
        <f aca="false">IF($M6&lt;&gt;"",IF($M6&gt;1000,(($M6*$S$7)+($A6*$S$8))*(1+$R$9)-100,($M6*$S$7)+($A6*$R$9)*(1+$R$9)),"")</f>
        <v>172.335636551049</v>
      </c>
      <c r="O6" s="18" t="n">
        <f aca="false">IF(I6&gt;=1000,"",(1000-I6))</f>
        <v>803.272</v>
      </c>
      <c r="Q6" s="22" t="s">
        <v>31</v>
      </c>
      <c r="R6" s="25"/>
      <c r="S6" s="26" t="n">
        <v>0.1595</v>
      </c>
    </row>
    <row r="7" customFormat="false" ht="15" hidden="false" customHeight="false" outlineLevel="0" collapsed="false">
      <c r="A7" s="11" t="n">
        <v>6</v>
      </c>
      <c r="B7" s="11" t="str">
        <f aca="false">TEXT($D7,"ddd")</f>
        <v>Wed</v>
      </c>
      <c r="C7" s="11" t="n">
        <f aca="false">$A$34-$A6</f>
        <v>28</v>
      </c>
      <c r="D7" s="1" t="n">
        <v>45280</v>
      </c>
      <c r="E7" s="1" t="n">
        <v>45281.2562268519</v>
      </c>
      <c r="F7" s="2" t="n">
        <v>94784.891</v>
      </c>
      <c r="G7" s="2" t="n">
        <v>94834.321</v>
      </c>
      <c r="H7" s="3" t="n">
        <v>49.426</v>
      </c>
      <c r="I7" s="13" t="n">
        <f aca="false">IF(H7&gt;0,(H7+I6),"")</f>
        <v>246.154</v>
      </c>
      <c r="J7" s="14" t="n">
        <f aca="false">IF($H7&gt;0,($I7/$A7),"")</f>
        <v>41.0256666666667</v>
      </c>
      <c r="K7" s="15" t="n">
        <f aca="false">IF($H7&gt;0,(($H7*$S$7)+$S$8)*(1+$R$9),"")</f>
        <v>10.8064756202533</v>
      </c>
      <c r="L7" s="16" t="n">
        <f aca="false">IF($H7&gt;0,($K7+$L6),"")</f>
        <v>53.9656416110423</v>
      </c>
      <c r="M7" s="17" t="n">
        <f aca="false">IF($J7&lt;&gt;"",$J7*(LOOKUP(1E+307,$A:$A)-$A$2),"")</f>
        <v>1312.82133333333</v>
      </c>
      <c r="N7" s="17" t="n">
        <f aca="false">IF($M7&lt;&gt;"",IF($M7&gt;1000,(($M7*$S$7)+($A7*$S$8))*(1+$R$9)-100,($M7*$S$7)+($A7*$R$9)*(1+$R$9)),"")</f>
        <v>184.077545238892</v>
      </c>
      <c r="O7" s="18" t="n">
        <f aca="false">IF(I7&gt;=1000,"",(1000-I7))</f>
        <v>753.846</v>
      </c>
      <c r="Q7" s="22" t="s">
        <v>34</v>
      </c>
      <c r="R7" s="25"/>
      <c r="S7" s="28" t="n">
        <f aca="false">SUM(S4:S6)</f>
        <v>0.211506</v>
      </c>
      <c r="T7" s="29" t="s">
        <v>35</v>
      </c>
    </row>
    <row r="8" customFormat="false" ht="15" hidden="false" customHeight="false" outlineLevel="0" collapsed="false">
      <c r="A8" s="11" t="n">
        <v>7</v>
      </c>
      <c r="B8" s="11" t="str">
        <f aca="false">TEXT($D8,"ddd")</f>
        <v>Thu</v>
      </c>
      <c r="C8" s="11" t="n">
        <f aca="false">$A$34-$A7</f>
        <v>27</v>
      </c>
      <c r="D8" s="1" t="n">
        <v>45281</v>
      </c>
      <c r="E8" s="1" t="n">
        <v>45282.2580324074</v>
      </c>
      <c r="F8" s="2" t="n">
        <v>94834.321</v>
      </c>
      <c r="G8" s="2" t="n">
        <v>94868.898</v>
      </c>
      <c r="H8" s="3" t="n">
        <v>34.576</v>
      </c>
      <c r="I8" s="13" t="n">
        <f aca="false">IF(H8&gt;0,(H8+I7),"")</f>
        <v>280.73</v>
      </c>
      <c r="J8" s="14" t="n">
        <f aca="false">IF($H8&gt;0,($I8/$A8),"")</f>
        <v>40.1042857142857</v>
      </c>
      <c r="K8" s="15" t="n">
        <f aca="false">IF($H8&gt;0,(($H8*$S$7)+$S$8)*(1+$R$9),"")</f>
        <v>7.60288846417632</v>
      </c>
      <c r="L8" s="16" t="n">
        <f aca="false">IF($H8&gt;0,($K8+$L7),"")</f>
        <v>61.5685300752186</v>
      </c>
      <c r="M8" s="17" t="n">
        <f aca="false">IF($J8&lt;&gt;"",$J8*(LOOKUP(1E+307,$A:$A)-$A$2),"")</f>
        <v>1283.33714285714</v>
      </c>
      <c r="N8" s="17" t="n">
        <f aca="false">IF($M8&lt;&gt;"",IF($M8&gt;1000,(($M8*$S$7)+($A8*$S$8))*(1+$R$9)-100,($M8*$S$7)+($A8*$R$9)*(1+$R$9)),"")</f>
        <v>177.860743236714</v>
      </c>
      <c r="O8" s="18" t="n">
        <f aca="false">IF(I8&gt;=1000,"",(1000-I8))</f>
        <v>719.27</v>
      </c>
      <c r="Q8" s="22" t="s">
        <v>38</v>
      </c>
      <c r="R8" s="30" t="n">
        <v>4.23</v>
      </c>
      <c r="S8" s="31" t="n">
        <f aca="false">(R8/A31)</f>
        <v>0.141</v>
      </c>
      <c r="T8" s="29" t="s">
        <v>39</v>
      </c>
    </row>
    <row r="9" customFormat="false" ht="15" hidden="false" customHeight="false" outlineLevel="0" collapsed="false">
      <c r="A9" s="11" t="n">
        <v>8</v>
      </c>
      <c r="B9" s="11" t="str">
        <f aca="false">TEXT($D9,"ddd")</f>
        <v>Fri</v>
      </c>
      <c r="C9" s="11" t="n">
        <f aca="false">$A$34-$A8</f>
        <v>26</v>
      </c>
      <c r="D9" s="1" t="n">
        <v>45282</v>
      </c>
      <c r="E9" s="1" t="n">
        <v>45283.2562962963</v>
      </c>
      <c r="F9" s="2" t="n">
        <v>94868.898</v>
      </c>
      <c r="G9" s="2" t="n">
        <v>94904.714</v>
      </c>
      <c r="H9" s="3" t="n">
        <v>35.812</v>
      </c>
      <c r="I9" s="13" t="n">
        <f aca="false">IF(H9&gt;0,(H9+I8),"")</f>
        <v>316.542</v>
      </c>
      <c r="J9" s="14" t="n">
        <f aca="false">IF($H9&gt;0,($I9/$A9),"")</f>
        <v>39.56775</v>
      </c>
      <c r="K9" s="15" t="n">
        <f aca="false">IF($H9&gt;0,(($H9*$S$7)+$S$8)*(1+$R$9),"")</f>
        <v>7.86953046585384</v>
      </c>
      <c r="L9" s="16" t="n">
        <f aca="false">IF($H9&gt;0,($K9+$L8),"")</f>
        <v>69.4380605410725</v>
      </c>
      <c r="M9" s="17" t="n">
        <f aca="false">IF($J9&lt;&gt;"",$J9*(LOOKUP(1E+307,$A:$A)-$A$2),"")</f>
        <v>1266.168</v>
      </c>
      <c r="N9" s="17" t="n">
        <f aca="false">IF($M9&lt;&gt;"",IF($M9&gt;1000,(($M9*$S$7)+($A9*$S$8))*(1+$R$9)-100,($M9*$S$7)+($A9*$R$9)*(1+$R$9)),"")</f>
        <v>174.30066368429</v>
      </c>
      <c r="O9" s="18" t="n">
        <f aca="false">IF(I9&gt;=1000,"",(1000-I9))</f>
        <v>683.458</v>
      </c>
      <c r="Q9" s="22" t="s">
        <v>42</v>
      </c>
      <c r="R9" s="30" t="n">
        <v>0.01997</v>
      </c>
      <c r="S9" s="32"/>
      <c r="T9" s="29" t="s">
        <v>43</v>
      </c>
    </row>
    <row r="10" customFormat="false" ht="15" hidden="false" customHeight="false" outlineLevel="0" collapsed="false">
      <c r="A10" s="11" t="n">
        <v>9</v>
      </c>
      <c r="B10" s="11" t="str">
        <f aca="false">TEXT($D10,"ddd")</f>
        <v>Sat</v>
      </c>
      <c r="C10" s="11" t="n">
        <f aca="false">$A$34-$A9</f>
        <v>25</v>
      </c>
      <c r="D10" s="1" t="n">
        <v>45283</v>
      </c>
      <c r="E10" s="1" t="n">
        <v>45284.2768287037</v>
      </c>
      <c r="F10" s="2" t="n">
        <v>94904.714</v>
      </c>
      <c r="G10" s="2" t="n">
        <v>94932.666</v>
      </c>
      <c r="H10" s="3" t="n">
        <v>27.952</v>
      </c>
      <c r="I10" s="13" t="n">
        <f aca="false">IF(H10&gt;0,(H10+I9),"")</f>
        <v>344.494</v>
      </c>
      <c r="J10" s="14" t="n">
        <f aca="false">IF($H10&gt;0,($I10/$A10),"")</f>
        <v>38.2771111111111</v>
      </c>
      <c r="K10" s="15" t="n">
        <f aca="false">IF($H10&gt;0,(($H10*$S$7)+$S$8)*(1+$R$9),"")</f>
        <v>6.17389443576864</v>
      </c>
      <c r="L10" s="16" t="n">
        <f aca="false">IF($H10&gt;0,($K10+$L9),"")</f>
        <v>75.6119549768411</v>
      </c>
      <c r="M10" s="17" t="n">
        <f aca="false">IF($J10&lt;&gt;"",$J10*(LOOKUP(1E+307,$A:$A)-$A$2),"")</f>
        <v>1224.86755555556</v>
      </c>
      <c r="N10" s="17" t="n">
        <f aca="false">IF($M10&lt;&gt;"",IF($M10&gt;1000,(($M10*$S$7)+($A10*$S$8))*(1+$R$9)-100,($M10*$S$7)+($A10*$R$9)*(1+$R$9)),"")</f>
        <v>165.534743874324</v>
      </c>
      <c r="O10" s="18" t="n">
        <f aca="false">IF(I10&gt;=1000,"",(1000-I10))</f>
        <v>655.506</v>
      </c>
      <c r="Q10" s="22" t="s">
        <v>46</v>
      </c>
      <c r="R10" s="33" t="n">
        <v>100</v>
      </c>
      <c r="S10" s="24" t="n">
        <v>1000</v>
      </c>
      <c r="W10" s="34" t="n">
        <v>45275</v>
      </c>
    </row>
    <row r="11" customFormat="false" ht="15" hidden="false" customHeight="false" outlineLevel="0" collapsed="false">
      <c r="A11" s="11" t="n">
        <v>10</v>
      </c>
      <c r="B11" s="11" t="str">
        <f aca="false">TEXT($D11,"ddd")</f>
        <v>Sun</v>
      </c>
      <c r="C11" s="11" t="n">
        <f aca="false">$A$34-$A10</f>
        <v>24</v>
      </c>
      <c r="D11" s="1" t="n">
        <v>45284</v>
      </c>
      <c r="E11" s="1" t="n">
        <v>45285.257025463</v>
      </c>
      <c r="F11" s="2" t="n">
        <v>94932.666</v>
      </c>
      <c r="G11" s="2" t="n">
        <v>94960.735</v>
      </c>
      <c r="H11" s="3" t="n">
        <v>28.073</v>
      </c>
      <c r="I11" s="13" t="n">
        <f aca="false">IF(H11&gt;0,(H11+I10),"")</f>
        <v>372.567</v>
      </c>
      <c r="J11" s="14" t="n">
        <f aca="false">IF($H11&gt;0,($I11/$A11),"")</f>
        <v>37.2567</v>
      </c>
      <c r="K11" s="15" t="n">
        <f aca="false">IF($H11&gt;0,(($H11*$S$7)+$S$8)*(1+$R$9),"")</f>
        <v>6.19999773852186</v>
      </c>
      <c r="L11" s="16" t="n">
        <f aca="false">IF($H11&gt;0,($K11+$L10),"")</f>
        <v>81.811952715363</v>
      </c>
      <c r="M11" s="17" t="n">
        <f aca="false">IF($J11&lt;&gt;"",$J11*(LOOKUP(1E+307,$A:$A)-$A$2),"")</f>
        <v>1192.2144</v>
      </c>
      <c r="N11" s="17" t="n">
        <f aca="false">IF($M11&lt;&gt;"",IF($M11&gt;1000,(($M11*$S$7)+($A11*$S$8))*(1+$R$9)-100,($M11*$S$7)+($A11*$R$9)*(1+$R$9)),"")</f>
        <v>158.634301749161</v>
      </c>
      <c r="O11" s="18" t="n">
        <f aca="false">IF(I11&gt;=1000,"",(1000-I11))</f>
        <v>627.433</v>
      </c>
      <c r="Q11" s="22" t="s">
        <v>49</v>
      </c>
      <c r="R11" s="33" t="n">
        <v>295</v>
      </c>
      <c r="S11" s="32"/>
    </row>
    <row r="12" customFormat="false" ht="15" hidden="false" customHeight="false" outlineLevel="0" collapsed="false">
      <c r="A12" s="11" t="n">
        <v>11</v>
      </c>
      <c r="B12" s="11" t="str">
        <f aca="false">TEXT($D12,"ddd")</f>
        <v>Mon</v>
      </c>
      <c r="C12" s="11" t="n">
        <f aca="false">$A$34-$A11</f>
        <v>23</v>
      </c>
      <c r="D12" s="1" t="n">
        <v>45285</v>
      </c>
      <c r="E12" s="1" t="n">
        <v>45286.2596643519</v>
      </c>
      <c r="F12" s="2" t="n">
        <v>94960.735</v>
      </c>
      <c r="G12" s="2" t="n">
        <v>94997.918</v>
      </c>
      <c r="H12" s="3" t="n">
        <v>37.189</v>
      </c>
      <c r="I12" s="13" t="n">
        <f aca="false">IF(H12&gt;0,(H12+I11),"")</f>
        <v>409.756</v>
      </c>
      <c r="J12" s="14" t="n">
        <f aca="false">IF($H12&gt;0,($I12/$A12),"")</f>
        <v>37.2505454545455</v>
      </c>
      <c r="K12" s="15" t="n">
        <f aca="false">IF($H12&gt;0,(($H12*$S$7)+$S$8)*(1+$R$9),"")</f>
        <v>8.16659036578098</v>
      </c>
      <c r="L12" s="16" t="n">
        <f aca="false">IF($H12&gt;0,($K12+$L11),"")</f>
        <v>89.9785430811439</v>
      </c>
      <c r="M12" s="17" t="n">
        <f aca="false">IF($J12&lt;&gt;"",$J12*(LOOKUP(1E+307,$A:$A)-$A$2),"")</f>
        <v>1192.01745454545</v>
      </c>
      <c r="N12" s="17" t="n">
        <f aca="false">IF($M12&lt;&gt;"",IF($M12&gt;1000,(($M12*$S$7)+($A12*$S$8))*(1+$R$9)-100,($M12*$S$7)+($A12*$R$9)*(1+$R$9)),"")</f>
        <v>158.735630520601</v>
      </c>
      <c r="O12" s="18" t="n">
        <f aca="false">IF(I12&gt;=1000,"",(1000-I12))</f>
        <v>590.244</v>
      </c>
      <c r="Q12" s="22" t="s">
        <v>52</v>
      </c>
      <c r="R12" s="35" t="n">
        <f aca="false">INDEX(L2:L32,COUNT(L2:L32))</f>
        <v>307.014983459554</v>
      </c>
      <c r="S12" s="32"/>
    </row>
    <row r="13" customFormat="false" ht="15" hidden="false" customHeight="false" outlineLevel="0" collapsed="false">
      <c r="A13" s="11" t="n">
        <v>12</v>
      </c>
      <c r="B13" s="11" t="str">
        <f aca="false">TEXT($D13,"ddd")</f>
        <v>Tue</v>
      </c>
      <c r="C13" s="11" t="n">
        <f aca="false">$A$34-$A12</f>
        <v>22</v>
      </c>
      <c r="D13" s="1" t="n">
        <v>45286</v>
      </c>
      <c r="E13" s="1" t="n">
        <v>45287.2570486111</v>
      </c>
      <c r="F13" s="2" t="n">
        <v>94997.918</v>
      </c>
      <c r="G13" s="2" t="n">
        <v>95047.849</v>
      </c>
      <c r="H13" s="3" t="n">
        <v>49.931</v>
      </c>
      <c r="I13" s="13" t="n">
        <f aca="false">IF(H13&gt;0,(H13+I12),"")</f>
        <v>459.687</v>
      </c>
      <c r="J13" s="14" t="n">
        <f aca="false">IF($H13&gt;0,($I13/$A13),"")</f>
        <v>38.30725</v>
      </c>
      <c r="K13" s="15" t="n">
        <f aca="false">IF($H13&gt;0,(($H13*$S$7)+$S$8)*(1+$R$9),"")</f>
        <v>10.9154191565374</v>
      </c>
      <c r="L13" s="16" t="n">
        <f aca="false">IF($H13&gt;0,($K13+$L12),"")</f>
        <v>100.893962237681</v>
      </c>
      <c r="M13" s="17" t="n">
        <f aca="false">IF($J13&lt;&gt;"",$J13*(LOOKUP(1E+307,$A:$A)-$A$2),"")</f>
        <v>1225.832</v>
      </c>
      <c r="N13" s="17" t="n">
        <f aca="false">IF($M13&lt;&gt;"",IF($M13&gt;1000,(($M13*$S$7)+($A13*$S$8))*(1+$R$9)-100,($M13*$S$7)+($A13*$R$9)*(1+$R$9)),"")</f>
        <v>166.17425056715</v>
      </c>
      <c r="O13" s="18" t="n">
        <f aca="false">IF(I13&gt;=1000,"",(1000-I13))</f>
        <v>540.313</v>
      </c>
      <c r="P13" s="36"/>
      <c r="Q13" s="22" t="s">
        <v>55</v>
      </c>
      <c r="R13" s="37" t="n">
        <f aca="false">INDEX(I2:I32,COUNT(I2:I32))</f>
        <v>1402.48</v>
      </c>
      <c r="S13" s="32"/>
    </row>
    <row r="14" customFormat="false" ht="15" hidden="false" customHeight="false" outlineLevel="0" collapsed="false">
      <c r="A14" s="11" t="n">
        <v>13</v>
      </c>
      <c r="B14" s="11" t="str">
        <f aca="false">TEXT($D14,"ddd")</f>
        <v>Wed</v>
      </c>
      <c r="C14" s="11" t="n">
        <f aca="false">$A$34-$A13</f>
        <v>21</v>
      </c>
      <c r="D14" s="1" t="n">
        <v>45287</v>
      </c>
      <c r="E14" s="1" t="n">
        <v>45288.2573611111</v>
      </c>
      <c r="F14" s="2" t="n">
        <v>95047.849</v>
      </c>
      <c r="G14" s="2" t="n">
        <v>95112.834</v>
      </c>
      <c r="H14" s="3" t="n">
        <v>64.984</v>
      </c>
      <c r="I14" s="13" t="n">
        <f aca="false">IF(H14&gt;0,(H14+I13),"")</f>
        <v>524.671</v>
      </c>
      <c r="J14" s="14" t="n">
        <f aca="false">IF($H14&gt;0,($I14/$A14),"")</f>
        <v>40.3593076923077</v>
      </c>
      <c r="K14" s="15" t="n">
        <f aca="false">IF($H14&gt;0,(($H14*$S$7)+$S$8)*(1+$R$9),"")</f>
        <v>14.1627994569029</v>
      </c>
      <c r="L14" s="16" t="n">
        <f aca="false">IF($H14&gt;0,($K14+$L13),"")</f>
        <v>115.056761694584</v>
      </c>
      <c r="M14" s="17" t="n">
        <f aca="false">IF($J14&lt;&gt;"",$J14*(LOOKUP(1E+307,$A:$A)-$A$2),"")</f>
        <v>1291.49784615385</v>
      </c>
      <c r="N14" s="17" t="n">
        <f aca="false">IF($M14&lt;&gt;"",IF($M14&gt;1000,(($M14*$S$7)+($A14*$S$8))*(1+$R$9)-100,($M14*$S$7)+($A14*$R$9)*(1+$R$9)),"")</f>
        <v>180.484144541284</v>
      </c>
      <c r="O14" s="18" t="n">
        <f aca="false">IF(I14&gt;=1000,"",(1000-I14))</f>
        <v>475.329</v>
      </c>
      <c r="Q14" s="22" t="s">
        <v>58</v>
      </c>
      <c r="R14" s="37" t="n">
        <f aca="false">INDEX(J2:J32,COUNT(J2:J32))</f>
        <v>45.2412903225806</v>
      </c>
      <c r="S14" s="32"/>
    </row>
    <row r="15" customFormat="false" ht="15" hidden="false" customHeight="false" outlineLevel="0" collapsed="false">
      <c r="A15" s="11" t="n">
        <v>14</v>
      </c>
      <c r="B15" s="11" t="str">
        <f aca="false">TEXT($D15,"ddd")</f>
        <v>Thu</v>
      </c>
      <c r="C15" s="11" t="n">
        <f aca="false">$A$34-$A14</f>
        <v>20</v>
      </c>
      <c r="D15" s="1" t="n">
        <v>45288</v>
      </c>
      <c r="E15" s="1" t="n">
        <v>45289.2575578704</v>
      </c>
      <c r="F15" s="2" t="n">
        <v>95112.834</v>
      </c>
      <c r="G15" s="2" t="n">
        <v>95161.981</v>
      </c>
      <c r="H15" s="3" t="n">
        <v>49.146</v>
      </c>
      <c r="I15" s="13" t="n">
        <f aca="false">IF(H15&gt;0,(H15+I14),"")</f>
        <v>573.817</v>
      </c>
      <c r="J15" s="14" t="n">
        <f aca="false">IF($H15&gt;0,($I15/$A15),"")</f>
        <v>40.9869285714286</v>
      </c>
      <c r="K15" s="15" t="n">
        <f aca="false">IF($H15&gt;0,(($H15*$S$7)+$S$8)*(1+$R$9),"")</f>
        <v>10.7460712833037</v>
      </c>
      <c r="L15" s="16" t="n">
        <f aca="false">IF($H15&gt;0,($K15+$L14),"")</f>
        <v>125.802832977888</v>
      </c>
      <c r="M15" s="17" t="n">
        <f aca="false">IF($J15&lt;&gt;"",$J15*(LOOKUP(1E+307,$A:$A)-$A$2),"")</f>
        <v>1311.58171428571</v>
      </c>
      <c r="N15" s="17" t="n">
        <f aca="false">IF($M15&lt;&gt;"",IF($M15&gt;1000,(($M15*$S$7)+($A15*$S$8))*(1+$R$9)-100,($M15*$S$7)+($A15*$R$9)*(1+$R$9)),"")</f>
        <v>184.960648660887</v>
      </c>
      <c r="O15" s="18" t="n">
        <f aca="false">IF(I15&gt;=1000,"",(1000-I15))</f>
        <v>426.183</v>
      </c>
      <c r="Q15" s="22"/>
      <c r="R15" s="38"/>
      <c r="S15" s="24"/>
    </row>
    <row r="16" customFormat="false" ht="15" hidden="false" customHeight="false" outlineLevel="0" collapsed="false">
      <c r="A16" s="11" t="n">
        <v>15</v>
      </c>
      <c r="B16" s="11" t="str">
        <f aca="false">TEXT($D16,"ddd")</f>
        <v>Fri</v>
      </c>
      <c r="C16" s="11" t="n">
        <f aca="false">$A$34-$A15</f>
        <v>19</v>
      </c>
      <c r="D16" s="1" t="n">
        <v>45289</v>
      </c>
      <c r="E16" s="1" t="n">
        <v>45290.2562847222</v>
      </c>
      <c r="F16" s="2" t="n">
        <v>95161.981</v>
      </c>
      <c r="G16" s="2" t="n">
        <v>95204.042</v>
      </c>
      <c r="H16" s="3" t="n">
        <v>42.056</v>
      </c>
      <c r="I16" s="13" t="n">
        <f aca="false">IF(H16&gt;0,(H16+I15),"")</f>
        <v>615.873</v>
      </c>
      <c r="J16" s="14" t="n">
        <f aca="false">IF($H16&gt;0,($I16/$A16),"")</f>
        <v>41.0582</v>
      </c>
      <c r="K16" s="15" t="n">
        <f aca="false">IF($H16&gt;0,(($H16*$S$7)+$S$8)*(1+$R$9),"")</f>
        <v>9.21654717982992</v>
      </c>
      <c r="L16" s="16" t="n">
        <f aca="false">IF($H16&gt;0,($K16+$L15),"")</f>
        <v>135.019380157718</v>
      </c>
      <c r="M16" s="17" t="n">
        <f aca="false">IF($J16&lt;&gt;"",$J16*(LOOKUP(1E+307,$A:$A)-$A$2),"")</f>
        <v>1313.8624</v>
      </c>
      <c r="N16" s="17" t="n">
        <f aca="false">IF($M16&lt;&gt;"",IF($M16&gt;1000,(($M16*$S$7)+($A16*$S$8))*(1+$R$9)-100,($M16*$S$7)+($A16*$R$9)*(1+$R$9)),"")</f>
        <v>185.596476246465</v>
      </c>
      <c r="O16" s="18" t="n">
        <f aca="false">IF(I16&gt;=1000,"",(1000-I16))</f>
        <v>384.127</v>
      </c>
      <c r="Q16" s="22" t="s">
        <v>59</v>
      </c>
      <c r="R16" s="37" t="n">
        <f aca="false">MIN(H2:H31)</f>
        <v>27.952</v>
      </c>
      <c r="S16" s="24"/>
    </row>
    <row r="17" customFormat="false" ht="15" hidden="false" customHeight="false" outlineLevel="0" collapsed="false">
      <c r="A17" s="11" t="n">
        <v>16</v>
      </c>
      <c r="B17" s="11" t="str">
        <f aca="false">TEXT($D17,"ddd")</f>
        <v>Sat</v>
      </c>
      <c r="C17" s="11" t="n">
        <f aca="false">$A$34-$A16</f>
        <v>18</v>
      </c>
      <c r="D17" s="1" t="n">
        <v>45290</v>
      </c>
      <c r="E17" s="1" t="n">
        <v>45291.2783449074</v>
      </c>
      <c r="F17" s="2" t="n">
        <v>95204.042</v>
      </c>
      <c r="G17" s="2" t="n">
        <v>95252.302</v>
      </c>
      <c r="H17" s="3" t="n">
        <v>48.265</v>
      </c>
      <c r="I17" s="13" t="n">
        <f aca="false">IF(H17&gt;0,(H17+I16),"")</f>
        <v>664.138</v>
      </c>
      <c r="J17" s="14" t="n">
        <f aca="false">IF($H17&gt;0,($I17/$A17),"")</f>
        <v>41.508625</v>
      </c>
      <c r="K17" s="15" t="n">
        <f aca="false">IF($H17&gt;0,(($H17*$S$7)+$S$8)*(1+$R$9),"")</f>
        <v>10.5560133516873</v>
      </c>
      <c r="L17" s="16" t="n">
        <f aca="false">IF($H17&gt;0,($K17+$L16),"")</f>
        <v>145.575393509405</v>
      </c>
      <c r="M17" s="17" t="n">
        <f aca="false">IF($J17&lt;&gt;"",$J17*(LOOKUP(1E+307,$A:$A)-$A$2),"")</f>
        <v>1328.276</v>
      </c>
      <c r="N17" s="17" t="n">
        <f aca="false">IF($M17&lt;&gt;"",IF($M17&gt;1000,(($M17*$S$7)+($A17*$S$8))*(1+$R$9)-100,($M17*$S$7)+($A17*$R$9)*(1+$R$9)),"")</f>
        <v>188.84973469881</v>
      </c>
      <c r="O17" s="18" t="n">
        <f aca="false">IF(I17&gt;=1000,"",(1000-I17))</f>
        <v>335.862</v>
      </c>
      <c r="Q17" s="22" t="s">
        <v>60</v>
      </c>
      <c r="R17" s="37" t="n">
        <f aca="false">MAX(H2:H32)</f>
        <v>75.471</v>
      </c>
      <c r="S17" s="24"/>
    </row>
    <row r="18" customFormat="false" ht="15" hidden="false" customHeight="false" outlineLevel="0" collapsed="false">
      <c r="A18" s="11" t="n">
        <v>17</v>
      </c>
      <c r="B18" s="11" t="str">
        <f aca="false">TEXT($D18,"ddd")</f>
        <v>Sun</v>
      </c>
      <c r="C18" s="11" t="n">
        <f aca="false">$A$34-$A17</f>
        <v>17</v>
      </c>
      <c r="D18" s="1" t="n">
        <v>45291</v>
      </c>
      <c r="E18" s="1" t="n">
        <v>45292.2572685185</v>
      </c>
      <c r="F18" s="2" t="n">
        <v>95252.302</v>
      </c>
      <c r="G18" s="2" t="n">
        <v>95291.622</v>
      </c>
      <c r="H18" s="3" t="n">
        <v>39.322</v>
      </c>
      <c r="I18" s="13" t="n">
        <f aca="false">IF(H18&gt;0,(H18+I17),"")</f>
        <v>703.46</v>
      </c>
      <c r="J18" s="14" t="n">
        <f aca="false">IF($H18&gt;0,($I18/$A18),"")</f>
        <v>41.38</v>
      </c>
      <c r="K18" s="15" t="n">
        <f aca="false">IF($H18&gt;0,(($H18*$S$7)+$S$8)*(1+$R$9),"")</f>
        <v>8.62674197547204</v>
      </c>
      <c r="L18" s="16" t="n">
        <f aca="false">IF($H18&gt;0,($K18+$L17),"")</f>
        <v>154.202135484877</v>
      </c>
      <c r="M18" s="17" t="n">
        <f aca="false">IF($J18&lt;&gt;"",$J18*(LOOKUP(1E+307,$A:$A)-$A$2),"")</f>
        <v>1324.16</v>
      </c>
      <c r="N18" s="17" t="n">
        <f aca="false">IF($M18&lt;&gt;"",IF($M18&gt;1000,(($M18*$S$7)+($A18*$S$8))*(1+$R$9)-100,($M18*$S$7)+($A18*$R$9)*(1+$R$9)),"")</f>
        <v>188.105606715651</v>
      </c>
      <c r="O18" s="18" t="n">
        <f aca="false">IF(I18&gt;=1000,"",(1000-I18))</f>
        <v>296.54</v>
      </c>
      <c r="Q18" s="22" t="s">
        <v>61</v>
      </c>
      <c r="R18" s="39" t="n">
        <f aca="false">IF(I2&gt;0,LOOKUP(1001,$I2:$I32,D2:D32),"")</f>
        <v>45296</v>
      </c>
      <c r="S18" s="24"/>
    </row>
    <row r="19" customFormat="false" ht="15" hidden="false" customHeight="false" outlineLevel="0" collapsed="false">
      <c r="A19" s="11" t="n">
        <v>18</v>
      </c>
      <c r="B19" s="11" t="str">
        <f aca="false">TEXT($D19,"ddd")</f>
        <v>Mon</v>
      </c>
      <c r="C19" s="11" t="n">
        <f aca="false">$A$34-$A18</f>
        <v>16</v>
      </c>
      <c r="D19" s="1" t="n">
        <v>45292</v>
      </c>
      <c r="E19" s="1" t="n">
        <v>45293.2566087963</v>
      </c>
      <c r="F19" s="2" t="n">
        <v>95291.622</v>
      </c>
      <c r="G19" s="2" t="n">
        <v>95347.338</v>
      </c>
      <c r="H19" s="3" t="n">
        <v>55.714</v>
      </c>
      <c r="I19" s="13" t="n">
        <f aca="false">IF(H19&gt;0,(H19+I18),"")</f>
        <v>759.174</v>
      </c>
      <c r="J19" s="14" t="n">
        <f aca="false">IF($H19&gt;0,($I19/$A19),"")</f>
        <v>42.1763333333333</v>
      </c>
      <c r="K19" s="15" t="n">
        <f aca="false">IF($H19&gt;0,(($H19*$S$7)+$S$8)*(1+$R$9),"")</f>
        <v>12.1629844443215</v>
      </c>
      <c r="L19" s="16" t="n">
        <f aca="false">IF($H19&gt;0,($K19+$L18),"")</f>
        <v>166.365119929199</v>
      </c>
      <c r="M19" s="17" t="n">
        <f aca="false">IF($J19&lt;&gt;"",$J19*(LOOKUP(1E+307,$A:$A)-$A$2),"")</f>
        <v>1349.64266666667</v>
      </c>
      <c r="N19" s="17" t="n">
        <f aca="false">IF($M19&lt;&gt;"",IF($M19&gt;1000,(($M19*$S$7)+($A19*$S$8))*(1+$R$9)-100,($M19*$S$7)+($A19*$R$9)*(1+$R$9)),"")</f>
        <v>193.746792427464</v>
      </c>
      <c r="O19" s="18" t="n">
        <f aca="false">IF(I19&gt;=1000,"",(1000-I19))</f>
        <v>240.826</v>
      </c>
      <c r="Q19" s="40"/>
      <c r="R19" s="41"/>
      <c r="S19" s="42"/>
    </row>
    <row r="20" customFormat="false" ht="15" hidden="false" customHeight="false" outlineLevel="0" collapsed="false">
      <c r="A20" s="11" t="n">
        <v>19</v>
      </c>
      <c r="B20" s="11" t="str">
        <f aca="false">TEXT($D20,"ddd")</f>
        <v>Tue</v>
      </c>
      <c r="C20" s="11" t="n">
        <f aca="false">$A$34-$A19</f>
        <v>15</v>
      </c>
      <c r="D20" s="1" t="n">
        <v>45293</v>
      </c>
      <c r="E20" s="1" t="n">
        <v>45294.2577546296</v>
      </c>
      <c r="F20" s="2" t="n">
        <v>95347.338</v>
      </c>
      <c r="G20" s="2" t="n">
        <v>95401.976</v>
      </c>
      <c r="H20" s="3" t="n">
        <v>54.643</v>
      </c>
      <c r="I20" s="13" t="n">
        <f aca="false">IF(H20&gt;0,(H20+I19),"")</f>
        <v>813.817</v>
      </c>
      <c r="J20" s="14" t="n">
        <f aca="false">IF($H20&gt;0,($I20/$A20),"")</f>
        <v>42.8324736842105</v>
      </c>
      <c r="K20" s="15" t="n">
        <f aca="false">IF($H20&gt;0,(($H20*$S$7)+$S$8)*(1+$R$9),"")</f>
        <v>11.9319378554893</v>
      </c>
      <c r="L20" s="16" t="n">
        <f aca="false">IF($H20&gt;0,($K20+$L19),"")</f>
        <v>178.297057784688</v>
      </c>
      <c r="M20" s="17" t="n">
        <f aca="false">IF($J20&lt;&gt;"",$J20*(LOOKUP(1E+307,$A:$A)-$A$2),"")</f>
        <v>1370.63915789474</v>
      </c>
      <c r="N20" s="17" t="n">
        <f aca="false">IF($M20&lt;&gt;"",IF($M20&gt;1000,(($M20*$S$7)+($A20*$S$8))*(1+$R$9)-100,($M20*$S$7)+($A20*$R$9)*(1+$R$9)),"")</f>
        <v>198.420176522106</v>
      </c>
      <c r="O20" s="18" t="n">
        <f aca="false">IF(I20&gt;=1000,"",(1000-I20))</f>
        <v>186.183</v>
      </c>
    </row>
    <row r="21" customFormat="false" ht="15" hidden="false" customHeight="false" outlineLevel="0" collapsed="false">
      <c r="A21" s="11" t="n">
        <v>20</v>
      </c>
      <c r="B21" s="11" t="str">
        <f aca="false">TEXT($D21,"ddd")</f>
        <v>Wed</v>
      </c>
      <c r="C21" s="11" t="n">
        <f aca="false">$A$34-$A20</f>
        <v>14</v>
      </c>
      <c r="D21" s="1" t="n">
        <v>45294</v>
      </c>
      <c r="E21" s="1" t="n">
        <v>45295.2578935185</v>
      </c>
      <c r="F21" s="2" t="n">
        <v>95401.976</v>
      </c>
      <c r="G21" s="2" t="n">
        <v>95453.694</v>
      </c>
      <c r="H21" s="3" t="n">
        <v>51.721</v>
      </c>
      <c r="I21" s="13" t="n">
        <f aca="false">IF(H21&gt;0,(H21+I20),"")</f>
        <v>865.538</v>
      </c>
      <c r="J21" s="14" t="n">
        <f aca="false">IF($H21&gt;0,($I21/$A21),"")</f>
        <v>43.2769</v>
      </c>
      <c r="K21" s="15" t="n">
        <f aca="false">IF($H21&gt;0,(($H21*$S$7)+$S$8)*(1+$R$9),"")</f>
        <v>11.3015754534652</v>
      </c>
      <c r="L21" s="16" t="n">
        <f aca="false">IF($H21&gt;0,($K21+$L20),"")</f>
        <v>189.598633238153</v>
      </c>
      <c r="M21" s="17" t="n">
        <f aca="false">IF($J21&lt;&gt;"",$J21*(LOOKUP(1E+307,$A:$A)-$A$2),"")</f>
        <v>1384.8608</v>
      </c>
      <c r="N21" s="17" t="n">
        <f aca="false">IF($M21&lt;&gt;"",IF($M21&gt;1000,(($M21*$S$7)+($A21*$S$8))*(1+$R$9)-100,($M21*$S$7)+($A21*$R$9)*(1+$R$9)),"")</f>
        <v>201.632023941045</v>
      </c>
      <c r="O21" s="18" t="n">
        <f aca="false">IF(I21&gt;=1000,"",(1000-I21))</f>
        <v>134.462</v>
      </c>
    </row>
    <row r="22" customFormat="false" ht="15" hidden="false" customHeight="false" outlineLevel="0" collapsed="false">
      <c r="A22" s="11" t="n">
        <v>21</v>
      </c>
      <c r="B22" s="11" t="str">
        <f aca="false">TEXT($D22,"ddd")</f>
        <v>Thu</v>
      </c>
      <c r="C22" s="11" t="n">
        <f aca="false">$A$34-$A21</f>
        <v>13</v>
      </c>
      <c r="D22" s="50" t="n">
        <v>45295</v>
      </c>
      <c r="E22" s="50" t="n">
        <v>45296.2579861111</v>
      </c>
      <c r="F22" s="2" t="n">
        <v>95453.694</v>
      </c>
      <c r="G22" s="2" t="n">
        <v>95514.391</v>
      </c>
      <c r="H22" s="3" t="n">
        <v>60.695</v>
      </c>
      <c r="I22" s="13" t="n">
        <f aca="false">IF(H22&gt;0,(H22+I21),"")</f>
        <v>926.233</v>
      </c>
      <c r="J22" s="14" t="n">
        <f aca="false">IF($H22&gt;0,($I22/$A22),"")</f>
        <v>44.1063333333333</v>
      </c>
      <c r="K22" s="15" t="n">
        <f aca="false">IF($H22&gt;0,(($H22*$S$7)+$S$8)*(1+$R$9),"")</f>
        <v>13.2375344526999</v>
      </c>
      <c r="L22" s="16" t="n">
        <f aca="false">IF($H22&gt;0,($K22+$L21),"")</f>
        <v>202.836167690853</v>
      </c>
      <c r="M22" s="17" t="n">
        <f aca="false">IF($J22&lt;&gt;"",$J22*(LOOKUP(1E+307,$A:$A)-$A$2),"")</f>
        <v>1411.40266666667</v>
      </c>
      <c r="N22" s="17" t="n">
        <f aca="false">IF($M22&lt;&gt;"",IF($M22&gt;1000,(($M22*$S$7)+($A22*$S$8))*(1+$R$9)-100,($M22*$S$7)+($A22*$R$9)*(1+$R$9)),"")</f>
        <v>207.501710630348</v>
      </c>
      <c r="O22" s="18" t="n">
        <f aca="false">IF(I22&gt;=1000,"",(1000-I22))</f>
        <v>73.7669999999999</v>
      </c>
      <c r="Q22" s="10"/>
      <c r="R22" s="43" t="n">
        <v>2023</v>
      </c>
      <c r="S22" s="43" t="s">
        <v>62</v>
      </c>
      <c r="T22" s="43" t="s">
        <v>63</v>
      </c>
    </row>
    <row r="23" customFormat="false" ht="15" hidden="false" customHeight="false" outlineLevel="0" collapsed="false">
      <c r="A23" s="11" t="n">
        <v>22</v>
      </c>
      <c r="B23" s="11" t="str">
        <f aca="false">TEXT($D23,"ddd")</f>
        <v>Fri</v>
      </c>
      <c r="C23" s="11" t="n">
        <f aca="false">$A$34-$A22</f>
        <v>12</v>
      </c>
      <c r="D23" s="50" t="n">
        <v>45296</v>
      </c>
      <c r="E23" s="50" t="n">
        <v>45297.2566087963</v>
      </c>
      <c r="F23" s="2" t="n">
        <v>95514.391</v>
      </c>
      <c r="G23" s="2" t="n">
        <v>95550.76</v>
      </c>
      <c r="H23" s="3" t="n">
        <v>36.365</v>
      </c>
      <c r="I23" s="13" t="n">
        <f aca="false">IF(H23&gt;0,(H23+I22),"")</f>
        <v>962.598</v>
      </c>
      <c r="J23" s="14" t="n">
        <f aca="false">IF($H23&gt;0,($I23/$A23),"")</f>
        <v>43.7544545454546</v>
      </c>
      <c r="K23" s="15" t="n">
        <f aca="false">IF($H23&gt;0,(($H23*$S$7)+$S$8)*(1+$R$9),"")</f>
        <v>7.9888290313293</v>
      </c>
      <c r="L23" s="16" t="n">
        <f aca="false">IF($H23&gt;0,($K23+$L22),"")</f>
        <v>210.824996722182</v>
      </c>
      <c r="M23" s="17" t="n">
        <f aca="false">IF($J23&lt;&gt;"",$J23*(LOOKUP(1E+307,$A:$A)-$A$2),"")</f>
        <v>1400.14254545455</v>
      </c>
      <c r="N23" s="17" t="n">
        <f aca="false">IF($M23&lt;&gt;"",IF($M23&gt;1000,(($M23*$S$7)+($A23*$S$8))*(1+$R$9)-100,($M23*$S$7)+($A23*$R$9)*(1+$R$9)),"")</f>
        <v>205.216382986811</v>
      </c>
      <c r="O23" s="18" t="n">
        <f aca="false">IF(I23&gt;=1000,"",(1000-I23))</f>
        <v>37.4019999999999</v>
      </c>
      <c r="Q23" s="29"/>
      <c r="R23" s="44" t="s">
        <v>64</v>
      </c>
      <c r="S23" s="4" t="n">
        <v>7</v>
      </c>
      <c r="T23" s="4" t="n">
        <v>24</v>
      </c>
    </row>
    <row r="24" customFormat="false" ht="15" hidden="false" customHeight="false" outlineLevel="0" collapsed="false">
      <c r="A24" s="11" t="n">
        <v>23</v>
      </c>
      <c r="B24" s="11" t="str">
        <f aca="false">TEXT($D24,"ddd")</f>
        <v>Sat</v>
      </c>
      <c r="C24" s="11" t="n">
        <f aca="false">$A$34-$A23</f>
        <v>11</v>
      </c>
      <c r="D24" s="50" t="n">
        <v>45297</v>
      </c>
      <c r="E24" s="50" t="n">
        <v>45298.2796759259</v>
      </c>
      <c r="F24" s="2" t="n">
        <v>95550.76</v>
      </c>
      <c r="G24" s="2" t="n">
        <v>95600.918</v>
      </c>
      <c r="H24" s="3" t="n">
        <v>50.16</v>
      </c>
      <c r="I24" s="13" t="n">
        <f aca="false">IF(H24&gt;0,(H24+I23),"")</f>
        <v>1012.758</v>
      </c>
      <c r="J24" s="14" t="n">
        <f aca="false">IF($H24&gt;0,($I24/$A24),"")</f>
        <v>44.0329565217391</v>
      </c>
      <c r="K24" s="15" t="n">
        <f aca="false">IF($H24&gt;0,(($H24*$S$7)+$S$8)*(1+$R$9),"")</f>
        <v>10.9648212749712</v>
      </c>
      <c r="L24" s="16" t="n">
        <f aca="false">IF($H24&gt;0,($K24+$L23),"")</f>
        <v>221.789817997154</v>
      </c>
      <c r="M24" s="17" t="n">
        <f aca="false">IF($J24&lt;&gt;"",$J24*(LOOKUP(1E+307,$A:$A)-$A$2),"")</f>
        <v>1409.05460869565</v>
      </c>
      <c r="N24" s="17" t="n">
        <f aca="false">IF($M24&lt;&gt;"",IF($M24&gt;1000,(($M24*$S$7)+($A24*$S$8))*(1+$R$9)-100,($M24*$S$7)+($A24*$R$9)*(1+$R$9)),"")</f>
        <v>207.282796152996</v>
      </c>
      <c r="O24" s="18" t="str">
        <f aca="false">IF(I24&gt;=1000,"",(1000-I24))</f>
        <v/>
      </c>
      <c r="R24" s="44" t="s">
        <v>65</v>
      </c>
      <c r="S24" s="4" t="n">
        <v>11</v>
      </c>
      <c r="T24" s="4" t="n">
        <v>26</v>
      </c>
    </row>
    <row r="25" customFormat="false" ht="15" hidden="false" customHeight="false" outlineLevel="0" collapsed="false">
      <c r="A25" s="11" t="n">
        <v>24</v>
      </c>
      <c r="B25" s="11" t="str">
        <f aca="false">TEXT($D25,"ddd")</f>
        <v>Sun</v>
      </c>
      <c r="C25" s="11" t="n">
        <f aca="false">$A$34-$A24</f>
        <v>10</v>
      </c>
      <c r="D25" s="50" t="n">
        <v>45298</v>
      </c>
      <c r="E25" s="50" t="n">
        <v>45299.2572106481</v>
      </c>
      <c r="F25" s="2" t="n">
        <v>95600.918</v>
      </c>
      <c r="G25" s="2" t="n">
        <v>95644.306</v>
      </c>
      <c r="H25" s="3" t="n">
        <v>43.39</v>
      </c>
      <c r="I25" s="13" t="n">
        <f aca="false">IF(H25&gt;0,(H25+I24),"")</f>
        <v>1056.148</v>
      </c>
      <c r="J25" s="14" t="n">
        <f aca="false">IF($H25&gt;0,($I25/$A25),"")</f>
        <v>44.0061666666667</v>
      </c>
      <c r="K25" s="15" t="n">
        <f aca="false">IF($H25&gt;0,(($H25*$S$7)+$S$8)*(1+$R$9),"")</f>
        <v>9.5043306994398</v>
      </c>
      <c r="L25" s="16" t="n">
        <f aca="false">IF($H25&gt;0,($K25+$L24),"")</f>
        <v>231.294148696593</v>
      </c>
      <c r="M25" s="17" t="n">
        <f aca="false">IF($J25&lt;&gt;"",$J25*(LOOKUP(1E+307,$A:$A)-$A$2),"")</f>
        <v>1408.19733333333</v>
      </c>
      <c r="N25" s="17" t="n">
        <f aca="false">IF($M25&lt;&gt;"",IF($M25&gt;1000,(($M25*$S$7)+($A25*$S$8))*(1+$R$9)-100,($M25*$S$7)+($A25*$R$9)*(1+$R$9)),"")</f>
        <v>207.241672102125</v>
      </c>
      <c r="O25" s="18" t="str">
        <f aca="false">IF(I25&gt;=1000,"",(1000-I25))</f>
        <v/>
      </c>
      <c r="R25" s="44" t="s">
        <v>66</v>
      </c>
      <c r="S25" s="4" t="n">
        <v>16</v>
      </c>
      <c r="T25" s="4" t="n">
        <v>30</v>
      </c>
    </row>
    <row r="26" customFormat="false" ht="15" hidden="false" customHeight="false" outlineLevel="0" collapsed="false">
      <c r="A26" s="11" t="n">
        <v>25</v>
      </c>
      <c r="B26" s="11" t="str">
        <f aca="false">TEXT($D26,"ddd")</f>
        <v>Mon</v>
      </c>
      <c r="C26" s="11" t="n">
        <f aca="false">$A$34-$A25</f>
        <v>9</v>
      </c>
      <c r="D26" s="50" t="n">
        <v>45299</v>
      </c>
      <c r="E26" s="50" t="n">
        <v>45300.3124652778</v>
      </c>
      <c r="F26" s="2" t="n">
        <v>95644.306</v>
      </c>
      <c r="G26" s="2" t="n">
        <v>95680.181</v>
      </c>
      <c r="H26" s="3" t="n">
        <v>35.878</v>
      </c>
      <c r="I26" s="13" t="n">
        <f aca="false">IF(H26&gt;0,(H26+I25),"")</f>
        <v>1092.026</v>
      </c>
      <c r="J26" s="14" t="n">
        <f aca="false">IF($H26&gt;0,($I26/$A26),"")</f>
        <v>43.68104</v>
      </c>
      <c r="K26" s="15" t="n">
        <f aca="false">IF($H26&gt;0,(($H26*$S$7)+$S$8)*(1+$R$9),"")</f>
        <v>7.88376863099196</v>
      </c>
      <c r="L26" s="16" t="n">
        <f aca="false">IF($H26&gt;0,($K26+$L25),"")</f>
        <v>239.177917327585</v>
      </c>
      <c r="M26" s="17" t="n">
        <f aca="false">IF($J26&lt;&gt;"",$J26*(LOOKUP(1E+307,$A:$A)-$A$2),"")</f>
        <v>1397.79328</v>
      </c>
      <c r="N26" s="17" t="n">
        <f aca="false">IF($M26&lt;&gt;"",IF($M26&gt;1000,(($M26*$S$7)+($A26*$S$8))*(1+$R$9)-100,($M26*$S$7)+($A26*$R$9)*(1+$R$9)),"")</f>
        <v>205.141023789309</v>
      </c>
      <c r="O26" s="18" t="str">
        <f aca="false">IF(I26&gt;=1000,"",(1000-I26))</f>
        <v/>
      </c>
      <c r="R26" s="44" t="s">
        <v>67</v>
      </c>
      <c r="S26" s="4" t="n">
        <v>15</v>
      </c>
      <c r="T26" s="4" t="n">
        <v>31</v>
      </c>
    </row>
    <row r="27" customFormat="false" ht="15" hidden="false" customHeight="false" outlineLevel="0" collapsed="false">
      <c r="A27" s="11" t="n">
        <v>26</v>
      </c>
      <c r="B27" s="11" t="str">
        <f aca="false">TEXT($D27,"ddd")</f>
        <v>Tue</v>
      </c>
      <c r="C27" s="11" t="n">
        <f aca="false">$A$34-$A26</f>
        <v>8</v>
      </c>
      <c r="D27" s="50" t="n">
        <v>45300</v>
      </c>
      <c r="E27" s="50" t="n">
        <v>45301.2579513889</v>
      </c>
      <c r="F27" s="2" t="n">
        <v>95680.181</v>
      </c>
      <c r="G27" s="2" t="n">
        <v>95729.32</v>
      </c>
      <c r="H27" s="3" t="n">
        <v>49.137</v>
      </c>
      <c r="I27" s="13" t="n">
        <f aca="false">IF(H27&gt;0,(H27+I26),"")</f>
        <v>1141.163</v>
      </c>
      <c r="J27" s="14" t="n">
        <f aca="false">IF($H27&gt;0,($I27/$A27),"")</f>
        <v>43.8908846153846</v>
      </c>
      <c r="K27" s="15" t="n">
        <f aca="false">IF($H27&gt;0,(($H27*$S$7)+$S$8)*(1+$R$9),"")</f>
        <v>10.7441297153303</v>
      </c>
      <c r="L27" s="16" t="n">
        <f aca="false">IF($H27&gt;0,($K27+$L26),"")</f>
        <v>249.922047042916</v>
      </c>
      <c r="M27" s="17" t="n">
        <f aca="false">IF($J27&lt;&gt;"",$J27*(LOOKUP(1E+307,$A:$A)-$A$2),"")</f>
        <v>1404.50830769231</v>
      </c>
      <c r="N27" s="17" t="n">
        <f aca="false">IF($M27&lt;&gt;"",IF($M27&gt;1000,(($M27*$S$7)+($A27*$S$8))*(1+$R$9)-100,($M27*$S$7)+($A27*$R$9)*(1+$R$9)),"")</f>
        <v>206.733470971281</v>
      </c>
      <c r="O27" s="18" t="str">
        <f aca="false">IF(I27&gt;=1000,"",(1000-I27))</f>
        <v/>
      </c>
      <c r="R27" s="44" t="s">
        <v>68</v>
      </c>
      <c r="S27" s="4" t="n">
        <v>15</v>
      </c>
      <c r="T27" s="4" t="n">
        <v>29</v>
      </c>
    </row>
    <row r="28" customFormat="false" ht="15" hidden="false" customHeight="false" outlineLevel="0" collapsed="false">
      <c r="A28" s="11" t="n">
        <v>27</v>
      </c>
      <c r="B28" s="11" t="str">
        <f aca="false">TEXT($D28,"ddd")</f>
        <v>Wed</v>
      </c>
      <c r="C28" s="11" t="n">
        <f aca="false">$A$34-$A27</f>
        <v>7</v>
      </c>
      <c r="D28" s="50" t="n">
        <v>45301</v>
      </c>
      <c r="E28" s="50" t="n">
        <v>45302.257650463</v>
      </c>
      <c r="F28" s="2" t="n">
        <v>95729.32</v>
      </c>
      <c r="G28" s="2" t="n">
        <v>95778.934</v>
      </c>
      <c r="H28" s="3" t="n">
        <v>49.611</v>
      </c>
      <c r="I28" s="13" t="n">
        <f aca="false">IF(H28&gt;0,(H28+I27),"")</f>
        <v>1190.774</v>
      </c>
      <c r="J28" s="14" t="n">
        <f aca="false">IF($H28&gt;0,($I28/$A28),"")</f>
        <v>44.1027407407407</v>
      </c>
      <c r="K28" s="15" t="n">
        <f aca="false">IF($H28&gt;0,(($H28*$S$7)+$S$8)*(1+$R$9),"")</f>
        <v>10.846385628595</v>
      </c>
      <c r="L28" s="16" t="n">
        <f aca="false">IF($H28&gt;0,($K28+$L27),"")</f>
        <v>260.768432671511</v>
      </c>
      <c r="M28" s="17" t="n">
        <f aca="false">IF($J28&lt;&gt;"",$J28*(LOOKUP(1E+307,$A:$A)-$A$2),"")</f>
        <v>1411.2877037037</v>
      </c>
      <c r="N28" s="17" t="n">
        <f aca="false">IF($M28&lt;&gt;"",IF($M28&gt;1000,(($M28*$S$7)+($A28*$S$8))*(1+$R$9)-100,($M28*$S$7)+($A28*$R$9)*(1+$R$9)),"")</f>
        <v>208.339804316235</v>
      </c>
      <c r="O28" s="18" t="str">
        <f aca="false">IF(I28&gt;=1000,"",(1000-I28))</f>
        <v/>
      </c>
      <c r="Q28" s="29"/>
      <c r="R28" s="44" t="s">
        <v>69</v>
      </c>
      <c r="S28" s="4" t="n">
        <v>8</v>
      </c>
      <c r="T28" s="4" t="n">
        <v>24</v>
      </c>
    </row>
    <row r="29" customFormat="false" ht="15" hidden="false" customHeight="false" outlineLevel="0" collapsed="false">
      <c r="A29" s="11" t="n">
        <v>28</v>
      </c>
      <c r="B29" s="11" t="str">
        <f aca="false">TEXT($D29,"ddd")</f>
        <v>Thu</v>
      </c>
      <c r="C29" s="11" t="n">
        <f aca="false">$A$34-$A28</f>
        <v>6</v>
      </c>
      <c r="D29" s="50" t="n">
        <v>45302</v>
      </c>
      <c r="E29" s="50" t="n">
        <v>45303.2578472222</v>
      </c>
      <c r="F29" s="2" t="n">
        <v>95778.934</v>
      </c>
      <c r="G29" s="2" t="n">
        <v>95820.974</v>
      </c>
      <c r="H29" s="3" t="n">
        <v>42.038</v>
      </c>
      <c r="I29" s="13" t="n">
        <f aca="false">IF(H29&gt;0,(H29+I28),"")</f>
        <v>1232.812</v>
      </c>
      <c r="J29" s="14" t="n">
        <f aca="false">IF($H29&gt;0,($I29/$A29),"")</f>
        <v>44.029</v>
      </c>
      <c r="K29" s="15" t="n">
        <f aca="false">IF($H29&gt;0,(($H29*$S$7)+$S$8)*(1+$R$9),"")</f>
        <v>9.21266404388316</v>
      </c>
      <c r="L29" s="16" t="n">
        <f aca="false">IF($H29&gt;0,($K29+$L28),"")</f>
        <v>269.981096715394</v>
      </c>
      <c r="M29" s="17" t="n">
        <f aca="false">IF($J29&lt;&gt;"",$J29*(LOOKUP(1E+307,$A:$A)-$A$2),"")</f>
        <v>1408.928</v>
      </c>
      <c r="N29" s="17" t="n">
        <f aca="false">IF($M29&lt;&gt;"",IF($M29&gt;1000,(($M29*$S$7)+($A29*$S$8))*(1+$R$9)-100,($M29*$S$7)+($A29*$R$9)*(1+$R$9)),"")</f>
        <v>207.974561737593</v>
      </c>
      <c r="O29" s="18" t="str">
        <f aca="false">IF(I29&gt;=1000,"",(1000-I29))</f>
        <v/>
      </c>
      <c r="R29" s="44" t="s">
        <v>70</v>
      </c>
      <c r="S29" s="4" t="n">
        <v>5</v>
      </c>
      <c r="T29" s="4" t="n">
        <v>20</v>
      </c>
    </row>
    <row r="30" customFormat="false" ht="15" hidden="false" customHeight="false" outlineLevel="0" collapsed="false">
      <c r="A30" s="11" t="n">
        <v>29</v>
      </c>
      <c r="B30" s="11" t="str">
        <f aca="false">TEXT($D30,"ddd")</f>
        <v>Fri</v>
      </c>
      <c r="C30" s="11" t="n">
        <f aca="false">$A$34-$A29</f>
        <v>5</v>
      </c>
      <c r="D30" s="50" t="n">
        <v>45303</v>
      </c>
      <c r="E30" s="50" t="n">
        <v>45304.2559953704</v>
      </c>
      <c r="F30" s="2" t="n">
        <v>95820.974</v>
      </c>
      <c r="G30" s="2" t="n">
        <v>95864.492</v>
      </c>
      <c r="H30" s="3" t="n">
        <v>43.52</v>
      </c>
      <c r="I30" s="13" t="n">
        <f aca="false">IF(H30&gt;0,(H30+I29),"")</f>
        <v>1276.332</v>
      </c>
      <c r="J30" s="14" t="n">
        <f aca="false">IF($H30&gt;0,($I30/$A30),"")</f>
        <v>44.0114482758621</v>
      </c>
      <c r="K30" s="15" t="n">
        <f aca="false">IF($H30&gt;0,(($H30*$S$7)+$S$8)*(1+$R$9),"")</f>
        <v>9.5323755701664</v>
      </c>
      <c r="L30" s="16" t="n">
        <f aca="false">IF($H30&gt;0,($K30+$L29),"")</f>
        <v>279.51347228556</v>
      </c>
      <c r="M30" s="17" t="n">
        <f aca="false">IF($J30&lt;&gt;"",$J30*(LOOKUP(1E+307,$A:$A)-$A$2),"")</f>
        <v>1408.36634482759</v>
      </c>
      <c r="N30" s="17" t="n">
        <f aca="false">IF($M30&lt;&gt;"",IF($M30&gt;1000,(($M30*$S$7)+($A30*$S$8))*(1+$R$9)-100,($M30*$S$7)+($A30*$R$9)*(1+$R$9)),"")</f>
        <v>207.997211763722</v>
      </c>
      <c r="O30" s="18" t="str">
        <f aca="false">IF(I30&gt;=1000,"",(1000-I30))</f>
        <v/>
      </c>
      <c r="R30" s="44" t="s">
        <v>71</v>
      </c>
      <c r="S30" s="4" t="n">
        <v>5</v>
      </c>
      <c r="T30" s="4" t="n">
        <v>19</v>
      </c>
    </row>
    <row r="31" customFormat="false" ht="15" hidden="false" customHeight="false" outlineLevel="0" collapsed="false">
      <c r="A31" s="11" t="n">
        <v>30</v>
      </c>
      <c r="B31" s="11" t="str">
        <f aca="false">TEXT($D31,"ddd")</f>
        <v>Sat</v>
      </c>
      <c r="C31" s="11" t="n">
        <f aca="false">$A$34-$A30</f>
        <v>4</v>
      </c>
      <c r="D31" s="50" t="n">
        <v>45304</v>
      </c>
      <c r="E31" s="50" t="n">
        <v>45305.2782986111</v>
      </c>
      <c r="F31" s="2" t="n">
        <v>95864.492</v>
      </c>
      <c r="G31" s="2" t="n">
        <v>95915.171</v>
      </c>
      <c r="H31" s="3" t="n">
        <v>50.677</v>
      </c>
      <c r="I31" s="13" t="n">
        <f aca="false">IF(H31&gt;0,(H31+I30),"")</f>
        <v>1327.009</v>
      </c>
      <c r="J31" s="14" t="n">
        <f aca="false">IF($H31&gt;0,($I31/$A31),"")</f>
        <v>44.2336333333333</v>
      </c>
      <c r="K31" s="15" t="n">
        <f aca="false">IF($H31&gt;0,(($H31*$S$7)+$S$8)*(1+$R$9),"")</f>
        <v>11.0763535685531</v>
      </c>
      <c r="L31" s="16" t="n">
        <f aca="false">IF($H31&gt;0,($K31+$L30),"")</f>
        <v>290.589825854113</v>
      </c>
      <c r="M31" s="17" t="n">
        <f aca="false">IF($J31&lt;&gt;"",$J31*(LOOKUP(1E+307,$A:$A)-$A$2),"")</f>
        <v>1415.47626666667</v>
      </c>
      <c r="N31" s="17" t="n">
        <f aca="false">IF($M31&lt;&gt;"",IF($M31&gt;1000,(($M31*$S$7)+($A31*$S$8))*(1+$R$9)-100,($M31*$S$7)+($A31*$R$9)*(1+$R$9)),"")</f>
        <v>209.674849371054</v>
      </c>
      <c r="O31" s="18" t="str">
        <f aca="false">IF(I31&gt;=1000,"",(1000-I31))</f>
        <v/>
      </c>
      <c r="R31" s="44" t="s">
        <v>72</v>
      </c>
      <c r="S31" s="4" t="n">
        <v>4</v>
      </c>
      <c r="T31" s="4" t="n">
        <v>20</v>
      </c>
    </row>
    <row r="32" customFormat="false" ht="15" hidden="false" customHeight="false" outlineLevel="0" collapsed="false">
      <c r="A32" s="11" t="n">
        <v>31</v>
      </c>
      <c r="B32" s="11"/>
      <c r="C32" s="11" t="n">
        <f aca="false">$A$34-$A31</f>
        <v>3</v>
      </c>
      <c r="D32" s="50" t="n">
        <v>45305</v>
      </c>
      <c r="E32" s="50" t="n">
        <v>45306.2562615741</v>
      </c>
      <c r="F32" s="2" t="n">
        <v>95915.171</v>
      </c>
      <c r="G32" s="2" t="n">
        <v>95990.644</v>
      </c>
      <c r="H32" s="3" t="n">
        <v>75.471</v>
      </c>
      <c r="I32" s="13" t="n">
        <f aca="false">IF(H32&gt;0,(H32+I31),"")</f>
        <v>1402.48</v>
      </c>
      <c r="J32" s="14" t="n">
        <f aca="false">IF($H32&gt;0,($I32/$A32),"")</f>
        <v>45.2412903225806</v>
      </c>
      <c r="K32" s="15" t="n">
        <f aca="false">IF($H32&gt;0,(($H32*$S$7)+$S$8)*(1+$R$9),"")</f>
        <v>16.4251576054402</v>
      </c>
      <c r="L32" s="16" t="n">
        <f aca="false">IF($H32&gt;0,($K32+$L31),"")</f>
        <v>307.014983459554</v>
      </c>
      <c r="M32" s="17" t="n">
        <f aca="false">IF($J32&lt;&gt;"",$J32*(LOOKUP(1E+307,$A:$A)-$A$2),"")</f>
        <v>1447.72129032258</v>
      </c>
      <c r="N32" s="17" t="n">
        <f aca="false">IF($M32&lt;&gt;"",IF($M32&gt;1000,(($M32*$S$7)+($A32*$S$8))*(1+$R$9)-100,($M32*$S$7)+($A32*$R$9)*(1+$R$9)),"")</f>
        <v>216.77487683341</v>
      </c>
      <c r="O32" s="18" t="str">
        <f aca="false">IF(I32&gt;=1000,"",(1000-I32))</f>
        <v/>
      </c>
      <c r="R32" s="44" t="s">
        <v>73</v>
      </c>
      <c r="S32" s="4" t="n">
        <v>9</v>
      </c>
      <c r="T32" s="4" t="n">
        <v>25</v>
      </c>
    </row>
    <row r="33" customFormat="false" ht="15" hidden="false" customHeight="false" outlineLevel="0" collapsed="false">
      <c r="A33" s="11" t="n">
        <v>32</v>
      </c>
      <c r="B33" s="11"/>
      <c r="C33" s="11" t="n">
        <f aca="false">$A$34-$A32</f>
        <v>2</v>
      </c>
      <c r="D33" s="1" t="n">
        <v>45306</v>
      </c>
      <c r="E33" s="1" t="n">
        <v>45307.256400463</v>
      </c>
      <c r="F33" s="2" t="n">
        <v>95990.644</v>
      </c>
      <c r="G33" s="2" t="n">
        <v>96083.497</v>
      </c>
      <c r="H33" s="3" t="n">
        <v>92.856</v>
      </c>
      <c r="I33" s="13" t="n">
        <f aca="false">IF(H33&gt;0,(H33+I32),"")</f>
        <v>1495.336</v>
      </c>
      <c r="J33" s="14" t="n">
        <f aca="false">IF($H33&gt;0,($I33/$A33),"")</f>
        <v>46.72925</v>
      </c>
      <c r="K33" s="15" t="n">
        <f aca="false">IF($H33&lt;&gt;"",(($H33*$S$7)+($A33*$S$8))*(1+$S$9),"")</f>
        <v>24.151601136</v>
      </c>
      <c r="L33" s="16" t="n">
        <f aca="false">IF($K33&lt;&gt;"",($K33+$L32),"")</f>
        <v>331.166584595554</v>
      </c>
      <c r="M33" s="17" t="n">
        <f aca="false">IF($J33&lt;&gt;"",$J33*(LOOKUP(1E+307,$A:$A)-$A$2),"")</f>
        <v>1495.336</v>
      </c>
      <c r="N33" s="17" t="n">
        <f aca="false">IF($M33&lt;&gt;"",IF($M33&gt;1000,(($M33*$S$7)+($A33*$S$8))*(1+$R$9)-100,($M33*$S$7)+($A33*$R$9)*(1+$R$9)),"")</f>
        <v>227.19060320024</v>
      </c>
      <c r="O33" s="18" t="str">
        <f aca="false">IF(I33&gt;=1000,"",(1000-I33))</f>
        <v/>
      </c>
      <c r="R33" s="44" t="s">
        <v>74</v>
      </c>
      <c r="S33" s="4" t="n">
        <v>14</v>
      </c>
      <c r="T33" s="4" t="n">
        <v>29</v>
      </c>
    </row>
    <row r="34" customFormat="false" ht="15" hidden="false" customHeight="false" outlineLevel="0" collapsed="false">
      <c r="A34" s="11" t="n">
        <v>33</v>
      </c>
      <c r="B34" s="11"/>
      <c r="C34" s="11" t="n">
        <f aca="false">$A$34-$A33</f>
        <v>1</v>
      </c>
      <c r="D34" s="1" t="n">
        <v>45307</v>
      </c>
      <c r="E34" s="1" t="n">
        <v>45308.2567939815</v>
      </c>
      <c r="F34" s="2" t="n">
        <v>96083.497</v>
      </c>
      <c r="G34" s="2" t="n">
        <v>96168.41</v>
      </c>
      <c r="H34" s="3" t="n">
        <v>84.913</v>
      </c>
      <c r="I34" s="13" t="n">
        <f aca="false">IF(H34&gt;0,(H34+I33),"")</f>
        <v>1580.249</v>
      </c>
      <c r="J34" s="14" t="n">
        <f aca="false">IF($H34&gt;0,($I34/$A34),"")</f>
        <v>47.8863333333333</v>
      </c>
      <c r="K34" s="15" t="n">
        <f aca="false">IF($H34&lt;&gt;"",(($H34*$S$7)+($A34*$S$8))*(1+$S$9),"")</f>
        <v>22.612608978</v>
      </c>
      <c r="L34" s="16" t="n">
        <f aca="false">IF($K34&lt;&gt;"",($K34+$L33),"")</f>
        <v>353.779193573554</v>
      </c>
      <c r="M34" s="17" t="n">
        <f aca="false">IF($J34&lt;&gt;"",$J34*(LOOKUP(1E+307,$A:$A)-$A$2),"")</f>
        <v>1532.36266666667</v>
      </c>
      <c r="N34" s="17" t="n">
        <f aca="false">IF($M34&lt;&gt;"",IF($M34&gt;1000,(($M34*$S$7)+($A34*$S$8))*(1+$R$9)-100,($M34*$S$7)+($A34*$R$9)*(1+$R$9)),"")</f>
        <v>235.322173432575</v>
      </c>
      <c r="O34" s="18" t="str">
        <f aca="false">IF(I34&gt;=1000,"",(1000-I34))</f>
        <v/>
      </c>
      <c r="P34" s="45"/>
      <c r="R34" s="44" t="s">
        <v>75</v>
      </c>
      <c r="S34" s="4" t="n">
        <v>12</v>
      </c>
      <c r="T34" s="4" t="n">
        <v>28</v>
      </c>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1580.249</v>
      </c>
      <c r="L38" s="0" t="n">
        <v>245.51</v>
      </c>
    </row>
    <row r="39" customFormat="false" ht="15" hidden="false" customHeight="false" outlineLevel="0" collapsed="false">
      <c r="P39" s="34"/>
      <c r="Q39" s="48"/>
    </row>
    <row r="40" customFormat="false" ht="15" hidden="false" customHeight="false" outlineLevel="0" collapsed="false">
      <c r="O40" s="18" t="str">
        <f aca="false">IF(H40&gt;0,(1000-I40),"")</f>
        <v/>
      </c>
      <c r="P40" s="34"/>
      <c r="Q40" s="48"/>
    </row>
    <row r="41" customFormat="false" ht="15" hidden="false" customHeight="false" outlineLevel="0" collapsed="false">
      <c r="P41" s="34"/>
      <c r="Q41" s="48"/>
    </row>
    <row r="42" customFormat="false" ht="15" hidden="false" customHeight="false" outlineLevel="0" collapsed="false">
      <c r="P42" s="34"/>
      <c r="Q42" s="48"/>
    </row>
    <row r="43" customFormat="false" ht="15" hidden="false" customHeight="false" outlineLevel="0" collapsed="false">
      <c r="P43" s="34"/>
      <c r="Q43" s="48"/>
    </row>
    <row r="44" customFormat="false" ht="15" hidden="false" customHeight="false" outlineLevel="0" collapsed="false">
      <c r="P44" s="34"/>
      <c r="Q44" s="48"/>
    </row>
    <row r="45" customFormat="false" ht="15" hidden="false" customHeight="false" outlineLevel="0" collapsed="false">
      <c r="P45" s="34"/>
      <c r="Q45" s="48"/>
    </row>
    <row r="46" customFormat="false" ht="15" hidden="false" customHeight="false" outlineLevel="0" collapsed="false">
      <c r="P46" s="34"/>
      <c r="Q46" s="48"/>
    </row>
    <row r="47" customFormat="false" ht="15" hidden="false" customHeight="false" outlineLevel="0" collapsed="false">
      <c r="P47" s="34"/>
      <c r="Q47" s="48"/>
    </row>
    <row r="48" customFormat="false" ht="15" hidden="false" customHeight="false" outlineLevel="0" collapsed="false">
      <c r="P48" s="34"/>
      <c r="Q48" s="48"/>
    </row>
    <row r="49" customFormat="false" ht="15" hidden="false" customHeight="false" outlineLevel="0" collapsed="false">
      <c r="P49" s="34"/>
      <c r="Q49" s="48"/>
    </row>
    <row r="50" customFormat="false" ht="15" hidden="false" customHeight="false" outlineLevel="0" collapsed="false">
      <c r="P50" s="34"/>
      <c r="Q50" s="48"/>
    </row>
    <row r="51" customFormat="false" ht="15" hidden="false" customHeight="false" outlineLevel="0" collapsed="false">
      <c r="P51" s="34"/>
      <c r="Q51" s="48"/>
    </row>
    <row r="52" customFormat="false" ht="15" hidden="false" customHeight="false" outlineLevel="0" collapsed="false">
      <c r="P52" s="34"/>
      <c r="Q52" s="48"/>
    </row>
    <row r="53" customFormat="false" ht="15" hidden="false" customHeight="false" outlineLevel="0" collapsed="false">
      <c r="P53" s="34"/>
      <c r="Q53" s="48"/>
    </row>
    <row r="54" customFormat="false" ht="15" hidden="false" customHeight="false" outlineLevel="0" collapsed="false">
      <c r="P54" s="34"/>
      <c r="Q54" s="48"/>
    </row>
    <row r="55" customFormat="false" ht="15" hidden="false" customHeight="false" outlineLevel="0" collapsed="false">
      <c r="P55" s="34"/>
      <c r="Q55" s="48"/>
    </row>
    <row r="56" customFormat="false" ht="15" hidden="false" customHeight="false" outlineLevel="0" collapsed="false">
      <c r="P56" s="34"/>
      <c r="Q56" s="48"/>
    </row>
    <row r="57" customFormat="false" ht="15" hidden="false" customHeight="false" outlineLevel="0" collapsed="false">
      <c r="P57" s="34"/>
      <c r="Q57" s="48"/>
    </row>
    <row r="58" customFormat="false" ht="15" hidden="false" customHeight="false" outlineLevel="0" collapsed="false">
      <c r="P58" s="34"/>
      <c r="Q58" s="48"/>
    </row>
    <row r="59" customFormat="false" ht="15" hidden="false" customHeight="false" outlineLevel="0" collapsed="false">
      <c r="P59" s="34"/>
      <c r="Q59" s="48"/>
    </row>
    <row r="60" customFormat="false" ht="15" hidden="false" customHeight="false" outlineLevel="0" collapsed="false">
      <c r="P60" s="34"/>
      <c r="Q60" s="48"/>
    </row>
    <row r="61" customFormat="false" ht="15" hidden="false" customHeight="false" outlineLevel="0" collapsed="false">
      <c r="P61" s="34"/>
      <c r="Q61" s="48"/>
    </row>
    <row r="62" customFormat="false" ht="15" hidden="false" customHeight="false" outlineLevel="0" collapsed="false">
      <c r="P62" s="34"/>
      <c r="Q62" s="48"/>
    </row>
    <row r="63" customFormat="false" ht="15" hidden="false" customHeight="false" outlineLevel="0" collapsed="false">
      <c r="P63" s="34"/>
      <c r="Q63" s="48"/>
    </row>
    <row r="64" customFormat="false" ht="15" hidden="false" customHeight="false" outlineLevel="0" collapsed="false">
      <c r="P64" s="34"/>
      <c r="Q64" s="48"/>
    </row>
    <row r="65" customFormat="false" ht="15" hidden="false" customHeight="false" outlineLevel="0" collapsed="false">
      <c r="P65" s="34"/>
      <c r="Q65" s="48"/>
    </row>
    <row r="66" customFormat="false" ht="15" hidden="false" customHeight="false" outlineLevel="0" collapsed="false">
      <c r="P66" s="34"/>
      <c r="Q66" s="48"/>
    </row>
    <row r="67" customFormat="false" ht="15" hidden="false" customHeight="false" outlineLevel="0" collapsed="false">
      <c r="P67" s="34"/>
      <c r="Q67" s="48"/>
    </row>
  </sheetData>
  <conditionalFormatting sqref="Q1:Q19">
    <cfRule type="expression" priority="2" aboveAverage="0" equalAverage="0" bottom="0" percent="0" rank="0" text="" dxfId="10">
      <formula>" =CELL(“Protect”,A1)=1"</formula>
    </cfRule>
    <cfRule type="expression" priority="3" aboveAverage="0" equalAverage="0" bottom="0" percent="0" rank="0" text="" dxfId="1">
      <formula>" =CELL(“Protect”,A1)=1"</formula>
    </cfRule>
  </conditionalFormatting>
  <conditionalFormatting sqref="A1:I1 K1:O1">
    <cfRule type="expression" priority="4" aboveAverage="0" equalAverage="0" bottom="0" percent="0" rank="0" text="" dxfId="11">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67"/>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 topLeftCell="A5" activePane="bottomLeft" state="frozen"/>
      <selection pane="topLeft" activeCell="B1" activeCellId="0" sqref="B1"/>
      <selection pane="bottomLeft" activeCell="O2" activeCellId="0" sqref="O2"/>
    </sheetView>
  </sheetViews>
  <sheetFormatPr defaultColWidth="8.453125" defaultRowHeight="15" zeroHeight="false" outlineLevelRow="0" outlineLevelCol="0"/>
  <cols>
    <col collapsed="false" customWidth="true" hidden="false" outlineLevel="0" max="1" min="1" style="0" width="6.14"/>
    <col collapsed="false" customWidth="true" hidden="false" outlineLevel="0" max="2" min="2" style="0" width="6"/>
    <col collapsed="false" customWidth="true" hidden="false" outlineLevel="0" max="3" min="3" style="0" width="6.29"/>
    <col collapsed="false" customWidth="true" hidden="false" outlineLevel="0" max="5" min="4" style="51" width="10.71"/>
    <col collapsed="false" customWidth="true" hidden="false" outlineLevel="0" max="7" min="6" style="2" width="9.14"/>
    <col collapsed="false" customWidth="true" hidden="false" outlineLevel="0" max="8" min="8" style="4" width="9.42"/>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6" min="16" style="0" width="12.71"/>
    <col collapsed="false" customWidth="true" hidden="false" outlineLevel="0" max="17" min="17" style="0" width="28.57"/>
    <col collapsed="false" customWidth="true" hidden="false" outlineLevel="0" max="19" min="19" style="0" width="10.71"/>
    <col collapsed="false" customWidth="true" hidden="false" outlineLevel="0" max="22" min="22" style="0" width="28.71"/>
    <col collapsed="false" customWidth="true" hidden="false" outlineLevel="0" max="24" min="24"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Q1" s="6" t="s">
        <v>15</v>
      </c>
      <c r="S1" s="10"/>
      <c r="V1" s="6" t="s">
        <v>78</v>
      </c>
      <c r="X1" s="10"/>
    </row>
    <row r="2" customFormat="false" ht="15" hidden="false" customHeight="false" outlineLevel="0" collapsed="false">
      <c r="A2" s="11" t="n">
        <v>1</v>
      </c>
      <c r="B2" s="11" t="str">
        <f aca="false">TEXT($D2,"ddd")</f>
        <v>Wed</v>
      </c>
      <c r="C2" s="11" t="n">
        <f aca="false">$A$31-$A2</f>
        <v>29</v>
      </c>
      <c r="D2" s="52" t="n">
        <v>45245</v>
      </c>
      <c r="E2" s="34" t="n">
        <v>45246.2584953704</v>
      </c>
      <c r="F2" s="2" t="n">
        <v>93471.028</v>
      </c>
      <c r="G2" s="2" t="n">
        <v>93506.438</v>
      </c>
      <c r="H2" s="3" t="n">
        <v>35.413</v>
      </c>
      <c r="I2" s="13" t="n">
        <v>35.413</v>
      </c>
      <c r="J2" s="14" t="n">
        <f aca="false">(I2)</f>
        <v>35.413</v>
      </c>
      <c r="K2" s="15" t="n">
        <f aca="false">IF($H2&gt;0,(($H2*$X$7)+$X$8)*(1+$R$9),"")</f>
        <v>5.68264649948748</v>
      </c>
      <c r="L2" s="16" t="n">
        <f aca="false">(K2)</f>
        <v>5.68264649948748</v>
      </c>
      <c r="M2" s="17" t="n">
        <f aca="false">IF($J2&lt;&gt;"",$J2*(LOOKUP(1E+307,$A:$A)-$A$2),"")</f>
        <v>1026.977</v>
      </c>
      <c r="N2" s="17" t="n">
        <f aca="false">IF($M2&lt;&gt;"",IF($M2&gt;1000,(($M2*$S$7)+($A2*$S$8))*(1+$R$9)-100,($M2*$S$7)+($A2*$R$9)*(1+$R$9)),"")</f>
        <v>121.693332725319</v>
      </c>
      <c r="O2" s="18" t="n">
        <f aca="false">IF(I2&gt;=1000,"",(1000-I2))</f>
        <v>964.587</v>
      </c>
      <c r="Q2" s="19" t="s">
        <v>18</v>
      </c>
      <c r="R2" s="20" t="s">
        <v>19</v>
      </c>
      <c r="S2" s="21"/>
      <c r="V2" s="19" t="s">
        <v>18</v>
      </c>
      <c r="W2" s="20" t="s">
        <v>19</v>
      </c>
      <c r="X2" s="21"/>
    </row>
    <row r="3" customFormat="false" ht="15" hidden="false" customHeight="false" outlineLevel="0" collapsed="false">
      <c r="A3" s="11" t="n">
        <v>2</v>
      </c>
      <c r="B3" s="11" t="str">
        <f aca="false">TEXT($D3,"ddd")</f>
        <v>Thu</v>
      </c>
      <c r="C3" s="11" t="n">
        <f aca="false">$A$31-$A3</f>
        <v>28</v>
      </c>
      <c r="D3" s="34" t="n">
        <v>45246</v>
      </c>
      <c r="E3" s="34" t="n">
        <v>45247.2596527778</v>
      </c>
      <c r="F3" s="2" t="n">
        <v>93506.438</v>
      </c>
      <c r="G3" s="2" t="n">
        <v>93541.432</v>
      </c>
      <c r="H3" s="3" t="n">
        <v>35.002</v>
      </c>
      <c r="I3" s="13" t="n">
        <f aca="false">(I2+H3)</f>
        <v>70.415</v>
      </c>
      <c r="J3" s="14" t="n">
        <f aca="false">IF($H3&gt;0,$I3/$A3,"")</f>
        <v>35.2075</v>
      </c>
      <c r="K3" s="15" t="n">
        <f aca="false">IF($H3&gt;0,(($H3*$X$7)+$X$8)*(1+$R$9),"")</f>
        <v>5.61836334274224</v>
      </c>
      <c r="L3" s="16" t="n">
        <f aca="false">IF($H3&gt;0,($K3+$L2),"")</f>
        <v>11.3010098422297</v>
      </c>
      <c r="M3" s="17" t="n">
        <f aca="false">IF($J3&lt;&gt;"",$J3*(LOOKUP(1E+307,$A:$A)-$A$2),"")</f>
        <v>1021.0175</v>
      </c>
      <c r="N3" s="17" t="n">
        <f aca="false">IF($M3&lt;&gt;"",IF($M3&gt;1000,(($M3*$S$7)+($A3*$S$8))*(1+$R$9)-100,($M3*$S$7)+($A3*$R$9)*(1+$R$9)),"")</f>
        <v>120.551506902279</v>
      </c>
      <c r="O3" s="18" t="n">
        <f aca="false">IF(I3&gt;=1000,"",(1000-I3))</f>
        <v>929.585</v>
      </c>
      <c r="Q3" s="22" t="s">
        <v>22</v>
      </c>
      <c r="R3" s="23" t="n">
        <f aca="false">($F$2+1000)</f>
        <v>94471.028</v>
      </c>
      <c r="S3" s="24"/>
      <c r="V3" s="22" t="s">
        <v>22</v>
      </c>
      <c r="W3" s="23" t="n">
        <v>92206.34</v>
      </c>
      <c r="X3" s="24"/>
    </row>
    <row r="4" customFormat="false" ht="15" hidden="false" customHeight="false" outlineLevel="0" collapsed="false">
      <c r="A4" s="11" t="n">
        <v>3</v>
      </c>
      <c r="B4" s="11" t="str">
        <f aca="false">TEXT($D4,"ddd")</f>
        <v>Fri</v>
      </c>
      <c r="C4" s="11" t="n">
        <f aca="false">$A$31-$A4</f>
        <v>27</v>
      </c>
      <c r="D4" s="34" t="n">
        <v>45247</v>
      </c>
      <c r="E4" s="34" t="n">
        <v>45248.2558217593</v>
      </c>
      <c r="F4" s="2" t="n">
        <v>93541.432</v>
      </c>
      <c r="G4" s="2" t="n">
        <v>93570.268</v>
      </c>
      <c r="H4" s="3" t="n">
        <v>28.831</v>
      </c>
      <c r="I4" s="13" t="n">
        <f aca="false">(I3+H4)</f>
        <v>99.246</v>
      </c>
      <c r="J4" s="14" t="n">
        <f aca="false">IF($H4&gt;0,$I4/$A4,"")</f>
        <v>33.082</v>
      </c>
      <c r="K4" s="15" t="n">
        <f aca="false">IF($H4&gt;0,(($H4*$X$7)+$X$8)*(1+$R$9),"")</f>
        <v>4.65317755131911</v>
      </c>
      <c r="L4" s="16" t="n">
        <f aca="false">IF($H4&gt;0,($K4+$L3),"")</f>
        <v>15.9541873935488</v>
      </c>
      <c r="M4" s="17" t="n">
        <f aca="false">IF($J4&lt;&gt;"",$J4*(LOOKUP(1E+307,$A:$A)-$A$2),"")</f>
        <v>959.378</v>
      </c>
      <c r="N4" s="17" t="n">
        <f aca="false">IF($M4&lt;&gt;"",IF($M4&gt;1000,(($M4*$S$7)+($A4*$S$8))*(1+$R$9)-100,($M4*$S$7)+($A4*$R$9)*(1+$R$9)),"")</f>
        <v>202.9753096707</v>
      </c>
      <c r="O4" s="18" t="n">
        <f aca="false">IF(I4&gt;=1000,"",(1000-I4))</f>
        <v>900.754</v>
      </c>
      <c r="Q4" s="22" t="s">
        <v>25</v>
      </c>
      <c r="R4" s="25"/>
      <c r="S4" s="26" t="n">
        <v>0.001667</v>
      </c>
      <c r="V4" s="22" t="s">
        <v>25</v>
      </c>
      <c r="W4" s="25"/>
      <c r="X4" s="26" t="n">
        <v>0.001667</v>
      </c>
    </row>
    <row r="5" customFormat="false" ht="15" hidden="false" customHeight="false" outlineLevel="0" collapsed="false">
      <c r="A5" s="11" t="n">
        <v>4</v>
      </c>
      <c r="B5" s="11" t="str">
        <f aca="false">TEXT($D5,"ddd")</f>
        <v>Sat</v>
      </c>
      <c r="C5" s="11" t="n">
        <f aca="false">$A$31-$A5</f>
        <v>26</v>
      </c>
      <c r="D5" s="34" t="n">
        <v>45248</v>
      </c>
      <c r="E5" s="34" t="n">
        <v>45249.2761226852</v>
      </c>
      <c r="F5" s="2" t="n">
        <v>93570.268</v>
      </c>
      <c r="G5" s="2" t="n">
        <v>93597.781</v>
      </c>
      <c r="H5" s="3" t="n">
        <v>27.515</v>
      </c>
      <c r="I5" s="13" t="n">
        <f aca="false">(I4+H5)</f>
        <v>126.761</v>
      </c>
      <c r="J5" s="14" t="n">
        <f aca="false">IF($H5&gt;0,$I5/$A5,"")</f>
        <v>31.69025</v>
      </c>
      <c r="K5" s="15" t="n">
        <f aca="false">IF($H5&gt;0,(($H5*$X$7)+$X$8)*(1+$R$9),"")</f>
        <v>4.4473463243684</v>
      </c>
      <c r="L5" s="16" t="n">
        <f aca="false">IF($H5&gt;0,($K5+$L4),"")</f>
        <v>20.4015337179172</v>
      </c>
      <c r="M5" s="17" t="n">
        <f aca="false">IF($J5&lt;&gt;"",$J5*(LOOKUP(1E+307,$A:$A)-$A$2),"")</f>
        <v>919.01725</v>
      </c>
      <c r="N5" s="17" t="n">
        <f aca="false">IF($M5&lt;&gt;"",IF($M5&gt;1000,(($M5*$S$7)+($A5*$S$8))*(1+$R$9)-100,($M5*$S$7)+($A5*$R$9)*(1+$R$9)),"")</f>
        <v>194.4591376821</v>
      </c>
      <c r="O5" s="18" t="n">
        <f aca="false">IF(I5&gt;=1000,"",(1000-I5))</f>
        <v>873.239</v>
      </c>
      <c r="P5" s="27"/>
      <c r="Q5" s="22" t="s">
        <v>28</v>
      </c>
      <c r="R5" s="25"/>
      <c r="S5" s="26" t="n">
        <v>0.050339</v>
      </c>
      <c r="V5" s="22" t="s">
        <v>28</v>
      </c>
      <c r="W5" s="25"/>
      <c r="X5" s="26" t="n">
        <v>0.042</v>
      </c>
    </row>
    <row r="6" customFormat="false" ht="15" hidden="false" customHeight="false" outlineLevel="0" collapsed="false">
      <c r="A6" s="11" t="n">
        <v>5</v>
      </c>
      <c r="B6" s="11" t="str">
        <f aca="false">TEXT($D6,"ddd")</f>
        <v>Sun</v>
      </c>
      <c r="C6" s="11" t="n">
        <f aca="false">$A$31-$A6</f>
        <v>25</v>
      </c>
      <c r="D6" s="34" t="n">
        <v>45249</v>
      </c>
      <c r="E6" s="34" t="n">
        <v>45250.2559259259</v>
      </c>
      <c r="F6" s="2" t="n">
        <v>93597.781</v>
      </c>
      <c r="G6" s="2" t="n">
        <v>93626.616</v>
      </c>
      <c r="H6" s="3" t="n">
        <v>28.832</v>
      </c>
      <c r="I6" s="13" t="n">
        <f aca="false">(I5+H6)</f>
        <v>155.593</v>
      </c>
      <c r="J6" s="14" t="n">
        <f aca="false">IF($H6&gt;0,$I6/$A6,"")</f>
        <v>31.1186</v>
      </c>
      <c r="K6" s="15" t="n">
        <f aca="false">IF($H6&gt;0,(($H6*$X$7)+$X$8)*(1+$R$9),"")</f>
        <v>4.65333395802652</v>
      </c>
      <c r="L6" s="16" t="n">
        <f aca="false">IF($H6&gt;0,($K6+$L5),"")</f>
        <v>25.0548676759438</v>
      </c>
      <c r="M6" s="17" t="n">
        <f aca="false">IF($J6&lt;&gt;"",$J6*(LOOKUP(1E+307,$A:$A)-$A$2),"")</f>
        <v>902.4394</v>
      </c>
      <c r="N6" s="17" t="n">
        <f aca="false">IF($M6&lt;&gt;"",IF($M6&gt;1000,(($M6*$S$7)+($A6*$S$8))*(1+$R$9)-100,($M6*$S$7)+($A6*$R$9)*(1+$R$9)),"")</f>
        <v>190.9731917409</v>
      </c>
      <c r="O6" s="18" t="n">
        <f aca="false">IF(I6&gt;=1000,"",(1000-I6))</f>
        <v>844.407</v>
      </c>
      <c r="Q6" s="22" t="s">
        <v>31</v>
      </c>
      <c r="R6" s="25"/>
      <c r="S6" s="26" t="n">
        <v>0.1595</v>
      </c>
      <c r="V6" s="22" t="s">
        <v>31</v>
      </c>
      <c r="W6" s="23" t="n">
        <v>3.4</v>
      </c>
      <c r="X6" s="26" t="n">
        <v>0.109677419354839</v>
      </c>
    </row>
    <row r="7" customFormat="false" ht="15" hidden="false" customHeight="false" outlineLevel="0" collapsed="false">
      <c r="A7" s="11" t="n">
        <v>6</v>
      </c>
      <c r="B7" s="11" t="str">
        <f aca="false">TEXT($D7,"ddd")</f>
        <v>Mon</v>
      </c>
      <c r="C7" s="11" t="n">
        <f aca="false">$A$31-$A7</f>
        <v>24</v>
      </c>
      <c r="D7" s="34" t="n">
        <v>45250</v>
      </c>
      <c r="E7" s="34" t="n">
        <v>45251.2626851852</v>
      </c>
      <c r="F7" s="2" t="n">
        <v>93626.616</v>
      </c>
      <c r="G7" s="2" t="n">
        <v>93671.34</v>
      </c>
      <c r="H7" s="3" t="n">
        <v>44.727</v>
      </c>
      <c r="I7" s="13" t="n">
        <f aca="false">(I6+H7)</f>
        <v>200.32</v>
      </c>
      <c r="J7" s="14" t="n">
        <f aca="false">IF($H7&gt;0,$I7/$A7,"")</f>
        <v>33.3866666666667</v>
      </c>
      <c r="K7" s="15" t="n">
        <f aca="false">IF($H7&gt;0,(($H7*$X$7)+$X$8)*(1+$R$9),"")</f>
        <v>7.13941857229821</v>
      </c>
      <c r="L7" s="16" t="n">
        <f aca="false">IF($H7&gt;0,($K7+$L6),"")</f>
        <v>32.194286248242</v>
      </c>
      <c r="M7" s="17" t="n">
        <f aca="false">IF($J7&lt;&gt;"",$J7*(LOOKUP(1E+307,$A:$A)-$A$2),"")</f>
        <v>968.213333333333</v>
      </c>
      <c r="N7" s="17" t="n">
        <f aca="false">IF($M7&lt;&gt;"",IF($M7&gt;1000,(($M7*$S$7)+($A7*$S$8))*(1+$R$9)-100,($M7*$S$7)+($A7*$R$9)*(1+$R$9)),"")</f>
        <v>204.9051420854</v>
      </c>
      <c r="O7" s="18" t="n">
        <f aca="false">IF(I7&gt;=1000,"",(1000-I7))</f>
        <v>799.68</v>
      </c>
      <c r="Q7" s="22" t="s">
        <v>34</v>
      </c>
      <c r="R7" s="25"/>
      <c r="S7" s="28" t="n">
        <f aca="false">SUM(S4:S6)</f>
        <v>0.211506</v>
      </c>
      <c r="T7" s="29" t="s">
        <v>35</v>
      </c>
      <c r="V7" s="22" t="s">
        <v>34</v>
      </c>
      <c r="W7" s="25"/>
      <c r="X7" s="28" t="n">
        <f aca="false">SUM(X4:X6)</f>
        <v>0.153344419354839</v>
      </c>
      <c r="Y7" s="29" t="s">
        <v>79</v>
      </c>
    </row>
    <row r="8" customFormat="false" ht="15" hidden="false" customHeight="false" outlineLevel="0" collapsed="false">
      <c r="A8" s="11" t="n">
        <v>7</v>
      </c>
      <c r="B8" s="11" t="str">
        <f aca="false">TEXT($D8,"ddd")</f>
        <v>Tue</v>
      </c>
      <c r="C8" s="11" t="n">
        <f aca="false">$A$31-$A8</f>
        <v>23</v>
      </c>
      <c r="D8" s="34" t="n">
        <v>45251</v>
      </c>
      <c r="E8" s="34" t="n">
        <v>45252.2844212963</v>
      </c>
      <c r="F8" s="2" t="n">
        <v>93671.34</v>
      </c>
      <c r="G8" s="2" t="n">
        <v>93703.043</v>
      </c>
      <c r="H8" s="3" t="n">
        <v>31.706</v>
      </c>
      <c r="I8" s="13" t="n">
        <f aca="false">(I7+H8)</f>
        <v>232.026</v>
      </c>
      <c r="J8" s="14" t="n">
        <f aca="false">IF($H8&gt;0,$I8/$A8,"")</f>
        <v>33.1465714285714</v>
      </c>
      <c r="K8" s="15" t="n">
        <f aca="false">IF($H8&gt;0,(($H8*$X$7)+$X$8)*(1+$R$9),"")</f>
        <v>5.10284683512101</v>
      </c>
      <c r="L8" s="16" t="n">
        <f aca="false">IF($H8&gt;0,($K8+$L7),"")</f>
        <v>37.297133083363</v>
      </c>
      <c r="M8" s="17" t="n">
        <f aca="false">IF($J8&lt;&gt;"",$J8*(LOOKUP(1E+307,$A:$A)-$A$2),"")</f>
        <v>961.250571428571</v>
      </c>
      <c r="N8" s="17" t="n">
        <f aca="false">IF($M8&lt;&gt;"",IF($M8&gt;1000,(($M8*$S$7)+($A8*$S$8))*(1+$R$9)-100,($M8*$S$7)+($A8*$R$9)*(1+$R$9)),"")</f>
        <v>203.452844966871</v>
      </c>
      <c r="O8" s="18" t="n">
        <f aca="false">IF(I8&gt;=1000,"",(1000-I8))</f>
        <v>767.974</v>
      </c>
      <c r="Q8" s="22" t="s">
        <v>38</v>
      </c>
      <c r="R8" s="30" t="n">
        <v>4.23</v>
      </c>
      <c r="S8" s="31" t="n">
        <f aca="false">(R8/A31)</f>
        <v>0.141</v>
      </c>
      <c r="T8" s="29" t="s">
        <v>39</v>
      </c>
      <c r="V8" s="22" t="s">
        <v>38</v>
      </c>
      <c r="W8" s="30" t="n">
        <v>4.23</v>
      </c>
      <c r="X8" s="31" t="n">
        <f aca="false">(W8/A31)</f>
        <v>0.141</v>
      </c>
      <c r="Y8" s="29" t="s">
        <v>80</v>
      </c>
    </row>
    <row r="9" customFormat="false" ht="15" hidden="false" customHeight="false" outlineLevel="0" collapsed="false">
      <c r="A9" s="11" t="n">
        <v>8</v>
      </c>
      <c r="B9" s="11" t="str">
        <f aca="false">TEXT($D9,"ddd")</f>
        <v>Wed</v>
      </c>
      <c r="C9" s="11" t="n">
        <f aca="false">$A$31-$A9</f>
        <v>22</v>
      </c>
      <c r="D9" s="34" t="n">
        <v>45252</v>
      </c>
      <c r="E9" s="34" t="n">
        <v>45253.2599768519</v>
      </c>
      <c r="F9" s="2" t="n">
        <v>93703.043</v>
      </c>
      <c r="G9" s="2" t="n">
        <v>93751.586</v>
      </c>
      <c r="H9" s="3" t="n">
        <v>48.54</v>
      </c>
      <c r="I9" s="13" t="n">
        <f aca="false">(I8+H9)</f>
        <v>280.566</v>
      </c>
      <c r="J9" s="14" t="n">
        <f aca="false">IF($H9&gt;0,$I9/$A9,"")</f>
        <v>35.07075</v>
      </c>
      <c r="K9" s="15" t="n">
        <f aca="false">IF($H9&gt;0,(($H9*$X$7)+$X$8)*(1+$R$9),"")</f>
        <v>7.73579734765008</v>
      </c>
      <c r="L9" s="16" t="n">
        <f aca="false">IF($H9&gt;0,($K9+$L8),"")</f>
        <v>45.0329304310131</v>
      </c>
      <c r="M9" s="17" t="n">
        <f aca="false">IF($J9&lt;&gt;"",$J9*(LOOKUP(1E+307,$A:$A)-$A$2),"")</f>
        <v>1017.05175</v>
      </c>
      <c r="N9" s="17" t="n">
        <f aca="false">IF($M9&lt;&gt;"",IF($M9&gt;1000,(($M9*$S$7)+($A9*$S$8))*(1+$R$9)-100,($M9*$S$7)+($A9*$R$9)*(1+$R$9)),"")</f>
        <v>120.558871167787</v>
      </c>
      <c r="O9" s="18" t="n">
        <f aca="false">IF(I9&gt;=1000,"",(1000-I9))</f>
        <v>719.434</v>
      </c>
      <c r="Q9" s="22" t="s">
        <v>42</v>
      </c>
      <c r="R9" s="30" t="n">
        <v>0.01997</v>
      </c>
      <c r="S9" s="32"/>
      <c r="T9" s="29" t="s">
        <v>81</v>
      </c>
      <c r="V9" s="22" t="s">
        <v>42</v>
      </c>
      <c r="W9" s="30" t="n">
        <v>0.01997</v>
      </c>
      <c r="X9" s="32"/>
      <c r="Y9" s="29" t="s">
        <v>82</v>
      </c>
    </row>
    <row r="10" customFormat="false" ht="15" hidden="false" customHeight="false" outlineLevel="0" collapsed="false">
      <c r="A10" s="11" t="n">
        <v>9</v>
      </c>
      <c r="B10" s="11" t="str">
        <f aca="false">TEXT($D10,"ddd")</f>
        <v>Thu</v>
      </c>
      <c r="C10" s="11" t="n">
        <f aca="false">$A$31-$A10</f>
        <v>21</v>
      </c>
      <c r="D10" s="34" t="n">
        <v>45253</v>
      </c>
      <c r="E10" s="34" t="n">
        <v>45254.2635763889</v>
      </c>
      <c r="F10" s="2" t="n">
        <v>93751.586</v>
      </c>
      <c r="G10" s="2" t="n">
        <v>93784.456</v>
      </c>
      <c r="H10" s="3" t="n">
        <v>32.866</v>
      </c>
      <c r="I10" s="13" t="n">
        <f aca="false">(I9+H10)</f>
        <v>313.432</v>
      </c>
      <c r="J10" s="14" t="n">
        <f aca="false">IF($H10&gt;0,$I10/$A10,"")</f>
        <v>34.8257777777778</v>
      </c>
      <c r="K10" s="15" t="n">
        <f aca="false">IF($H10&gt;0,(($H10*$X$7)+$X$8)*(1+$R$9),"")</f>
        <v>5.28427861571586</v>
      </c>
      <c r="L10" s="16" t="n">
        <f aca="false">IF($H10&gt;0,($K10+$L9),"")</f>
        <v>50.3172090467289</v>
      </c>
      <c r="M10" s="17" t="n">
        <f aca="false">IF($J10&lt;&gt;"",$J10*(LOOKUP(1E+307,$A:$A)-$A$2),"")</f>
        <v>1009.94755555556</v>
      </c>
      <c r="N10" s="17" t="n">
        <f aca="false">IF($M10&lt;&gt;"",IF($M10&gt;1000,(($M10*$S$7)+($A10*$S$8))*(1+$R$9)-100,($M10*$S$7)+($A10*$R$9)*(1+$R$9)),"")</f>
        <v>119.170100670009</v>
      </c>
      <c r="O10" s="18" t="n">
        <f aca="false">IF(I10&gt;=1000,"",(1000-I10))</f>
        <v>686.568</v>
      </c>
      <c r="Q10" s="22" t="s">
        <v>46</v>
      </c>
      <c r="R10" s="33" t="n">
        <v>100</v>
      </c>
      <c r="S10" s="24" t="n">
        <v>1000</v>
      </c>
      <c r="T10" s="29" t="s">
        <v>83</v>
      </c>
      <c r="V10" s="22" t="s">
        <v>46</v>
      </c>
      <c r="W10" s="33" t="n">
        <v>100</v>
      </c>
      <c r="X10" s="24" t="n">
        <v>1000</v>
      </c>
    </row>
    <row r="11" customFormat="false" ht="15" hidden="false" customHeight="false" outlineLevel="0" collapsed="false">
      <c r="A11" s="11" t="n">
        <v>10</v>
      </c>
      <c r="B11" s="11" t="str">
        <f aca="false">TEXT($D11,"ddd")</f>
        <v>Fri</v>
      </c>
      <c r="C11" s="11" t="n">
        <f aca="false">$A$31-$A11</f>
        <v>20</v>
      </c>
      <c r="D11" s="34" t="n">
        <v>45254</v>
      </c>
      <c r="E11" s="34" t="n">
        <v>45255.263599537</v>
      </c>
      <c r="F11" s="2" t="n">
        <v>93784.456</v>
      </c>
      <c r="G11" s="2" t="n">
        <v>93818.825</v>
      </c>
      <c r="H11" s="3" t="n">
        <v>34.369</v>
      </c>
      <c r="I11" s="13" t="n">
        <f aca="false">(I10+H11)</f>
        <v>347.801</v>
      </c>
      <c r="J11" s="14" t="n">
        <f aca="false">IF($H11&gt;0,$I11/$A11,"")</f>
        <v>34.7801</v>
      </c>
      <c r="K11" s="15" t="n">
        <f aca="false">IF($H11&gt;0,(($H11*$X$7)+$X$8)*(1+$R$9),"")</f>
        <v>5.51935789695212</v>
      </c>
      <c r="L11" s="16" t="n">
        <f aca="false">IF($H11&gt;0,($K11+$L10),"")</f>
        <v>55.836566943681</v>
      </c>
      <c r="M11" s="17" t="n">
        <f aca="false">IF($J11&lt;&gt;"",$J11*(LOOKUP(1E+307,$A:$A)-$A$2),"")</f>
        <v>1008.6229</v>
      </c>
      <c r="N11" s="17" t="n">
        <f aca="false">IF($M11&lt;&gt;"",IF($M11&gt;1000,(($M11*$S$7)+($A11*$S$8))*(1+$R$9)-100,($M11*$S$7)+($A11*$R$9)*(1+$R$9)),"")</f>
        <v>119.028148795295</v>
      </c>
      <c r="O11" s="18" t="n">
        <f aca="false">IF(I11&gt;=1000,"",(1000-I11))</f>
        <v>652.199</v>
      </c>
      <c r="Q11" s="22" t="s">
        <v>49</v>
      </c>
      <c r="R11" s="33" t="n">
        <v>295</v>
      </c>
      <c r="S11" s="32"/>
      <c r="V11" s="22" t="s">
        <v>49</v>
      </c>
      <c r="W11" s="33" t="n">
        <v>295</v>
      </c>
      <c r="X11" s="32"/>
    </row>
    <row r="12" customFormat="false" ht="15" hidden="false" customHeight="false" outlineLevel="0" collapsed="false">
      <c r="A12" s="11" t="n">
        <v>11</v>
      </c>
      <c r="B12" s="11" t="str">
        <f aca="false">TEXT($D12,"ddd")</f>
        <v>Sat</v>
      </c>
      <c r="C12" s="11" t="n">
        <f aca="false">$A$31-$A12</f>
        <v>19</v>
      </c>
      <c r="D12" s="34" t="n">
        <v>45255</v>
      </c>
      <c r="E12" s="34" t="n">
        <v>45256.2894328704</v>
      </c>
      <c r="F12" s="2" t="n">
        <v>93818.825</v>
      </c>
      <c r="G12" s="2" t="n">
        <v>93853.772</v>
      </c>
      <c r="H12" s="3" t="n">
        <v>34.951</v>
      </c>
      <c r="I12" s="13" t="n">
        <f aca="false">(I11+H12)</f>
        <v>382.752</v>
      </c>
      <c r="J12" s="14" t="n">
        <f aca="false">IF($H12&gt;0,$I12/$A12,"")</f>
        <v>34.7956363636364</v>
      </c>
      <c r="K12" s="15" t="n">
        <f aca="false">IF($H12&gt;0,(($H12*$X$7)+$X$8)*(1+$R$9),"")</f>
        <v>5.61038660066436</v>
      </c>
      <c r="L12" s="16" t="n">
        <f aca="false">IF($H12&gt;0,($K12+$L11),"")</f>
        <v>61.4469535443454</v>
      </c>
      <c r="M12" s="17" t="n">
        <f aca="false">IF($J12&lt;&gt;"",$J12*(LOOKUP(1E+307,$A:$A)-$A$2),"")</f>
        <v>1009.07345454545</v>
      </c>
      <c r="N12" s="17" t="n">
        <f aca="false">IF($M12&lt;&gt;"",IF($M12&gt;1000,(($M12*$S$7)+($A12*$S$8))*(1+$R$9)-100,($M12*$S$7)+($A12*$R$9)*(1+$R$9)),"")</f>
        <v>119.26916259593</v>
      </c>
      <c r="O12" s="18" t="n">
        <f aca="false">IF(I12&gt;=1000,"",(1000-I12))</f>
        <v>617.248</v>
      </c>
      <c r="Q12" s="22" t="s">
        <v>52</v>
      </c>
      <c r="R12" s="35" t="n">
        <f aca="false">INDEX(L2:L32,COUNT(L2:L32))</f>
        <v>222.610321153279</v>
      </c>
      <c r="S12" s="32"/>
      <c r="V12" s="22"/>
      <c r="W12" s="35"/>
      <c r="X12" s="32"/>
    </row>
    <row r="13" customFormat="false" ht="15" hidden="false" customHeight="false" outlineLevel="0" collapsed="false">
      <c r="A13" s="53" t="n">
        <v>12</v>
      </c>
      <c r="B13" s="54" t="str">
        <f aca="false">TEXT($D13,"ddd")</f>
        <v>Sun</v>
      </c>
      <c r="C13" s="54" t="n">
        <f aca="false">$A$31-$A13</f>
        <v>18</v>
      </c>
      <c r="D13" s="55" t="n">
        <v>45256</v>
      </c>
      <c r="E13" s="55" t="n">
        <v>45257.2597916667</v>
      </c>
      <c r="F13" s="56" t="n">
        <v>93853.772</v>
      </c>
      <c r="G13" s="56" t="n">
        <v>93901.247</v>
      </c>
      <c r="H13" s="57" t="n">
        <v>47.474</v>
      </c>
      <c r="I13" s="58" t="n">
        <f aca="false">(I12+H13)</f>
        <v>430.226</v>
      </c>
      <c r="J13" s="59" t="n">
        <f aca="false">IF($H13&gt;0,$I13/$A13,"")</f>
        <v>35.8521666666667</v>
      </c>
      <c r="K13" s="60" t="n">
        <f aca="false">IF($H13&gt;0,(($H13*$S$7)+$S$8)*(1+$R$9),"")</f>
        <v>10.3853710998047</v>
      </c>
      <c r="L13" s="61" t="n">
        <f aca="false">IF($H13&gt;0,($K13+$L12),"")</f>
        <v>71.8323246441501</v>
      </c>
      <c r="M13" s="62" t="n">
        <f aca="false">IF($J13&lt;&gt;"",$J13*(LOOKUP(1E+307,$A:$A)-$A$2),"")</f>
        <v>1039.71283333333</v>
      </c>
      <c r="N13" s="62" t="n">
        <f aca="false">IF($M13&lt;&gt;"",IF($M13&gt;1000,(($M13*$S$7)+($A13*$S$8))*(1+$R$9)-100,($M13*$S$7)+($A13*$R$9)*(1+$R$9)),"")</f>
        <v>126.022804652464</v>
      </c>
      <c r="O13" s="63" t="n">
        <f aca="false">IF(I13&gt;=1000,"",(1000-I13))</f>
        <v>569.774</v>
      </c>
      <c r="P13" s="36" t="s">
        <v>84</v>
      </c>
      <c r="Q13" s="22" t="s">
        <v>55</v>
      </c>
      <c r="R13" s="37" t="n">
        <f aca="false">INDEX(I2:I32,COUNT(I2:I32))</f>
        <v>1117.147</v>
      </c>
      <c r="S13" s="32"/>
      <c r="V13" s="22"/>
      <c r="W13" s="37"/>
      <c r="X13" s="32"/>
    </row>
    <row r="14" customFormat="false" ht="15" hidden="false" customHeight="false" outlineLevel="0" collapsed="false">
      <c r="A14" s="11" t="n">
        <v>13</v>
      </c>
      <c r="B14" s="11" t="str">
        <f aca="false">TEXT($D14,"ddd")</f>
        <v>Mon</v>
      </c>
      <c r="C14" s="11" t="n">
        <f aca="false">$A$31-$A14</f>
        <v>17</v>
      </c>
      <c r="D14" s="34" t="n">
        <v>45257</v>
      </c>
      <c r="E14" s="34" t="n">
        <v>45259.2689351852</v>
      </c>
      <c r="F14" s="2" t="n">
        <v>93901.247</v>
      </c>
      <c r="G14" s="2" t="n">
        <v>93957.192</v>
      </c>
      <c r="H14" s="3" t="n">
        <v>55.946</v>
      </c>
      <c r="I14" s="13" t="n">
        <f aca="false">(I13+H14)</f>
        <v>486.172</v>
      </c>
      <c r="J14" s="14" t="n">
        <f aca="false">IF($H14&gt;0,$I14/$A14,"")</f>
        <v>37.3978461538461</v>
      </c>
      <c r="K14" s="15" t="n">
        <f aca="false">IF($H14&gt;0,(($H14*$S$7)+$S$8)*(1+$R$9),"")</f>
        <v>12.2130337520797</v>
      </c>
      <c r="L14" s="16" t="n">
        <f aca="false">IF($H14&gt;0,($K14+$L13),"")</f>
        <v>84.0453583962298</v>
      </c>
      <c r="M14" s="17" t="n">
        <f aca="false">IF($J14&lt;&gt;"",$J14*(LOOKUP(1E+307,$A:$A)-$A$2),"")</f>
        <v>1084.53753846154</v>
      </c>
      <c r="N14" s="17" t="n">
        <f aca="false">IF($M14&lt;&gt;"",IF($M14&gt;1000,(($M14*$S$7)+($A14*$S$8))*(1+$R$9)-100,($M14*$S$7)+($A14*$R$9)*(1+$R$9)),"")</f>
        <v>135.836643966145</v>
      </c>
      <c r="O14" s="18" t="n">
        <f aca="false">IF(I14&gt;=1000,"",(1000-I14))</f>
        <v>513.828</v>
      </c>
      <c r="Q14" s="22" t="s">
        <v>58</v>
      </c>
      <c r="R14" s="37" t="n">
        <f aca="false">INDEX(J2:J32,COUNT(J2:J32))</f>
        <v>37.2382333333333</v>
      </c>
      <c r="S14" s="32"/>
      <c r="V14" s="22"/>
      <c r="W14" s="37"/>
      <c r="X14" s="32"/>
    </row>
    <row r="15" customFormat="false" ht="15" hidden="false" customHeight="false" outlineLevel="0" collapsed="false">
      <c r="A15" s="11" t="n">
        <v>14</v>
      </c>
      <c r="B15" s="11" t="str">
        <f aca="false">TEXT($D15,"ddd")</f>
        <v>Tue</v>
      </c>
      <c r="C15" s="11" t="n">
        <f aca="false">$A$31-$A15</f>
        <v>16</v>
      </c>
      <c r="D15" s="34" t="n">
        <v>45258</v>
      </c>
      <c r="E15" s="34" t="n">
        <v>45259.2682638889</v>
      </c>
      <c r="F15" s="2" t="n">
        <v>93957.192</v>
      </c>
      <c r="G15" s="2" t="n">
        <v>94005.054</v>
      </c>
      <c r="H15" s="3" t="n">
        <v>47.861</v>
      </c>
      <c r="I15" s="13" t="n">
        <f aca="false">(I14+H15)</f>
        <v>534.033</v>
      </c>
      <c r="J15" s="14" t="n">
        <f aca="false">IF($H15&gt;0,$I15/$A15,"")</f>
        <v>38.1452142857143</v>
      </c>
      <c r="K15" s="15" t="n">
        <f aca="false">IF($H15&gt;0,(($H15*$S$7)+$S$8)*(1+$R$9),"")</f>
        <v>10.46885852266</v>
      </c>
      <c r="L15" s="16" t="n">
        <f aca="false">IF($H15&gt;0,($K15+$L14),"")</f>
        <v>94.5142169188898</v>
      </c>
      <c r="M15" s="17" t="n">
        <f aca="false">IF($J15&lt;&gt;"",$J15*(LOOKUP(1E+307,$A:$A)-$A$2),"")</f>
        <v>1106.21121428571</v>
      </c>
      <c r="N15" s="17" t="n">
        <f aca="false">IF($M15&lt;&gt;"",IF($M15&gt;1000,(($M15*$S$7)+($A15*$S$8))*(1+$R$9)-100,($M15*$S$7)+($A15*$R$9)*(1+$R$9)),"")</f>
        <v>140.656116941216</v>
      </c>
      <c r="O15" s="18" t="n">
        <f aca="false">IF(I15&gt;=1000,"",(1000-I15))</f>
        <v>465.967</v>
      </c>
      <c r="Q15" s="22"/>
      <c r="R15" s="37"/>
      <c r="S15" s="24"/>
      <c r="V15" s="22"/>
      <c r="W15" s="38"/>
      <c r="X15" s="24"/>
    </row>
    <row r="16" customFormat="false" ht="15" hidden="false" customHeight="false" outlineLevel="0" collapsed="false">
      <c r="A16" s="11" t="n">
        <v>15</v>
      </c>
      <c r="B16" s="11" t="str">
        <f aca="false">TEXT($D16,"ddd")</f>
        <v>Wed</v>
      </c>
      <c r="C16" s="11" t="n">
        <f aca="false">$A$31-$A16</f>
        <v>15</v>
      </c>
      <c r="D16" s="34" t="n">
        <v>45259</v>
      </c>
      <c r="E16" s="34" t="n">
        <v>45260.3264583333</v>
      </c>
      <c r="F16" s="2" t="n">
        <v>94005.054</v>
      </c>
      <c r="G16" s="2" t="n">
        <v>94048.176</v>
      </c>
      <c r="H16" s="3" t="n">
        <v>43.122</v>
      </c>
      <c r="I16" s="13" t="n">
        <f aca="false">(I15+H16)</f>
        <v>577.155</v>
      </c>
      <c r="J16" s="14" t="n">
        <f aca="false">IF($H16&gt;0,$I16/$A16,"")</f>
        <v>38.477</v>
      </c>
      <c r="K16" s="15" t="n">
        <f aca="false">IF($H16&gt;0,(($H16*$S$7)+$S$8)*(1+$R$9),"")</f>
        <v>9.44651511978804</v>
      </c>
      <c r="L16" s="16" t="n">
        <f aca="false">IF($H16&gt;0,($K16+$L15),"")</f>
        <v>103.960732038678</v>
      </c>
      <c r="M16" s="17" t="n">
        <f aca="false">IF($J16&lt;&gt;"",$J16*(LOOKUP(1E+307,$A:$A)-$A$2),"")</f>
        <v>1115.833</v>
      </c>
      <c r="N16" s="17" t="n">
        <f aca="false">IF($M16&lt;&gt;"",IF($M16&gt;1000,(($M16*$S$7)+($A16*$S$8))*(1+$R$9)-100,($M16*$S$7)+($A16*$R$9)*(1+$R$9)),"")</f>
        <v>142.875638376725</v>
      </c>
      <c r="O16" s="18" t="n">
        <f aca="false">IF(I16&gt;=1000,"",(1000-I16))</f>
        <v>422.845</v>
      </c>
      <c r="Q16" s="22" t="s">
        <v>59</v>
      </c>
      <c r="R16" s="37" t="n">
        <f aca="false">MIN(H2:H31)</f>
        <v>20.581</v>
      </c>
      <c r="S16" s="24"/>
      <c r="V16" s="22"/>
      <c r="W16" s="37"/>
      <c r="X16" s="24"/>
    </row>
    <row r="17" customFormat="false" ht="15" hidden="false" customHeight="false" outlineLevel="0" collapsed="false">
      <c r="A17" s="11" t="n">
        <v>16</v>
      </c>
      <c r="B17" s="11" t="str">
        <f aca="false">TEXT($D17,"ddd")</f>
        <v>Thu</v>
      </c>
      <c r="C17" s="11" t="n">
        <f aca="false">$A$31-$A17</f>
        <v>14</v>
      </c>
      <c r="D17" s="34" t="n">
        <v>45260</v>
      </c>
      <c r="E17" s="34" t="n">
        <v>45261.2570023148</v>
      </c>
      <c r="F17" s="2" t="n">
        <v>94048.176</v>
      </c>
      <c r="G17" s="2" t="n">
        <v>94079.588</v>
      </c>
      <c r="H17" s="3" t="n">
        <v>31.411</v>
      </c>
      <c r="I17" s="13" t="n">
        <f aca="false">(I16+H17)</f>
        <v>608.566</v>
      </c>
      <c r="J17" s="14" t="n">
        <f aca="false">IF($H17&gt;0,$I17/$A17,"")</f>
        <v>38.035375</v>
      </c>
      <c r="K17" s="15" t="n">
        <f aca="false">IF($H17&gt;0,(($H17*$S$7)+$S$8)*(1+$R$9),"")</f>
        <v>6.92010372687102</v>
      </c>
      <c r="L17" s="16" t="n">
        <f aca="false">IF($H17&gt;0,($K17+$L16),"")</f>
        <v>110.880835765549</v>
      </c>
      <c r="M17" s="17" t="n">
        <f aca="false">IF($J17&lt;&gt;"",$J17*(LOOKUP(1E+307,$A:$A)-$A$2),"")</f>
        <v>1103.025875</v>
      </c>
      <c r="N17" s="17" t="n">
        <f aca="false">IF($M17&lt;&gt;"",IF($M17&gt;1000,(($M17*$S$7)+($A17*$S$8))*(1+$R$9)-100,($M17*$S$7)+($A17*$R$9)*(1+$R$9)),"")</f>
        <v>140.256575954383</v>
      </c>
      <c r="O17" s="18" t="n">
        <f aca="false">IF(I17&gt;=1000,"",(1000-I17))</f>
        <v>391.434</v>
      </c>
      <c r="Q17" s="22" t="s">
        <v>60</v>
      </c>
      <c r="R17" s="37" t="n">
        <f aca="false">MAX(H2:H32)</f>
        <v>55.946</v>
      </c>
      <c r="S17" s="24"/>
      <c r="V17" s="22"/>
      <c r="W17" s="37"/>
      <c r="X17" s="24"/>
    </row>
    <row r="18" customFormat="false" ht="15" hidden="false" customHeight="false" outlineLevel="0" collapsed="false">
      <c r="A18" s="11" t="n">
        <v>17</v>
      </c>
      <c r="B18" s="11" t="str">
        <f aca="false">TEXT($D18,"ddd")</f>
        <v>Fri</v>
      </c>
      <c r="C18" s="11" t="n">
        <f aca="false">$A$31-$A18</f>
        <v>13</v>
      </c>
      <c r="D18" s="34" t="n">
        <v>45261</v>
      </c>
      <c r="E18" s="34" t="n">
        <v>45262.2572337963</v>
      </c>
      <c r="F18" s="2" t="n">
        <v>94079.588</v>
      </c>
      <c r="G18" s="2" t="n">
        <v>94100.166</v>
      </c>
      <c r="H18" s="3" t="n">
        <v>20.581</v>
      </c>
      <c r="I18" s="13" t="n">
        <f aca="false">(I17+H18)</f>
        <v>629.147</v>
      </c>
      <c r="J18" s="14" t="n">
        <f aca="false">IF($H18&gt;0,$I18/$A18,"")</f>
        <v>37.0086470588235</v>
      </c>
      <c r="K18" s="15" t="n">
        <f aca="false">IF($H18&gt;0,(($H18*$S$7)+$S$8)*(1+$R$9),"")</f>
        <v>4.58375026557042</v>
      </c>
      <c r="L18" s="16" t="n">
        <f aca="false">IF($H18&gt;0,($K18+$L17),"")</f>
        <v>115.464586031119</v>
      </c>
      <c r="M18" s="17" t="n">
        <f aca="false">IF($J18&lt;&gt;"",$J18*(LOOKUP(1E+307,$A:$A)-$A$2),"")</f>
        <v>1073.25076470588</v>
      </c>
      <c r="N18" s="17" t="n">
        <f aca="false">IF($M18&lt;&gt;"",IF($M18&gt;1000,(($M18*$S$7)+($A18*$S$8))*(1+$R$9)-100,($M18*$S$7)+($A18*$R$9)*(1+$R$9)),"")</f>
        <v>133.977013885393</v>
      </c>
      <c r="O18" s="18" t="n">
        <f aca="false">IF(I18&gt;=1000,"",(1000-I18))</f>
        <v>370.853</v>
      </c>
      <c r="Q18" s="22" t="s">
        <v>61</v>
      </c>
      <c r="R18" s="39" t="n">
        <f aca="false">LOOKUP(S10,$I2:$I32,D2:D32)</f>
        <v>45271</v>
      </c>
      <c r="S18" s="24"/>
      <c r="V18" s="22"/>
      <c r="W18" s="64"/>
      <c r="X18" s="24"/>
    </row>
    <row r="19" customFormat="false" ht="15" hidden="false" customHeight="false" outlineLevel="0" collapsed="false">
      <c r="A19" s="11" t="n">
        <v>18</v>
      </c>
      <c r="B19" s="11" t="str">
        <f aca="false">TEXT($D19,"ddd")</f>
        <v>Sat</v>
      </c>
      <c r="C19" s="11" t="n">
        <f aca="false">$A$31-$A19</f>
        <v>12</v>
      </c>
      <c r="D19" s="34" t="n">
        <v>45262</v>
      </c>
      <c r="E19" s="34" t="n">
        <v>45263.2760532407</v>
      </c>
      <c r="F19" s="2" t="n">
        <v>94100.166</v>
      </c>
      <c r="G19" s="2" t="n">
        <v>94129.531</v>
      </c>
      <c r="H19" s="3" t="n">
        <v>29.365</v>
      </c>
      <c r="I19" s="13" t="n">
        <f aca="false">(I18+H19)</f>
        <v>658.512</v>
      </c>
      <c r="J19" s="14" t="n">
        <f aca="false">IF($H19&gt;0,$I19/$A19,"")</f>
        <v>36.584</v>
      </c>
      <c r="K19" s="15" t="n">
        <f aca="false">IF($H19&gt;0,(($H19*$S$7)+$S$8)*(1+$R$9),"")</f>
        <v>6.4787206075893</v>
      </c>
      <c r="L19" s="16" t="n">
        <f aca="false">IF($H19&gt;0,($K19+$L18),"")</f>
        <v>121.943306638709</v>
      </c>
      <c r="M19" s="17" t="n">
        <f aca="false">IF($J19&lt;&gt;"",$J19*(LOOKUP(1E+307,$A:$A)-$A$2),"")</f>
        <v>1060.936</v>
      </c>
      <c r="N19" s="17" t="n">
        <f aca="false">IF($M19&lt;&gt;"",IF($M19&gt;1000,(($M19*$S$7)+($A19*$S$8))*(1+$R$9)-100,($M19*$S$7)+($A19*$R$9)*(1+$R$9)),"")</f>
        <v>131.464168238431</v>
      </c>
      <c r="O19" s="18" t="n">
        <f aca="false">IF(I19&gt;=1000,"",(1000-I19))</f>
        <v>341.488</v>
      </c>
      <c r="Q19" s="40"/>
      <c r="R19" s="41"/>
      <c r="S19" s="42"/>
      <c r="V19" s="40"/>
      <c r="W19" s="41"/>
      <c r="X19" s="42"/>
    </row>
    <row r="20" customFormat="false" ht="15" hidden="false" customHeight="false" outlineLevel="0" collapsed="false">
      <c r="A20" s="11" t="n">
        <v>19</v>
      </c>
      <c r="B20" s="11" t="str">
        <f aca="false">TEXT($D20,"ddd")</f>
        <v>Sun</v>
      </c>
      <c r="C20" s="11" t="n">
        <f aca="false">$A$31-$A20</f>
        <v>11</v>
      </c>
      <c r="D20" s="34" t="n">
        <v>45263</v>
      </c>
      <c r="E20" s="34" t="n">
        <v>45264.2561689815</v>
      </c>
      <c r="F20" s="2" t="n">
        <v>94129.531</v>
      </c>
      <c r="G20" s="2" t="n">
        <v>94170.144</v>
      </c>
      <c r="H20" s="3" t="n">
        <v>40.616</v>
      </c>
      <c r="I20" s="13" t="n">
        <f aca="false">(I19+H20)</f>
        <v>699.128</v>
      </c>
      <c r="J20" s="14" t="n">
        <f aca="false">IF($H20&gt;0,$I20/$A20,"")</f>
        <v>36.7962105263158</v>
      </c>
      <c r="K20" s="15" t="n">
        <f aca="false">IF($H20&gt;0,(($H20*$S$7)+$S$8)*(1+$R$9),"")</f>
        <v>8.90589630408912</v>
      </c>
      <c r="L20" s="16" t="n">
        <f aca="false">IF($H20&gt;0,($K20+$L19),"")</f>
        <v>130.849202942798</v>
      </c>
      <c r="M20" s="17" t="n">
        <f aca="false">IF($J20&lt;&gt;"",$J20*(LOOKUP(1E+307,$A:$A)-$A$2),"")</f>
        <v>1067.09010526316</v>
      </c>
      <c r="N20" s="17" t="n">
        <f aca="false">IF($M20&lt;&gt;"",IF($M20&gt;1000,(($M20*$S$7)+($A20*$S$8))*(1+$R$9)-100,($M20*$S$7)+($A20*$R$9)*(1+$R$9)),"")</f>
        <v>132.935607751071</v>
      </c>
      <c r="O20" s="18" t="n">
        <f aca="false">IF(I20&gt;=1000,"",(1000-I20))</f>
        <v>300.872</v>
      </c>
    </row>
    <row r="21" customFormat="false" ht="15" hidden="false" customHeight="false" outlineLevel="0" collapsed="false">
      <c r="A21" s="11" t="n">
        <v>20</v>
      </c>
      <c r="B21" s="11" t="str">
        <f aca="false">TEXT($D21,"ddd")</f>
        <v>Mon</v>
      </c>
      <c r="C21" s="11" t="n">
        <f aca="false">$A$31-$A21</f>
        <v>10</v>
      </c>
      <c r="D21" s="34" t="n">
        <v>45264</v>
      </c>
      <c r="E21" s="34" t="n">
        <v>45265.2571296296</v>
      </c>
      <c r="F21" s="2" t="n">
        <v>94170.144</v>
      </c>
      <c r="G21" s="2" t="n">
        <v>94215.311</v>
      </c>
      <c r="H21" s="3" t="n">
        <v>45.166</v>
      </c>
      <c r="I21" s="13" t="n">
        <f aca="false">(I20+H21)</f>
        <v>744.294</v>
      </c>
      <c r="J21" s="14" t="n">
        <f aca="false">IF($H21&gt;0,$I21/$A21,"")</f>
        <v>37.2147</v>
      </c>
      <c r="K21" s="15" t="n">
        <f aca="false">IF($H21&gt;0,(($H21*$S$7)+$S$8)*(1+$R$9),"")</f>
        <v>9.88746677952012</v>
      </c>
      <c r="L21" s="16" t="n">
        <f aca="false">IF($H21&gt;0,($K21+$L20),"")</f>
        <v>140.736669722318</v>
      </c>
      <c r="M21" s="17" t="n">
        <f aca="false">IF($J21&lt;&gt;"",$J21*(LOOKUP(1E+307,$A:$A)-$A$2),"")</f>
        <v>1079.2263</v>
      </c>
      <c r="N21" s="17" t="n">
        <f aca="false">IF($M21&lt;&gt;"",IF($M21&gt;1000,(($M21*$S$7)+($A21*$S$8))*(1+$R$9)-100,($M21*$S$7)+($A21*$R$9)*(1+$R$9)),"")</f>
        <v>135.697562078822</v>
      </c>
      <c r="O21" s="18" t="n">
        <f aca="false">IF(I21&gt;=1000,"",(1000-I21))</f>
        <v>255.706</v>
      </c>
      <c r="Q21" s="29" t="n">
        <f aca="false">($I2*$S$7)</f>
        <v>7.490061978</v>
      </c>
    </row>
    <row r="22" customFormat="false" ht="15" hidden="false" customHeight="false" outlineLevel="0" collapsed="false">
      <c r="A22" s="11" t="n">
        <v>21</v>
      </c>
      <c r="B22" s="11" t="str">
        <f aca="false">TEXT($D22,"ddd")</f>
        <v>Tue</v>
      </c>
      <c r="C22" s="11" t="n">
        <f aca="false">$A$31-$A22</f>
        <v>9</v>
      </c>
      <c r="D22" s="34" t="n">
        <v>45265</v>
      </c>
      <c r="E22" s="34" t="n">
        <v>45266.2572222222</v>
      </c>
      <c r="F22" s="2" t="n">
        <v>94215.311</v>
      </c>
      <c r="G22" s="2" t="n">
        <v>94248.439</v>
      </c>
      <c r="H22" s="3" t="n">
        <v>33.131</v>
      </c>
      <c r="I22" s="13" t="n">
        <f aca="false">(I21+H22)</f>
        <v>777.425</v>
      </c>
      <c r="J22" s="14" t="n">
        <f aca="false">IF($H22&gt;0,$I22/$A22,"")</f>
        <v>37.0202380952381</v>
      </c>
      <c r="K22" s="15" t="n">
        <f aca="false">IF($H22&gt;0,(($H22*$S$7)+$S$8)*(1+$R$9),"")</f>
        <v>7.29115893956142</v>
      </c>
      <c r="L22" s="16" t="n">
        <f aca="false">IF($H22&gt;0,($K22+$L21),"")</f>
        <v>148.027828661879</v>
      </c>
      <c r="M22" s="17" t="n">
        <f aca="false">IF($J22&lt;&gt;"",$J22*(LOOKUP(1E+307,$A:$A)-$A$2),"")</f>
        <v>1073.5869047619</v>
      </c>
      <c r="N22" s="17" t="n">
        <f aca="false">IF($M22&lt;&gt;"",IF($M22&gt;1000,(($M22*$S$7)+($A22*$S$8))*(1+$R$9)-100,($M22*$S$7)+($A22*$R$9)*(1+$R$9)),"")</f>
        <v>134.624792383986</v>
      </c>
      <c r="O22" s="18" t="n">
        <f aca="false">IF(I22&gt;=1000,"",(1000-I22))</f>
        <v>222.575</v>
      </c>
      <c r="Q22" s="10" t="n">
        <f aca="false">(S8)</f>
        <v>0.141</v>
      </c>
    </row>
    <row r="23" customFormat="false" ht="15" hidden="false" customHeight="false" outlineLevel="0" collapsed="false">
      <c r="A23" s="11" t="n">
        <v>22</v>
      </c>
      <c r="B23" s="11" t="str">
        <f aca="false">TEXT($D23,"ddd")</f>
        <v>Wed</v>
      </c>
      <c r="C23" s="11" t="n">
        <f aca="false">$A$31-$A23</f>
        <v>8</v>
      </c>
      <c r="D23" s="34" t="n">
        <v>45266</v>
      </c>
      <c r="E23" s="34" t="n">
        <v>45267.25625</v>
      </c>
      <c r="F23" s="2" t="n">
        <v>94248.439</v>
      </c>
      <c r="G23" s="2" t="n">
        <v>94279.36</v>
      </c>
      <c r="H23" s="3" t="n">
        <v>30.918</v>
      </c>
      <c r="I23" s="13" t="n">
        <f aca="false">(I22+H23)</f>
        <v>808.343</v>
      </c>
      <c r="J23" s="14" t="n">
        <f aca="false">IF($H23&gt;0,$I23/$A23,"")</f>
        <v>36.7428636363636</v>
      </c>
      <c r="K23" s="15" t="n">
        <f aca="false">IF($H23&gt;0,(($H23*$S$7)+$S$8)*(1+$R$9),"")</f>
        <v>6.81374894788476</v>
      </c>
      <c r="L23" s="16" t="n">
        <f aca="false">IF($H23&gt;0,($K23+$L22),"")</f>
        <v>154.841577609764</v>
      </c>
      <c r="M23" s="17" t="n">
        <f aca="false">IF($J23&lt;&gt;"",$J23*(LOOKUP(1E+307,$A:$A)-$A$2),"")</f>
        <v>1065.54304545455</v>
      </c>
      <c r="N23" s="17" t="n">
        <f aca="false">IF($M23&lt;&gt;"",IF($M23&gt;1000,(($M23*$S$7)+($A23*$S$8))*(1+$R$9)-100,($M23*$S$7)+($A23*$R$9)*(1+$R$9)),"")</f>
        <v>133.033308196926</v>
      </c>
      <c r="O23" s="18" t="n">
        <f aca="false">IF(I23&gt;=1000,"",(1000-I23))</f>
        <v>191.657</v>
      </c>
      <c r="Q23" s="29" t="n">
        <f aca="false">SUM(Q21:Q22)</f>
        <v>7.631061978</v>
      </c>
      <c r="X23" s="10" t="n">
        <f aca="false">S5-X5</f>
        <v>0.008339</v>
      </c>
    </row>
    <row r="24" customFormat="false" ht="15" hidden="false" customHeight="false" outlineLevel="0" collapsed="false">
      <c r="A24" s="11" t="n">
        <v>23</v>
      </c>
      <c r="B24" s="11" t="str">
        <f aca="false">TEXT($D24,"ddd")</f>
        <v>Thu</v>
      </c>
      <c r="C24" s="11" t="n">
        <f aca="false">$A$31-$A24</f>
        <v>7</v>
      </c>
      <c r="D24" s="34" t="n">
        <v>45267</v>
      </c>
      <c r="E24" s="34" t="n">
        <v>45268.2572685185</v>
      </c>
      <c r="F24" s="2" t="n">
        <v>94279.36</v>
      </c>
      <c r="G24" s="2" t="n">
        <v>94317.34</v>
      </c>
      <c r="H24" s="3" t="n">
        <v>37.98</v>
      </c>
      <c r="I24" s="13" t="n">
        <f aca="false">(I23+H24)</f>
        <v>846.323</v>
      </c>
      <c r="J24" s="14" t="n">
        <f aca="false">IF($H24&gt;0,$I24/$A24,"")</f>
        <v>36.796652173913</v>
      </c>
      <c r="K24" s="15" t="n">
        <f aca="false">IF($H24&gt;0,(($H24*$S$7)+$S$8)*(1+$R$9),"")</f>
        <v>8.3372326176636</v>
      </c>
      <c r="L24" s="16" t="n">
        <f aca="false">IF($H24&gt;0,($K24+$L23),"")</f>
        <v>163.178810227428</v>
      </c>
      <c r="M24" s="17" t="n">
        <f aca="false">IF($J24&lt;&gt;"",$J24*(LOOKUP(1E+307,$A:$A)-$A$2),"")</f>
        <v>1067.10291304348</v>
      </c>
      <c r="N24" s="17" t="n">
        <f aca="false">IF($M24&lt;&gt;"",IF($M24&gt;1000,(($M24*$S$7)+($A24*$S$8))*(1+$R$9)-100,($M24*$S$7)+($A24*$R$9)*(1+$R$9)),"")</f>
        <v>133.513633850636</v>
      </c>
      <c r="O24" s="18" t="n">
        <f aca="false">IF(I24&gt;=1000,"",(1000-I24))</f>
        <v>153.677</v>
      </c>
      <c r="Q24" s="29" t="n">
        <f aca="false">(Q23*R9)</f>
        <v>0.15239230770066</v>
      </c>
      <c r="X24" s="10" t="n">
        <f aca="false">S6-X6</f>
        <v>0.0498225806451613</v>
      </c>
    </row>
    <row r="25" customFormat="false" ht="15" hidden="false" customHeight="false" outlineLevel="0" collapsed="false">
      <c r="A25" s="11" t="n">
        <v>24</v>
      </c>
      <c r="B25" s="11" t="str">
        <f aca="false">TEXT($D25,"ddd")</f>
        <v>Fri</v>
      </c>
      <c r="C25" s="11" t="n">
        <f aca="false">$A$31-$A25</f>
        <v>6</v>
      </c>
      <c r="D25" s="34" t="n">
        <v>45268</v>
      </c>
      <c r="E25" s="34" t="n">
        <v>45269.256875</v>
      </c>
      <c r="F25" s="2" t="n">
        <v>94317.34</v>
      </c>
      <c r="G25" s="2" t="n">
        <v>94349.262</v>
      </c>
      <c r="H25" s="3" t="n">
        <v>31.92</v>
      </c>
      <c r="I25" s="13" t="n">
        <f aca="false">(I24+H25)</f>
        <v>878.243</v>
      </c>
      <c r="J25" s="14" t="n">
        <f aca="false">IF($H25&gt;0,$I25/$A25,"")</f>
        <v>36.5934583333333</v>
      </c>
      <c r="K25" s="15" t="n">
        <f aca="false">IF($H25&gt;0,(($H25*$S$7)+$S$8)*(1+$R$9),"")</f>
        <v>7.0299101822544</v>
      </c>
      <c r="L25" s="16" t="n">
        <f aca="false">IF($H25&gt;0,($K25+$L24),"")</f>
        <v>170.208720409682</v>
      </c>
      <c r="M25" s="17" t="n">
        <f aca="false">IF($J25&lt;&gt;"",$J25*(LOOKUP(1E+307,$A:$A)-$A$2),"")</f>
        <v>1061.21029166667</v>
      </c>
      <c r="N25" s="17" t="n">
        <f aca="false">IF($M25&lt;&gt;"",IF($M25&gt;1000,(($M25*$S$7)+($A25*$S$8))*(1+$R$9)-100,($M25*$S$7)+($A25*$R$9)*(1+$R$9)),"")</f>
        <v>132.386235737916</v>
      </c>
      <c r="O25" s="18" t="n">
        <f aca="false">IF(I25&gt;=1000,"",(1000-I25))</f>
        <v>121.757</v>
      </c>
      <c r="Q25" s="29" t="n">
        <f aca="false">SUM(Q23:Q24)</f>
        <v>7.78345428570066</v>
      </c>
    </row>
    <row r="26" customFormat="false" ht="15" hidden="false" customHeight="false" outlineLevel="0" collapsed="false">
      <c r="A26" s="11" t="n">
        <v>25</v>
      </c>
      <c r="B26" s="11" t="str">
        <f aca="false">TEXT($D26,"ddd")</f>
        <v>Sat</v>
      </c>
      <c r="C26" s="11" t="n">
        <f aca="false">$A$31-$A26</f>
        <v>5</v>
      </c>
      <c r="D26" s="34" t="n">
        <v>45269</v>
      </c>
      <c r="E26" s="34" t="n">
        <v>45270.2782060185</v>
      </c>
      <c r="F26" s="2" t="n">
        <v>94349.262</v>
      </c>
      <c r="G26" s="2" t="n">
        <v>94377.276</v>
      </c>
      <c r="H26" s="3" t="n">
        <v>28.015</v>
      </c>
      <c r="I26" s="13" t="n">
        <f aca="false">(I25+H26)</f>
        <v>906.258</v>
      </c>
      <c r="J26" s="14" t="n">
        <f aca="false">IF($H26&gt;0,$I26/$A26,"")</f>
        <v>36.25032</v>
      </c>
      <c r="K26" s="15" t="n">
        <f aca="false">IF($H26&gt;0,(($H26*$S$7)+$S$8)*(1+$R$9),"")</f>
        <v>6.1874854115823</v>
      </c>
      <c r="L26" s="16" t="n">
        <f aca="false">IF($H26&gt;0,($K26+$L25),"")</f>
        <v>176.396205821264</v>
      </c>
      <c r="M26" s="17" t="n">
        <f aca="false">IF($J26&lt;&gt;"",$J26*(LOOKUP(1E+307,$A:$A)-$A$2),"")</f>
        <v>1051.25928</v>
      </c>
      <c r="N26" s="17" t="n">
        <f aca="false">IF($M26&lt;&gt;"",IF($M26&gt;1000,(($M26*$S$7)+($A26*$S$8))*(1+$R$9)-100,($M26*$S$7)+($A26*$R$9)*(1+$R$9)),"")</f>
        <v>130.383322001835</v>
      </c>
      <c r="O26" s="18" t="n">
        <f aca="false">IF(I26&gt;=1000,"",(1000-I26))</f>
        <v>93.7420000000002</v>
      </c>
      <c r="X26" s="10" t="n">
        <f aca="false">S7-X7</f>
        <v>0.0581615806451613</v>
      </c>
    </row>
    <row r="27" customFormat="false" ht="15" hidden="false" customHeight="false" outlineLevel="0" collapsed="false">
      <c r="A27" s="11" t="n">
        <v>26</v>
      </c>
      <c r="B27" s="11" t="str">
        <f aca="false">TEXT($D27,"ddd")</f>
        <v>Sun</v>
      </c>
      <c r="C27" s="11" t="n">
        <f aca="false">$A$31-$A27</f>
        <v>4</v>
      </c>
      <c r="D27" s="34" t="n">
        <v>45270</v>
      </c>
      <c r="E27" s="34" t="n">
        <v>45271.2558564815</v>
      </c>
      <c r="F27" s="2" t="n">
        <v>94377.276</v>
      </c>
      <c r="G27" s="2" t="n">
        <v>94418.527</v>
      </c>
      <c r="H27" s="3" t="n">
        <v>41.252</v>
      </c>
      <c r="I27" s="13" t="n">
        <f aca="false">(I26+H27)</f>
        <v>947.51</v>
      </c>
      <c r="J27" s="14" t="n">
        <f aca="false">IF($H27&gt;0,$I27/$A27,"")</f>
        <v>36.4426923076923</v>
      </c>
      <c r="K27" s="15" t="n">
        <f aca="false">IF($H27&gt;0,(($H27*$S$7)+$S$8)*(1+$R$9),"")</f>
        <v>9.04310044087464</v>
      </c>
      <c r="L27" s="16" t="n">
        <f aca="false">IF($H27&gt;0,($K27+$L26),"")</f>
        <v>185.439306262139</v>
      </c>
      <c r="M27" s="17" t="n">
        <f aca="false">IF($J27&lt;&gt;"",$J27*(LOOKUP(1E+307,$A:$A)-$A$2),"")</f>
        <v>1056.83807692308</v>
      </c>
      <c r="N27" s="17" t="n">
        <f aca="false">IF($M27&lt;&gt;"",IF($M27&gt;1000,(($M27*$S$7)+($A27*$S$8))*(1+$R$9)-100,($M27*$S$7)+($A27*$R$9)*(1+$R$9)),"")</f>
        <v>131.730650375817</v>
      </c>
      <c r="O27" s="18" t="n">
        <f aca="false">IF(I27&gt;=1000,"",(1000-I27))</f>
        <v>52.4900000000002</v>
      </c>
      <c r="Q27" s="29" t="s">
        <v>85</v>
      </c>
    </row>
    <row r="28" customFormat="false" ht="15" hidden="false" customHeight="false" outlineLevel="0" collapsed="false">
      <c r="A28" s="11" t="n">
        <v>27</v>
      </c>
      <c r="B28" s="11" t="str">
        <f aca="false">TEXT($D28,"ddd")</f>
        <v>Mon</v>
      </c>
      <c r="C28" s="11" t="n">
        <f aca="false">$A$31-$A28</f>
        <v>3</v>
      </c>
      <c r="D28" s="34" t="n">
        <v>45271</v>
      </c>
      <c r="E28" s="34" t="n">
        <v>45272.2571412037</v>
      </c>
      <c r="F28" s="2" t="n">
        <v>94418.527</v>
      </c>
      <c r="G28" s="2" t="n">
        <v>94468.219</v>
      </c>
      <c r="H28" s="3" t="n">
        <v>49.69</v>
      </c>
      <c r="I28" s="13" t="n">
        <f aca="false">(I27+H28)</f>
        <v>997.2</v>
      </c>
      <c r="J28" s="14" t="n">
        <f aca="false">IF($H28&gt;0,$I28/$A28,"")</f>
        <v>36.9333333333333</v>
      </c>
      <c r="K28" s="15" t="n">
        <f aca="false">IF($H28&gt;0,(($H28*$S$7)+$S$8)*(1+$R$9),"")</f>
        <v>10.8634282808058</v>
      </c>
      <c r="L28" s="16" t="n">
        <f aca="false">IF($H28&gt;0,($K28+$L27),"")</f>
        <v>196.302734542945</v>
      </c>
      <c r="M28" s="17" t="n">
        <f aca="false">IF($J28&lt;&gt;"",$J28*(LOOKUP(1E+307,$A:$A)-$A$2),"")</f>
        <v>1071.06666666667</v>
      </c>
      <c r="N28" s="17" t="n">
        <f aca="false">IF($M28&lt;&gt;"",IF($M28&gt;1000,(($M28*$S$7)+($A28*$S$8))*(1+$R$9)-100,($M28*$S$7)+($A28*$R$9)*(1+$R$9)),"")</f>
        <v>134.943996607208</v>
      </c>
      <c r="O28" s="18" t="n">
        <f aca="false">IF(I28&gt;=1000,"",(1000-I28))</f>
        <v>2.80000000000018</v>
      </c>
      <c r="Q28" s="29"/>
    </row>
    <row r="29" customFormat="false" ht="15" hidden="false" customHeight="false" outlineLevel="0" collapsed="false">
      <c r="A29" s="11" t="n">
        <v>28</v>
      </c>
      <c r="B29" s="11" t="str">
        <f aca="false">TEXT($D29,"ddd")</f>
        <v>Tue</v>
      </c>
      <c r="C29" s="11" t="n">
        <f aca="false">$A$31-$A29</f>
        <v>2</v>
      </c>
      <c r="D29" s="34" t="n">
        <v>45272</v>
      </c>
      <c r="E29" s="34" t="n">
        <v>45273.2569675926</v>
      </c>
      <c r="F29" s="2" t="n">
        <v>94468.219</v>
      </c>
      <c r="G29" s="2" t="n">
        <v>94509.085</v>
      </c>
      <c r="H29" s="3" t="n">
        <v>40.863</v>
      </c>
      <c r="I29" s="65" t="n">
        <f aca="false">(I28+H29)</f>
        <v>1038.063</v>
      </c>
      <c r="J29" s="14" t="n">
        <f aca="false">IF($H29&gt;0,$I29/$A29,"")</f>
        <v>37.0736785714286</v>
      </c>
      <c r="K29" s="15" t="n">
        <f aca="false">IF($H29&gt;0,(($H29*$S$7)+$S$8)*(1+$R$9),"")</f>
        <v>8.95918155846966</v>
      </c>
      <c r="L29" s="16" t="n">
        <f aca="false">IF($H29&gt;0,($K29+$L28),"")</f>
        <v>205.261916101414</v>
      </c>
      <c r="M29" s="17" t="n">
        <f aca="false">IF($J29&lt;&gt;"",$J29*(LOOKUP(1E+307,$A:$A)-$A$2),"")</f>
        <v>1075.13667857143</v>
      </c>
      <c r="N29" s="17" t="n">
        <f aca="false">IF($M29&lt;&gt;"",IF($M29&gt;1000,(($M29*$S$7)+($A29*$S$8))*(1+$R$9)-100,($M29*$S$7)+($A29*$R$9)*(1+$R$9)),"")</f>
        <v>135.965835128937</v>
      </c>
      <c r="O29" s="18" t="str">
        <f aca="false">IF(I29&gt;=1000,"",(1000-I29))</f>
        <v/>
      </c>
    </row>
    <row r="30" customFormat="false" ht="15" hidden="false" customHeight="false" outlineLevel="0" collapsed="false">
      <c r="A30" s="11" t="n">
        <v>29</v>
      </c>
      <c r="B30" s="11" t="str">
        <f aca="false">TEXT($D30,"ddd")</f>
        <v>Wed</v>
      </c>
      <c r="C30" s="11" t="n">
        <f aca="false">$A$31-$A30</f>
        <v>1</v>
      </c>
      <c r="D30" s="34" t="n">
        <v>45273</v>
      </c>
      <c r="E30" s="34" t="n">
        <v>45274.2568981481</v>
      </c>
      <c r="F30" s="2" t="n">
        <v>94509.085</v>
      </c>
      <c r="G30" s="2" t="n">
        <v>94554.012</v>
      </c>
      <c r="H30" s="3" t="n">
        <v>44.923</v>
      </c>
      <c r="I30" s="13" t="n">
        <f aca="false">(I29+H30)</f>
        <v>1082.986</v>
      </c>
      <c r="J30" s="14" t="n">
        <f aca="false">IF($H30&gt;0,$I30/$A30,"")</f>
        <v>37.3443448275862</v>
      </c>
      <c r="K30" s="15" t="n">
        <f aca="false">IF($H30&gt;0,(($H30*$S$7)+$S$8)*(1+$R$9),"")</f>
        <v>9.83504444423886</v>
      </c>
      <c r="L30" s="16" t="n">
        <f aca="false">IF($H30&gt;0,($K30+$L29),"")</f>
        <v>215.096960545653</v>
      </c>
      <c r="M30" s="17" t="n">
        <f aca="false">IF($J30&lt;&gt;"",$J30*(LOOKUP(1E+307,$A:$A)-$A$2),"")</f>
        <v>1082.986</v>
      </c>
      <c r="N30" s="17" t="n">
        <f aca="false">IF($M30&lt;&gt;"",IF($M30&gt;1000,(($M30*$S$7)+($A30*$S$8))*(1+$R$9)-100,($M30*$S$7)+($A30*$R$9)*(1+$R$9)),"")</f>
        <v>137.802983243212</v>
      </c>
      <c r="O30" s="18" t="str">
        <f aca="false">IF(I30&gt;=1000,"",(1000-I30))</f>
        <v/>
      </c>
      <c r="Q30" s="29" t="s">
        <v>86</v>
      </c>
    </row>
    <row r="31" customFormat="false" ht="15" hidden="false" customHeight="false" outlineLevel="0" collapsed="false">
      <c r="A31" s="11" t="n">
        <v>30</v>
      </c>
      <c r="B31" s="11" t="str">
        <f aca="false">TEXT($D31,"ddd")</f>
        <v>Thu</v>
      </c>
      <c r="C31" s="11" t="n">
        <f aca="false">$A$31-$A31</f>
        <v>0</v>
      </c>
      <c r="D31" s="34" t="n">
        <v>45274</v>
      </c>
      <c r="E31" s="34" t="n">
        <v>45275.2574074074</v>
      </c>
      <c r="F31" s="2" t="n">
        <v>94554.012</v>
      </c>
      <c r="G31" s="2" t="n">
        <v>94588.168</v>
      </c>
      <c r="H31" s="3" t="n">
        <v>34.161</v>
      </c>
      <c r="I31" s="13" t="n">
        <f aca="false">(I30+H31)</f>
        <v>1117.147</v>
      </c>
      <c r="J31" s="14" t="n">
        <f aca="false">IF($H31&gt;0,$I31/$A31,"")</f>
        <v>37.2382333333333</v>
      </c>
      <c r="K31" s="15" t="n">
        <f aca="false">IF($H31&gt;0,(($H31*$S$7)+$S$8)*(1+$R$9),"")</f>
        <v>7.51336060762602</v>
      </c>
      <c r="L31" s="16" t="n">
        <f aca="false">IF($H31&gt;0,($K31+$L30),"")</f>
        <v>222.610321153279</v>
      </c>
      <c r="M31" s="17" t="n">
        <f aca="false">IF($J31&lt;&gt;"",$J31*(LOOKUP(1E+307,$A:$A)-$A$2),"")</f>
        <v>1079.90876666667</v>
      </c>
      <c r="N31" s="17" t="n">
        <f aca="false">IF($M31&lt;&gt;"",IF($M31&gt;1000,(($M31*$S$7)+($A31*$S$8))*(1+$R$9)-100,($M31*$S$7)+($A31*$R$9)*(1+$R$9)),"")</f>
        <v>137.282948159144</v>
      </c>
      <c r="O31" s="18" t="str">
        <f aca="false">IF(I31&gt;=1000,"",(1000-I31))</f>
        <v/>
      </c>
    </row>
    <row r="32" customFormat="false" ht="15" hidden="false" customHeight="false" outlineLevel="0" collapsed="false">
      <c r="A32" s="11"/>
      <c r="B32" s="11"/>
      <c r="C32" s="11"/>
      <c r="H32" s="3"/>
      <c r="I32" s="13"/>
      <c r="J32" s="14" t="str">
        <f aca="false">IF($H32&gt;0,$I32/$A32,"")</f>
        <v/>
      </c>
      <c r="K32" s="15" t="str">
        <f aca="false">IF($H32&gt;0,(($H32*$S$7)+$S$8)*(1+$R$9),"")</f>
        <v/>
      </c>
      <c r="L32" s="16" t="str">
        <f aca="false">IF($H32&gt;0,($K32+$L31),"")</f>
        <v/>
      </c>
      <c r="M32" s="17" t="str">
        <f aca="false">IF($J32&lt;&gt;"",$J32*(LOOKUP(1E+307,$A:$A)-$A$2),"")</f>
        <v/>
      </c>
      <c r="N32" s="17" t="str">
        <f aca="false">IF($M32&lt;&gt;"",IF($M32&gt;1000,(($M32*$S$7)+($A32*$S$8))*(1+$R$9)-100,($M32*$S$7)+($A32*$R$9)*(1+$R$9)),"")</f>
        <v/>
      </c>
      <c r="O32" s="18" t="n">
        <f aca="false">IF(I32&gt;=1000,"",(1000-I32))</f>
        <v>1000</v>
      </c>
    </row>
    <row r="33" customFormat="false" ht="15" hidden="false" customHeight="false" outlineLevel="0" collapsed="false">
      <c r="A33" s="11"/>
      <c r="B33" s="11"/>
      <c r="C33" s="11"/>
      <c r="D33" s="1"/>
      <c r="E33" s="1"/>
      <c r="H33" s="3"/>
      <c r="I33" s="13" t="str">
        <f aca="false">IF($H33&gt;0,I32+H33,"")</f>
        <v/>
      </c>
      <c r="J33" s="14" t="str">
        <f aca="false">IF($H33&gt;0,$I33/$A33,"")</f>
        <v/>
      </c>
      <c r="K33" s="15" t="str">
        <f aca="false">IF($H33&lt;&gt;"",(($H33*$S$7)+($A33*$S$8))*(1+$S$9),"")</f>
        <v/>
      </c>
      <c r="L33" s="16" t="str">
        <f aca="false">IF($K33&lt;&gt;"",($K33+$L32),"")</f>
        <v/>
      </c>
      <c r="M33" s="17" t="str">
        <f aca="false">IF($J33&lt;&gt;"",$J33*(LOOKUP(1E+307,$A:$A)-$A$2),"")</f>
        <v/>
      </c>
      <c r="N33" s="17" t="str">
        <f aca="false">IF($M33&lt;&gt;"",IF($M33&gt;1000,(($M33*$S$7)+($A33*$S$8))*(1+$R$9)-100,($M33*$S$7)+($A33*$R$9)*(1+$R$9)),"")</f>
        <v/>
      </c>
      <c r="O33" s="18" t="str">
        <f aca="false">IF(I33&gt;=1000,"",(1000-I33))</f>
        <v/>
      </c>
      <c r="Q33" s="29" t="n">
        <f aca="false">((I2*$S$7)+$S$8)*(1+$R$9)</f>
        <v>7.78345428570066</v>
      </c>
    </row>
    <row r="34" customFormat="false" ht="15" hidden="false" customHeight="false" outlineLevel="0" collapsed="false">
      <c r="A34" s="11"/>
      <c r="B34" s="11"/>
      <c r="C34" s="11"/>
      <c r="I34" s="66"/>
      <c r="J34" s="45"/>
      <c r="K34" s="27"/>
      <c r="L34" s="66"/>
      <c r="M34" s="66"/>
      <c r="N34" s="45"/>
      <c r="O34" s="66" t="n">
        <f aca="false">IF(I34&gt;=1000,"",(1000-I34))</f>
        <v>1000</v>
      </c>
      <c r="P34" s="45"/>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1117.147</v>
      </c>
      <c r="L38" s="0" t="n">
        <v>145.77</v>
      </c>
    </row>
    <row r="39" customFormat="false" ht="15" hidden="false" customHeight="false" outlineLevel="0" collapsed="false">
      <c r="P39" s="34"/>
      <c r="Q39" s="48"/>
    </row>
    <row r="40" customFormat="false" ht="15" hidden="false" customHeight="false" outlineLevel="0" collapsed="false">
      <c r="P40" s="34"/>
      <c r="Q40" s="48"/>
    </row>
    <row r="41" customFormat="false" ht="15" hidden="false" customHeight="false" outlineLevel="0" collapsed="false">
      <c r="P41" s="34"/>
      <c r="Q41" s="48"/>
    </row>
    <row r="42" customFormat="false" ht="15" hidden="false" customHeight="false" outlineLevel="0" collapsed="false">
      <c r="P42" s="34"/>
      <c r="Q42" s="48"/>
    </row>
    <row r="43" customFormat="false" ht="15" hidden="false" customHeight="false" outlineLevel="0" collapsed="false">
      <c r="P43" s="34"/>
      <c r="Q43" s="48"/>
    </row>
    <row r="44" customFormat="false" ht="15" hidden="false" customHeight="false" outlineLevel="0" collapsed="false">
      <c r="P44" s="34"/>
      <c r="Q44" s="48"/>
    </row>
    <row r="45" customFormat="false" ht="15" hidden="false" customHeight="false" outlineLevel="0" collapsed="false">
      <c r="P45" s="34"/>
      <c r="Q45" s="48"/>
    </row>
    <row r="46" customFormat="false" ht="15" hidden="false" customHeight="false" outlineLevel="0" collapsed="false">
      <c r="P46" s="34"/>
      <c r="Q46" s="48"/>
    </row>
    <row r="47" customFormat="false" ht="15" hidden="false" customHeight="false" outlineLevel="0" collapsed="false">
      <c r="P47" s="34"/>
      <c r="Q47" s="48"/>
    </row>
    <row r="48" customFormat="false" ht="15" hidden="false" customHeight="false" outlineLevel="0" collapsed="false">
      <c r="P48" s="34"/>
      <c r="Q48" s="48"/>
    </row>
    <row r="49" customFormat="false" ht="15" hidden="false" customHeight="false" outlineLevel="0" collapsed="false">
      <c r="P49" s="34"/>
      <c r="Q49" s="48"/>
    </row>
    <row r="50" customFormat="false" ht="15" hidden="false" customHeight="false" outlineLevel="0" collapsed="false">
      <c r="P50" s="34"/>
      <c r="Q50" s="48"/>
    </row>
    <row r="51" customFormat="false" ht="15" hidden="false" customHeight="false" outlineLevel="0" collapsed="false">
      <c r="P51" s="34"/>
      <c r="Q51" s="48"/>
    </row>
    <row r="52" customFormat="false" ht="15" hidden="false" customHeight="false" outlineLevel="0" collapsed="false">
      <c r="P52" s="34"/>
      <c r="Q52" s="48"/>
    </row>
    <row r="53" customFormat="false" ht="15" hidden="false" customHeight="false" outlineLevel="0" collapsed="false">
      <c r="P53" s="34"/>
      <c r="Q53" s="48"/>
    </row>
    <row r="54" customFormat="false" ht="15" hidden="false" customHeight="false" outlineLevel="0" collapsed="false">
      <c r="P54" s="34"/>
      <c r="Q54" s="48"/>
    </row>
    <row r="55" customFormat="false" ht="15" hidden="false" customHeight="false" outlineLevel="0" collapsed="false">
      <c r="P55" s="34"/>
      <c r="Q55" s="48"/>
    </row>
    <row r="56" customFormat="false" ht="15" hidden="false" customHeight="false" outlineLevel="0" collapsed="false">
      <c r="P56" s="34"/>
      <c r="Q56" s="48"/>
    </row>
    <row r="57" customFormat="false" ht="15" hidden="false" customHeight="false" outlineLevel="0" collapsed="false">
      <c r="P57" s="34"/>
      <c r="Q57" s="48"/>
    </row>
    <row r="58" customFormat="false" ht="15" hidden="false" customHeight="false" outlineLevel="0" collapsed="false">
      <c r="P58" s="34"/>
      <c r="Q58" s="48"/>
    </row>
    <row r="59" customFormat="false" ht="15" hidden="false" customHeight="false" outlineLevel="0" collapsed="false">
      <c r="P59" s="34"/>
      <c r="Q59" s="48"/>
    </row>
    <row r="60" customFormat="false" ht="15" hidden="false" customHeight="false" outlineLevel="0" collapsed="false">
      <c r="P60" s="34"/>
      <c r="Q60" s="48"/>
    </row>
    <row r="61" customFormat="false" ht="15" hidden="false" customHeight="false" outlineLevel="0" collapsed="false">
      <c r="P61" s="34"/>
      <c r="Q61" s="48"/>
    </row>
    <row r="62" customFormat="false" ht="15" hidden="false" customHeight="false" outlineLevel="0" collapsed="false">
      <c r="P62" s="34"/>
      <c r="Q62" s="48"/>
    </row>
    <row r="63" customFormat="false" ht="15" hidden="false" customHeight="false" outlineLevel="0" collapsed="false">
      <c r="P63" s="34"/>
      <c r="Q63" s="48"/>
    </row>
    <row r="64" customFormat="false" ht="15" hidden="false" customHeight="false" outlineLevel="0" collapsed="false">
      <c r="P64" s="34"/>
      <c r="Q64" s="48"/>
    </row>
    <row r="65" customFormat="false" ht="15" hidden="false" customHeight="false" outlineLevel="0" collapsed="false">
      <c r="P65" s="34"/>
      <c r="Q65" s="48"/>
    </row>
    <row r="66" customFormat="false" ht="15" hidden="false" customHeight="false" outlineLevel="0" collapsed="false">
      <c r="P66" s="34"/>
      <c r="Q66" s="48"/>
    </row>
    <row r="67" customFormat="false" ht="15" hidden="false" customHeight="false" outlineLevel="0" collapsed="false">
      <c r="P67" s="34"/>
      <c r="Q67" s="48"/>
    </row>
  </sheetData>
  <conditionalFormatting sqref="V1:V19">
    <cfRule type="expression" priority="2" aboveAverage="0" equalAverage="0" bottom="0" percent="0" rank="0" text="" dxfId="12">
      <formula>" =CELL(“Protect”,A1)=1"</formula>
    </cfRule>
    <cfRule type="expression" priority="3" aboveAverage="0" equalAverage="0" bottom="0" percent="0" rank="0" text="" dxfId="1">
      <formula>" =CELL(“Protect”,A1)=1"</formula>
    </cfRule>
  </conditionalFormatting>
  <conditionalFormatting sqref="A1:I1 K1:O1 Q1:Q19">
    <cfRule type="expression" priority="4" aboveAverage="0" equalAverage="0" bottom="0" percent="0" rank="0" text="" dxfId="13">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O2" activeCellId="0" sqref="O2"/>
    </sheetView>
  </sheetViews>
  <sheetFormatPr defaultColWidth="8.453125" defaultRowHeight="15" zeroHeight="false" outlineLevelRow="0" outlineLevelCol="0"/>
  <cols>
    <col collapsed="false" customWidth="true" hidden="false" outlineLevel="0" max="1" min="1" style="0" width="6.14"/>
    <col collapsed="false" customWidth="true" hidden="false" outlineLevel="0" max="3" min="2" style="0" width="6.29"/>
    <col collapsed="false" customWidth="true" hidden="false" outlineLevel="0" max="5" min="4" style="51" width="8.71"/>
    <col collapsed="false" customWidth="true" hidden="false" outlineLevel="0" max="7" min="6" style="2" width="9.14"/>
    <col collapsed="false" customWidth="true" hidden="false" outlineLevel="0" max="8" min="8" style="4" width="9.14"/>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7" min="17" style="0" width="28.57"/>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S1" s="10"/>
    </row>
    <row r="2" customFormat="false" ht="15" hidden="false" customHeight="false" outlineLevel="0" collapsed="false">
      <c r="A2" s="11" t="n">
        <v>1</v>
      </c>
      <c r="B2" s="11" t="str">
        <f aca="false">TEXT($D2,"ddd")</f>
        <v>Tue</v>
      </c>
      <c r="C2" s="11" t="n">
        <f aca="false">$A$31-$A2</f>
        <v>29</v>
      </c>
      <c r="D2" s="51" t="n">
        <v>45216</v>
      </c>
      <c r="E2" s="51" t="n">
        <v>45217.2575347222</v>
      </c>
      <c r="F2" s="2" t="n">
        <v>92434.504</v>
      </c>
      <c r="G2" s="2" t="n">
        <v>92455.717</v>
      </c>
      <c r="H2" s="3" t="n">
        <v>21.212</v>
      </c>
      <c r="I2" s="13" t="n">
        <v>21.212</v>
      </c>
      <c r="J2" s="14" t="n">
        <f aca="false">(I2)</f>
        <v>21.212</v>
      </c>
      <c r="K2" s="15" t="n">
        <f aca="false">IF($H2&lt;&gt;"",(($H2*$S$7)+($A2*$S$8))*(1+$S$9),"")</f>
        <v>3.40608624270968</v>
      </c>
      <c r="L2" s="16" t="n">
        <f aca="false">(K2)</f>
        <v>3.40608624270968</v>
      </c>
      <c r="M2" s="17" t="n">
        <f aca="false">IF($J2&lt;&gt;"",$J2*(LOOKUP(1E+307,$A:$A)-$A$2),"")</f>
        <v>615.148</v>
      </c>
      <c r="N2" s="17" t="n">
        <f aca="false">IF($M2&lt;&gt;"",IF($M2&gt;1000,(($M2*$S$7)+($A2*$S$8))*(1+$R$9)-100,($M2*$S$7)+($A2*$R$9)*(1+$R$9)),"")</f>
        <v>94.3498816781903</v>
      </c>
      <c r="O2" s="18" t="n">
        <f aca="false">IF(I2&gt;=1000,"",(1000-I2))</f>
        <v>978.788</v>
      </c>
      <c r="Q2" s="19" t="s">
        <v>18</v>
      </c>
      <c r="R2" s="20" t="s">
        <v>19</v>
      </c>
      <c r="S2" s="21"/>
    </row>
    <row r="3" customFormat="false" ht="15" hidden="false" customHeight="false" outlineLevel="0" collapsed="false">
      <c r="A3" s="11" t="n">
        <v>2</v>
      </c>
      <c r="B3" s="11" t="str">
        <f aca="false">TEXT($D3,"ddd")</f>
        <v>Wed</v>
      </c>
      <c r="C3" s="11" t="n">
        <f aca="false">$A$31-$A3</f>
        <v>28</v>
      </c>
      <c r="D3" s="51" t="n">
        <v>45217</v>
      </c>
      <c r="E3" s="51" t="n">
        <v>45218.2574421296</v>
      </c>
      <c r="F3" s="2" t="n">
        <v>92455.717</v>
      </c>
      <c r="G3" s="2" t="n">
        <v>92487.854</v>
      </c>
      <c r="H3" s="3" t="n">
        <v>32.141</v>
      </c>
      <c r="I3" s="13" t="n">
        <f aca="false">(H2+H3)</f>
        <v>53.353</v>
      </c>
      <c r="J3" s="14" t="n">
        <f aca="false">IF($H3&gt;0,$I3/$A3,"")</f>
        <v>26.6765</v>
      </c>
      <c r="K3" s="15" t="n">
        <f aca="false">IF($H3&lt;&gt;"",(($H3*$S$7)+($A3*$S$8))*(1+$S$9),"")</f>
        <v>5.23533182119355</v>
      </c>
      <c r="L3" s="16" t="n">
        <f aca="false">IF($K3&lt;&gt;"",($K3+$L2),"")</f>
        <v>8.64141806390323</v>
      </c>
      <c r="M3" s="17" t="n">
        <f aca="false">IF($J3&lt;&gt;"",$J3*(LOOKUP(1E+307,$A:$A)-$A$2),"")</f>
        <v>773.6185</v>
      </c>
      <c r="N3" s="17" t="n">
        <f aca="false">IF($M3&lt;&gt;"",IF($M3&gt;1000,(($M3*$S$7)+($A3*$S$8))*(1+$R$9)-100,($M3*$S$7)+($A3*$R$9)*(1+$R$9)),"")</f>
        <v>118.670817286461</v>
      </c>
      <c r="O3" s="18" t="n">
        <f aca="false">IF(I3&gt;=1000,"",(1000-I3))</f>
        <v>946.647</v>
      </c>
      <c r="Q3" s="22" t="s">
        <v>22</v>
      </c>
      <c r="R3" s="23" t="n">
        <f aca="false">($F$2+1000)</f>
        <v>93434.504</v>
      </c>
      <c r="S3" s="24"/>
    </row>
    <row r="4" customFormat="false" ht="15" hidden="false" customHeight="false" outlineLevel="0" collapsed="false">
      <c r="A4" s="11" t="n">
        <v>3</v>
      </c>
      <c r="B4" s="11" t="str">
        <f aca="false">TEXT($D4,"ddd")</f>
        <v>Thu</v>
      </c>
      <c r="C4" s="11" t="n">
        <f aca="false">$A$31-$A4</f>
        <v>27</v>
      </c>
      <c r="D4" s="51" t="n">
        <v>45218</v>
      </c>
      <c r="E4" s="51" t="n">
        <v>45219.2580902778</v>
      </c>
      <c r="F4" s="2" t="n">
        <v>92487.854</v>
      </c>
      <c r="G4" s="2" t="n">
        <v>92518.554</v>
      </c>
      <c r="H4" s="3" t="n">
        <v>30.699</v>
      </c>
      <c r="I4" s="13" t="n">
        <f aca="false">I3+H4</f>
        <v>84.052</v>
      </c>
      <c r="J4" s="14" t="n">
        <f aca="false">IF($H4&gt;0,$I4/$A4,"")</f>
        <v>28.0173333333333</v>
      </c>
      <c r="K4" s="15" t="n">
        <f aca="false">IF($H4&lt;&gt;"",(($H4*$S$7)+($A4*$S$8))*(1+$S$9),"")</f>
        <v>5.16755358783871</v>
      </c>
      <c r="L4" s="16" t="n">
        <f aca="false">IF($K4&lt;&gt;"",($K4+$L3),"")</f>
        <v>13.8089716517419</v>
      </c>
      <c r="M4" s="17" t="n">
        <f aca="false">IF($J4&lt;&gt;"",$J4*(LOOKUP(1E+307,$A:$A)-$A$2),"")</f>
        <v>812.502666666667</v>
      </c>
      <c r="N4" s="17" t="n">
        <f aca="false">IF($M4&lt;&gt;"",IF($M4&gt;1000,(($M4*$S$7)+($A4*$S$8))*(1+$R$9)-100,($M4*$S$7)+($A4*$R$9)*(1+$R$9)),"")</f>
        <v>124.653856046958</v>
      </c>
      <c r="O4" s="18" t="n">
        <f aca="false">IF(I4&gt;=1000,"",(1000-I4))</f>
        <v>915.948</v>
      </c>
      <c r="Q4" s="22" t="s">
        <v>25</v>
      </c>
      <c r="R4" s="25"/>
      <c r="S4" s="26" t="n">
        <v>0.001667</v>
      </c>
    </row>
    <row r="5" customFormat="false" ht="15" hidden="false" customHeight="false" outlineLevel="0" collapsed="false">
      <c r="A5" s="11" t="n">
        <v>4</v>
      </c>
      <c r="B5" s="11" t="str">
        <f aca="false">TEXT($D5,"ddd")</f>
        <v>Fri</v>
      </c>
      <c r="C5" s="11" t="n">
        <f aca="false">$A$31-$A5</f>
        <v>26</v>
      </c>
      <c r="D5" s="51" t="n">
        <v>45219</v>
      </c>
      <c r="E5" s="51" t="n">
        <v>45220.2570023148</v>
      </c>
      <c r="F5" s="2" t="n">
        <v>92518.554</v>
      </c>
      <c r="G5" s="2" t="n">
        <v>92551.987</v>
      </c>
      <c r="H5" s="3" t="n">
        <v>33.424</v>
      </c>
      <c r="I5" s="13" t="n">
        <f aca="false">I4+H5</f>
        <v>117.476</v>
      </c>
      <c r="J5" s="14" t="n">
        <f aca="false">IF($H5&gt;0,$I5/$A5,"")</f>
        <v>29.369</v>
      </c>
      <c r="K5" s="15" t="n">
        <f aca="false">IF($H5&lt;&gt;"",(($H5*$S$7)+($A5*$S$8))*(1+$S$9),"")</f>
        <v>5.73876154993549</v>
      </c>
      <c r="L5" s="16" t="n">
        <f aca="false">IF($K5&lt;&gt;"",($K5+$L4),"")</f>
        <v>19.5477332016774</v>
      </c>
      <c r="M5" s="17" t="n">
        <f aca="false">IF($J5&lt;&gt;"",$J5*(LOOKUP(1E+307,$A:$A)-$A$2),"")</f>
        <v>851.701</v>
      </c>
      <c r="N5" s="17" t="n">
        <f aca="false">IF($M5&lt;&gt;"",IF($M5&gt;1000,(($M5*$S$7)+($A5*$S$8))*(1+$R$9)-100,($M5*$S$7)+($A5*$R$9)*(1+$R$9)),"")</f>
        <v>130.685070512536</v>
      </c>
      <c r="O5" s="18" t="n">
        <f aca="false">IF(I5&gt;=1000,"",(1000-I5))</f>
        <v>882.524</v>
      </c>
      <c r="P5" s="27"/>
      <c r="Q5" s="22" t="s">
        <v>28</v>
      </c>
      <c r="R5" s="25"/>
      <c r="S5" s="26" t="n">
        <v>0.042</v>
      </c>
    </row>
    <row r="6" customFormat="false" ht="15" hidden="false" customHeight="false" outlineLevel="0" collapsed="false">
      <c r="A6" s="11" t="n">
        <v>5</v>
      </c>
      <c r="B6" s="11" t="str">
        <f aca="false">TEXT($D6,"ddd")</f>
        <v>Sat</v>
      </c>
      <c r="C6" s="11" t="n">
        <f aca="false">$A$31-$A6</f>
        <v>25</v>
      </c>
      <c r="D6" s="51" t="n">
        <v>45220</v>
      </c>
      <c r="E6" s="51" t="n">
        <v>45221.2793634259</v>
      </c>
      <c r="F6" s="2" t="n">
        <v>92551.987</v>
      </c>
      <c r="G6" s="2" t="n">
        <v>92582.483</v>
      </c>
      <c r="H6" s="3" t="n">
        <v>30.495</v>
      </c>
      <c r="I6" s="13" t="n">
        <f aca="false">I5+H6</f>
        <v>147.971</v>
      </c>
      <c r="J6" s="14" t="n">
        <f aca="false">IF($H6&gt;0,$I6/$A6,"")</f>
        <v>29.5942</v>
      </c>
      <c r="K6" s="15" t="n">
        <f aca="false">IF($H6&lt;&gt;"",(($H6*$S$7)+($A6*$S$8))*(1+$S$9),"")</f>
        <v>5.442960165</v>
      </c>
      <c r="L6" s="16" t="n">
        <f aca="false">IF($K6&lt;&gt;"",($K6+$L5),"")</f>
        <v>24.9906933666774</v>
      </c>
      <c r="M6" s="17" t="n">
        <f aca="false">IF($J6&lt;&gt;"",$J6*(LOOKUP(1E+307,$A:$A)-$A$2),"")</f>
        <v>858.2318</v>
      </c>
      <c r="N6" s="17" t="n">
        <f aca="false">IF($M6&lt;&gt;"",IF($M6&gt;1000,(($M6*$S$7)+($A6*$S$8))*(1+$R$9)-100,($M6*$S$7)+($A6*$R$9)*(1+$R$9)),"")</f>
        <v>131.706901047358</v>
      </c>
      <c r="O6" s="18" t="n">
        <f aca="false">IF(I6&gt;=1000,"",(1000-I6))</f>
        <v>852.029</v>
      </c>
      <c r="Q6" s="22" t="s">
        <v>31</v>
      </c>
      <c r="R6" s="23" t="n">
        <v>3.4</v>
      </c>
      <c r="S6" s="26" t="n">
        <f aca="false">($R$6/DAYS)</f>
        <v>0.109677419354839</v>
      </c>
    </row>
    <row r="7" customFormat="false" ht="15" hidden="false" customHeight="false" outlineLevel="0" collapsed="false">
      <c r="A7" s="11" t="n">
        <v>6</v>
      </c>
      <c r="B7" s="11" t="str">
        <f aca="false">TEXT($D7,"ddd")</f>
        <v>Sun</v>
      </c>
      <c r="C7" s="11" t="n">
        <f aca="false">$A$31-$A7</f>
        <v>24</v>
      </c>
      <c r="D7" s="51" t="n">
        <v>45221</v>
      </c>
      <c r="E7" s="51" t="n">
        <v>45222.2561342593</v>
      </c>
      <c r="F7" s="2" t="n">
        <v>92582.483</v>
      </c>
      <c r="G7" s="2" t="n">
        <v>92616.577</v>
      </c>
      <c r="H7" s="3" t="n">
        <v>34.095</v>
      </c>
      <c r="I7" s="13" t="n">
        <f aca="false">I6+H7</f>
        <v>182.066</v>
      </c>
      <c r="J7" s="14" t="n">
        <f aca="false">IF($H7&gt;0,$I7/$A7,"")</f>
        <v>30.3443333333333</v>
      </c>
      <c r="K7" s="15" t="n">
        <f aca="false">IF($H7&lt;&gt;"",(($H7*$S$7)+($A7*$S$8))*(1+$S$9),"")</f>
        <v>6.14834449403226</v>
      </c>
      <c r="L7" s="16" t="n">
        <f aca="false">IF($K7&lt;&gt;"",($K7+$L6),"")</f>
        <v>31.1390378607097</v>
      </c>
      <c r="M7" s="17" t="n">
        <f aca="false">IF($J7&lt;&gt;"",$J7*(LOOKUP(1E+307,$A:$A)-$A$2),"")</f>
        <v>879.985666666667</v>
      </c>
      <c r="N7" s="17" t="n">
        <f aca="false">IF($M7&lt;&gt;"",IF($M7&gt;1000,(($M7*$S$7)+($A7*$S$8))*(1+$R$9)-100,($M7*$S$7)+($A7*$R$9)*(1+$R$9)),"")</f>
        <v>135.063103900981</v>
      </c>
      <c r="O7" s="18" t="n">
        <f aca="false">IF(I7&gt;=1000,"",(1000-I7))</f>
        <v>817.934</v>
      </c>
      <c r="Q7" s="22" t="s">
        <v>34</v>
      </c>
      <c r="R7" s="25"/>
      <c r="S7" s="28" t="n">
        <f aca="false">SUM(S4:S6)</f>
        <v>0.153344419354839</v>
      </c>
      <c r="T7" s="29" t="s">
        <v>87</v>
      </c>
    </row>
    <row r="8" customFormat="false" ht="15" hidden="false" customHeight="false" outlineLevel="0" collapsed="false">
      <c r="A8" s="11" t="n">
        <v>7</v>
      </c>
      <c r="B8" s="11" t="str">
        <f aca="false">TEXT($D8,"ddd")</f>
        <v>Mon</v>
      </c>
      <c r="C8" s="11" t="n">
        <f aca="false">$A$31-$A8</f>
        <v>23</v>
      </c>
      <c r="D8" s="51" t="n">
        <v>45222</v>
      </c>
      <c r="E8" s="51" t="n">
        <v>45223.258275463</v>
      </c>
      <c r="F8" s="2" t="n">
        <v>92616.577</v>
      </c>
      <c r="G8" s="2" t="n">
        <v>92650.626</v>
      </c>
      <c r="H8" s="3" t="n">
        <v>34.053</v>
      </c>
      <c r="I8" s="13" t="n">
        <f aca="false">I7+H8</f>
        <v>216.119</v>
      </c>
      <c r="J8" s="14" t="n">
        <f aca="false">IF($H8&gt;0,$I8/$A8,"")</f>
        <v>30.8741428571429</v>
      </c>
      <c r="K8" s="15" t="n">
        <f aca="false">IF($H8&lt;&gt;"",(($H8*$S$7)+($A8*$S$8))*(1+$S$9),"")</f>
        <v>6.29524844777419</v>
      </c>
      <c r="L8" s="16" t="n">
        <f aca="false">IF($K8&lt;&gt;"",($K8+$L7),"")</f>
        <v>37.4342863084839</v>
      </c>
      <c r="M8" s="17" t="n">
        <f aca="false">IF($J8&lt;&gt;"",$J8*(LOOKUP(1E+307,$A:$A)-$A$2),"")</f>
        <v>895.350142857143</v>
      </c>
      <c r="N8" s="17" t="n">
        <f aca="false">IF($M8&lt;&gt;"",IF($M8&gt;1000,(($M8*$S$7)+($A8*$S$8))*(1+$R$9)-100,($M8*$S$7)+($A8*$R$9)*(1+$R$9)),"")</f>
        <v>137.439529382</v>
      </c>
      <c r="O8" s="18" t="n">
        <f aca="false">IF(I8&gt;=1000,"",(1000-I8))</f>
        <v>783.881</v>
      </c>
      <c r="Q8" s="22" t="s">
        <v>38</v>
      </c>
      <c r="R8" s="25"/>
      <c r="S8" s="67" t="n">
        <f aca="false">SUM(S4:S6)</f>
        <v>0.153344419354839</v>
      </c>
      <c r="T8" s="29" t="s">
        <v>88</v>
      </c>
    </row>
    <row r="9" customFormat="false" ht="15" hidden="false" customHeight="false" outlineLevel="0" collapsed="false">
      <c r="A9" s="11" t="n">
        <v>8</v>
      </c>
      <c r="B9" s="11" t="str">
        <f aca="false">TEXT($D9,"ddd")</f>
        <v>Tue</v>
      </c>
      <c r="C9" s="11" t="n">
        <f aca="false">$A$31-$A9</f>
        <v>22</v>
      </c>
      <c r="D9" s="51" t="n">
        <v>45223</v>
      </c>
      <c r="E9" s="51" t="n">
        <v>45224.2577314815</v>
      </c>
      <c r="F9" s="2" t="n">
        <v>92650.626</v>
      </c>
      <c r="G9" s="2" t="n">
        <v>92680.706</v>
      </c>
      <c r="H9" s="3" t="n">
        <v>30.084</v>
      </c>
      <c r="I9" s="13" t="n">
        <f aca="false">I8+H9</f>
        <v>246.203</v>
      </c>
      <c r="J9" s="14" t="n">
        <f aca="false">IF($H9&gt;0,$I9/$A9,"")</f>
        <v>30.775375</v>
      </c>
      <c r="K9" s="15" t="n">
        <f aca="false">IF($H9&lt;&gt;"",(($H9*$S$7)+($A9*$S$8))*(1+$S$9),"")</f>
        <v>5.83996886670968</v>
      </c>
      <c r="L9" s="16" t="n">
        <f aca="false">IF($K9&lt;&gt;"",($K9+$L8),"")</f>
        <v>43.2742551751935</v>
      </c>
      <c r="M9" s="17" t="n">
        <f aca="false">IF($J9&lt;&gt;"",$J9*(LOOKUP(1E+307,$A:$A)-$A$2),"")</f>
        <v>892.485875</v>
      </c>
      <c r="N9" s="17" t="n">
        <f aca="false">IF($M9&lt;&gt;"",IF($M9&gt;1000,(($M9*$S$7)+($A9*$S$8))*(1+$R$9)-100,($M9*$S$7)+($A9*$R$9)*(1+$R$9)),"")</f>
        <v>137.02067869147</v>
      </c>
      <c r="O9" s="18" t="n">
        <f aca="false">IF(I9&gt;=1000,"",(1000-I9))</f>
        <v>753.797</v>
      </c>
      <c r="Q9" s="22" t="s">
        <v>42</v>
      </c>
      <c r="R9" s="30" t="n">
        <v>0.01997</v>
      </c>
      <c r="S9" s="32"/>
      <c r="T9" s="29" t="s">
        <v>89</v>
      </c>
    </row>
    <row r="10" customFormat="false" ht="15" hidden="false" customHeight="false" outlineLevel="0" collapsed="false">
      <c r="A10" s="11" t="n">
        <v>9</v>
      </c>
      <c r="B10" s="11" t="str">
        <f aca="false">TEXT($D10,"ddd")</f>
        <v>Wed</v>
      </c>
      <c r="C10" s="11" t="n">
        <f aca="false">$A$31-$A10</f>
        <v>21</v>
      </c>
      <c r="D10" s="51" t="n">
        <v>45224</v>
      </c>
      <c r="E10" s="51" t="n">
        <v>45225.2577893519</v>
      </c>
      <c r="F10" s="2" t="n">
        <v>92680.706</v>
      </c>
      <c r="G10" s="2" t="n">
        <v>92716.889</v>
      </c>
      <c r="H10" s="3" t="n">
        <v>36.179</v>
      </c>
      <c r="I10" s="13" t="n">
        <f aca="false">I9+H10</f>
        <v>282.382</v>
      </c>
      <c r="J10" s="14" t="n">
        <f aca="false">IF($H10&gt;0,$I10/$A10,"")</f>
        <v>31.3757777777778</v>
      </c>
      <c r="K10" s="15" t="n">
        <f aca="false">IF($H10&lt;&gt;"",(($H10*$S$7)+($A10*$S$8))*(1+$S$9),"")</f>
        <v>6.92794752203226</v>
      </c>
      <c r="L10" s="16" t="n">
        <f aca="false">IF($K10&lt;&gt;"",($K10+$L9),"")</f>
        <v>50.2022026972258</v>
      </c>
      <c r="M10" s="17" t="n">
        <f aca="false">IF($J10&lt;&gt;"",$J10*(LOOKUP(1E+307,$A:$A)-$A$2),"")</f>
        <v>909.897555555556</v>
      </c>
      <c r="N10" s="17" t="n">
        <f aca="false">IF($M10&lt;&gt;"",IF($M10&gt;1000,(($M10*$S$7)+($A10*$S$8))*(1+$R$9)-100,($M10*$S$7)+($A10*$R$9)*(1+$R$9)),"")</f>
        <v>139.711031537154</v>
      </c>
      <c r="O10" s="18" t="n">
        <f aca="false">IF(I10&gt;=1000,"",(1000-I10))</f>
        <v>717.618</v>
      </c>
      <c r="Q10" s="22" t="s">
        <v>46</v>
      </c>
      <c r="R10" s="33" t="n">
        <v>100</v>
      </c>
      <c r="S10" s="24" t="n">
        <v>1000</v>
      </c>
    </row>
    <row r="11" customFormat="false" ht="15" hidden="false" customHeight="false" outlineLevel="0" collapsed="false">
      <c r="A11" s="11" t="n">
        <v>10</v>
      </c>
      <c r="B11" s="11" t="str">
        <f aca="false">TEXT($D11,"ddd")</f>
        <v>Thu</v>
      </c>
      <c r="C11" s="11" t="n">
        <f aca="false">$A$31-$A11</f>
        <v>20</v>
      </c>
      <c r="D11" s="51" t="n">
        <v>45225</v>
      </c>
      <c r="E11" s="51" t="n">
        <v>45226.2584259259</v>
      </c>
      <c r="F11" s="2" t="n">
        <v>92716.889</v>
      </c>
      <c r="G11" s="2" t="n">
        <v>92750.36</v>
      </c>
      <c r="H11" s="3" t="n">
        <v>33.476</v>
      </c>
      <c r="I11" s="13" t="n">
        <f aca="false">I10+H11</f>
        <v>315.858</v>
      </c>
      <c r="J11" s="14" t="n">
        <f aca="false">IF($H11&gt;0,$I11/$A11,"")</f>
        <v>31.5858</v>
      </c>
      <c r="K11" s="15" t="n">
        <f aca="false">IF($H11&lt;&gt;"",(($H11*$S$7)+($A11*$S$8))*(1+$S$9),"")</f>
        <v>6.66680197587097</v>
      </c>
      <c r="L11" s="16" t="n">
        <f aca="false">IF($K11&lt;&gt;"",($K11+$L10),"")</f>
        <v>56.8690046730968</v>
      </c>
      <c r="M11" s="17" t="n">
        <f aca="false">IF($J11&lt;&gt;"",$J11*(LOOKUP(1E+307,$A:$A)-$A$2),"")</f>
        <v>915.9882</v>
      </c>
      <c r="N11" s="17" t="n">
        <f aca="false">IF($M11&lt;&gt;"",IF($M11&gt;1000,(($M11*$S$7)+($A11*$S$8))*(1+$R$9)-100,($M11*$S$7)+($A11*$R$9)*(1+$R$9)),"")</f>
        <v>140.665366673884</v>
      </c>
      <c r="O11" s="18" t="n">
        <f aca="false">IF(I11&gt;=1000,"",(1000-I11))</f>
        <v>684.142</v>
      </c>
      <c r="Q11" s="22" t="s">
        <v>49</v>
      </c>
      <c r="R11" s="33" t="n">
        <v>295</v>
      </c>
      <c r="S11" s="32"/>
    </row>
    <row r="12" customFormat="false" ht="15" hidden="false" customHeight="false" outlineLevel="0" collapsed="false">
      <c r="A12" s="11" t="n">
        <v>11</v>
      </c>
      <c r="B12" s="11" t="str">
        <f aca="false">TEXT($D12,"ddd")</f>
        <v>Fri</v>
      </c>
      <c r="C12" s="11" t="n">
        <f aca="false">$A$31-$A12</f>
        <v>19</v>
      </c>
      <c r="D12" s="51" t="n">
        <v>45226</v>
      </c>
      <c r="E12" s="51" t="n">
        <v>45227.2571527778</v>
      </c>
      <c r="F12" s="2" t="n">
        <v>92750.36</v>
      </c>
      <c r="G12" s="2" t="n">
        <v>92787.88</v>
      </c>
      <c r="H12" s="3" t="n">
        <v>37.523</v>
      </c>
      <c r="I12" s="13" t="n">
        <f aca="false">I11+H12</f>
        <v>353.381</v>
      </c>
      <c r="J12" s="14" t="n">
        <f aca="false">IF($H12&gt;0,$I12/$A12,"")</f>
        <v>32.1255454545455</v>
      </c>
      <c r="K12" s="15" t="n">
        <f aca="false">IF($H12&lt;&gt;"",(($H12*$S$7)+($A12*$S$8))*(1+$S$9),"")</f>
        <v>7.44073126035484</v>
      </c>
      <c r="L12" s="16" t="n">
        <f aca="false">IF($K12&lt;&gt;"",($K12+$L11),"")</f>
        <v>64.3097359334516</v>
      </c>
      <c r="M12" s="17" t="n">
        <f aca="false">IF($J12&lt;&gt;"",$J12*(LOOKUP(1E+307,$A:$A)-$A$2),"")</f>
        <v>931.640818181818</v>
      </c>
      <c r="N12" s="17" t="n">
        <f aca="false">IF($M12&lt;&gt;"",IF($M12&gt;1000,(($M12*$S$7)+($A12*$S$8))*(1+$R$9)-100,($M12*$S$7)+($A12*$R$9)*(1+$R$9)),"")</f>
        <v>143.085977121258</v>
      </c>
      <c r="O12" s="18" t="n">
        <f aca="false">IF(I12&gt;=1000,"",(1000-I12))</f>
        <v>646.619</v>
      </c>
      <c r="Q12" s="22" t="s">
        <v>52</v>
      </c>
      <c r="R12" s="35" t="n">
        <f aca="false">INDEX(L2:L32,COUNT(L2:L32))</f>
        <v>235.68009847229</v>
      </c>
      <c r="S12" s="32"/>
    </row>
    <row r="13" customFormat="false" ht="15" hidden="false" customHeight="false" outlineLevel="0" collapsed="false">
      <c r="A13" s="11" t="n">
        <v>12</v>
      </c>
      <c r="B13" s="11" t="str">
        <f aca="false">TEXT($D13,"ddd")</f>
        <v>Sat</v>
      </c>
      <c r="C13" s="11" t="n">
        <f aca="false">$A$31-$A13</f>
        <v>18</v>
      </c>
      <c r="D13" s="51" t="n">
        <v>45227</v>
      </c>
      <c r="E13" s="51" t="n">
        <v>45228.2799305556</v>
      </c>
      <c r="F13" s="2" t="n">
        <v>92787.88</v>
      </c>
      <c r="G13" s="2" t="n">
        <v>92817.532</v>
      </c>
      <c r="H13" s="3" t="n">
        <v>29.654</v>
      </c>
      <c r="I13" s="13" t="n">
        <f aca="false">I12+H13</f>
        <v>383.035</v>
      </c>
      <c r="J13" s="14" t="n">
        <f aca="false">IF($H13&gt;0,$I13/$A13,"")</f>
        <v>31.9195833333333</v>
      </c>
      <c r="K13" s="15" t="n">
        <f aca="false">IF($H13&lt;&gt;"",(($H13*$S$7)+($A13*$S$8))*(1+$S$9),"")</f>
        <v>6.38740844380645</v>
      </c>
      <c r="L13" s="16" t="n">
        <f aca="false">IF($K13&lt;&gt;"",($K13+$L12),"")</f>
        <v>70.6971443772581</v>
      </c>
      <c r="M13" s="17" t="n">
        <f aca="false">IF($J13&lt;&gt;"",$J13*(LOOKUP(1E+307,$A:$A)-$A$2),"")</f>
        <v>925.667916666667</v>
      </c>
      <c r="N13" s="17" t="n">
        <f aca="false">IF($M13&lt;&gt;"",IF($M13&gt;1000,(($M13*$S$7)+($A13*$S$8))*(1+$R$9)-100,($M13*$S$7)+($A13*$R$9)*(1+$R$9)),"")</f>
        <v>142.190434807453</v>
      </c>
      <c r="O13" s="18" t="n">
        <f aca="false">IF(I13&gt;=1000,"",(1000-I13))</f>
        <v>616.965</v>
      </c>
      <c r="Q13" s="22" t="s">
        <v>55</v>
      </c>
      <c r="R13" s="37" t="n">
        <f aca="false">INDEX(I2:I32,COUNT(I2:I32))</f>
        <v>1071.933</v>
      </c>
      <c r="S13" s="32"/>
    </row>
    <row r="14" customFormat="false" ht="15" hidden="false" customHeight="false" outlineLevel="0" collapsed="false">
      <c r="A14" s="11" t="n">
        <v>13</v>
      </c>
      <c r="B14" s="11" t="str">
        <f aca="false">TEXT($D14,"ddd")</f>
        <v>Sun</v>
      </c>
      <c r="C14" s="11" t="n">
        <f aca="false">$A$31-$A14</f>
        <v>17</v>
      </c>
      <c r="D14" s="51" t="n">
        <v>45228</v>
      </c>
      <c r="E14" s="51" t="n">
        <v>45229.2568518519</v>
      </c>
      <c r="F14" s="2" t="n">
        <v>92817.532</v>
      </c>
      <c r="G14" s="2" t="n">
        <v>92853.505</v>
      </c>
      <c r="H14" s="3" t="n">
        <v>35.967</v>
      </c>
      <c r="I14" s="13" t="n">
        <f aca="false">I13+H14</f>
        <v>419.002</v>
      </c>
      <c r="J14" s="14" t="n">
        <f aca="false">IF($H14&gt;0,$I14/$A14,"")</f>
        <v>32.2309230769231</v>
      </c>
      <c r="K14" s="15" t="n">
        <f aca="false">IF($H14&lt;&gt;"",(($H14*$S$7)+($A14*$S$8))*(1+$S$9),"")</f>
        <v>7.50881618254839</v>
      </c>
      <c r="L14" s="16" t="n">
        <f aca="false">IF($K14&lt;&gt;"",($K14+$L13),"")</f>
        <v>78.2059605598065</v>
      </c>
      <c r="M14" s="17" t="n">
        <f aca="false">IF($J14&lt;&gt;"",$J14*(LOOKUP(1E+307,$A:$A)-$A$2),"")</f>
        <v>934.696769230769</v>
      </c>
      <c r="N14" s="17" t="n">
        <f aca="false">IF($M14&lt;&gt;"",IF($M14&gt;1000,(($M14*$S$7)+($A14*$S$8))*(1+$R$9)-100,($M14*$S$7)+($A14*$R$9)*(1+$R$9)),"")</f>
        <v>143.595327762236</v>
      </c>
      <c r="O14" s="18" t="n">
        <f aca="false">IF(I14&gt;=1000,"",(1000-I14))</f>
        <v>580.998</v>
      </c>
      <c r="Q14" s="22" t="s">
        <v>58</v>
      </c>
      <c r="R14" s="37" t="n">
        <f aca="false">INDEX(J2:J32,COUNT(J2:J32))</f>
        <v>35.7311</v>
      </c>
      <c r="S14" s="32"/>
    </row>
    <row r="15" customFormat="false" ht="15" hidden="false" customHeight="false" outlineLevel="0" collapsed="false">
      <c r="A15" s="11" t="n">
        <v>14</v>
      </c>
      <c r="B15" s="11" t="str">
        <f aca="false">TEXT($D15,"ddd")</f>
        <v>Mon</v>
      </c>
      <c r="C15" s="11" t="n">
        <f aca="false">$A$31-$A15</f>
        <v>16</v>
      </c>
      <c r="D15" s="51" t="n">
        <v>45229</v>
      </c>
      <c r="E15" s="51" t="n">
        <v>45230.2570717593</v>
      </c>
      <c r="F15" s="2" t="n">
        <v>92853.505</v>
      </c>
      <c r="G15" s="2" t="n">
        <v>92890.226</v>
      </c>
      <c r="H15" s="3" t="n">
        <v>36.72</v>
      </c>
      <c r="I15" s="13" t="n">
        <f aca="false">I14+H15</f>
        <v>455.722</v>
      </c>
      <c r="J15" s="14" t="n">
        <f aca="false">IF($H15&gt;0,$I15/$A15,"")</f>
        <v>32.5515714285714</v>
      </c>
      <c r="K15" s="15" t="n">
        <f aca="false">IF($H15&lt;&gt;"",(($H15*$S$7)+($A15*$S$8))*(1+$S$9),"")</f>
        <v>7.77762894967742</v>
      </c>
      <c r="L15" s="16" t="n">
        <f aca="false">IF($K15&lt;&gt;"",($K15+$L14),"")</f>
        <v>85.9835895094839</v>
      </c>
      <c r="M15" s="17" t="n">
        <f aca="false">IF($J15&lt;&gt;"",$J15*(LOOKUP(1E+307,$A:$A)-$A$2),"")</f>
        <v>943.995571428572</v>
      </c>
      <c r="N15" s="17" t="n">
        <f aca="false">IF($M15&lt;&gt;"",IF($M15&gt;1000,(($M15*$S$7)+($A15*$S$8))*(1+$R$9)-100,($M15*$S$7)+($A15*$R$9)*(1+$R$9)),"")</f>
        <v>145.041615986853</v>
      </c>
      <c r="O15" s="18" t="n">
        <f aca="false">IF(I15&gt;=1000,"",(1000-I15))</f>
        <v>544.278</v>
      </c>
      <c r="Q15" s="22"/>
      <c r="R15" s="38"/>
      <c r="S15" s="24"/>
    </row>
    <row r="16" customFormat="false" ht="15" hidden="false" customHeight="false" outlineLevel="0" collapsed="false">
      <c r="A16" s="11" t="n">
        <v>15</v>
      </c>
      <c r="B16" s="11" t="str">
        <f aca="false">TEXT($D16,"ddd")</f>
        <v>Tue</v>
      </c>
      <c r="C16" s="11" t="n">
        <f aca="false">$A$31-$A16</f>
        <v>15</v>
      </c>
      <c r="D16" s="51" t="n">
        <v>45230</v>
      </c>
      <c r="E16" s="51" t="n">
        <v>45231.2570023148</v>
      </c>
      <c r="F16" s="2" t="n">
        <v>92890.226</v>
      </c>
      <c r="G16" s="2" t="n">
        <v>92926.823</v>
      </c>
      <c r="H16" s="3" t="n">
        <v>36.59</v>
      </c>
      <c r="I16" s="13" t="n">
        <f aca="false">I15+H16</f>
        <v>492.312</v>
      </c>
      <c r="J16" s="14" t="n">
        <f aca="false">IF($H16&gt;0,$I16/$A16,"")</f>
        <v>32.8208</v>
      </c>
      <c r="K16" s="15" t="n">
        <f aca="false">IF($H16&lt;&gt;"",(($H16*$S$7)+($A16*$S$8))*(1+$S$9),"")</f>
        <v>7.91103859451613</v>
      </c>
      <c r="L16" s="16" t="n">
        <f aca="false">IF($K16&lt;&gt;"",($K16+$L15),"")</f>
        <v>93.894628104</v>
      </c>
      <c r="M16" s="17" t="n">
        <f aca="false">IF($J16&lt;&gt;"",$J16*(LOOKUP(1E+307,$A:$A)-$A$2),"")</f>
        <v>951.8032</v>
      </c>
      <c r="N16" s="17" t="n">
        <f aca="false">IF($M16&lt;&gt;"",IF($M16&gt;1000,(($M16*$S$7)+($A16*$S$8))*(1+$R$9)-100,($M16*$S$7)+($A16*$R$9)*(1+$R$9)),"")</f>
        <v>146.259241057577</v>
      </c>
      <c r="O16" s="18" t="n">
        <f aca="false">IF(I16&gt;=1000,"",(1000-I16))</f>
        <v>507.688</v>
      </c>
      <c r="Q16" s="22" t="s">
        <v>59</v>
      </c>
      <c r="R16" s="37" t="n">
        <f aca="false">MIN(H2:H31)</f>
        <v>21.212</v>
      </c>
      <c r="S16" s="24"/>
    </row>
    <row r="17" customFormat="false" ht="15" hidden="false" customHeight="false" outlineLevel="0" collapsed="false">
      <c r="A17" s="11" t="n">
        <v>16</v>
      </c>
      <c r="B17" s="11" t="str">
        <f aca="false">TEXT($D17,"ddd")</f>
        <v>Wed</v>
      </c>
      <c r="C17" s="11" t="n">
        <f aca="false">$A$31-$A17</f>
        <v>14</v>
      </c>
      <c r="D17" s="51" t="n">
        <v>45231</v>
      </c>
      <c r="E17" s="51" t="n">
        <v>45232.2571412037</v>
      </c>
      <c r="F17" s="2" t="n">
        <v>92926.823</v>
      </c>
      <c r="G17" s="2" t="n">
        <v>92968.823</v>
      </c>
      <c r="H17" s="3" t="n">
        <v>41.678</v>
      </c>
      <c r="I17" s="13" t="n">
        <f aca="false">I16+H17</f>
        <v>533.99</v>
      </c>
      <c r="J17" s="14" t="n">
        <f aca="false">IF($H17&gt;0,$I17/$A17,"")</f>
        <v>33.374375</v>
      </c>
      <c r="K17" s="15" t="n">
        <f aca="false">IF($H17&lt;&gt;"",(($H17*$S$7)+($A17*$S$8))*(1+$S$9),"")</f>
        <v>8.84459941954839</v>
      </c>
      <c r="L17" s="16" t="n">
        <f aca="false">IF($K17&lt;&gt;"",($K17+$L16),"")</f>
        <v>102.739227523548</v>
      </c>
      <c r="M17" s="17" t="n">
        <f aca="false">IF($J17&lt;&gt;"",$J17*(LOOKUP(1E+307,$A:$A)-$A$2),"")</f>
        <v>967.856875</v>
      </c>
      <c r="N17" s="17" t="n">
        <f aca="false">IF($M17&lt;&gt;"",IF($M17&gt;1000,(($M17*$S$7)+($A17*$S$8))*(1+$R$9)-100,($M17*$S$7)+($A17*$R$9)*(1+$R$9)),"")</f>
        <v>148.741351329864</v>
      </c>
      <c r="O17" s="18" t="n">
        <f aca="false">IF(I17&gt;=1000,"",(1000-I17))</f>
        <v>466.01</v>
      </c>
      <c r="Q17" s="22" t="s">
        <v>60</v>
      </c>
      <c r="R17" s="37" t="n">
        <f aca="false">MAX(H2:H32)</f>
        <v>69.768</v>
      </c>
      <c r="S17" s="24"/>
    </row>
    <row r="18" customFormat="false" ht="15" hidden="false" customHeight="false" outlineLevel="0" collapsed="false">
      <c r="A18" s="11" t="n">
        <v>17</v>
      </c>
      <c r="B18" s="11" t="str">
        <f aca="false">TEXT($D18,"ddd")</f>
        <v>Thu</v>
      </c>
      <c r="C18" s="11" t="n">
        <f aca="false">$A$31-$A18</f>
        <v>13</v>
      </c>
      <c r="D18" s="51" t="n">
        <v>45232</v>
      </c>
      <c r="E18" s="51" t="n">
        <v>45233.2575115741</v>
      </c>
      <c r="F18" s="2" t="n">
        <v>92968.823</v>
      </c>
      <c r="G18" s="2" t="n">
        <v>93005.936</v>
      </c>
      <c r="H18" s="3" t="n">
        <v>37.443</v>
      </c>
      <c r="I18" s="13" t="n">
        <f aca="false">I17+H18</f>
        <v>571.433</v>
      </c>
      <c r="J18" s="14" t="n">
        <f aca="false">IF($H18&gt;0,$I18/$A18,"")</f>
        <v>33.6137058823529</v>
      </c>
      <c r="K18" s="15" t="n">
        <f aca="false">IF($H18&lt;&gt;"",(($H18*$S$7)+($A18*$S$8))*(1+$S$9),"")</f>
        <v>8.34853022293548</v>
      </c>
      <c r="L18" s="16" t="n">
        <f aca="false">IF($K18&lt;&gt;"",($K18+$L17),"")</f>
        <v>111.087757746484</v>
      </c>
      <c r="M18" s="17" t="n">
        <f aca="false">IF($J18&lt;&gt;"",$J18*(LOOKUP(1E+307,$A:$A)-$A$2),"")</f>
        <v>974.797470588235</v>
      </c>
      <c r="N18" s="17" t="n">
        <f aca="false">IF($M18&lt;&gt;"",IF($M18&gt;1000,(($M18*$S$7)+($A18*$S$8))*(1+$R$9)-100,($M18*$S$7)+($A18*$R$9)*(1+$R$9)),"")</f>
        <v>149.826021731218</v>
      </c>
      <c r="O18" s="18" t="n">
        <f aca="false">IF(I18&gt;=1000,"",(1000-I18))</f>
        <v>428.567</v>
      </c>
      <c r="Q18" s="22" t="s">
        <v>61</v>
      </c>
      <c r="R18" s="39" t="s">
        <v>90</v>
      </c>
      <c r="S18" s="24"/>
    </row>
    <row r="19" customFormat="false" ht="15" hidden="false" customHeight="false" outlineLevel="0" collapsed="false">
      <c r="A19" s="11" t="n">
        <v>18</v>
      </c>
      <c r="B19" s="11" t="str">
        <f aca="false">TEXT($D19,"ddd")</f>
        <v>Fri</v>
      </c>
      <c r="C19" s="11" t="n">
        <f aca="false">$A$31-$A19</f>
        <v>12</v>
      </c>
      <c r="D19" s="51" t="n">
        <v>45233</v>
      </c>
      <c r="E19" s="51" t="n">
        <v>45234.2566203704</v>
      </c>
      <c r="F19" s="2" t="n">
        <v>93005.936</v>
      </c>
      <c r="G19" s="2" t="n">
        <v>93035.884</v>
      </c>
      <c r="H19" s="3" t="n">
        <v>29.946</v>
      </c>
      <c r="I19" s="13" t="n">
        <f aca="false">I18+H19</f>
        <v>601.379</v>
      </c>
      <c r="J19" s="14" t="n">
        <f aca="false">IF($H19&gt;0,$I19/$A19,"")</f>
        <v>33.4099444444445</v>
      </c>
      <c r="K19" s="15" t="n">
        <f aca="false">IF($H19&lt;&gt;"",(($H19*$S$7)+($A19*$S$8))*(1+$S$9),"")</f>
        <v>7.3522515303871</v>
      </c>
      <c r="L19" s="16" t="n">
        <f aca="false">IF($K19&lt;&gt;"",($K19+$L18),"")</f>
        <v>118.440009276871</v>
      </c>
      <c r="M19" s="17" t="n">
        <f aca="false">IF($J19&lt;&gt;"",$J19*(LOOKUP(1E+307,$A:$A)-$A$2),"")</f>
        <v>968.888388888889</v>
      </c>
      <c r="N19" s="17" t="n">
        <f aca="false">IF($M19&lt;&gt;"",IF($M19&gt;1000,(($M19*$S$7)+($A19*$S$8))*(1+$R$9)-100,($M19*$S$7)+($A19*$R$9)*(1+$R$9)),"")</f>
        <v>148.940265830012</v>
      </c>
      <c r="O19" s="18" t="n">
        <f aca="false">IF(I19&gt;=1000,"",(1000-I19))</f>
        <v>398.621</v>
      </c>
      <c r="Q19" s="40"/>
      <c r="R19" s="41"/>
      <c r="S19" s="42"/>
    </row>
    <row r="20" customFormat="false" ht="15" hidden="false" customHeight="false" outlineLevel="0" collapsed="false">
      <c r="A20" s="11" t="n">
        <v>19</v>
      </c>
      <c r="B20" s="11" t="str">
        <f aca="false">TEXT($D20,"ddd")</f>
        <v>Sat</v>
      </c>
      <c r="C20" s="11" t="n">
        <f aca="false">$A$31-$A20</f>
        <v>11</v>
      </c>
      <c r="D20" s="51" t="n">
        <v>45234</v>
      </c>
      <c r="E20" s="51" t="n">
        <v>45235.3617361111</v>
      </c>
      <c r="F20" s="2" t="n">
        <v>93035.884</v>
      </c>
      <c r="G20" s="2" t="n">
        <v>93058.02</v>
      </c>
      <c r="H20" s="3" t="n">
        <v>22.135</v>
      </c>
      <c r="I20" s="13" t="n">
        <f aca="false">I19+H20</f>
        <v>623.514</v>
      </c>
      <c r="J20" s="14" t="n">
        <f aca="false">IF($H20&gt;0,$I20/$A20,"")</f>
        <v>32.8165263157895</v>
      </c>
      <c r="K20" s="15" t="n">
        <f aca="false">IF($H20&lt;&gt;"",(($H20*$S$7)+($A20*$S$8))*(1+$S$9),"")</f>
        <v>6.30782269016129</v>
      </c>
      <c r="L20" s="16" t="n">
        <f aca="false">IF($K20&lt;&gt;"",($K20+$L19),"")</f>
        <v>124.747831967032</v>
      </c>
      <c r="M20" s="17" t="n">
        <f aca="false">IF($J20&lt;&gt;"",$J20*(LOOKUP(1E+307,$A:$A)-$A$2),"")</f>
        <v>951.679263157895</v>
      </c>
      <c r="N20" s="17" t="n">
        <f aca="false">IF($M20&lt;&gt;"",IF($M20&gt;1000,(($M20*$S$7)+($A20*$S$8))*(1+$R$9)-100,($M20*$S$7)+($A20*$R$9)*(1+$R$9)),"")</f>
        <v>146.321711238088</v>
      </c>
      <c r="O20" s="18" t="n">
        <f aca="false">IF(I20&gt;=1000,"",(1000-I20))</f>
        <v>376.486</v>
      </c>
    </row>
    <row r="21" customFormat="false" ht="15" hidden="false" customHeight="false" outlineLevel="0" collapsed="false">
      <c r="A21" s="11" t="n">
        <v>20</v>
      </c>
      <c r="B21" s="11" t="str">
        <f aca="false">TEXT($D21,"ddd")</f>
        <v>Sun</v>
      </c>
      <c r="C21" s="11" t="n">
        <f aca="false">$A$31-$A21</f>
        <v>10</v>
      </c>
      <c r="D21" s="51" t="n">
        <v>45235</v>
      </c>
      <c r="E21" s="51" t="n">
        <v>45236.4036805556</v>
      </c>
      <c r="F21" s="2" t="n">
        <v>93058.02</v>
      </c>
      <c r="G21" s="2" t="n">
        <v>93087.672</v>
      </c>
      <c r="H21" s="3" t="n">
        <v>29.65</v>
      </c>
      <c r="I21" s="13" t="n">
        <f aca="false">I20+H21</f>
        <v>653.164</v>
      </c>
      <c r="J21" s="14" t="n">
        <f aca="false">IF($H21&gt;0,$I21/$A21,"")</f>
        <v>32.6582</v>
      </c>
      <c r="K21" s="15" t="n">
        <f aca="false">IF($H21&lt;&gt;"",(($H21*$S$7)+($A21*$S$8))*(1+$S$9),"")</f>
        <v>7.61355042096774</v>
      </c>
      <c r="L21" s="16" t="n">
        <f aca="false">IF($K21&lt;&gt;"",($K21+$L20),"")</f>
        <v>132.361382388</v>
      </c>
      <c r="M21" s="17" t="n">
        <f aca="false">IF($J21&lt;&gt;"",$J21*(LOOKUP(1E+307,$A:$A)-$A$2),"")</f>
        <v>947.0878</v>
      </c>
      <c r="N21" s="17" t="n">
        <f aca="false">IF($M21&lt;&gt;"",IF($M21&gt;1000,(($M21*$S$7)+($A21*$S$8))*(1+$R$9)-100,($M21*$S$7)+($A21*$R$9)*(1+$R$9)),"")</f>
        <v>145.638004787052</v>
      </c>
      <c r="O21" s="18" t="n">
        <f aca="false">IF(I21&gt;=1000,"",(1000-I21))</f>
        <v>346.836</v>
      </c>
    </row>
    <row r="22" customFormat="false" ht="15" hidden="false" customHeight="false" outlineLevel="0" collapsed="false">
      <c r="A22" s="11" t="n">
        <v>21</v>
      </c>
      <c r="B22" s="11" t="str">
        <f aca="false">TEXT($D22,"ddd")</f>
        <v>Mon</v>
      </c>
      <c r="C22" s="11" t="n">
        <f aca="false">$A$31-$A22</f>
        <v>9</v>
      </c>
      <c r="D22" s="51" t="n">
        <v>45236</v>
      </c>
      <c r="E22" s="51" t="n">
        <v>45237.2993402778</v>
      </c>
      <c r="F22" s="2" t="n">
        <v>93087.672</v>
      </c>
      <c r="G22" s="2" t="n">
        <v>93124.802</v>
      </c>
      <c r="H22" s="3" t="n">
        <v>37.13</v>
      </c>
      <c r="I22" s="13" t="n">
        <f aca="false">I21+H22</f>
        <v>690.294</v>
      </c>
      <c r="J22" s="14" t="n">
        <f aca="false">IF($H22&gt;0,$I22/$A22,"")</f>
        <v>32.8711428571429</v>
      </c>
      <c r="K22" s="15" t="n">
        <f aca="false">IF($H22&lt;&gt;"",(($H22*$S$7)+($A22*$S$8))*(1+$S$9),"")</f>
        <v>8.91391109709678</v>
      </c>
      <c r="L22" s="16" t="n">
        <f aca="false">IF($K22&lt;&gt;"",($K22+$L21),"")</f>
        <v>141.275293485097</v>
      </c>
      <c r="M22" s="17" t="n">
        <f aca="false">IF($J22&lt;&gt;"",$J22*(LOOKUP(1E+307,$A:$A)-$A$2),"")</f>
        <v>953.263142857143</v>
      </c>
      <c r="N22" s="17" t="n">
        <f aca="false">IF($M22&lt;&gt;"",IF($M22&gt;1000,(($M22*$S$7)+($A22*$S$8))*(1+$R$9)-100,($M22*$S$7)+($A22*$R$9)*(1+$R$9)),"")</f>
        <v>146.605327952697</v>
      </c>
      <c r="O22" s="18" t="n">
        <f aca="false">IF(I22&gt;=1000,"",(1000-I22))</f>
        <v>309.706</v>
      </c>
    </row>
    <row r="23" customFormat="false" ht="15" hidden="false" customHeight="false" outlineLevel="0" collapsed="false">
      <c r="A23" s="11" t="n">
        <v>22</v>
      </c>
      <c r="B23" s="11" t="str">
        <f aca="false">TEXT($D23,"ddd")</f>
        <v>Tue</v>
      </c>
      <c r="C23" s="11" t="n">
        <f aca="false">$A$31-$A23</f>
        <v>8</v>
      </c>
      <c r="D23" s="51" t="n">
        <v>45237</v>
      </c>
      <c r="E23" s="51" t="n">
        <v>45238.2768171296</v>
      </c>
      <c r="F23" s="2" t="n">
        <v>93124.802</v>
      </c>
      <c r="G23" s="2" t="n">
        <v>93174.848</v>
      </c>
      <c r="H23" s="3" t="n">
        <v>50.045</v>
      </c>
      <c r="I23" s="13" t="n">
        <f aca="false">I22+H23</f>
        <v>740.339</v>
      </c>
      <c r="J23" s="14" t="n">
        <f aca="false">IF($H23&gt;0,$I23/$A23,"")</f>
        <v>33.6517727272727</v>
      </c>
      <c r="K23" s="15" t="n">
        <f aca="false">IF($H23&lt;&gt;"",(($H23*$S$7)+($A23*$S$8))*(1+$S$9),"")</f>
        <v>11.0476986924194</v>
      </c>
      <c r="L23" s="16" t="n">
        <f aca="false">IF($K23&lt;&gt;"",($K23+$L22),"")</f>
        <v>152.322992177516</v>
      </c>
      <c r="M23" s="17" t="n">
        <f aca="false">IF($J23&lt;&gt;"",$J23*(LOOKUP(1E+307,$A:$A)-$A$2),"")</f>
        <v>975.901409090909</v>
      </c>
      <c r="N23" s="17" t="n">
        <f aca="false">IF($M23&lt;&gt;"",IF($M23&gt;1000,(($M23*$S$7)+($A23*$S$8))*(1+$R$9)-100,($M23*$S$7)+($A23*$R$9)*(1+$R$9)),"")</f>
        <v>150.097148544414</v>
      </c>
      <c r="O23" s="18" t="n">
        <f aca="false">IF(I23&gt;=1000,"",(1000-I23))</f>
        <v>259.661</v>
      </c>
      <c r="Q23" s="29"/>
    </row>
    <row r="24" customFormat="false" ht="15" hidden="false" customHeight="false" outlineLevel="0" collapsed="false">
      <c r="A24" s="11" t="n">
        <v>23</v>
      </c>
      <c r="B24" s="11" t="str">
        <f aca="false">TEXT($D24,"ddd")</f>
        <v>Wed</v>
      </c>
      <c r="C24" s="11" t="n">
        <f aca="false">$A$31-$A24</f>
        <v>7</v>
      </c>
      <c r="D24" s="51" t="n">
        <v>45238</v>
      </c>
      <c r="E24" s="51" t="n">
        <v>45239.2590277778</v>
      </c>
      <c r="F24" s="2" t="n">
        <v>93174.848</v>
      </c>
      <c r="G24" s="2" t="n">
        <v>93210.266</v>
      </c>
      <c r="H24" s="3" t="n">
        <v>35.419</v>
      </c>
      <c r="I24" s="13" t="n">
        <f aca="false">I23+H24</f>
        <v>775.758</v>
      </c>
      <c r="J24" s="14" t="n">
        <f aca="false">IF($H24&gt;0,$I24/$A24,"")</f>
        <v>33.7286086956522</v>
      </c>
      <c r="K24" s="15" t="n">
        <f aca="false">IF($H24&lt;&gt;"",(($H24*$S$7)+($A24*$S$8))*(1+$S$9),"")</f>
        <v>8.95822763429032</v>
      </c>
      <c r="L24" s="16" t="n">
        <f aca="false">IF($K24&lt;&gt;"",($K24+$L23),"")</f>
        <v>161.281219811806</v>
      </c>
      <c r="M24" s="17" t="n">
        <f aca="false">IF($J24&lt;&gt;"",$J24*(LOOKUP(1E+307,$A:$A)-$A$2),"")</f>
        <v>978.129652173913</v>
      </c>
      <c r="N24" s="17" t="n">
        <f aca="false">IF($M24&lt;&gt;"",IF($M24&gt;1000,(($M24*$S$7)+($A24*$S$8))*(1+$R$9)-100,($M24*$S$7)+($A24*$R$9)*(1+$R$9)),"")</f>
        <v>150.459205987059</v>
      </c>
      <c r="O24" s="18" t="n">
        <f aca="false">IF(I24&gt;=1000,"",(1000-I24))</f>
        <v>224.242</v>
      </c>
    </row>
    <row r="25" customFormat="false" ht="15" hidden="false" customHeight="false" outlineLevel="0" collapsed="false">
      <c r="A25" s="11" t="n">
        <v>24</v>
      </c>
      <c r="B25" s="11" t="str">
        <f aca="false">TEXT($D25,"ddd")</f>
        <v>Thu</v>
      </c>
      <c r="C25" s="11" t="n">
        <f aca="false">$A$31-$A25</f>
        <v>6</v>
      </c>
      <c r="D25" s="51" t="n">
        <v>45239</v>
      </c>
      <c r="E25" s="51" t="n">
        <v>45240.2591087963</v>
      </c>
      <c r="F25" s="2" t="n">
        <v>93210.266</v>
      </c>
      <c r="G25" s="2" t="n">
        <v>93237.678</v>
      </c>
      <c r="H25" s="3" t="n">
        <v>27.415</v>
      </c>
      <c r="I25" s="13" t="n">
        <f aca="false">I24+H25</f>
        <v>803.173</v>
      </c>
      <c r="J25" s="14" t="n">
        <f aca="false">IF($H25&gt;0,$I25/$A25,"")</f>
        <v>33.4655416666667</v>
      </c>
      <c r="K25" s="15" t="n">
        <f aca="false">IF($H25&lt;&gt;"",(($H25*$S$7)+($A25*$S$8))*(1+$S$9),"")</f>
        <v>7.88420332112903</v>
      </c>
      <c r="L25" s="16" t="n">
        <f aca="false">IF($K25&lt;&gt;"",($K25+$L24),"")</f>
        <v>169.165423132936</v>
      </c>
      <c r="M25" s="17" t="n">
        <f aca="false">IF($J25&lt;&gt;"",$J25*(LOOKUP(1E+307,$A:$A)-$A$2),"")</f>
        <v>970.500708333333</v>
      </c>
      <c r="N25" s="17" t="n">
        <f aca="false">IF($M25&lt;&gt;"",IF($M25&gt;1000,(($M25*$S$7)+($A25*$S$8))*(1+$R$9)-100,($M25*$S$7)+($A25*$R$9)*(1+$R$9)),"")</f>
        <v>149.309718824435</v>
      </c>
      <c r="O25" s="18" t="n">
        <f aca="false">IF(I25&gt;=1000,"",(1000-I25))</f>
        <v>196.827</v>
      </c>
    </row>
    <row r="26" customFormat="false" ht="15" hidden="false" customHeight="false" outlineLevel="0" collapsed="false">
      <c r="A26" s="11" t="n">
        <v>25</v>
      </c>
      <c r="B26" s="11" t="str">
        <f aca="false">TEXT($D26,"ddd")</f>
        <v>Fri</v>
      </c>
      <c r="C26" s="11" t="n">
        <f aca="false">$A$31-$A26</f>
        <v>5</v>
      </c>
      <c r="D26" s="51" t="n">
        <v>45240</v>
      </c>
      <c r="E26" s="51" t="n">
        <v>45241.2578819444</v>
      </c>
      <c r="F26" s="2" t="n">
        <v>93237.678</v>
      </c>
      <c r="G26" s="2" t="n">
        <v>93264.336</v>
      </c>
      <c r="H26" s="3" t="n">
        <v>26.654</v>
      </c>
      <c r="I26" s="13" t="n">
        <f aca="false">I25+H26</f>
        <v>829.827</v>
      </c>
      <c r="J26" s="14" t="n">
        <f aca="false">IF($H26&gt;0,$I26/$A26,"")</f>
        <v>33.19308</v>
      </c>
      <c r="K26" s="15" t="n">
        <f aca="false">IF($H26&lt;&gt;"",(($H26*$S$7)+($A26*$S$8))*(1+$S$9),"")</f>
        <v>7.92085263735484</v>
      </c>
      <c r="L26" s="16" t="n">
        <f aca="false">IF($K26&lt;&gt;"",($K26+$L25),"")</f>
        <v>177.08627577029</v>
      </c>
      <c r="M26" s="17" t="n">
        <f aca="false">IF($J26&lt;&gt;"",$J26*(LOOKUP(1E+307,$A:$A)-$A$2),"")</f>
        <v>962.59932</v>
      </c>
      <c r="N26" s="17" t="n">
        <f aca="false">IF($M26&lt;&gt;"",IF($M26&gt;1000,(($M26*$S$7)+($A26*$S$8))*(1+$R$9)-100,($M26*$S$7)+($A26*$R$9)*(1+$R$9)),"")</f>
        <v>148.118453819263</v>
      </c>
      <c r="O26" s="18" t="n">
        <f aca="false">IF(I26&gt;=1000,"",(1000-I26))</f>
        <v>170.173</v>
      </c>
    </row>
    <row r="27" customFormat="false" ht="15" hidden="false" customHeight="false" outlineLevel="0" collapsed="false">
      <c r="A27" s="11" t="n">
        <v>26</v>
      </c>
      <c r="B27" s="11" t="str">
        <f aca="false">TEXT($D27,"ddd")</f>
        <v>Sat</v>
      </c>
      <c r="C27" s="11" t="n">
        <f aca="false">$A$31-$A27</f>
        <v>4</v>
      </c>
      <c r="D27" s="51" t="n">
        <v>45241</v>
      </c>
      <c r="E27" s="51" t="n">
        <v>45242.2820023148</v>
      </c>
      <c r="F27" s="2" t="n">
        <v>93264.336</v>
      </c>
      <c r="G27" s="2" t="n">
        <v>93308.408</v>
      </c>
      <c r="H27" s="3" t="n">
        <v>44.073</v>
      </c>
      <c r="I27" s="13" t="n">
        <f aca="false">I26+H27</f>
        <v>873.9</v>
      </c>
      <c r="J27" s="14" t="n">
        <f aca="false">IF($H27&gt;0,$I27/$A27,"")</f>
        <v>33.6115384615385</v>
      </c>
      <c r="K27" s="15" t="n">
        <f aca="false">IF($H27&lt;&gt;"",(($H27*$S$7)+($A27*$S$8))*(1+$S$9),"")</f>
        <v>10.7453034974516</v>
      </c>
      <c r="L27" s="16" t="n">
        <f aca="false">IF($K27&lt;&gt;"",($K27+$L26),"")</f>
        <v>187.831579267742</v>
      </c>
      <c r="M27" s="17" t="n">
        <f aca="false">IF($J27&lt;&gt;"",$J27*(LOOKUP(1E+307,$A:$A)-$A$2),"")</f>
        <v>974.734615384615</v>
      </c>
      <c r="N27" s="17" t="n">
        <f aca="false">IF($M27&lt;&gt;"",IF($M27&gt;1000,(($M27*$S$7)+($A27*$S$8))*(1+$R$9)-100,($M27*$S$7)+($A27*$R$9)*(1+$R$9)),"")</f>
        <v>149.999702444616</v>
      </c>
      <c r="O27" s="18" t="n">
        <f aca="false">IF(I27&gt;=1000,"",(1000-I27))</f>
        <v>126.1</v>
      </c>
    </row>
    <row r="28" customFormat="false" ht="15" hidden="false" customHeight="false" outlineLevel="0" collapsed="false">
      <c r="A28" s="11" t="n">
        <v>27</v>
      </c>
      <c r="B28" s="11" t="str">
        <f aca="false">TEXT($D28,"ddd")</f>
        <v>Sun</v>
      </c>
      <c r="C28" s="11" t="n">
        <f aca="false">$A$31-$A28</f>
        <v>3</v>
      </c>
      <c r="D28" s="51" t="n">
        <v>45242</v>
      </c>
      <c r="E28" s="51" t="n">
        <v>45243.2566203704</v>
      </c>
      <c r="F28" s="2" t="n">
        <v>93308.408</v>
      </c>
      <c r="G28" s="2" t="n">
        <v>93378.176</v>
      </c>
      <c r="H28" s="3" t="n">
        <v>69.768</v>
      </c>
      <c r="I28" s="13" t="n">
        <f aca="false">I27+H28</f>
        <v>943.668</v>
      </c>
      <c r="J28" s="14" t="n">
        <f aca="false">IF($H28&gt;0,$I28/$A28,"")</f>
        <v>34.9506666666667</v>
      </c>
      <c r="K28" s="15" t="n">
        <f aca="false">IF($H28&lt;&gt;"",(($H28*$S$7)+($A28*$S$8))*(1+$S$9),"")</f>
        <v>14.838832772129</v>
      </c>
      <c r="L28" s="16" t="n">
        <f aca="false">IF($K28&lt;&gt;"",($K28+$L27),"")</f>
        <v>202.670412039871</v>
      </c>
      <c r="M28" s="17" t="n">
        <f aca="false">IF($J28&lt;&gt;"",$J28*(LOOKUP(1E+307,$A:$A)-$A$2),"")</f>
        <v>1013.56933333333</v>
      </c>
      <c r="N28" s="17" t="n">
        <f aca="false">IF($M28&lt;&gt;"",IF($M28&gt;1000,(($M28*$S$7)+($A28*$S$8))*(1+$R$9)-100,($M28*$S$7)+($A28*$R$9)*(1+$R$9)),"")</f>
        <v>62.7520232578141</v>
      </c>
      <c r="O28" s="18" t="n">
        <f aca="false">IF(I28&gt;=1000,"",(1000-I28))</f>
        <v>56.3320000000001</v>
      </c>
      <c r="Q28" s="29"/>
    </row>
    <row r="29" customFormat="false" ht="15" hidden="false" customHeight="false" outlineLevel="0" collapsed="false">
      <c r="A29" s="11" t="n">
        <v>28</v>
      </c>
      <c r="B29" s="11" t="str">
        <f aca="false">TEXT($D29,"ddd")</f>
        <v>Mon</v>
      </c>
      <c r="C29" s="11" t="n">
        <f aca="false">$A$31-$A29</f>
        <v>2</v>
      </c>
      <c r="D29" s="51" t="n">
        <v>45243</v>
      </c>
      <c r="E29" s="51" t="n">
        <v>45244.2579398148</v>
      </c>
      <c r="F29" s="2" t="n">
        <v>93378.176</v>
      </c>
      <c r="G29" s="2" t="n">
        <v>93426.043</v>
      </c>
      <c r="H29" s="3" t="n">
        <v>47.864</v>
      </c>
      <c r="I29" s="13" t="n">
        <f aca="false">I28+H29</f>
        <v>991.532</v>
      </c>
      <c r="J29" s="14" t="n">
        <f aca="false">IF($H29&gt;0,$I29/$A29,"")</f>
        <v>35.4118571428571</v>
      </c>
      <c r="K29" s="15" t="n">
        <f aca="false">IF($H29&lt;&gt;"",(($H29*$S$7)+($A29*$S$8))*(1+$S$9),"")</f>
        <v>11.6333210299355</v>
      </c>
      <c r="L29" s="16" t="n">
        <f aca="false">IF($K29&lt;&gt;"",($K29+$L28),"")</f>
        <v>214.303733069806</v>
      </c>
      <c r="M29" s="17" t="n">
        <f aca="false">IF($J29&lt;&gt;"",$J29*(LOOKUP(1E+307,$A:$A)-$A$2),"")</f>
        <v>1026.94385714286</v>
      </c>
      <c r="N29" s="17" t="n">
        <f aca="false">IF($M29&lt;&gt;"",IF($M29&gt;1000,(($M29*$S$7)+($A29*$S$8))*(1+$R$9)-100,($M29*$S$7)+($A29*$R$9)*(1+$R$9)),"")</f>
        <v>65.0002951974391</v>
      </c>
      <c r="O29" s="18" t="n">
        <f aca="false">IF(I29&gt;=1000,"",(1000-I29))</f>
        <v>8.46800000000008</v>
      </c>
    </row>
    <row r="30" customFormat="false" ht="15" hidden="false" customHeight="false" outlineLevel="0" collapsed="false">
      <c r="A30" s="11" t="n">
        <v>29</v>
      </c>
      <c r="B30" s="11" t="str">
        <f aca="false">TEXT($D30,"ddd")</f>
        <v>Tue</v>
      </c>
      <c r="C30" s="11" t="n">
        <f aca="false">$A$31-$A30</f>
        <v>1</v>
      </c>
      <c r="D30" s="51" t="n">
        <v>45244</v>
      </c>
      <c r="E30" s="51" t="n">
        <v>45245.2586574074</v>
      </c>
      <c r="F30" s="2" t="n">
        <v>93426.043</v>
      </c>
      <c r="G30" s="2" t="n">
        <v>93471.028</v>
      </c>
      <c r="H30" s="3" t="n">
        <v>44.988</v>
      </c>
      <c r="I30" s="68" t="n">
        <f aca="false">I29+H30</f>
        <v>1036.52</v>
      </c>
      <c r="J30" s="14" t="n">
        <f aca="false">IF($H30&gt;0,$I30/$A30,"")</f>
        <v>35.7420689655172</v>
      </c>
      <c r="K30" s="15" t="n">
        <f aca="false">IF($H30&lt;&gt;"",(($H30*$S$7)+($A30*$S$8))*(1+$S$9),"")</f>
        <v>11.3456468992258</v>
      </c>
      <c r="L30" s="16" t="n">
        <f aca="false">IF($K30&lt;&gt;"",($K30+$L29),"")</f>
        <v>225.649379969032</v>
      </c>
      <c r="M30" s="17" t="n">
        <f aca="false">IF($J30&lt;&gt;"",$J30*(LOOKUP(1E+307,$A:$A)-$A$2),"")</f>
        <v>1036.52</v>
      </c>
      <c r="N30" s="17" t="n">
        <f aca="false">IF($M30&lt;&gt;"",IF($M30&gt;1000,(($M30*$S$7)+($A30*$S$8))*(1+$R$9)-100,($M30*$S$7)+($A30*$R$9)*(1+$R$9)),"")</f>
        <v>66.6544748788158</v>
      </c>
      <c r="O30" s="18" t="str">
        <f aca="false">IF(I30&gt;=1000,"",(1000-I30))</f>
        <v/>
      </c>
    </row>
    <row r="31" customFormat="false" ht="15" hidden="false" customHeight="false" outlineLevel="0" collapsed="false">
      <c r="A31" s="11" t="n">
        <v>30</v>
      </c>
      <c r="B31" s="11" t="str">
        <f aca="false">TEXT($D31,"ddd")</f>
        <v>Wed</v>
      </c>
      <c r="C31" s="11" t="n">
        <f aca="false">$A$31-$A31</f>
        <v>0</v>
      </c>
      <c r="D31" s="51" t="n">
        <v>45245</v>
      </c>
      <c r="E31" s="51" t="n">
        <v>45246.2584953704</v>
      </c>
      <c r="F31" s="2" t="n">
        <v>93471.028</v>
      </c>
      <c r="G31" s="2" t="n">
        <v>93506.438</v>
      </c>
      <c r="H31" s="3" t="n">
        <v>35.413</v>
      </c>
      <c r="I31" s="13" t="n">
        <f aca="false">I30+H31</f>
        <v>1071.933</v>
      </c>
      <c r="J31" s="14" t="n">
        <f aca="false">IF($H31&gt;0,$I31/$A31,"")</f>
        <v>35.7311</v>
      </c>
      <c r="K31" s="15" t="n">
        <f aca="false">IF($H31&lt;&gt;"",(($H31*$S$7)+($A31*$S$8))*(1+$S$9),"")</f>
        <v>10.0307185032581</v>
      </c>
      <c r="L31" s="16" t="n">
        <f aca="false">IF($K31&lt;&gt;"",($K31+$L30),"")</f>
        <v>235.68009847229</v>
      </c>
      <c r="M31" s="17" t="n">
        <f aca="false">IF($J31&lt;&gt;"",$J31*(LOOKUP(1E+307,$A:$A)-$A$2),"")</f>
        <v>1036.2019</v>
      </c>
      <c r="N31" s="17" t="n">
        <f aca="false">IF($M31&lt;&gt;"",IF($M31&gt;1000,(($M31*$S$7)+($A31*$S$8))*(1+$R$9)-100,($M31*$S$7)+($A31*$R$9)*(1+$R$9)),"")</f>
        <v>66.7611286125982</v>
      </c>
      <c r="O31" s="18" t="str">
        <f aca="false">IF(I31&gt;=1000,"",(1000-I31))</f>
        <v/>
      </c>
    </row>
    <row r="32" customFormat="false" ht="15" hidden="false" customHeight="false" outlineLevel="0" collapsed="false">
      <c r="A32" s="11"/>
      <c r="B32" s="11"/>
      <c r="C32" s="11"/>
      <c r="H32" s="3"/>
      <c r="I32" s="13" t="str">
        <f aca="false">IF($H32&gt;0,($I31+$H32),"")</f>
        <v/>
      </c>
      <c r="J32" s="14" t="str">
        <f aca="false">IF($H32&gt;0,$I32/$A32,"")</f>
        <v/>
      </c>
      <c r="K32" s="15"/>
      <c r="L32" s="16"/>
      <c r="M32" s="17" t="str">
        <f aca="false">IF($J32&lt;&gt;"",$J32*(LOOKUP(1E+307,$A:$A)-$A$2),"")</f>
        <v/>
      </c>
      <c r="N32" s="17" t="str">
        <f aca="false">IF($M32&lt;&gt;"",IF($M32&gt;1000,(($M32*$S$7)+($A32*$S$8))*(1+$R$9)-100,($M32*$S$7)+($A32*$R$9)*(1+$R$9)),"")</f>
        <v/>
      </c>
      <c r="O32" s="18" t="str">
        <f aca="false">IF(I32&gt;=1000,"",(1000-I32))</f>
        <v/>
      </c>
    </row>
    <row r="33" customFormat="false" ht="15" hidden="false" customHeight="false" outlineLevel="0" collapsed="false">
      <c r="A33" s="11"/>
      <c r="B33" s="11"/>
      <c r="C33" s="11"/>
      <c r="D33" s="1"/>
      <c r="E33" s="1"/>
      <c r="H33" s="3"/>
      <c r="I33" s="13" t="str">
        <f aca="false">IF($H33&gt;0,($I32+$H33),"")</f>
        <v/>
      </c>
      <c r="J33" s="14" t="str">
        <f aca="false">IF($H33&gt;0,$I33/$A33,"")</f>
        <v/>
      </c>
      <c r="K33" s="15" t="str">
        <f aca="false">IF($H33&lt;&gt;"",(($H33*$S$7)+($A33*$S$8))*(1+$S$9),"")</f>
        <v/>
      </c>
      <c r="L33" s="16" t="str">
        <f aca="false">IF($K33&lt;&gt;"",($K33+$L32),"")</f>
        <v/>
      </c>
      <c r="M33" s="17" t="str">
        <f aca="false">IF($J33&lt;&gt;"",$J33*(LOOKUP(1E+307,$A:$A)-$A$2),"")</f>
        <v/>
      </c>
      <c r="N33" s="17" t="str">
        <f aca="false">IF($M33&lt;&gt;"",IF($M33&gt;1000,(($M33*$S$7)+($A33*$S$8))*(1+$R$9)-100,($M33*$S$7)+($A33*$R$9)*(1+$R$9)),"")</f>
        <v/>
      </c>
      <c r="O33" s="18" t="str">
        <f aca="false">IF(I33&gt;=1000,"",(1000-I33))</f>
        <v/>
      </c>
    </row>
    <row r="34" customFormat="false" ht="15" hidden="false" customHeight="false" outlineLevel="0" collapsed="false">
      <c r="A34" s="11"/>
      <c r="B34" s="11"/>
      <c r="C34" s="11"/>
      <c r="I34" s="66"/>
      <c r="J34" s="45"/>
      <c r="K34" s="27"/>
      <c r="L34" s="66"/>
      <c r="M34" s="66"/>
      <c r="N34" s="45"/>
      <c r="O34" s="66" t="n">
        <f aca="false">IF(I34&gt;=1000,"",(1000-I34))</f>
        <v>1000</v>
      </c>
      <c r="P34" s="45"/>
    </row>
    <row r="35" customFormat="false" ht="15" hidden="false" customHeight="false" outlineLevel="0" collapsed="false">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1071.933</v>
      </c>
    </row>
    <row r="41" customFormat="false" ht="15" hidden="false" customHeight="false" outlineLevel="0" collapsed="false">
      <c r="D41" s="51" t="n">
        <v>45245</v>
      </c>
      <c r="E41" s="51" t="n">
        <v>45246.2584953704</v>
      </c>
      <c r="F41" s="2" t="n">
        <v>93471.028</v>
      </c>
      <c r="G41" s="2" t="n">
        <v>93506.438</v>
      </c>
      <c r="H41" s="4" t="n">
        <v>35.413</v>
      </c>
    </row>
    <row r="42" customFormat="false" ht="15" hidden="false" customHeight="false" outlineLevel="0" collapsed="false">
      <c r="D42" s="51" t="n">
        <v>45246</v>
      </c>
      <c r="E42" s="51" t="n">
        <v>45247.2596527778</v>
      </c>
      <c r="F42" s="2" t="n">
        <v>93506.438</v>
      </c>
      <c r="G42" s="2" t="n">
        <v>93541.432</v>
      </c>
      <c r="H42" s="4" t="n">
        <v>35.002</v>
      </c>
    </row>
  </sheetData>
  <conditionalFormatting sqref="A1:I1 K1:O1">
    <cfRule type="expression" priority="2" aboveAverage="0" equalAverage="0" bottom="0" percent="0" rank="0" text="" dxfId="14">
      <formula>" =CELL(“Protect”,A1)=1"</formula>
    </cfRule>
    <cfRule type="expression" priority="3" aboveAverage="0" equalAverage="0" bottom="0" percent="0" rank="0" text="" dxfId="1">
      <formula>" =CELL(“Protect”,A1)=1"</formula>
    </cfRule>
  </conditionalFormatting>
  <conditionalFormatting sqref="Q2:Q19">
    <cfRule type="expression" priority="4" aboveAverage="0" equalAverage="0" bottom="0" percent="0" rank="0" text="" dxfId="15">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8.453125" defaultRowHeight="15" zeroHeight="false" outlineLevelRow="0" outlineLevelCol="0"/>
  <cols>
    <col collapsed="false" customWidth="true" hidden="false" outlineLevel="0" max="1" min="1" style="0" width="6.14"/>
    <col collapsed="false" customWidth="true" hidden="false" outlineLevel="0" max="3" min="2" style="0" width="6.29"/>
    <col collapsed="false" customWidth="true" hidden="false" outlineLevel="0" max="5" min="4" style="51" width="8.71"/>
    <col collapsed="false" customWidth="true" hidden="false" outlineLevel="0" max="7" min="6" style="2" width="9.14"/>
    <col collapsed="false" customWidth="true" hidden="false" outlineLevel="0" max="8" min="8" style="3" width="9.14"/>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7" min="17" style="0" width="28.57"/>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S1" s="10"/>
    </row>
    <row r="2" customFormat="false" ht="15" hidden="false" customHeight="false" outlineLevel="0" collapsed="false">
      <c r="A2" s="11" t="n">
        <v>1</v>
      </c>
      <c r="B2" s="11" t="str">
        <f aca="false">TEXT($D2,"ddd")</f>
        <v>Fri</v>
      </c>
      <c r="C2" s="11" t="n">
        <f aca="false">$A$30-$A2</f>
        <v>28</v>
      </c>
      <c r="D2" s="51" t="n">
        <v>45184</v>
      </c>
      <c r="E2" s="51" t="n">
        <v>45185.2657638889</v>
      </c>
      <c r="F2" s="2" t="n">
        <v>91206.344</v>
      </c>
      <c r="G2" s="2" t="n">
        <v>91236.611</v>
      </c>
      <c r="H2" s="3" t="n">
        <v>30.264</v>
      </c>
      <c r="I2" s="13" t="n">
        <f aca="false">H2</f>
        <v>30.264</v>
      </c>
      <c r="J2" s="14" t="n">
        <f aca="false">(I2)</f>
        <v>30.264</v>
      </c>
      <c r="K2" s="15" t="n">
        <f aca="false">IF($H2&lt;&gt;"",(($H2*$S$7)+($A2*$S$8))*(1+$S$9),"")</f>
        <v>4.79415992670968</v>
      </c>
      <c r="L2" s="16" t="n">
        <f aca="false">(K2)</f>
        <v>4.79415992670968</v>
      </c>
      <c r="M2" s="17" t="n">
        <f aca="false">IF($J2&lt;&gt;"",$J2*(LOOKUP(1E+307,$A:$A)-$A$2),"")</f>
        <v>907.92</v>
      </c>
      <c r="N2" s="17" t="n">
        <f aca="false">IF($M2&lt;&gt;"",IF($M2&gt;1000,(($M2*$S$7)+($A2*$S$8))*(1+$R$9)-100,($M2*$S$7)+($A2*$R$9)*(1+$R$9)),"")</f>
        <v>139.244834021545</v>
      </c>
      <c r="O2" s="18" t="n">
        <f aca="false">IF(I2&gt;=1000,"",(1000-I2))</f>
        <v>969.736</v>
      </c>
      <c r="Q2" s="19" t="s">
        <v>18</v>
      </c>
      <c r="R2" s="20" t="s">
        <v>19</v>
      </c>
      <c r="S2" s="21"/>
    </row>
    <row r="3" customFormat="false" ht="15" hidden="false" customHeight="false" outlineLevel="0" collapsed="false">
      <c r="A3" s="11" t="n">
        <v>2</v>
      </c>
      <c r="B3" s="11" t="str">
        <f aca="false">TEXT($D3,"ddd")</f>
        <v>Sat</v>
      </c>
      <c r="C3" s="11" t="n">
        <f aca="false">$A$30-$A3</f>
        <v>27</v>
      </c>
      <c r="D3" s="51" t="n">
        <v>45185</v>
      </c>
      <c r="E3" s="51" t="n">
        <v>45186.2778819444</v>
      </c>
      <c r="F3" s="2" t="n">
        <v>91236.611</v>
      </c>
      <c r="G3" s="2" t="n">
        <v>91265.358</v>
      </c>
      <c r="H3" s="3" t="n">
        <v>28.751</v>
      </c>
      <c r="I3" s="13" t="n">
        <f aca="false">IF($H3&gt;0,($I2+$H3),"")</f>
        <v>59.015</v>
      </c>
      <c r="J3" s="14" t="n">
        <f aca="false">IF($H3&gt;0,$I3/$A3,"")</f>
        <v>29.5075</v>
      </c>
      <c r="K3" s="15" t="n">
        <f aca="false">IF($H3&lt;&gt;"",(($H3*$S$7)+($A3*$S$8))*(1+$S$9),"")</f>
        <v>4.71549423958065</v>
      </c>
      <c r="L3" s="16" t="n">
        <f aca="false">IF($K3&lt;&gt;"",($K3+$L2),"")</f>
        <v>9.50965416629032</v>
      </c>
      <c r="M3" s="17" t="n">
        <f aca="false">IF($J3&lt;&gt;"",$J3*(LOOKUP(1E+307,$A:$A)-$A$2),"")</f>
        <v>885.225</v>
      </c>
      <c r="N3" s="17" t="n">
        <f aca="false">IF($M3&lt;&gt;"",IF($M3&gt;1000,(($M3*$S$7)+($A3*$S$8))*(1+$R$9)-100,($M3*$S$7)+($A3*$R$9)*(1+$R$9)),"")</f>
        <v>135.785051225187</v>
      </c>
      <c r="O3" s="18" t="n">
        <f aca="false">IF(I3&gt;=1000,"",(1000-I3))</f>
        <v>940.985</v>
      </c>
      <c r="Q3" s="22" t="s">
        <v>22</v>
      </c>
      <c r="R3" s="23" t="e">
        <f aca="false">(#REF!+1000)</f>
        <v>#REF!</v>
      </c>
      <c r="S3" s="24"/>
    </row>
    <row r="4" customFormat="false" ht="15" hidden="false" customHeight="false" outlineLevel="0" collapsed="false">
      <c r="A4" s="11" t="n">
        <v>3</v>
      </c>
      <c r="B4" s="11" t="str">
        <f aca="false">TEXT($D4,"ddd")</f>
        <v>Sun</v>
      </c>
      <c r="C4" s="11" t="n">
        <f aca="false">$A$30-$A4</f>
        <v>26</v>
      </c>
      <c r="D4" s="51" t="n">
        <v>45186</v>
      </c>
      <c r="E4" s="51" t="n">
        <v>45187.2575231481</v>
      </c>
      <c r="F4" s="2" t="n">
        <v>91265.358</v>
      </c>
      <c r="G4" s="2" t="n">
        <v>91302.767</v>
      </c>
      <c r="H4" s="3" t="n">
        <v>37.412</v>
      </c>
      <c r="I4" s="13" t="n">
        <f aca="false">IF($H4&gt;0,($I3+$H4),"")</f>
        <v>96.427</v>
      </c>
      <c r="J4" s="14" t="n">
        <f aca="false">IF($H4&gt;0,$I4/$A4,"")</f>
        <v>32.1423333333333</v>
      </c>
      <c r="K4" s="15" t="n">
        <f aca="false">IF($H4&lt;&gt;"",(($H4*$S$7)+($A4*$S$8))*(1+$S$9),"")</f>
        <v>6.19695467496774</v>
      </c>
      <c r="L4" s="16" t="n">
        <f aca="false">IF($K4&lt;&gt;"",($K4+$L3),"")</f>
        <v>15.7066088412581</v>
      </c>
      <c r="M4" s="17" t="n">
        <f aca="false">IF($J4&lt;&gt;"",$J4*(LOOKUP(1E+307,$A:$A)-$A$2),"")</f>
        <v>964.27</v>
      </c>
      <c r="N4" s="17" t="n">
        <f aca="false">IF($M4&lt;&gt;"",IF($M4&gt;1000,(($M4*$S$7)+($A4*$S$8))*(1+$R$9)-100,($M4*$S$7)+($A4*$R$9)*(1+$R$9)),"")</f>
        <v>147.92652965399</v>
      </c>
      <c r="O4" s="18" t="n">
        <f aca="false">IF(I4&gt;=1000,"",(1000-I4))</f>
        <v>903.573</v>
      </c>
      <c r="Q4" s="22" t="s">
        <v>25</v>
      </c>
      <c r="R4" s="25"/>
      <c r="S4" s="26" t="n">
        <v>0.001667</v>
      </c>
    </row>
    <row r="5" customFormat="false" ht="15" hidden="false" customHeight="false" outlineLevel="0" collapsed="false">
      <c r="A5" s="11" t="n">
        <v>4</v>
      </c>
      <c r="B5" s="11" t="str">
        <f aca="false">TEXT($D5,"ddd")</f>
        <v>Mon</v>
      </c>
      <c r="C5" s="11" t="n">
        <f aca="false">$A$30-$A5</f>
        <v>25</v>
      </c>
      <c r="D5" s="51" t="n">
        <v>45187</v>
      </c>
      <c r="E5" s="51" t="n">
        <v>45188.2618865741</v>
      </c>
      <c r="F5" s="2" t="n">
        <v>91302.767</v>
      </c>
      <c r="G5" s="2" t="n">
        <v>91348.966</v>
      </c>
      <c r="H5" s="3" t="n">
        <v>46.199</v>
      </c>
      <c r="I5" s="13" t="n">
        <f aca="false">IF($H5&gt;0,($I4+$H5),"")</f>
        <v>142.626</v>
      </c>
      <c r="J5" s="14" t="n">
        <f aca="false">IF($H5&gt;0,$I5/$A5,"")</f>
        <v>35.6565</v>
      </c>
      <c r="K5" s="15" t="n">
        <f aca="false">IF($H5&lt;&gt;"",(($H5*$S$7)+($A5*$S$8))*(1+$S$9),"")</f>
        <v>7.69773650719355</v>
      </c>
      <c r="L5" s="16" t="n">
        <f aca="false">IF($K5&lt;&gt;"",($K5+$L4),"")</f>
        <v>23.4043453484516</v>
      </c>
      <c r="M5" s="17" t="n">
        <f aca="false">IF($J5&lt;&gt;"",$J5*(LOOKUP(1E+307,$A:$A)-$A$2),"")</f>
        <v>1069.695</v>
      </c>
      <c r="N5" s="17" t="n">
        <f aca="false">IF($M5&lt;&gt;"",IF($M5&gt;1000,(($M5*$S$7)+($A5*$S$8))*(1+$R$9)-100,($M5*$S$7)+($A5*$R$9)*(1+$R$9)),"")</f>
        <v>67.9330997118872</v>
      </c>
      <c r="O5" s="18" t="n">
        <f aca="false">IF(I5&gt;=1000,"",(1000-I5))</f>
        <v>857.374</v>
      </c>
      <c r="P5" s="27"/>
      <c r="Q5" s="22" t="s">
        <v>28</v>
      </c>
      <c r="R5" s="25"/>
      <c r="S5" s="26" t="n">
        <v>0.042</v>
      </c>
    </row>
    <row r="6" customFormat="false" ht="15" hidden="false" customHeight="false" outlineLevel="0" collapsed="false">
      <c r="A6" s="11" t="n">
        <v>5</v>
      </c>
      <c r="B6" s="11" t="str">
        <f aca="false">TEXT($D6,"ddd")</f>
        <v>Tue</v>
      </c>
      <c r="C6" s="11" t="n">
        <f aca="false">$A$30-$A6</f>
        <v>24</v>
      </c>
      <c r="D6" s="51" t="n">
        <v>45188</v>
      </c>
      <c r="E6" s="51" t="n">
        <v>45189.2598263889</v>
      </c>
      <c r="F6" s="2" t="n">
        <v>91348.966</v>
      </c>
      <c r="G6" s="2" t="n">
        <v>91389.935</v>
      </c>
      <c r="H6" s="3" t="n">
        <v>40.964</v>
      </c>
      <c r="I6" s="13" t="n">
        <f aca="false">IF($H6&gt;0,($I5+$H6),"")</f>
        <v>183.59</v>
      </c>
      <c r="J6" s="14" t="n">
        <f aca="false">IF($H6&gt;0,$I6/$A6,"")</f>
        <v>36.718</v>
      </c>
      <c r="K6" s="15" t="n">
        <f aca="false">IF($H6&lt;&gt;"",(($H6*$S$7)+($A6*$S$8))*(1+$S$9),"")</f>
        <v>7.04832289122581</v>
      </c>
      <c r="L6" s="16" t="n">
        <f aca="false">IF($K6&lt;&gt;"",($K6+$L5),"")</f>
        <v>30.4526682396774</v>
      </c>
      <c r="M6" s="17" t="n">
        <f aca="false">IF($J6&lt;&gt;"",$J6*(LOOKUP(1E+307,$A:$A)-$A$2),"")</f>
        <v>1101.54</v>
      </c>
      <c r="N6" s="17" t="n">
        <f aca="false">IF($M6&lt;&gt;"",IF($M6&gt;1000,(($M6*$S$7)+($A6*$S$8))*(1+$R$9)-100,($M6*$S$7)+($A6*$R$9)*(1+$R$9)),"")</f>
        <v>73.0702780167475</v>
      </c>
      <c r="O6" s="18" t="n">
        <f aca="false">IF(I6&gt;=1000,"",(1000-I6))</f>
        <v>816.41</v>
      </c>
      <c r="Q6" s="22" t="s">
        <v>31</v>
      </c>
      <c r="R6" s="23" t="n">
        <v>3.4</v>
      </c>
      <c r="S6" s="26" t="n">
        <f aca="false">($R$6/DAYS)</f>
        <v>0.109677419354839</v>
      </c>
    </row>
    <row r="7" customFormat="false" ht="15" hidden="false" customHeight="false" outlineLevel="0" collapsed="false">
      <c r="A7" s="11" t="n">
        <v>6</v>
      </c>
      <c r="B7" s="11" t="str">
        <f aca="false">TEXT($D7,"ddd")</f>
        <v>Wed</v>
      </c>
      <c r="C7" s="11" t="n">
        <f aca="false">$A$30-$A7</f>
        <v>23</v>
      </c>
      <c r="D7" s="51" t="n">
        <v>45189</v>
      </c>
      <c r="E7" s="51" t="n">
        <v>45190.259837963</v>
      </c>
      <c r="F7" s="2" t="n">
        <v>91389.935</v>
      </c>
      <c r="G7" s="2" t="n">
        <v>91439.174</v>
      </c>
      <c r="H7" s="3" t="n">
        <v>49.24</v>
      </c>
      <c r="I7" s="13" t="n">
        <f aca="false">IF($H7&gt;0,($I6+$H7),"")</f>
        <v>232.83</v>
      </c>
      <c r="J7" s="14" t="n">
        <f aca="false">IF($H7&gt;0,$I7/$A7,"")</f>
        <v>38.805</v>
      </c>
      <c r="K7" s="15" t="n">
        <f aca="false">IF($H7&lt;&gt;"",(($H7*$S$7)+($A7*$S$8))*(1+$S$9),"")</f>
        <v>8.47074572516129</v>
      </c>
      <c r="L7" s="16" t="n">
        <f aca="false">IF($K7&lt;&gt;"",($K7+$L6),"")</f>
        <v>38.9234139648387</v>
      </c>
      <c r="M7" s="17" t="n">
        <f aca="false">IF($J7&lt;&gt;"",$J7*(LOOKUP(1E+307,$A:$A)-$A$2),"")</f>
        <v>1164.15</v>
      </c>
      <c r="N7" s="17" t="n">
        <f aca="false">IF($M7&lt;&gt;"",IF($M7&gt;1000,(($M7*$S$7)+($A7*$S$8))*(1+$R$9)-100,($M7*$S$7)+($A7*$R$9)*(1+$R$9)),"")</f>
        <v>83.0193086750566</v>
      </c>
      <c r="O7" s="18" t="n">
        <f aca="false">IF(I7&gt;=1000,"",(1000-I7))</f>
        <v>767.17</v>
      </c>
      <c r="Q7" s="22" t="s">
        <v>34</v>
      </c>
      <c r="R7" s="25"/>
      <c r="S7" s="28" t="n">
        <f aca="false">SUM(S4:S6)</f>
        <v>0.153344419354839</v>
      </c>
    </row>
    <row r="8" customFormat="false" ht="15" hidden="false" customHeight="false" outlineLevel="0" collapsed="false">
      <c r="A8" s="11" t="n">
        <v>7</v>
      </c>
      <c r="B8" s="11" t="str">
        <f aca="false">TEXT($D8,"ddd")</f>
        <v>Thu</v>
      </c>
      <c r="C8" s="11" t="n">
        <f aca="false">$A$30-$A8</f>
        <v>22</v>
      </c>
      <c r="D8" s="51" t="n">
        <v>45190</v>
      </c>
      <c r="E8" s="51" t="n">
        <v>45191.2568055556</v>
      </c>
      <c r="F8" s="2" t="n">
        <v>91439.174</v>
      </c>
      <c r="G8" s="2" t="n">
        <v>91489.877</v>
      </c>
      <c r="H8" s="3" t="n">
        <v>50.699</v>
      </c>
      <c r="I8" s="13" t="n">
        <f aca="false">IF($H8&gt;0,($I7+$H8),"")</f>
        <v>283.529</v>
      </c>
      <c r="J8" s="14" t="n">
        <f aca="false">IF($H8&gt;0,$I8/$A8,"")</f>
        <v>40.5041428571429</v>
      </c>
      <c r="K8" s="15" t="n">
        <f aca="false">IF($H8&lt;&gt;"",(($H8*$S$7)+($A8*$S$8))*(1+$S$9),"")</f>
        <v>8.84781965235484</v>
      </c>
      <c r="L8" s="16" t="n">
        <f aca="false">IF($K8&lt;&gt;"",($K8+$L7),"")</f>
        <v>47.7712336171936</v>
      </c>
      <c r="M8" s="17" t="n">
        <f aca="false">IF($J8&lt;&gt;"",$J8*(LOOKUP(1E+307,$A:$A)-$A$2),"")</f>
        <v>1215.12428571429</v>
      </c>
      <c r="N8" s="17" t="n">
        <f aca="false">IF($M8&lt;&gt;"",IF($M8&gt;1000,(($M8*$S$7)+($A8*$S$8))*(1+$R$9)-100,($M8*$S$7)+($A8*$R$9)*(1+$R$9)),"")</f>
        <v>91.1484355735811</v>
      </c>
      <c r="O8" s="18" t="n">
        <f aca="false">IF(I8&gt;=1000,"",(1000-I8))</f>
        <v>716.471</v>
      </c>
      <c r="Q8" s="22" t="s">
        <v>38</v>
      </c>
      <c r="R8" s="25"/>
      <c r="S8" s="67" t="n">
        <f aca="false">SUM(S4:S6)</f>
        <v>0.153344419354839</v>
      </c>
    </row>
    <row r="9" customFormat="false" ht="15" hidden="false" customHeight="false" outlineLevel="0" collapsed="false">
      <c r="A9" s="11" t="n">
        <v>8</v>
      </c>
      <c r="B9" s="11" t="str">
        <f aca="false">TEXT($D9,"ddd")</f>
        <v>Fri</v>
      </c>
      <c r="C9" s="11" t="n">
        <f aca="false">$A$30-$A9</f>
        <v>21</v>
      </c>
      <c r="D9" s="51" t="n">
        <v>45191</v>
      </c>
      <c r="E9" s="51" t="n">
        <v>45192.2606597222</v>
      </c>
      <c r="F9" s="2" t="n">
        <v>91489.877</v>
      </c>
      <c r="G9" s="2" t="n">
        <v>91538.952</v>
      </c>
      <c r="H9" s="3" t="n">
        <v>49.07</v>
      </c>
      <c r="I9" s="13" t="n">
        <f aca="false">IF($H9&gt;0,($I8+$H9),"")</f>
        <v>332.599</v>
      </c>
      <c r="J9" s="14" t="n">
        <f aca="false">IF($H9&gt;0,$I9/$A9,"")</f>
        <v>41.574875</v>
      </c>
      <c r="K9" s="15" t="n">
        <f aca="false">IF($H9&lt;&gt;"",(($H9*$S$7)+($A9*$S$8))*(1+$S$9),"")</f>
        <v>8.75136601258065</v>
      </c>
      <c r="L9" s="16" t="n">
        <f aca="false">IF($K9&lt;&gt;"",($K9+$L8),"")</f>
        <v>56.5225996297742</v>
      </c>
      <c r="M9" s="17" t="n">
        <f aca="false">IF($J9&lt;&gt;"",$J9*(LOOKUP(1E+307,$A:$A)-$A$2),"")</f>
        <v>1247.24625</v>
      </c>
      <c r="N9" s="17" t="n">
        <f aca="false">IF($M9&lt;&gt;"",IF($M9&gt;1000,(($M9*$S$7)+($A9*$S$8))*(1+$R$9)-100,($M9*$S$7)+($A9*$R$9)*(1+$R$9)),"")</f>
        <v>96.3289329504399</v>
      </c>
      <c r="O9" s="18" t="n">
        <f aca="false">IF(I9&gt;=1000,"",(1000-I9))</f>
        <v>667.401</v>
      </c>
      <c r="Q9" s="22" t="s">
        <v>42</v>
      </c>
      <c r="R9" s="30" t="n">
        <v>0.01997</v>
      </c>
      <c r="S9" s="32"/>
    </row>
    <row r="10" customFormat="false" ht="15" hidden="false" customHeight="false" outlineLevel="0" collapsed="false">
      <c r="A10" s="11" t="n">
        <v>9</v>
      </c>
      <c r="B10" s="11" t="str">
        <f aca="false">TEXT($D10,"ddd")</f>
        <v>Sat</v>
      </c>
      <c r="C10" s="11" t="n">
        <f aca="false">$A$30-$A10</f>
        <v>20</v>
      </c>
      <c r="D10" s="51" t="n">
        <v>45192</v>
      </c>
      <c r="E10" s="51" t="n">
        <v>45193.2763541667</v>
      </c>
      <c r="F10" s="2" t="n">
        <v>91538.952</v>
      </c>
      <c r="G10" s="2" t="n">
        <v>91592.662</v>
      </c>
      <c r="H10" s="3" t="n">
        <v>53.711</v>
      </c>
      <c r="I10" s="13" t="n">
        <f aca="false">IF($H10&gt;0,($I9+$H10),"")</f>
        <v>386.31</v>
      </c>
      <c r="J10" s="14" t="n">
        <f aca="false">IF($H10&gt;0,$I10/$A10,"")</f>
        <v>42.9233333333333</v>
      </c>
      <c r="K10" s="15" t="n">
        <f aca="false">IF($H10&lt;&gt;"",(($H10*$S$7)+($A10*$S$8))*(1+$S$9),"")</f>
        <v>9.61638188216129</v>
      </c>
      <c r="L10" s="16" t="n">
        <f aca="false">IF($K10&lt;&gt;"",($K10+$L9),"")</f>
        <v>66.1389815119355</v>
      </c>
      <c r="M10" s="17" t="n">
        <f aca="false">IF($J10&lt;&gt;"",$J10*(LOOKUP(1E+307,$A:$A)-$A$2),"")</f>
        <v>1287.7</v>
      </c>
      <c r="N10" s="17" t="n">
        <f aca="false">IF($M10&lt;&gt;"",IF($M10&gt;1000,(($M10*$S$7)+($A10*$S$8))*(1+$R$9)-100,($M10*$S$7)+($A10*$R$9)*(1+$R$9)),"")</f>
        <v>102.81257749771</v>
      </c>
      <c r="O10" s="18" t="n">
        <f aca="false">IF(I10&gt;=1000,"",(1000-I10))</f>
        <v>613.69</v>
      </c>
      <c r="Q10" s="22" t="s">
        <v>46</v>
      </c>
      <c r="R10" s="33" t="n">
        <v>100</v>
      </c>
      <c r="S10" s="24" t="n">
        <v>1000</v>
      </c>
    </row>
    <row r="11" customFormat="false" ht="15" hidden="false" customHeight="false" outlineLevel="0" collapsed="false">
      <c r="A11" s="11" t="n">
        <v>10</v>
      </c>
      <c r="B11" s="11" t="str">
        <f aca="false">TEXT($D11,"ddd")</f>
        <v>Sun</v>
      </c>
      <c r="C11" s="11" t="n">
        <f aca="false">$A$30-$A11</f>
        <v>19</v>
      </c>
      <c r="D11" s="51" t="n">
        <v>45193</v>
      </c>
      <c r="E11" s="51" t="n">
        <v>45194.3110532407</v>
      </c>
      <c r="F11" s="2" t="n">
        <v>91592.662</v>
      </c>
      <c r="G11" s="2" t="n">
        <v>91649.105</v>
      </c>
      <c r="H11" s="3" t="n">
        <v>56.443</v>
      </c>
      <c r="I11" s="13" t="n">
        <f aca="false">IF($H11&gt;0,($I10+$H11),"")</f>
        <v>442.753</v>
      </c>
      <c r="J11" s="14" t="n">
        <f aca="false">IF($H11&gt;0,$I11/$A11,"")</f>
        <v>44.2753</v>
      </c>
      <c r="K11" s="15" t="n">
        <f aca="false">IF($H11&lt;&gt;"",(($H11*$S$7)+($A11*$S$8))*(1+$S$9),"")</f>
        <v>10.1886632551936</v>
      </c>
      <c r="L11" s="16" t="n">
        <f aca="false">IF($K11&lt;&gt;"",($K11+$L10),"")</f>
        <v>76.327644767129</v>
      </c>
      <c r="M11" s="17" t="n">
        <f aca="false">IF($J11&lt;&gt;"",$J11*(LOOKUP(1E+307,$A:$A)-$A$2),"")</f>
        <v>1328.259</v>
      </c>
      <c r="N11" s="17" t="n">
        <f aca="false">IF($M11&lt;&gt;"",IF($M11&gt;1000,(($M11*$S$7)+($A11*$S$8))*(1+$R$9)-100,($M11*$S$7)+($A11*$R$9)*(1+$R$9)),"")</f>
        <v>109.312683850936</v>
      </c>
      <c r="O11" s="18" t="n">
        <f aca="false">IF(I11&gt;=1000,"",(1000-I11))</f>
        <v>557.247</v>
      </c>
      <c r="Q11" s="22" t="s">
        <v>49</v>
      </c>
      <c r="R11" s="33" t="n">
        <v>295</v>
      </c>
      <c r="S11" s="32"/>
    </row>
    <row r="12" customFormat="false" ht="15" hidden="false" customHeight="false" outlineLevel="0" collapsed="false">
      <c r="A12" s="11" t="n">
        <v>11</v>
      </c>
      <c r="B12" s="11" t="str">
        <f aca="false">TEXT($D12,"ddd")</f>
        <v>Mon</v>
      </c>
      <c r="C12" s="11" t="n">
        <f aca="false">$A$30-$A12</f>
        <v>18</v>
      </c>
      <c r="D12" s="51" t="n">
        <v>45194</v>
      </c>
      <c r="E12" s="51" t="n">
        <v>45195.2606828704</v>
      </c>
      <c r="F12" s="2" t="n">
        <v>91649.105</v>
      </c>
      <c r="G12" s="2" t="n">
        <v>91694.489</v>
      </c>
      <c r="H12" s="3" t="n">
        <v>45.383</v>
      </c>
      <c r="I12" s="13" t="n">
        <f aca="false">IF($H12&gt;0,($I11+$H12),"")</f>
        <v>488.136</v>
      </c>
      <c r="J12" s="14" t="n">
        <f aca="false">IF($H12&gt;0,$I12/$A12,"")</f>
        <v>44.376</v>
      </c>
      <c r="K12" s="15" t="n">
        <f aca="false">IF($H12&lt;&gt;"",(($H12*$S$7)+($A12*$S$8))*(1+$S$9),"")</f>
        <v>8.64601839648387</v>
      </c>
      <c r="L12" s="16" t="n">
        <f aca="false">IF($K12&lt;&gt;"",($K12+$L11),"")</f>
        <v>84.9736631636129</v>
      </c>
      <c r="M12" s="17" t="n">
        <f aca="false">IF($J12&lt;&gt;"",$J12*(LOOKUP(1E+307,$A:$A)-$A$2),"")</f>
        <v>1331.28</v>
      </c>
      <c r="N12" s="17" t="n">
        <f aca="false">IF($M12&lt;&gt;"",IF($M12&gt;1000,(($M12*$S$7)+($A12*$S$8))*(1+$R$9)-100,($M12*$S$7)+($A12*$R$9)*(1+$R$9)),"")</f>
        <v>109.941595221429</v>
      </c>
      <c r="O12" s="18" t="n">
        <f aca="false">IF(I12&gt;=1000,"",(1000-I12))</f>
        <v>511.864</v>
      </c>
      <c r="Q12" s="22" t="s">
        <v>52</v>
      </c>
      <c r="R12" s="35" t="n">
        <f aca="false">INDEX(L2:L32,COUNT(L2:L32))</f>
        <v>0</v>
      </c>
      <c r="S12" s="32"/>
    </row>
    <row r="13" customFormat="false" ht="15" hidden="false" customHeight="false" outlineLevel="0" collapsed="false">
      <c r="A13" s="11" t="n">
        <v>12</v>
      </c>
      <c r="B13" s="11" t="str">
        <f aca="false">TEXT($D13,"ddd")</f>
        <v>Tue</v>
      </c>
      <c r="C13" s="11" t="n">
        <f aca="false">$A$30-$A13</f>
        <v>17</v>
      </c>
      <c r="D13" s="51" t="n">
        <v>45195</v>
      </c>
      <c r="E13" s="51" t="n">
        <v>45196.2666435185</v>
      </c>
      <c r="F13" s="2" t="n">
        <v>91694.489</v>
      </c>
      <c r="G13" s="2" t="n">
        <v>91736.783</v>
      </c>
      <c r="H13" s="3" t="n">
        <v>42.295</v>
      </c>
      <c r="I13" s="13" t="n">
        <f aca="false">IF($H13&gt;0,($I12+$H13),"")</f>
        <v>530.431</v>
      </c>
      <c r="J13" s="14" t="n">
        <f aca="false">IF($H13&gt;0,$I13/$A13,"")</f>
        <v>44.2025833333333</v>
      </c>
      <c r="K13" s="15" t="n">
        <f aca="false">IF($H13&lt;&gt;"",(($H13*$S$7)+($A13*$S$8))*(1+$S$9),"")</f>
        <v>8.32583524887097</v>
      </c>
      <c r="L13" s="16" t="n">
        <f aca="false">IF($K13&lt;&gt;"",($K13+$L12),"")</f>
        <v>93.2994984124839</v>
      </c>
      <c r="M13" s="17" t="n">
        <f aca="false">IF($J13&lt;&gt;"",$J13*(LOOKUP(1E+307,$A:$A)-$A$2),"")</f>
        <v>1326.0775</v>
      </c>
      <c r="N13" s="17" t="n">
        <f aca="false">IF($M13&lt;&gt;"",IF($M13&gt;1000,(($M13*$S$7)+($A13*$S$8))*(1+$R$9)-100,($M13*$S$7)+($A13*$R$9)*(1+$R$9)),"")</f>
        <v>109.284296033541</v>
      </c>
      <c r="O13" s="18" t="n">
        <f aca="false">IF(I13&gt;=1000,"",(1000-I13))</f>
        <v>469.569</v>
      </c>
      <c r="Q13" s="22" t="s">
        <v>55</v>
      </c>
      <c r="R13" s="37" t="n">
        <f aca="false">INDEX(I2:I32,COUNT(I2:I32))</f>
        <v>1202.493</v>
      </c>
      <c r="S13" s="32"/>
    </row>
    <row r="14" customFormat="false" ht="15" hidden="false" customHeight="false" outlineLevel="0" collapsed="false">
      <c r="A14" s="11" t="n">
        <v>13</v>
      </c>
      <c r="B14" s="11" t="str">
        <f aca="false">TEXT($D14,"ddd")</f>
        <v>Wed</v>
      </c>
      <c r="C14" s="11" t="n">
        <f aca="false">$A$30-$A14</f>
        <v>16</v>
      </c>
      <c r="D14" s="51" t="n">
        <v>45196</v>
      </c>
      <c r="E14" s="51" t="n">
        <v>45197.2578472222</v>
      </c>
      <c r="F14" s="2" t="n">
        <v>91736.783</v>
      </c>
      <c r="G14" s="2" t="n">
        <v>91778.663</v>
      </c>
      <c r="H14" s="3" t="n">
        <v>41.876</v>
      </c>
      <c r="I14" s="13" t="n">
        <f aca="false">IF($H14&gt;0,($I13+$H14),"")</f>
        <v>572.307</v>
      </c>
      <c r="J14" s="14" t="n">
        <f aca="false">IF($H14&gt;0,$I14/$A14,"")</f>
        <v>44.0236153846154</v>
      </c>
      <c r="K14" s="15" t="n">
        <f aca="false">IF($H14&lt;&gt;"",(($H14*$S$7)+($A14*$S$8))*(1+$S$9),"")</f>
        <v>8.41492835651613</v>
      </c>
      <c r="L14" s="16" t="n">
        <f aca="false">IF($K14&lt;&gt;"",($K14+$L13),"")</f>
        <v>101.714426769</v>
      </c>
      <c r="M14" s="17" t="n">
        <f aca="false">IF($J14&lt;&gt;"",$J14*(LOOKUP(1E+307,$A:$A)-$A$2),"")</f>
        <v>1320.70846153846</v>
      </c>
      <c r="N14" s="17" t="n">
        <f aca="false">IF($M14&lt;&gt;"",IF($M14&gt;1000,(($M14*$S$7)+($A14*$S$8))*(1+$R$9)-100,($M14*$S$7)+($A14*$R$9)*(1+$R$9)),"")</f>
        <v>108.600949113227</v>
      </c>
      <c r="O14" s="18" t="n">
        <f aca="false">IF(I14&gt;=1000,"",(1000-I14))</f>
        <v>427.693</v>
      </c>
      <c r="Q14" s="22" t="s">
        <v>58</v>
      </c>
      <c r="R14" s="37" t="n">
        <f aca="false">INDEX(J2:J32,COUNT(J2:J32))</f>
        <v>38.7900967741935</v>
      </c>
      <c r="S14" s="32"/>
    </row>
    <row r="15" customFormat="false" ht="15" hidden="false" customHeight="false" outlineLevel="0" collapsed="false">
      <c r="A15" s="11" t="n">
        <v>14</v>
      </c>
      <c r="B15" s="11" t="str">
        <f aca="false">TEXT($D15,"ddd")</f>
        <v>Thu</v>
      </c>
      <c r="C15" s="11" t="n">
        <f aca="false">$A$30-$A15</f>
        <v>15</v>
      </c>
      <c r="D15" s="51" t="n">
        <v>45197</v>
      </c>
      <c r="E15" s="51" t="n">
        <v>45198.2579861111</v>
      </c>
      <c r="F15" s="2" t="n">
        <v>91778.663</v>
      </c>
      <c r="G15" s="2" t="n">
        <v>91822.661</v>
      </c>
      <c r="H15" s="3" t="n">
        <v>43.997</v>
      </c>
      <c r="I15" s="13" t="n">
        <f aca="false">IF($H15&gt;0,($I14+$H15),"")</f>
        <v>616.304</v>
      </c>
      <c r="J15" s="14" t="n">
        <f aca="false">IF($H15&gt;0,$I15/$A15,"")</f>
        <v>44.0217142857143</v>
      </c>
      <c r="K15" s="15" t="n">
        <f aca="false">IF($H15&lt;&gt;"",(($H15*$S$7)+($A15*$S$8))*(1+$S$9),"")</f>
        <v>8.89351628932258</v>
      </c>
      <c r="L15" s="16" t="n">
        <f aca="false">IF($K15&lt;&gt;"",($K15+$L14),"")</f>
        <v>110.607943058323</v>
      </c>
      <c r="M15" s="17" t="n">
        <f aca="false">IF($J15&lt;&gt;"",$J15*(LOOKUP(1E+307,$A:$A)-$A$2),"")</f>
        <v>1320.65142857143</v>
      </c>
      <c r="N15" s="17" t="n">
        <f aca="false">IF($M15&lt;&gt;"",IF($M15&gt;1000,(($M15*$S$7)+($A15*$S$8))*(1+$R$9)-100,($M15*$S$7)+($A15*$R$9)*(1+$R$9)),"")</f>
        <v>108.748435482049</v>
      </c>
      <c r="O15" s="18" t="n">
        <f aca="false">IF(I15&gt;=1000,"",(1000-I15))</f>
        <v>383.696</v>
      </c>
      <c r="Q15" s="22"/>
      <c r="R15" s="38"/>
      <c r="S15" s="24"/>
    </row>
    <row r="16" customFormat="false" ht="15" hidden="false" customHeight="false" outlineLevel="0" collapsed="false">
      <c r="A16" s="11" t="n">
        <v>15</v>
      </c>
      <c r="B16" s="11" t="str">
        <f aca="false">TEXT($D16,"ddd")</f>
        <v>Fri</v>
      </c>
      <c r="C16" s="11" t="n">
        <f aca="false">$A$30-$A16</f>
        <v>14</v>
      </c>
      <c r="D16" s="51" t="n">
        <v>45198</v>
      </c>
      <c r="E16" s="51" t="n">
        <v>45199.2564351852</v>
      </c>
      <c r="F16" s="2" t="n">
        <v>91822.661</v>
      </c>
      <c r="G16" s="2" t="n">
        <v>91864.106</v>
      </c>
      <c r="H16" s="3" t="n">
        <v>41.448</v>
      </c>
      <c r="I16" s="13" t="n">
        <f aca="false">IF($H16&gt;0,($I15+$H16),"")</f>
        <v>657.752</v>
      </c>
      <c r="J16" s="14" t="n">
        <f aca="false">IF($H16&gt;0,$I16/$A16,"")</f>
        <v>43.8501333333333</v>
      </c>
      <c r="K16" s="15" t="n">
        <f aca="false">IF($H16&lt;&gt;"",(($H16*$S$7)+($A16*$S$8))*(1+$S$9),"")</f>
        <v>8.65598578374194</v>
      </c>
      <c r="L16" s="16" t="n">
        <f aca="false">IF($K16&lt;&gt;"",($K16+$L15),"")</f>
        <v>119.263928842065</v>
      </c>
      <c r="M16" s="17" t="n">
        <f aca="false">IF($J16&lt;&gt;"",$J16*(LOOKUP(1E+307,$A:$A)-$A$2),"")</f>
        <v>1315.504</v>
      </c>
      <c r="N16" s="17" t="n">
        <f aca="false">IF($M16&lt;&gt;"",IF($M16&gt;1000,(($M16*$S$7)+($A16*$S$8))*(1+$R$9)-100,($M16*$S$7)+($A16*$R$9)*(1+$R$9)),"")</f>
        <v>108.099749834976</v>
      </c>
      <c r="O16" s="18" t="n">
        <f aca="false">IF(I16&gt;=1000,"",(1000-I16))</f>
        <v>342.248</v>
      </c>
      <c r="Q16" s="22" t="s">
        <v>59</v>
      </c>
      <c r="R16" s="37" t="n">
        <f aca="false">MIN(H2:H31)</f>
        <v>24.888</v>
      </c>
      <c r="S16" s="24"/>
    </row>
    <row r="17" customFormat="false" ht="15" hidden="false" customHeight="false" outlineLevel="0" collapsed="false">
      <c r="A17" s="11" t="n">
        <v>16</v>
      </c>
      <c r="B17" s="11" t="str">
        <f aca="false">TEXT($D17,"ddd")</f>
        <v>Sat</v>
      </c>
      <c r="C17" s="11" t="n">
        <f aca="false">$A$30-$A17</f>
        <v>13</v>
      </c>
      <c r="D17" s="51" t="n">
        <v>45199</v>
      </c>
      <c r="E17" s="51" t="n">
        <v>45200.2768518519</v>
      </c>
      <c r="F17" s="2" t="n">
        <v>91864.106</v>
      </c>
      <c r="G17" s="2" t="n">
        <v>91905.98</v>
      </c>
      <c r="H17" s="3" t="n">
        <v>41.876</v>
      </c>
      <c r="I17" s="13" t="n">
        <f aca="false">IF($H17&gt;0,($I16+$H17),"")</f>
        <v>699.628</v>
      </c>
      <c r="J17" s="14" t="n">
        <f aca="false">IF($H17&gt;0,$I17/$A17,"")</f>
        <v>43.72675</v>
      </c>
      <c r="K17" s="15" t="n">
        <f aca="false">IF($H17&lt;&gt;"",(($H17*$S$7)+($A17*$S$8))*(1+$S$9),"")</f>
        <v>8.87496161458065</v>
      </c>
      <c r="L17" s="16" t="n">
        <f aca="false">IF($K17&lt;&gt;"",($K17+$L16),"")</f>
        <v>128.138890456645</v>
      </c>
      <c r="M17" s="17" t="n">
        <f aca="false">IF($J17&lt;&gt;"",$J17*(LOOKUP(1E+307,$A:$A)-$A$2),"")</f>
        <v>1311.8025</v>
      </c>
      <c r="N17" s="17" t="n">
        <f aca="false">IF($M17&lt;&gt;"",IF($M17&gt;1000,(($M17*$S$7)+($A17*$S$8))*(1+$R$9)-100,($M17*$S$7)+($A17*$R$9)*(1+$R$9)),"")</f>
        <v>107.67721711491</v>
      </c>
      <c r="O17" s="18" t="n">
        <f aca="false">IF(I17&gt;=1000,"",(1000-I17))</f>
        <v>300.372</v>
      </c>
      <c r="Q17" s="22" t="s">
        <v>60</v>
      </c>
      <c r="R17" s="37" t="n">
        <f aca="false">MAX(H2:H31)</f>
        <v>56.443</v>
      </c>
      <c r="S17" s="24"/>
    </row>
    <row r="18" customFormat="false" ht="15" hidden="false" customHeight="false" outlineLevel="0" collapsed="false">
      <c r="A18" s="11" t="n">
        <v>17</v>
      </c>
      <c r="B18" s="11" t="str">
        <f aca="false">TEXT($D18,"ddd")</f>
        <v>Sun</v>
      </c>
      <c r="C18" s="11" t="n">
        <f aca="false">$A$30-$A18</f>
        <v>12</v>
      </c>
      <c r="D18" s="51" t="n">
        <v>45200</v>
      </c>
      <c r="E18" s="51" t="n">
        <v>45202.2778240741</v>
      </c>
      <c r="F18" s="2" t="n">
        <v>91905.98</v>
      </c>
      <c r="G18" s="2" t="n">
        <v>91943.719</v>
      </c>
      <c r="H18" s="3" t="n">
        <v>37.741</v>
      </c>
      <c r="I18" s="13" t="n">
        <f aca="false">IF($H18&gt;0,($I17+$H18),"")</f>
        <v>737.369</v>
      </c>
      <c r="J18" s="14" t="n">
        <f aca="false">IF($H18&gt;0,$I18/$A18,"")</f>
        <v>43.3746470588235</v>
      </c>
      <c r="K18" s="15" t="n">
        <f aca="false">IF($H18&lt;&gt;"",(($H18*$S$7)+($A18*$S$8))*(1+$S$9),"")</f>
        <v>8.39422685990323</v>
      </c>
      <c r="L18" s="16" t="n">
        <f aca="false">IF($K18&lt;&gt;"",($K18+$L17),"")</f>
        <v>136.533117316548</v>
      </c>
      <c r="M18" s="17" t="n">
        <f aca="false">IF($J18&lt;&gt;"",$J18*(LOOKUP(1E+307,$A:$A)-$A$2),"")</f>
        <v>1301.23941176471</v>
      </c>
      <c r="N18" s="17" t="n">
        <f aca="false">IF($M18&lt;&gt;"",IF($M18&gt;1000,(($M18*$S$7)+($A18*$S$8))*(1+$R$9)-100,($M18*$S$7)+($A18*$R$9)*(1+$R$9)),"")</f>
        <v>106.181485971362</v>
      </c>
      <c r="O18" s="18" t="n">
        <f aca="false">IF(I18&gt;=1000,"",(1000-I18))</f>
        <v>262.631</v>
      </c>
      <c r="Q18" s="22"/>
      <c r="R18" s="64"/>
      <c r="S18" s="24"/>
    </row>
    <row r="19" customFormat="false" ht="15" hidden="false" customHeight="false" outlineLevel="0" collapsed="false">
      <c r="A19" s="11" t="n">
        <v>18</v>
      </c>
      <c r="B19" s="11" t="str">
        <f aca="false">TEXT($D19,"ddd")</f>
        <v>Mon</v>
      </c>
      <c r="C19" s="11" t="n">
        <f aca="false">$A$30-$A19</f>
        <v>11</v>
      </c>
      <c r="D19" s="51" t="n">
        <v>45201</v>
      </c>
      <c r="E19" s="51" t="n">
        <v>45202.2759837963</v>
      </c>
      <c r="F19" s="2" t="n">
        <v>91943.719</v>
      </c>
      <c r="G19" s="2" t="n">
        <v>91990.074</v>
      </c>
      <c r="H19" s="3" t="n">
        <v>46.351</v>
      </c>
      <c r="I19" s="13" t="n">
        <f aca="false">IF($H19&gt;0,($I18+$H19),"")</f>
        <v>783.72</v>
      </c>
      <c r="J19" s="14" t="n">
        <f aca="false">IF($H19&gt;0,$I19/$A19,"")</f>
        <v>43.54</v>
      </c>
      <c r="K19" s="15" t="n">
        <f aca="false">IF($H19&lt;&gt;"",(($H19*$S$7)+($A19*$S$8))*(1+$S$9),"")</f>
        <v>9.86786672990323</v>
      </c>
      <c r="L19" s="16" t="n">
        <f aca="false">IF($K19&lt;&gt;"",($K19+$L18),"")</f>
        <v>146.400984046452</v>
      </c>
      <c r="M19" s="17" t="n">
        <f aca="false">IF($J19&lt;&gt;"",$J19*(LOOKUP(1E+307,$A:$A)-$A$2),"")</f>
        <v>1306.2</v>
      </c>
      <c r="N19" s="17" t="n">
        <f aca="false">IF($M19&lt;&gt;"",IF($M19&gt;1000,(($M19*$S$7)+($A19*$S$8))*(1+$R$9)-100,($M19*$S$7)+($A19*$R$9)*(1+$R$9)),"")</f>
        <v>107.113761951468</v>
      </c>
      <c r="O19" s="18" t="n">
        <f aca="false">IF(I19&gt;=1000,"",(1000-I19))</f>
        <v>216.28</v>
      </c>
      <c r="Q19" s="40"/>
      <c r="R19" s="41"/>
      <c r="S19" s="42"/>
    </row>
    <row r="20" customFormat="false" ht="15" hidden="false" customHeight="false" outlineLevel="0" collapsed="false">
      <c r="A20" s="11" t="n">
        <v>19</v>
      </c>
      <c r="B20" s="11" t="str">
        <f aca="false">TEXT($D20,"ddd")</f>
        <v>Tue</v>
      </c>
      <c r="C20" s="11" t="n">
        <f aca="false">$A$30-$A20</f>
        <v>10</v>
      </c>
      <c r="D20" s="51" t="n">
        <v>45202</v>
      </c>
      <c r="E20" s="51" t="n">
        <v>45203.2653703704</v>
      </c>
      <c r="F20" s="2" t="n">
        <v>91990.074</v>
      </c>
      <c r="G20" s="2" t="n">
        <v>92031.004</v>
      </c>
      <c r="H20" s="3" t="n">
        <v>40.927</v>
      </c>
      <c r="I20" s="13" t="n">
        <f aca="false">IF($H20&gt;0,($I19+$H20),"")</f>
        <v>824.647</v>
      </c>
      <c r="J20" s="14" t="n">
        <f aca="false">IF($H20&gt;0,$I20/$A20,"")</f>
        <v>43.4024736842105</v>
      </c>
      <c r="K20" s="15" t="n">
        <f aca="false">IF($H20&lt;&gt;"",(($H20*$S$7)+($A20*$S$8))*(1+$S$9),"")</f>
        <v>9.18947101867742</v>
      </c>
      <c r="L20" s="16" t="n">
        <f aca="false">IF($K20&lt;&gt;"",($K20+$L19),"")</f>
        <v>155.590455065129</v>
      </c>
      <c r="M20" s="17" t="n">
        <f aca="false">IF($J20&lt;&gt;"",$J20*(LOOKUP(1E+307,$A:$A)-$A$2),"")</f>
        <v>1302.07421052632</v>
      </c>
      <c r="N20" s="17" t="n">
        <f aca="false">IF($M20&lt;&gt;"",IF($M20&gt;1000,(($M20*$S$7)+($A20*$S$8))*(1+$R$9)-100,($M20*$S$7)+($A20*$R$9)*(1+$R$9)),"")</f>
        <v>106.624867511834</v>
      </c>
      <c r="O20" s="18" t="n">
        <f aca="false">IF(I20&gt;=1000,"",(1000-I20))</f>
        <v>175.353</v>
      </c>
    </row>
    <row r="21" customFormat="false" ht="15" hidden="false" customHeight="false" outlineLevel="0" collapsed="false">
      <c r="A21" s="11" t="n">
        <v>20</v>
      </c>
      <c r="B21" s="11" t="str">
        <f aca="false">TEXT($D21,"ddd")</f>
        <v>Wed</v>
      </c>
      <c r="C21" s="11" t="n">
        <f aca="false">$A$30-$A21</f>
        <v>9</v>
      </c>
      <c r="D21" s="51" t="n">
        <v>45203</v>
      </c>
      <c r="E21" s="51" t="n">
        <v>45204.3265277778</v>
      </c>
      <c r="F21" s="2" t="n">
        <v>92031.004</v>
      </c>
      <c r="G21" s="2" t="n">
        <v>92075.761</v>
      </c>
      <c r="H21" s="3" t="n">
        <v>44.756</v>
      </c>
      <c r="I21" s="13" t="n">
        <f aca="false">IF($H21&gt;0,($I20+$H21),"")</f>
        <v>869.403</v>
      </c>
      <c r="J21" s="14" t="n">
        <f aca="false">IF($H21&gt;0,$I21/$A21,"")</f>
        <v>43.47015</v>
      </c>
      <c r="K21" s="15" t="n">
        <f aca="false">IF($H21&lt;&gt;"",(($H21*$S$7)+($A21*$S$8))*(1+$S$9),"")</f>
        <v>9.92997121974194</v>
      </c>
      <c r="L21" s="16" t="n">
        <f aca="false">IF($K21&lt;&gt;"",($K21+$L20),"")</f>
        <v>165.520426284871</v>
      </c>
      <c r="M21" s="17" t="n">
        <f aca="false">IF($J21&lt;&gt;"",$J21*(LOOKUP(1E+307,$A:$A)-$A$2),"")</f>
        <v>1304.1045</v>
      </c>
      <c r="N21" s="17" t="n">
        <f aca="false">IF($M21&lt;&gt;"",IF($M21&gt;1000,(($M21*$S$7)+($A21*$S$8))*(1+$R$9)-100,($M21*$S$7)+($A21*$R$9)*(1+$R$9)),"")</f>
        <v>107.09882511091</v>
      </c>
      <c r="O21" s="18" t="n">
        <f aca="false">IF(I21&gt;=1000,"",(1000-I21))</f>
        <v>130.597</v>
      </c>
    </row>
    <row r="22" customFormat="false" ht="15" hidden="false" customHeight="false" outlineLevel="0" collapsed="false">
      <c r="A22" s="11" t="n">
        <v>21</v>
      </c>
      <c r="B22" s="11" t="str">
        <f aca="false">TEXT($D22,"ddd")</f>
        <v>Thu</v>
      </c>
      <c r="C22" s="11" t="n">
        <f aca="false">$A$30-$A22</f>
        <v>8</v>
      </c>
      <c r="D22" s="51" t="n">
        <v>45204</v>
      </c>
      <c r="E22" s="51" t="n">
        <v>45205.2613541667</v>
      </c>
      <c r="F22" s="2" t="n">
        <v>92075.761</v>
      </c>
      <c r="G22" s="2" t="n">
        <v>92103.748</v>
      </c>
      <c r="H22" s="3" t="n">
        <v>27.985</v>
      </c>
      <c r="I22" s="13" t="n">
        <f aca="false">IF($H22&gt;0,($I21+$H22),"")</f>
        <v>897.388</v>
      </c>
      <c r="J22" s="14" t="n">
        <f aca="false">IF($H22&gt;0,$I22/$A22,"")</f>
        <v>42.7327619047619</v>
      </c>
      <c r="K22" s="15" t="n">
        <f aca="false">IF($H22&lt;&gt;"",(($H22*$S$7)+($A22*$S$8))*(1+$S$9),"")</f>
        <v>7.51157638209677</v>
      </c>
      <c r="L22" s="16" t="n">
        <f aca="false">IF($K22&lt;&gt;"",($K22+$L21),"")</f>
        <v>173.032002666968</v>
      </c>
      <c r="M22" s="17" t="n">
        <f aca="false">IF($J22&lt;&gt;"",$J22*(LOOKUP(1E+307,$A:$A)-$A$2),"")</f>
        <v>1281.98285714286</v>
      </c>
      <c r="N22" s="17" t="n">
        <f aca="false">IF($M22&lt;&gt;"",IF($M22&gt;1000,(($M22*$S$7)+($A22*$S$8))*(1+$R$9)-100,($M22*$S$7)+($A22*$R$9)*(1+$R$9)),"")</f>
        <v>103.795258496548</v>
      </c>
      <c r="O22" s="18" t="n">
        <f aca="false">IF(I22&gt;=1000,"",(1000-I22))</f>
        <v>102.612</v>
      </c>
    </row>
    <row r="23" customFormat="false" ht="15" hidden="false" customHeight="false" outlineLevel="0" collapsed="false">
      <c r="A23" s="11" t="n">
        <v>22</v>
      </c>
      <c r="B23" s="11" t="str">
        <f aca="false">TEXT($D23,"ddd")</f>
        <v>Fri</v>
      </c>
      <c r="C23" s="11" t="n">
        <f aca="false">$A$30-$A23</f>
        <v>7</v>
      </c>
      <c r="D23" s="51" t="n">
        <v>45205</v>
      </c>
      <c r="E23" s="51" t="n">
        <v>45206.2577662037</v>
      </c>
      <c r="F23" s="2" t="n">
        <v>92103.748</v>
      </c>
      <c r="G23" s="2" t="n">
        <v>92139.823</v>
      </c>
      <c r="H23" s="3" t="n">
        <v>36.076</v>
      </c>
      <c r="I23" s="13" t="n">
        <f aca="false">IF($H23&gt;0,($I22+$H23),"")</f>
        <v>933.464</v>
      </c>
      <c r="J23" s="14" t="n">
        <f aca="false">IF($H23&gt;0,$I23/$A23,"")</f>
        <v>42.4301818181818</v>
      </c>
      <c r="K23" s="15" t="n">
        <f aca="false">IF($H23&lt;&gt;"",(($H23*$S$7)+($A23*$S$8))*(1+$S$9),"")</f>
        <v>8.90563049845162</v>
      </c>
      <c r="L23" s="16" t="n">
        <f aca="false">IF($K23&lt;&gt;"",($K23+$L22),"")</f>
        <v>181.937633165419</v>
      </c>
      <c r="M23" s="17" t="n">
        <f aca="false">IF($J23&lt;&gt;"",$J23*(LOOKUP(1E+307,$A:$A)-$A$2),"")</f>
        <v>1272.90545454545</v>
      </c>
      <c r="N23" s="17" t="n">
        <f aca="false">IF($M23&lt;&gt;"",IF($M23&gt;1000,(($M23*$S$7)+($A23*$S$8))*(1+$R$9)-100,($M23*$S$7)+($A23*$R$9)*(1+$R$9)),"")</f>
        <v>102.531898551869</v>
      </c>
      <c r="O23" s="18" t="n">
        <f aca="false">IF(I23&gt;=1000,"",(1000-I23))</f>
        <v>66.5360000000002</v>
      </c>
      <c r="Q23" s="29"/>
    </row>
    <row r="24" customFormat="false" ht="15" hidden="false" customHeight="false" outlineLevel="0" collapsed="false">
      <c r="A24" s="11" t="n">
        <v>23</v>
      </c>
      <c r="B24" s="11" t="str">
        <f aca="false">TEXT($D24,"ddd")</f>
        <v>Sat</v>
      </c>
      <c r="C24" s="11" t="n">
        <f aca="false">$A$30-$A24</f>
        <v>6</v>
      </c>
      <c r="D24" s="51" t="n">
        <v>45206</v>
      </c>
      <c r="E24" s="51" t="n">
        <v>45207.2777083333</v>
      </c>
      <c r="F24" s="2" t="n">
        <v>92139.823</v>
      </c>
      <c r="G24" s="2" t="n">
        <v>92165.886</v>
      </c>
      <c r="H24" s="3" t="n">
        <v>26.058</v>
      </c>
      <c r="I24" s="13" t="n">
        <f aca="false">IF($H24&gt;0,($I23+$H24),"")</f>
        <v>959.522</v>
      </c>
      <c r="J24" s="14" t="n">
        <f aca="false">IF($H24&gt;0,$I24/$A24,"")</f>
        <v>41.718347826087</v>
      </c>
      <c r="K24" s="15" t="n">
        <f aca="false">IF($H24&lt;&gt;"",(($H24*$S$7)+($A24*$S$8))*(1+$S$9),"")</f>
        <v>7.52277052470968</v>
      </c>
      <c r="L24" s="16" t="n">
        <f aca="false">IF($K24&lt;&gt;"",($K24+$L23),"")</f>
        <v>189.460403690129</v>
      </c>
      <c r="M24" s="17" t="n">
        <f aca="false">IF($J24&lt;&gt;"",$J24*(LOOKUP(1E+307,$A:$A)-$A$2),"")</f>
        <v>1251.55043478261</v>
      </c>
      <c r="N24" s="17" t="n">
        <f aca="false">IF($M24&lt;&gt;"",IF($M24&gt;1000,(($M24*$S$7)+($A24*$S$8))*(1+$R$9)-100,($M24*$S$7)+($A24*$R$9)*(1+$R$9)),"")</f>
        <v>99.3482369315095</v>
      </c>
      <c r="O24" s="18" t="n">
        <f aca="false">IF(I24&gt;=1000,"",(1000-I24))</f>
        <v>40.4780000000002</v>
      </c>
    </row>
    <row r="25" customFormat="false" ht="15" hidden="false" customHeight="false" outlineLevel="0" collapsed="false">
      <c r="A25" s="11" t="n">
        <v>24</v>
      </c>
      <c r="B25" s="11" t="str">
        <f aca="false">TEXT($D25,"ddd")</f>
        <v>Sun</v>
      </c>
      <c r="C25" s="11" t="n">
        <f aca="false">$A$30-$A25</f>
        <v>5</v>
      </c>
      <c r="D25" s="51" t="n">
        <v>45207</v>
      </c>
      <c r="E25" s="51" t="n">
        <v>45208.2564699074</v>
      </c>
      <c r="F25" s="2" t="n">
        <v>92165.886</v>
      </c>
      <c r="G25" s="2" t="n">
        <v>92190.774</v>
      </c>
      <c r="H25" s="3" t="n">
        <v>24.888</v>
      </c>
      <c r="I25" s="13" t="n">
        <f aca="false">IF($H25&gt;0,($I24+$H25),"")</f>
        <v>984.41</v>
      </c>
      <c r="J25" s="14" t="n">
        <f aca="false">IF($H25&gt;0,$I25/$A25,"")</f>
        <v>41.0170833333333</v>
      </c>
      <c r="K25" s="15" t="n">
        <f aca="false">IF($H25&lt;&gt;"",(($H25*$S$7)+($A25*$S$8))*(1+$S$9),"")</f>
        <v>7.49670197341936</v>
      </c>
      <c r="L25" s="16" t="n">
        <f aca="false">IF($K25&lt;&gt;"",($K25+$L24),"")</f>
        <v>196.957105663548</v>
      </c>
      <c r="M25" s="17" t="n">
        <f aca="false">IF($J25&lt;&gt;"",$J25*(LOOKUP(1E+307,$A:$A)-$A$2),"")</f>
        <v>1230.5125</v>
      </c>
      <c r="N25" s="17" t="n">
        <f aca="false">IF($M25&lt;&gt;"",IF($M25&gt;1000,(($M25*$S$7)+($A25*$S$8))*(1+$R$9)-100,($M25*$S$7)+($A25*$R$9)*(1+$R$9)),"")</f>
        <v>96.2141695288783</v>
      </c>
      <c r="O25" s="18" t="n">
        <f aca="false">IF(I25&gt;=1000,"",(1000-I25))</f>
        <v>15.5900000000001</v>
      </c>
    </row>
    <row r="26" customFormat="false" ht="15" hidden="false" customHeight="false" outlineLevel="0" collapsed="false">
      <c r="A26" s="11" t="n">
        <v>25</v>
      </c>
      <c r="B26" s="11" t="str">
        <f aca="false">TEXT($D26,"ddd")</f>
        <v>Mon</v>
      </c>
      <c r="C26" s="11" t="n">
        <f aca="false">$A$30-$A26</f>
        <v>4</v>
      </c>
      <c r="D26" s="51" t="n">
        <v>45208</v>
      </c>
      <c r="E26" s="51" t="n">
        <v>45209.2571412037</v>
      </c>
      <c r="F26" s="2" t="n">
        <v>92190.774</v>
      </c>
      <c r="G26" s="2" t="n">
        <v>92226.079</v>
      </c>
      <c r="H26" s="3" t="n">
        <v>35.307</v>
      </c>
      <c r="I26" s="69" t="n">
        <f aca="false">IF($H26&gt;0,($I25+$H26),"")</f>
        <v>1019.717</v>
      </c>
      <c r="J26" s="14" t="n">
        <f aca="false">IF($H26&gt;0,$I26/$A26,"")</f>
        <v>40.78868</v>
      </c>
      <c r="K26" s="15" t="n">
        <f aca="false">IF($H26&lt;&gt;"",(($H26*$S$7)+($A26*$S$8))*(1+$S$9),"")</f>
        <v>9.24774189803226</v>
      </c>
      <c r="L26" s="16" t="n">
        <f aca="false">IF($K26&lt;&gt;"",($K26+$L25),"")</f>
        <v>206.204847561581</v>
      </c>
      <c r="M26" s="17" t="n">
        <f aca="false">IF($J26&lt;&gt;"",$J26*(LOOKUP(1E+307,$A:$A)-$A$2),"")</f>
        <v>1223.6604</v>
      </c>
      <c r="N26" s="17" t="n">
        <f aca="false">IF($M26&lt;&gt;"",IF($M26&gt;1000,(($M26*$S$7)+($A26*$S$8))*(1+$R$9)-100,($M26*$S$7)+($A26*$R$9)*(1+$R$9)),"")</f>
        <v>95.2988618364479</v>
      </c>
      <c r="O26" s="18" t="str">
        <f aca="false">IF(I26&gt;=1000,"",(1000-I26))</f>
        <v/>
      </c>
    </row>
    <row r="27" customFormat="false" ht="15" hidden="false" customHeight="false" outlineLevel="0" collapsed="false">
      <c r="A27" s="11" t="n">
        <v>26</v>
      </c>
      <c r="B27" s="11" t="str">
        <f aca="false">TEXT($D27,"ddd")</f>
        <v>Tue</v>
      </c>
      <c r="C27" s="11" t="n">
        <f aca="false">$A$30-$A27</f>
        <v>3</v>
      </c>
      <c r="D27" s="51" t="n">
        <v>45209</v>
      </c>
      <c r="E27" s="51" t="n">
        <v>45210.2573263889</v>
      </c>
      <c r="F27" s="2" t="n">
        <v>92226.079</v>
      </c>
      <c r="G27" s="2" t="n">
        <v>92263.258</v>
      </c>
      <c r="H27" s="3" t="n">
        <v>37.173</v>
      </c>
      <c r="I27" s="13" t="n">
        <f aca="false">IF($H27&gt;0,($I26+$H27),"")</f>
        <v>1056.89</v>
      </c>
      <c r="J27" s="14" t="n">
        <f aca="false">IF($H27&gt;0,$I27/$A27,"")</f>
        <v>40.6496153846154</v>
      </c>
      <c r="K27" s="15" t="n">
        <f aca="false">IF($H27&lt;&gt;"",(($H27*$S$7)+($A27*$S$8))*(1+$S$9),"")</f>
        <v>9.68722700390323</v>
      </c>
      <c r="L27" s="16" t="n">
        <f aca="false">IF($K27&lt;&gt;"",($K27+$L26),"")</f>
        <v>215.892074565484</v>
      </c>
      <c r="M27" s="17" t="n">
        <f aca="false">IF($J27&lt;&gt;"",$J27*(LOOKUP(1E+307,$A:$A)-$A$2),"")</f>
        <v>1219.48846153846</v>
      </c>
      <c r="N27" s="17" t="n">
        <f aca="false">IF($M27&lt;&gt;"",IF($M27&gt;1000,(($M27*$S$7)+($A27*$S$8))*(1+$R$9)-100,($M27*$S$7)+($A27*$R$9)*(1+$R$9)),"")</f>
        <v>94.8027493855737</v>
      </c>
      <c r="O27" s="18" t="str">
        <f aca="false">IF(I27&gt;=1000,"",(1000-I27))</f>
        <v/>
      </c>
    </row>
    <row r="28" customFormat="false" ht="15" hidden="false" customHeight="false" outlineLevel="0" collapsed="false">
      <c r="A28" s="11" t="n">
        <v>27</v>
      </c>
      <c r="B28" s="11" t="str">
        <f aca="false">TEXT($D28,"ddd")</f>
        <v>Wed</v>
      </c>
      <c r="C28" s="11" t="n">
        <f aca="false">$A$30-$A28</f>
        <v>2</v>
      </c>
      <c r="D28" s="51" t="n">
        <v>45210</v>
      </c>
      <c r="E28" s="51" t="n">
        <v>45211.2577314815</v>
      </c>
      <c r="F28" s="2" t="n">
        <v>92263.258</v>
      </c>
      <c r="G28" s="2" t="n">
        <v>92293.309</v>
      </c>
      <c r="H28" s="3" t="n">
        <v>30.052</v>
      </c>
      <c r="I28" s="13" t="n">
        <f aca="false">IF($H28&gt;0,($I27+$H28),"")</f>
        <v>1086.942</v>
      </c>
      <c r="J28" s="14" t="n">
        <f aca="false">IF($H28&gt;0,$I28/$A28,"")</f>
        <v>40.2571111111111</v>
      </c>
      <c r="K28" s="15" t="n">
        <f aca="false">IF($H28&lt;&gt;"",(($H28*$S$7)+($A28*$S$8))*(1+$S$9),"")</f>
        <v>8.74860581303226</v>
      </c>
      <c r="L28" s="16" t="n">
        <f aca="false">IF($K28&lt;&gt;"",($K28+$L27),"")</f>
        <v>224.640680378516</v>
      </c>
      <c r="M28" s="17" t="n">
        <f aca="false">IF($J28&lt;&gt;"",$J28*(LOOKUP(1E+307,$A:$A)-$A$2),"")</f>
        <v>1207.71333333333</v>
      </c>
      <c r="N28" s="17" t="n">
        <f aca="false">IF($M28&lt;&gt;"",IF($M28&gt;1000,(($M28*$S$7)+($A28*$S$8))*(1+$R$9)-100,($M28*$S$7)+($A28*$R$9)*(1+$R$9)),"")</f>
        <v>93.1174470610959</v>
      </c>
      <c r="O28" s="18" t="str">
        <f aca="false">IF(I28&gt;=1000,"",(1000-I28))</f>
        <v/>
      </c>
      <c r="Q28" s="29"/>
    </row>
    <row r="29" customFormat="false" ht="15" hidden="false" customHeight="false" outlineLevel="0" collapsed="false">
      <c r="A29" s="11" t="n">
        <v>28</v>
      </c>
      <c r="B29" s="11" t="str">
        <f aca="false">TEXT($D29,"ddd")</f>
        <v>Thu</v>
      </c>
      <c r="C29" s="11" t="n">
        <f aca="false">$A$30-$A29</f>
        <v>1</v>
      </c>
      <c r="D29" s="51" t="n">
        <v>45211</v>
      </c>
      <c r="E29" s="51" t="n">
        <v>45212.2579861111</v>
      </c>
      <c r="F29" s="2" t="n">
        <v>92293.309</v>
      </c>
      <c r="G29" s="2" t="n">
        <v>92322.749</v>
      </c>
      <c r="H29" s="3" t="n">
        <v>29.439</v>
      </c>
      <c r="I29" s="13" t="n">
        <f aca="false">IF($H29&gt;0,($I28+$H29),"")</f>
        <v>1116.381</v>
      </c>
      <c r="J29" s="14" t="n">
        <f aca="false">IF($H29&gt;0,$I29/$A29,"")</f>
        <v>39.87075</v>
      </c>
      <c r="K29" s="15" t="n">
        <f aca="false">IF($H29&lt;&gt;"",(($H29*$S$7)+($A29*$S$8))*(1+$S$9),"")</f>
        <v>8.80795010332258</v>
      </c>
      <c r="L29" s="16" t="n">
        <f aca="false">IF($K29&lt;&gt;"",($K29+$L28),"")</f>
        <v>233.448630481839</v>
      </c>
      <c r="M29" s="17" t="n">
        <f aca="false">IF($J29&lt;&gt;"",$J29*(LOOKUP(1E+307,$A:$A)-$A$2),"")</f>
        <v>1196.1225</v>
      </c>
      <c r="N29" s="17" t="n">
        <f aca="false">IF($M29&lt;&gt;"",IF($M29&gt;1000,(($M29*$S$7)+($A29*$S$8))*(1+$R$9)-100,($M29*$S$7)+($A29*$R$9)*(1+$R$9)),"")</f>
        <v>91.4609696907079</v>
      </c>
      <c r="O29" s="18" t="str">
        <f aca="false">IF(I29&gt;=1000,"",(1000-I29))</f>
        <v/>
      </c>
    </row>
    <row r="30" customFormat="false" ht="15" hidden="false" customHeight="false" outlineLevel="0" collapsed="false">
      <c r="A30" s="11" t="n">
        <v>29</v>
      </c>
      <c r="B30" s="11" t="str">
        <f aca="false">TEXT($D30,"ddd")</f>
        <v>Fri</v>
      </c>
      <c r="C30" s="11" t="n">
        <f aca="false">$A$30-$A30</f>
        <v>0</v>
      </c>
      <c r="D30" s="51" t="n">
        <v>45212</v>
      </c>
      <c r="E30" s="51" t="n">
        <v>45213.2566203704</v>
      </c>
      <c r="F30" s="2" t="n">
        <v>92322.749</v>
      </c>
      <c r="G30" s="2" t="n">
        <v>92359.968</v>
      </c>
      <c r="H30" s="3" t="n">
        <v>37.219</v>
      </c>
      <c r="I30" s="13" t="n">
        <f aca="false">IF($H30&gt;0,($I29+$H30),"")</f>
        <v>1153.6</v>
      </c>
      <c r="J30" s="14" t="n">
        <f aca="false">IF($H30&gt;0,$I30/$A30,"")</f>
        <v>39.7793103448276</v>
      </c>
      <c r="K30" s="15" t="n">
        <f aca="false">IF($H30&lt;&gt;"",(($H30*$S$7)+($A30*$S$8))*(1+$S$9),"")</f>
        <v>10.1543141052581</v>
      </c>
      <c r="L30" s="16" t="n">
        <f aca="false">IF($K30&lt;&gt;"",($K30+$L29),"")</f>
        <v>243.602944587097</v>
      </c>
      <c r="M30" s="17" t="n">
        <f aca="false">IF($J30&lt;&gt;"",$J30*(LOOKUP(1E+307,$A:$A)-$A$2),"")</f>
        <v>1193.37931034483</v>
      </c>
      <c r="N30" s="17" t="n">
        <f aca="false">IF($M30&lt;&gt;"",IF($M30&gt;1000,(($M30*$S$7)+($A30*$S$8))*(1+$R$9)-100,($M30*$S$7)+($A30*$R$9)*(1+$R$9)),"")</f>
        <v>91.1883231363524</v>
      </c>
      <c r="O30" s="18" t="str">
        <f aca="false">IF(I30&gt;=1000,"",(1000-I30))</f>
        <v/>
      </c>
    </row>
    <row r="31" customFormat="false" ht="15" hidden="false" customHeight="false" outlineLevel="0" collapsed="false">
      <c r="A31" s="11" t="n">
        <v>30</v>
      </c>
      <c r="B31" s="11" t="str">
        <f aca="false">TEXT($D31,"ddd")</f>
        <v>Sat</v>
      </c>
      <c r="C31" s="11" t="n">
        <f aca="false">$A$30-$A31</f>
        <v>-1</v>
      </c>
      <c r="D31" s="51" t="n">
        <v>45213</v>
      </c>
      <c r="E31" s="51" t="n">
        <v>45214.277962963</v>
      </c>
      <c r="F31" s="2" t="n">
        <v>92359.968</v>
      </c>
      <c r="G31" s="2" t="n">
        <v>92387.875</v>
      </c>
      <c r="H31" s="3" t="n">
        <v>27.908</v>
      </c>
      <c r="I31" s="13" t="n">
        <f aca="false">IF($H31&gt;0,($I30+$H31),"")</f>
        <v>1181.508</v>
      </c>
      <c r="J31" s="14" t="n">
        <f aca="false">IF($H31&gt;0,$I31/$A31,"")</f>
        <v>39.3836</v>
      </c>
      <c r="K31" s="15"/>
      <c r="L31" s="16"/>
      <c r="M31" s="17"/>
      <c r="N31" s="17"/>
      <c r="O31" s="18" t="str">
        <f aca="false">IF(I31&gt;=1000,"",(1000-I31))</f>
        <v/>
      </c>
    </row>
    <row r="32" customFormat="false" ht="15" hidden="false" customHeight="false" outlineLevel="0" collapsed="false">
      <c r="A32" s="11" t="n">
        <v>31</v>
      </c>
      <c r="B32" s="11" t="str">
        <f aca="false">TEXT($D32,"ddd")</f>
        <v>Sun</v>
      </c>
      <c r="C32" s="11" t="n">
        <f aca="false">$A$30-$A32</f>
        <v>-2</v>
      </c>
      <c r="D32" s="51" t="n">
        <v>45214</v>
      </c>
      <c r="E32" s="51" t="n">
        <v>45215.2560648148</v>
      </c>
      <c r="F32" s="2" t="n">
        <v>92387.875</v>
      </c>
      <c r="G32" s="2" t="n">
        <v>92408.86</v>
      </c>
      <c r="H32" s="3" t="n">
        <v>20.985</v>
      </c>
      <c r="I32" s="69" t="n">
        <f aca="false">IF($H32&gt;0,($I31+$H32),"")</f>
        <v>1202.493</v>
      </c>
      <c r="J32" s="14" t="n">
        <f aca="false">IF($H32&gt;0,$I32/$A32,"")</f>
        <v>38.7900967741935</v>
      </c>
      <c r="K32" s="15" t="n">
        <f aca="false">IF($H2&lt;&gt;"",(($H2*$S$7)+($A32*$S$8))*(1+$S$9),"")</f>
        <v>9.39449250735484</v>
      </c>
      <c r="L32" s="16" t="n">
        <f aca="false">IF($K32&lt;&gt;"",($K32+$L31),"")</f>
        <v>9.39449250735484</v>
      </c>
      <c r="M32" s="17" t="n">
        <f aca="false">IF($J32&lt;&gt;"",$J32*(LOOKUP(1E+307,$A:$A)-$A$2),"")</f>
        <v>1163.70290322581</v>
      </c>
      <c r="N32" s="17" t="n">
        <f aca="false">IF($M32&lt;&gt;"",IF($M32&gt;1000,(($M32*$S$7)+($A32*$S$8))*(1+$R$9)-100,($M32*$S$7)+($A32*$R$9)*(1+$R$9)),"")</f>
        <v>86.8595474259454</v>
      </c>
      <c r="O32" s="18" t="str">
        <f aca="false">IF(I32&gt;=1000,"",(1000-I32))</f>
        <v/>
      </c>
    </row>
    <row r="33" customFormat="false" ht="15" hidden="false" customHeight="false" outlineLevel="0" collapsed="false">
      <c r="A33" s="11"/>
      <c r="B33" s="11"/>
      <c r="C33" s="11"/>
      <c r="D33" s="51" t="n">
        <v>45215</v>
      </c>
      <c r="E33" s="51" t="n">
        <v>45216.257337963</v>
      </c>
      <c r="F33" s="2" t="n">
        <v>92408.86</v>
      </c>
      <c r="G33" s="2" t="n">
        <v>92434.504</v>
      </c>
      <c r="H33" s="3" t="n">
        <v>25.645</v>
      </c>
      <c r="I33" s="13" t="n">
        <f aca="false">IF($H33&gt;0,($I32+$H33),"")</f>
        <v>1228.138</v>
      </c>
      <c r="J33" s="14" t="e">
        <f aca="false">IF($H33&gt;0,$I33/$A33,"")</f>
        <v>#DIV/0!</v>
      </c>
      <c r="K33" s="15" t="n">
        <f aca="false">IF($H33&lt;&gt;"",(($H33*$S$7)+($A33*$S$8))*(1+$S$9),"")</f>
        <v>3.93251763435484</v>
      </c>
      <c r="L33" s="16" t="n">
        <f aca="false">IF($K33&lt;&gt;"",($K33+$L32),"")</f>
        <v>13.3270101417097</v>
      </c>
      <c r="M33" s="17" t="e">
        <f aca="false">IF($J33&lt;&gt;"",$J33*(LOOKUP(1E+307,$A:$A)-$A$2),"")</f>
        <v>#DIV/0!</v>
      </c>
      <c r="N33" s="17" t="e">
        <f aca="false">IF($M33&lt;&gt;"",IF($M33&gt;1000,(($M33*$S$7)+($A33*$S$8))*(1+$R$9)-100,($M33*$S$7)+($A33*$R$9)*(1+$R$9)),"")</f>
        <v>#DIV/0!</v>
      </c>
      <c r="O33" s="18" t="str">
        <f aca="false">IF(I33&gt;=1000,"",(1000-I33))</f>
        <v/>
      </c>
    </row>
    <row r="34" customFormat="false" ht="15" hidden="false" customHeight="false" outlineLevel="0" collapsed="false">
      <c r="A34" s="11"/>
      <c r="B34" s="11"/>
      <c r="C34" s="11"/>
      <c r="D34" s="51" t="n">
        <v>45216</v>
      </c>
      <c r="E34" s="51" t="n">
        <v>45217.2575347222</v>
      </c>
      <c r="F34" s="2" t="n">
        <v>92434.504</v>
      </c>
      <c r="G34" s="2" t="n">
        <v>92455.717</v>
      </c>
      <c r="H34" s="3" t="n">
        <v>21.212</v>
      </c>
      <c r="I34" s="66"/>
      <c r="J34" s="45"/>
      <c r="K34" s="27"/>
      <c r="L34" s="66"/>
      <c r="M34" s="66"/>
      <c r="N34" s="45"/>
      <c r="O34" s="66" t="n">
        <f aca="false">IF(I34&gt;=1000,"",(1000-I34))</f>
        <v>1000</v>
      </c>
      <c r="P34" s="45"/>
    </row>
    <row r="35" customFormat="false" ht="15" hidden="false" customHeight="false" outlineLevel="0" collapsed="false">
      <c r="D35" s="51" t="n">
        <v>45217</v>
      </c>
      <c r="E35" s="51" t="n">
        <v>45218.2574421296</v>
      </c>
      <c r="F35" s="2" t="n">
        <v>92455.717</v>
      </c>
      <c r="G35" s="2" t="n">
        <v>92487.854</v>
      </c>
      <c r="H35" s="3" t="n">
        <v>32.141</v>
      </c>
      <c r="I35" s="46"/>
      <c r="K35" s="47"/>
      <c r="L35" s="2"/>
      <c r="M35" s="2"/>
    </row>
    <row r="36" customFormat="false" ht="15" hidden="false" customHeight="false" outlineLevel="0" collapsed="false">
      <c r="L36" s="2"/>
      <c r="M36" s="2"/>
    </row>
    <row r="38" customFormat="false" ht="15" hidden="false" customHeight="false" outlineLevel="0" collapsed="false">
      <c r="H38" s="3" t="n">
        <f aca="false">SUM(H2:H37)</f>
        <v>1281.491</v>
      </c>
    </row>
  </sheetData>
  <conditionalFormatting sqref="A1:I1 K1:O1">
    <cfRule type="expression" priority="2" aboveAverage="0" equalAverage="0" bottom="0" percent="0" rank="0" text="" dxfId="16">
      <formula>" =CELL(“Protect”,A1)=1"</formula>
    </cfRule>
    <cfRule type="expression" priority="3" aboveAverage="0" equalAverage="0" bottom="0" percent="0" rank="0" text="" dxfId="1">
      <formula>" =CELL(“Protect”,A1)=1"</formula>
    </cfRule>
  </conditionalFormatting>
  <conditionalFormatting sqref="Q2:Q19">
    <cfRule type="expression" priority="4" aboveAverage="0" equalAverage="0" bottom="0" percent="0" rank="0" text="" dxfId="17">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1" topLeftCell="D7" activePane="bottomRight" state="frozen"/>
      <selection pane="topLeft" activeCell="A1" activeCellId="0" sqref="A1"/>
      <selection pane="topRight" activeCell="D1" activeCellId="0" sqref="D1"/>
      <selection pane="bottomLeft" activeCell="A7" activeCellId="0" sqref="A7"/>
      <selection pane="bottomRight" activeCell="O34" activeCellId="0" sqref="O34"/>
    </sheetView>
  </sheetViews>
  <sheetFormatPr defaultColWidth="8.453125" defaultRowHeight="15" zeroHeight="false" outlineLevelRow="0" outlineLevelCol="0"/>
  <cols>
    <col collapsed="false" customWidth="true" hidden="false" outlineLevel="0" max="1" min="1" style="0" width="6.14"/>
    <col collapsed="false" customWidth="true" hidden="false" outlineLevel="0" max="3" min="2" style="0" width="6.29"/>
    <col collapsed="false" customWidth="true" hidden="false" outlineLevel="0" max="5" min="4" style="51" width="8.71"/>
    <col collapsed="false" customWidth="true" hidden="false" outlineLevel="0" max="7" min="6" style="2" width="9.14"/>
    <col collapsed="false" customWidth="true" hidden="false" outlineLevel="0" max="8" min="8" style="4" width="9.14"/>
    <col collapsed="false" customWidth="true" hidden="false" outlineLevel="0" max="9" min="9" style="2" width="9.14"/>
    <col collapsed="false" customWidth="true" hidden="false" outlineLevel="0" max="10" min="10" style="4" width="9.14"/>
    <col collapsed="false" customWidth="true" hidden="false" outlineLevel="0" max="13" min="11" style="0" width="9.71"/>
    <col collapsed="false" customWidth="true" hidden="false" outlineLevel="0" max="15" min="15" style="2" width="9.14"/>
    <col collapsed="false" customWidth="true" hidden="false" outlineLevel="0" max="17" min="17" style="0" width="28.57"/>
    <col collapsed="false" customWidth="true" hidden="false" outlineLevel="0" max="19" min="19" style="0" width="10.71"/>
  </cols>
  <sheetData>
    <row r="1" customFormat="false" ht="36.5" hidden="false" customHeight="false" outlineLevel="0" collapsed="false">
      <c r="A1" s="5" t="s">
        <v>0</v>
      </c>
      <c r="B1" s="6" t="s">
        <v>1</v>
      </c>
      <c r="C1" s="6" t="s">
        <v>2</v>
      </c>
      <c r="D1" s="7" t="s">
        <v>3</v>
      </c>
      <c r="E1" s="7" t="s">
        <v>4</v>
      </c>
      <c r="F1" s="8" t="s">
        <v>5</v>
      </c>
      <c r="G1" s="8" t="s">
        <v>6</v>
      </c>
      <c r="H1" s="8" t="s">
        <v>7</v>
      </c>
      <c r="I1" s="8" t="s">
        <v>8</v>
      </c>
      <c r="J1" s="6" t="s">
        <v>9</v>
      </c>
      <c r="K1" s="6" t="s">
        <v>10</v>
      </c>
      <c r="L1" s="6" t="s">
        <v>11</v>
      </c>
      <c r="M1" s="6" t="s">
        <v>12</v>
      </c>
      <c r="N1" s="8" t="s">
        <v>13</v>
      </c>
      <c r="O1" s="9" t="s">
        <v>77</v>
      </c>
      <c r="S1" s="10"/>
    </row>
    <row r="2" customFormat="false" ht="15" hidden="false" customHeight="false" outlineLevel="0" collapsed="false">
      <c r="A2" s="11" t="n">
        <v>1</v>
      </c>
      <c r="B2" s="11" t="str">
        <f aca="false">TEXT($D2,"ddd")</f>
        <v>Wed</v>
      </c>
      <c r="C2" s="11" t="n">
        <f aca="false">$A$30-$A2</f>
        <v>28</v>
      </c>
      <c r="D2" s="51" t="n">
        <v>45154</v>
      </c>
      <c r="E2" s="51" t="n">
        <v>45155.2738425926</v>
      </c>
      <c r="F2" s="2" t="n">
        <v>89690.966</v>
      </c>
      <c r="G2" s="2" t="n">
        <v>89738.072</v>
      </c>
      <c r="H2" s="3" t="n">
        <v>47.108</v>
      </c>
      <c r="I2" s="13" t="n">
        <f aca="false">H2</f>
        <v>47.108</v>
      </c>
      <c r="J2" s="14" t="n">
        <f aca="false">(I2)</f>
        <v>47.108</v>
      </c>
      <c r="K2" s="15" t="n">
        <f aca="false">IF($H2&lt;&gt;"",(($H2*$S$7)+($A2*$S$8))*(1+$S$9),"")</f>
        <v>7.37709332632258</v>
      </c>
      <c r="L2" s="16" t="n">
        <f aca="false">(K2)</f>
        <v>7.37709332632258</v>
      </c>
      <c r="M2" s="17" t="n">
        <f aca="false">IF($J2&lt;&gt;"",$J2*(LOOKUP(1E+307,$A:$A)-$A$2),"")</f>
        <v>1366.132</v>
      </c>
      <c r="N2" s="17" t="n">
        <f aca="false">IF($M2&lt;&gt;"",IF($M2&gt;1000,(($M2*$S$7)+($A2*$S$8))*(1+$R$9)-100,($M2*$S$7)+($A2*$R$9)*(1+$R$9)),"")</f>
        <v>113.828614713966</v>
      </c>
      <c r="O2" s="18" t="n">
        <f aca="false">IF(I2&gt;=1000,"",(1000-I2))</f>
        <v>952.892</v>
      </c>
      <c r="Q2" s="19" t="s">
        <v>18</v>
      </c>
      <c r="R2" s="20" t="s">
        <v>19</v>
      </c>
      <c r="S2" s="21"/>
    </row>
    <row r="3" customFormat="false" ht="15" hidden="false" customHeight="false" outlineLevel="0" collapsed="false">
      <c r="A3" s="11" t="n">
        <v>2</v>
      </c>
      <c r="B3" s="11" t="str">
        <f aca="false">TEXT($D3,"ddd")</f>
        <v>Thu</v>
      </c>
      <c r="C3" s="11" t="n">
        <f aca="false">$A$30-$A3</f>
        <v>27</v>
      </c>
      <c r="D3" s="51" t="n">
        <v>45155</v>
      </c>
      <c r="E3" s="51" t="n">
        <v>45156.2578472222</v>
      </c>
      <c r="F3" s="2" t="n">
        <v>89738.072</v>
      </c>
      <c r="G3" s="2" t="n">
        <v>89792.234</v>
      </c>
      <c r="H3" s="3" t="n">
        <v>54.162</v>
      </c>
      <c r="I3" s="13" t="n">
        <f aca="false">IF($H3&gt;0,($I2+$H3),"")</f>
        <v>101.27</v>
      </c>
      <c r="J3" s="14" t="n">
        <f aca="false">IF($H3&gt;0,$I3/$A3,"")</f>
        <v>50.635</v>
      </c>
      <c r="K3" s="15" t="n">
        <f aca="false">IF($H3&lt;&gt;"",(($H3*$S$7)+($A3*$S$8))*(1+$S$9),"")</f>
        <v>8.61212927980645</v>
      </c>
      <c r="L3" s="16" t="n">
        <f aca="false">IF($K3&lt;&gt;"",($K3+$L2),"")</f>
        <v>15.989222606129</v>
      </c>
      <c r="M3" s="17" t="n">
        <f aca="false">IF($J3&lt;&gt;"",$J3*(LOOKUP(1E+307,$A:$A)-$A$2),"")</f>
        <v>1468.415</v>
      </c>
      <c r="N3" s="17" t="n">
        <f aca="false">IF($M3&lt;&gt;"",IF($M3&gt;1000,(($M3*$S$7)+($A3*$S$8))*(1+$R$9)-100,($M3*$S$7)+($A3*$R$9)*(1+$R$9)),"")</f>
        <v>129.982768675327</v>
      </c>
      <c r="O3" s="18" t="n">
        <f aca="false">IF(I3&gt;=1000,"",(1000-I3))</f>
        <v>898.73</v>
      </c>
      <c r="Q3" s="22" t="s">
        <v>22</v>
      </c>
      <c r="R3" s="23" t="n">
        <f aca="false">($F$2+1000)</f>
        <v>90690.966</v>
      </c>
      <c r="S3" s="24"/>
    </row>
    <row r="4" customFormat="false" ht="15" hidden="false" customHeight="false" outlineLevel="0" collapsed="false">
      <c r="A4" s="11" t="n">
        <v>3</v>
      </c>
      <c r="B4" s="11" t="str">
        <f aca="false">TEXT($D4,"ddd")</f>
        <v>Fri</v>
      </c>
      <c r="C4" s="11" t="n">
        <f aca="false">$A$30-$A4</f>
        <v>26</v>
      </c>
      <c r="D4" s="51" t="n">
        <v>45156</v>
      </c>
      <c r="E4" s="51" t="n">
        <v>45157.2579050926</v>
      </c>
      <c r="F4" s="2" t="n">
        <v>89792.234</v>
      </c>
      <c r="G4" s="2" t="n">
        <v>89843.204</v>
      </c>
      <c r="H4" s="3" t="n">
        <v>50.969</v>
      </c>
      <c r="I4" s="13" t="n">
        <f aca="false">IF($H4&gt;0,($I3+$H4),"")</f>
        <v>152.239</v>
      </c>
      <c r="J4" s="14" t="n">
        <f aca="false">IF($H4&gt;0,$I4/$A4,"")</f>
        <v>50.7463333333333</v>
      </c>
      <c r="K4" s="15" t="n">
        <f aca="false">IF($H4&lt;&gt;"",(($H4*$S$7)+($A4*$S$8))*(1+$S$9),"")</f>
        <v>8.27584496816129</v>
      </c>
      <c r="L4" s="16" t="n">
        <f aca="false">IF($K4&lt;&gt;"",($K4+$L3),"")</f>
        <v>24.2650675742903</v>
      </c>
      <c r="M4" s="17" t="n">
        <f aca="false">IF($J4&lt;&gt;"",$J4*(LOOKUP(1E+307,$A:$A)-$A$2),"")</f>
        <v>1471.64366666667</v>
      </c>
      <c r="N4" s="17" t="n">
        <f aca="false">IF($M4&lt;&gt;"",IF($M4&gt;1000,(($M4*$S$7)+($A4*$S$8))*(1+$R$9)-100,($M4*$S$7)+($A4*$R$9)*(1+$R$9)),"")</f>
        <v>130.644160505392</v>
      </c>
      <c r="O4" s="18" t="n">
        <f aca="false">IF(I4&gt;=1000,"",(1000-I4))</f>
        <v>847.761</v>
      </c>
      <c r="Q4" s="22" t="s">
        <v>25</v>
      </c>
      <c r="R4" s="25"/>
      <c r="S4" s="26" t="n">
        <v>0.001667</v>
      </c>
    </row>
    <row r="5" customFormat="false" ht="15" hidden="false" customHeight="false" outlineLevel="0" collapsed="false">
      <c r="A5" s="11" t="n">
        <v>4</v>
      </c>
      <c r="B5" s="11" t="str">
        <f aca="false">TEXT($D5,"ddd")</f>
        <v>Sat</v>
      </c>
      <c r="C5" s="11" t="n">
        <f aca="false">$A$30-$A5</f>
        <v>25</v>
      </c>
      <c r="D5" s="51" t="n">
        <v>45157</v>
      </c>
      <c r="E5" s="51" t="n">
        <v>45158.2768055556</v>
      </c>
      <c r="F5" s="2" t="n">
        <v>89843.204</v>
      </c>
      <c r="G5" s="2" t="n">
        <v>89898.264</v>
      </c>
      <c r="H5" s="3" t="n">
        <v>55.061</v>
      </c>
      <c r="I5" s="13" t="n">
        <f aca="false">IF($H5&gt;0,($I4+$H5),"")</f>
        <v>207.3</v>
      </c>
      <c r="J5" s="14" t="n">
        <f aca="false">IF($H5&gt;0,$I5/$A5,"")</f>
        <v>51.825</v>
      </c>
      <c r="K5" s="15" t="n">
        <f aca="false">IF($H5&lt;&gt;"",(($H5*$S$7)+($A5*$S$8))*(1+$S$9),"")</f>
        <v>9.05667475151613</v>
      </c>
      <c r="L5" s="16" t="n">
        <f aca="false">IF($K5&lt;&gt;"",($K5+$L4),"")</f>
        <v>33.3217423258065</v>
      </c>
      <c r="M5" s="17" t="n">
        <f aca="false">IF($J5&lt;&gt;"",$J5*(LOOKUP(1E+307,$A:$A)-$A$2),"")</f>
        <v>1502.925</v>
      </c>
      <c r="N5" s="17" t="n">
        <f aca="false">IF($M5&lt;&gt;"",IF($M5&gt;1000,(($M5*$S$7)+($A5*$S$8))*(1+$R$9)-100,($M5*$S$7)+($A5*$R$9)*(1+$R$9)),"")</f>
        <v>135.693177562842</v>
      </c>
      <c r="O5" s="18" t="n">
        <f aca="false">IF(I5&gt;=1000,"",(1000-I5))</f>
        <v>792.7</v>
      </c>
      <c r="P5" s="27"/>
      <c r="Q5" s="22" t="s">
        <v>28</v>
      </c>
      <c r="R5" s="25"/>
      <c r="S5" s="26" t="n">
        <v>0.042</v>
      </c>
    </row>
    <row r="6" customFormat="false" ht="15" hidden="false" customHeight="false" outlineLevel="0" collapsed="false">
      <c r="A6" s="11" t="n">
        <v>5</v>
      </c>
      <c r="B6" s="11" t="str">
        <f aca="false">TEXT($D6,"ddd")</f>
        <v>Sun</v>
      </c>
      <c r="C6" s="11" t="n">
        <f aca="false">$A$30-$A6</f>
        <v>24</v>
      </c>
      <c r="D6" s="51" t="n">
        <v>45158</v>
      </c>
      <c r="E6" s="51" t="n">
        <v>45159.2552893519</v>
      </c>
      <c r="F6" s="2" t="n">
        <v>89898.264</v>
      </c>
      <c r="G6" s="2" t="n">
        <v>89955.266</v>
      </c>
      <c r="H6" s="3" t="n">
        <v>56.999</v>
      </c>
      <c r="I6" s="13" t="n">
        <f aca="false">IF($H6&gt;0,($I5+$H6),"")</f>
        <v>264.299</v>
      </c>
      <c r="J6" s="14" t="n">
        <f aca="false">IF($H6&gt;0,$I6/$A6,"")</f>
        <v>52.8598</v>
      </c>
      <c r="K6" s="15" t="n">
        <f aca="false">IF($H6&lt;&gt;"",(($H6*$S$7)+($A6*$S$8))*(1+$S$9),"")</f>
        <v>9.50720065558065</v>
      </c>
      <c r="L6" s="16" t="n">
        <f aca="false">IF($K6&lt;&gt;"",($K6+$L5),"")</f>
        <v>42.8289429813871</v>
      </c>
      <c r="M6" s="17" t="n">
        <f aca="false">IF($J6&lt;&gt;"",$J6*(LOOKUP(1E+307,$A:$A)-$A$2),"")</f>
        <v>1532.9342</v>
      </c>
      <c r="N6" s="17" t="n">
        <f aca="false">IF($M6&lt;&gt;"",IF($M6&gt;1000,(($M6*$S$7)+($A6*$S$8))*(1+$R$9)-100,($M6*$S$7)+($A6*$R$9)*(1+$R$9)),"")</f>
        <v>140.54322443424</v>
      </c>
      <c r="O6" s="18" t="n">
        <f aca="false">IF(I6&gt;=1000,"",(1000-I6))</f>
        <v>735.701</v>
      </c>
      <c r="Q6" s="22" t="s">
        <v>31</v>
      </c>
      <c r="R6" s="23" t="n">
        <v>3.4</v>
      </c>
      <c r="S6" s="26" t="n">
        <f aca="false">($R$6/DAYS)</f>
        <v>0.109677419354839</v>
      </c>
    </row>
    <row r="7" customFormat="false" ht="15" hidden="false" customHeight="false" outlineLevel="0" collapsed="false">
      <c r="A7" s="11" t="n">
        <v>6</v>
      </c>
      <c r="B7" s="11" t="str">
        <f aca="false">TEXT($D7,"ddd")</f>
        <v>Mon</v>
      </c>
      <c r="C7" s="11" t="n">
        <f aca="false">$A$30-$A7</f>
        <v>23</v>
      </c>
      <c r="D7" s="51" t="n">
        <v>45159</v>
      </c>
      <c r="E7" s="51" t="n">
        <v>45160.2574884259</v>
      </c>
      <c r="F7" s="2" t="n">
        <v>89955.266</v>
      </c>
      <c r="G7" s="2" t="n">
        <v>90017.507</v>
      </c>
      <c r="H7" s="3" t="n">
        <v>62.24</v>
      </c>
      <c r="I7" s="13" t="n">
        <f aca="false">IF($H7&gt;0,($I6+$H7),"")</f>
        <v>326.539</v>
      </c>
      <c r="J7" s="14" t="n">
        <f aca="false">IF($H7&gt;0,$I7/$A7,"")</f>
        <v>54.4231666666667</v>
      </c>
      <c r="K7" s="15" t="n">
        <f aca="false">IF($H7&lt;&gt;"",(($H7*$S$7)+($A7*$S$8))*(1+$S$9),"")</f>
        <v>10.4642231767742</v>
      </c>
      <c r="L7" s="16" t="n">
        <f aca="false">IF($K7&lt;&gt;"",($K7+$L6),"")</f>
        <v>53.2931661581613</v>
      </c>
      <c r="M7" s="17" t="n">
        <f aca="false">IF($J7&lt;&gt;"",$J7*(LOOKUP(1E+307,$A:$A)-$A$2),"")</f>
        <v>1578.27183333333</v>
      </c>
      <c r="N7" s="17" t="n">
        <f aca="false">IF($M7&lt;&gt;"",IF($M7&gt;1000,(($M7*$S$7)+($A7*$S$8))*(1+$R$9)-100,($M7*$S$7)+($A7*$R$9)*(1+$R$9)),"")</f>
        <v>147.790741093049</v>
      </c>
      <c r="O7" s="18" t="n">
        <f aca="false">IF(I7&gt;=1000,"",(1000-I7))</f>
        <v>673.461</v>
      </c>
      <c r="Q7" s="22" t="s">
        <v>34</v>
      </c>
      <c r="R7" s="25"/>
      <c r="S7" s="28" t="n">
        <f aca="false">SUM(S4:S6)</f>
        <v>0.153344419354839</v>
      </c>
    </row>
    <row r="8" customFormat="false" ht="15" hidden="false" customHeight="false" outlineLevel="0" collapsed="false">
      <c r="A8" s="11" t="n">
        <v>7</v>
      </c>
      <c r="B8" s="11" t="str">
        <f aca="false">TEXT($D8,"ddd")</f>
        <v>Tue</v>
      </c>
      <c r="C8" s="11" t="n">
        <f aca="false">$A$30-$A8</f>
        <v>22</v>
      </c>
      <c r="D8" s="51" t="n">
        <v>45160</v>
      </c>
      <c r="E8" s="51" t="n">
        <v>45161.2622569444</v>
      </c>
      <c r="F8" s="2" t="n">
        <v>90017.507</v>
      </c>
      <c r="G8" s="2" t="n">
        <v>90068.735</v>
      </c>
      <c r="H8" s="3" t="n">
        <v>51.229</v>
      </c>
      <c r="I8" s="13" t="n">
        <f aca="false">IF($H8&gt;0,($I7+$H8),"")</f>
        <v>377.768</v>
      </c>
      <c r="J8" s="14" t="n">
        <f aca="false">IF($H8&gt;0,$I8/$A8,"")</f>
        <v>53.9668571428571</v>
      </c>
      <c r="K8" s="15" t="n">
        <f aca="false">IF($H8&lt;&gt;"",(($H8*$S$7)+($A8*$S$8))*(1+$S$9),"")</f>
        <v>8.9290921946129</v>
      </c>
      <c r="L8" s="16" t="n">
        <f aca="false">IF($K8&lt;&gt;"",($K8+$L7),"")</f>
        <v>62.2222583527742</v>
      </c>
      <c r="M8" s="17" t="n">
        <f aca="false">IF($J8&lt;&gt;"",$J8*(LOOKUP(1E+307,$A:$A)-$A$2),"")</f>
        <v>1565.03885714286</v>
      </c>
      <c r="N8" s="17" t="n">
        <f aca="false">IF($M8&lt;&gt;"",IF($M8&gt;1000,(($M8*$S$7)+($A8*$S$8))*(1+$R$9)-100,($M8*$S$7)+($A8*$R$9)*(1+$R$9)),"")</f>
        <v>145.877421565279</v>
      </c>
      <c r="O8" s="18" t="n">
        <f aca="false">IF(I8&gt;=1000,"",(1000-I8))</f>
        <v>622.232</v>
      </c>
      <c r="Q8" s="22" t="s">
        <v>38</v>
      </c>
      <c r="R8" s="25"/>
      <c r="S8" s="67" t="n">
        <f aca="false">SUM(S4:S6)</f>
        <v>0.153344419354839</v>
      </c>
    </row>
    <row r="9" customFormat="false" ht="15" hidden="false" customHeight="false" outlineLevel="0" collapsed="false">
      <c r="A9" s="11" t="n">
        <v>8</v>
      </c>
      <c r="B9" s="11" t="str">
        <f aca="false">TEXT($D9,"ddd")</f>
        <v>Wed</v>
      </c>
      <c r="C9" s="11" t="n">
        <f aca="false">$A$30-$A9</f>
        <v>21</v>
      </c>
      <c r="D9" s="51" t="n">
        <v>45161</v>
      </c>
      <c r="E9" s="51" t="n">
        <v>45162.2567824074</v>
      </c>
      <c r="F9" s="2" t="n">
        <v>90068.735</v>
      </c>
      <c r="G9" s="2" t="n">
        <v>90122.203</v>
      </c>
      <c r="H9" s="3" t="n">
        <v>53.467</v>
      </c>
      <c r="I9" s="13" t="n">
        <f aca="false">IF($H9&gt;0,($I8+$H9),"")</f>
        <v>431.235</v>
      </c>
      <c r="J9" s="14" t="n">
        <f aca="false">IF($H9&gt;0,$I9/$A9,"")</f>
        <v>53.904375</v>
      </c>
      <c r="K9" s="15" t="n">
        <f aca="false">IF($H9&lt;&gt;"",(($H9*$S$7)+($A9*$S$8))*(1+$S$9),"")</f>
        <v>9.42562142448387</v>
      </c>
      <c r="L9" s="16" t="n">
        <f aca="false">IF($K9&lt;&gt;"",($K9+$L8),"")</f>
        <v>71.6478797772581</v>
      </c>
      <c r="M9" s="17" t="n">
        <f aca="false">IF($J9&lt;&gt;"",$J9*(LOOKUP(1E+307,$A:$A)-$A$2),"")</f>
        <v>1563.226875</v>
      </c>
      <c r="N9" s="17" t="n">
        <f aca="false">IF($M9&lt;&gt;"",IF($M9&gt;1000,(($M9*$S$7)+($A9*$S$8))*(1+$R$9)-100,($M9*$S$7)+($A9*$R$9)*(1+$R$9)),"")</f>
        <v>145.75042211184</v>
      </c>
      <c r="O9" s="18" t="n">
        <f aca="false">IF(I9&gt;=1000,"",(1000-I9))</f>
        <v>568.765</v>
      </c>
      <c r="Q9" s="22" t="s">
        <v>42</v>
      </c>
      <c r="R9" s="30" t="n">
        <v>0.01997</v>
      </c>
      <c r="S9" s="32"/>
    </row>
    <row r="10" customFormat="false" ht="15" hidden="false" customHeight="false" outlineLevel="0" collapsed="false">
      <c r="A10" s="11" t="n">
        <v>9</v>
      </c>
      <c r="B10" s="11" t="str">
        <f aca="false">TEXT($D10,"ddd")</f>
        <v>Thu</v>
      </c>
      <c r="C10" s="11" t="n">
        <f aca="false">$A$30-$A10</f>
        <v>20</v>
      </c>
      <c r="D10" s="51" t="n">
        <v>45162</v>
      </c>
      <c r="E10" s="51" t="n">
        <v>45163.2587847222</v>
      </c>
      <c r="F10" s="2" t="n">
        <v>90122.203</v>
      </c>
      <c r="G10" s="2" t="n">
        <v>90183.584</v>
      </c>
      <c r="H10" s="3" t="n">
        <v>61.379</v>
      </c>
      <c r="I10" s="13" t="n">
        <f aca="false">IF($H10&gt;0,($I9+$H10),"")</f>
        <v>492.614</v>
      </c>
      <c r="J10" s="14" t="n">
        <f aca="false">IF($H10&gt;0,$I10/$A10,"")</f>
        <v>54.7348888888889</v>
      </c>
      <c r="K10" s="15" t="n">
        <f aca="false">IF($H10&lt;&gt;"",(($H10*$S$7)+($A10*$S$8))*(1+$S$9),"")</f>
        <v>10.7922268897742</v>
      </c>
      <c r="L10" s="16" t="n">
        <f aca="false">IF($K10&lt;&gt;"",($K10+$L9),"")</f>
        <v>82.4401066670323</v>
      </c>
      <c r="M10" s="17" t="n">
        <f aca="false">IF($J10&lt;&gt;"",$J10*(LOOKUP(1E+307,$A:$A)-$A$2),"")</f>
        <v>1587.31177777778</v>
      </c>
      <c r="N10" s="17" t="n">
        <f aca="false">IF($M10&lt;&gt;"",IF($M10&gt;1000,(($M10*$S$7)+($A10*$S$8))*(1+$R$9)-100,($M10*$S$7)+($A10*$R$9)*(1+$R$9)),"")</f>
        <v>149.673869160996</v>
      </c>
      <c r="O10" s="18" t="n">
        <f aca="false">IF(I10&gt;=1000,"",(1000-I10))</f>
        <v>507.386</v>
      </c>
      <c r="Q10" s="22" t="s">
        <v>46</v>
      </c>
      <c r="R10" s="33" t="n">
        <v>100</v>
      </c>
      <c r="S10" s="24" t="n">
        <v>1000</v>
      </c>
    </row>
    <row r="11" customFormat="false" ht="15" hidden="false" customHeight="false" outlineLevel="0" collapsed="false">
      <c r="A11" s="11" t="n">
        <v>10</v>
      </c>
      <c r="B11" s="11" t="str">
        <f aca="false">TEXT($D11,"ddd")</f>
        <v>Fri</v>
      </c>
      <c r="C11" s="11" t="n">
        <f aca="false">$A$30-$A11</f>
        <v>19</v>
      </c>
      <c r="D11" s="51" t="n">
        <v>45163</v>
      </c>
      <c r="E11" s="51" t="n">
        <v>45164.2585648148</v>
      </c>
      <c r="F11" s="2" t="n">
        <v>90183.584</v>
      </c>
      <c r="G11" s="2" t="n">
        <v>90237.089</v>
      </c>
      <c r="H11" s="3" t="n">
        <v>53.507</v>
      </c>
      <c r="I11" s="13" t="n">
        <f aca="false">IF($H11&gt;0,($I10+$H11),"")</f>
        <v>546.121</v>
      </c>
      <c r="J11" s="14" t="n">
        <f aca="false">IF($H11&gt;0,$I11/$A11,"")</f>
        <v>54.6121</v>
      </c>
      <c r="K11" s="15" t="n">
        <f aca="false">IF($H11&lt;&gt;"",(($H11*$S$7)+($A11*$S$8))*(1+$S$9),"")</f>
        <v>9.73844403996774</v>
      </c>
      <c r="L11" s="16" t="n">
        <f aca="false">IF($K11&lt;&gt;"",($K11+$L10),"")</f>
        <v>92.178550707</v>
      </c>
      <c r="M11" s="17" t="n">
        <f aca="false">IF($J11&lt;&gt;"",$J11*(LOOKUP(1E+307,$A:$A)-$A$2),"")</f>
        <v>1583.7509</v>
      </c>
      <c r="N11" s="17" t="n">
        <f aca="false">IF($M11&lt;&gt;"",IF($M11&gt;1000,(($M11*$S$7)+($A11*$S$8))*(1+$R$9)-100,($M11*$S$7)+($A11*$R$9)*(1+$R$9)),"")</f>
        <v>149.273330699696</v>
      </c>
      <c r="O11" s="18" t="n">
        <f aca="false">IF(I11&gt;=1000,"",(1000-I11))</f>
        <v>453.879</v>
      </c>
      <c r="Q11" s="22" t="s">
        <v>49</v>
      </c>
      <c r="R11" s="33" t="n">
        <v>295</v>
      </c>
      <c r="S11" s="32"/>
    </row>
    <row r="12" customFormat="false" ht="15" hidden="false" customHeight="false" outlineLevel="0" collapsed="false">
      <c r="A12" s="11" t="n">
        <v>11</v>
      </c>
      <c r="B12" s="11" t="str">
        <f aca="false">TEXT($D12,"ddd")</f>
        <v>Sat</v>
      </c>
      <c r="C12" s="11" t="n">
        <f aca="false">$A$30-$A12</f>
        <v>18</v>
      </c>
      <c r="D12" s="51" t="n">
        <v>45164</v>
      </c>
      <c r="E12" s="51" t="n">
        <v>45165.2813541667</v>
      </c>
      <c r="F12" s="2" t="n">
        <v>90237.089</v>
      </c>
      <c r="G12" s="2" t="n">
        <v>90291.434</v>
      </c>
      <c r="H12" s="3" t="n">
        <v>54.343</v>
      </c>
      <c r="I12" s="13" t="n">
        <f aca="false">IF($H12&gt;0,($I11+$H12),"")</f>
        <v>600.464</v>
      </c>
      <c r="J12" s="14" t="n">
        <f aca="false">IF($H12&gt;0,$I12/$A12,"")</f>
        <v>54.5876363636364</v>
      </c>
      <c r="K12" s="15" t="n">
        <f aca="false">IF($H12&lt;&gt;"",(($H12*$S$7)+($A12*$S$8))*(1+$S$9),"")</f>
        <v>10.0199843939032</v>
      </c>
      <c r="L12" s="16" t="n">
        <f aca="false">IF($K12&lt;&gt;"",($K12+$L11),"")</f>
        <v>102.198535100903</v>
      </c>
      <c r="M12" s="17" t="n">
        <f aca="false">IF($J12&lt;&gt;"",$J12*(LOOKUP(1E+307,$A:$A)-$A$2),"")</f>
        <v>1583.04145454545</v>
      </c>
      <c r="N12" s="17" t="n">
        <f aca="false">IF($M12&lt;&gt;"",IF($M12&gt;1000,(($M12*$S$7)+($A12*$S$8))*(1+$R$9)-100,($M12*$S$7)+($A12*$R$9)*(1+$R$9)),"")</f>
        <v>149.318775379473</v>
      </c>
      <c r="O12" s="18" t="n">
        <f aca="false">IF(I12&gt;=1000,"",(1000-I12))</f>
        <v>399.536</v>
      </c>
      <c r="Q12" s="22" t="s">
        <v>52</v>
      </c>
      <c r="R12" s="35" t="n">
        <f aca="false">INDEX(L2:L32,COUNT(L2:L32))</f>
        <v>312.749470195839</v>
      </c>
      <c r="S12" s="32"/>
    </row>
    <row r="13" customFormat="false" ht="15" hidden="false" customHeight="false" outlineLevel="0" collapsed="false">
      <c r="A13" s="11" t="n">
        <v>12</v>
      </c>
      <c r="B13" s="11" t="str">
        <f aca="false">TEXT($D13,"ddd")</f>
        <v>Sun</v>
      </c>
      <c r="C13" s="11" t="n">
        <f aca="false">$A$30-$A13</f>
        <v>17</v>
      </c>
      <c r="D13" s="51" t="n">
        <v>45165</v>
      </c>
      <c r="E13" s="51" t="n">
        <v>45166.2585185185</v>
      </c>
      <c r="F13" s="2" t="n">
        <v>90291.434</v>
      </c>
      <c r="G13" s="2" t="n">
        <v>90342.432</v>
      </c>
      <c r="H13" s="3" t="n">
        <v>51.001</v>
      </c>
      <c r="I13" s="13" t="n">
        <f aca="false">IF($H13&gt;0,($I12+$H13),"")</f>
        <v>651.465</v>
      </c>
      <c r="J13" s="14" t="n">
        <f aca="false">IF($H13&gt;0,$I13/$A13,"")</f>
        <v>54.28875</v>
      </c>
      <c r="K13" s="15" t="n">
        <f aca="false">IF($H13&lt;&gt;"",(($H13*$S$7)+($A13*$S$8))*(1+$S$9),"")</f>
        <v>9.6608517637742</v>
      </c>
      <c r="L13" s="16" t="n">
        <f aca="false">IF($K13&lt;&gt;"",($K13+$L12),"")</f>
        <v>111.859386864677</v>
      </c>
      <c r="M13" s="17" t="n">
        <f aca="false">IF($J13&lt;&gt;"",$J13*(LOOKUP(1E+307,$A:$A)-$A$2),"")</f>
        <v>1574.37375</v>
      </c>
      <c r="N13" s="17" t="n">
        <f aca="false">IF($M13&lt;&gt;"",IF($M13&gt;1000,(($M13*$S$7)+($A13*$S$8))*(1+$R$9)-100,($M13*$S$7)+($A13*$R$9)*(1+$R$9)),"")</f>
        <v>148.119494958131</v>
      </c>
      <c r="O13" s="18" t="n">
        <f aca="false">IF(I13&gt;=1000,"",(1000-I13))</f>
        <v>348.535</v>
      </c>
      <c r="Q13" s="22" t="s">
        <v>55</v>
      </c>
      <c r="R13" s="37" t="n">
        <f aca="false">INDEX(I2:I32,COUNT(I2:I32))</f>
        <v>4406.202</v>
      </c>
      <c r="S13" s="32"/>
    </row>
    <row r="14" customFormat="false" ht="15" hidden="false" customHeight="false" outlineLevel="0" collapsed="false">
      <c r="A14" s="11" t="n">
        <v>13</v>
      </c>
      <c r="B14" s="11" t="str">
        <f aca="false">TEXT($D14,"ddd")</f>
        <v>Mon</v>
      </c>
      <c r="C14" s="11" t="n">
        <f aca="false">$A$30-$A14</f>
        <v>16</v>
      </c>
      <c r="D14" s="51" t="n">
        <v>45166</v>
      </c>
      <c r="E14" s="51" t="n">
        <v>45167.2632638889</v>
      </c>
      <c r="F14" s="2" t="n">
        <v>90342.432</v>
      </c>
      <c r="G14" s="2" t="n">
        <v>90388.558</v>
      </c>
      <c r="H14" s="3" t="n">
        <v>46.128</v>
      </c>
      <c r="I14" s="13" t="n">
        <f aca="false">IF($H14&gt;0,($I13+$H14),"")</f>
        <v>697.593</v>
      </c>
      <c r="J14" s="14" t="n">
        <f aca="false">IF($H14&gt;0,$I14/$A14,"")</f>
        <v>53.661</v>
      </c>
      <c r="K14" s="15" t="n">
        <f aca="false">IF($H14&lt;&gt;"",(($H14*$S$7)+($A14*$S$8))*(1+$S$9),"")</f>
        <v>9.0669488276129</v>
      </c>
      <c r="L14" s="16" t="n">
        <f aca="false">IF($K14&lt;&gt;"",($K14+$L13),"")</f>
        <v>120.92633569229</v>
      </c>
      <c r="M14" s="17" t="n">
        <f aca="false">IF($J14&lt;&gt;"",$J14*(LOOKUP(1E+307,$A:$A)-$A$2),"")</f>
        <v>1556.169</v>
      </c>
      <c r="N14" s="17" t="n">
        <f aca="false">IF($M14&lt;&gt;"",IF($M14&gt;1000,(($M14*$S$7)+($A14*$S$8))*(1+$R$9)-100,($M14*$S$7)+($A14*$R$9)*(1+$R$9)),"")</f>
        <v>145.42855665883</v>
      </c>
      <c r="O14" s="18" t="n">
        <f aca="false">IF(I14&gt;=1000,"",(1000-I14))</f>
        <v>302.407</v>
      </c>
      <c r="Q14" s="22" t="s">
        <v>58</v>
      </c>
      <c r="R14" s="37" t="n">
        <f aca="false">INDEX(J2:J32,COUNT(J2:J32))</f>
        <v>50.5127666666667</v>
      </c>
      <c r="S14" s="32"/>
    </row>
    <row r="15" customFormat="false" ht="15" hidden="false" customHeight="false" outlineLevel="0" collapsed="false">
      <c r="A15" s="11" t="n">
        <v>14</v>
      </c>
      <c r="B15" s="11" t="str">
        <f aca="false">TEXT($D15,"ddd")</f>
        <v>Tue</v>
      </c>
      <c r="C15" s="11" t="n">
        <f aca="false">$A$30-$A15</f>
        <v>15</v>
      </c>
      <c r="D15" s="51" t="n">
        <v>45167</v>
      </c>
      <c r="E15" s="51" t="n">
        <v>45168.2579513889</v>
      </c>
      <c r="F15" s="2" t="n">
        <v>90388.558</v>
      </c>
      <c r="G15" s="2" t="n">
        <v>90433.709</v>
      </c>
      <c r="H15" s="3" t="n">
        <v>45.149</v>
      </c>
      <c r="I15" s="13" t="n">
        <f aca="false">IF($H15&gt;0,($I14+$H15),"")</f>
        <v>742.742</v>
      </c>
      <c r="J15" s="14" t="n">
        <f aca="false">IF($H15&gt;0,$I15/$A15,"")</f>
        <v>53.053</v>
      </c>
      <c r="K15" s="15" t="n">
        <f aca="false">IF($H15&lt;&gt;"",(($H15*$S$7)+($A15*$S$8))*(1+$S$9),"")</f>
        <v>9.07016906041936</v>
      </c>
      <c r="L15" s="16" t="n">
        <f aca="false">IF($K15&lt;&gt;"",($K15+$L14),"")</f>
        <v>129.99650475271</v>
      </c>
      <c r="M15" s="17" t="n">
        <f aca="false">IF($J15&lt;&gt;"",$J15*(LOOKUP(1E+307,$A:$A)-$A$2),"")</f>
        <v>1538.537</v>
      </c>
      <c r="N15" s="17" t="n">
        <f aca="false">IF($M15&lt;&gt;"",IF($M15&gt;1000,(($M15*$S$7)+($A15*$S$8))*(1+$R$9)-100,($M15*$S$7)+($A15*$R$9)*(1+$R$9)),"")</f>
        <v>142.827200301198</v>
      </c>
      <c r="O15" s="18" t="n">
        <f aca="false">IF(I15&gt;=1000,"",(1000-I15))</f>
        <v>257.258</v>
      </c>
      <c r="Q15" s="22"/>
      <c r="R15" s="38"/>
      <c r="S15" s="24"/>
    </row>
    <row r="16" customFormat="false" ht="15" hidden="false" customHeight="false" outlineLevel="0" collapsed="false">
      <c r="A16" s="11" t="n">
        <v>15</v>
      </c>
      <c r="B16" s="11" t="str">
        <f aca="false">TEXT($D16,"ddd")</f>
        <v>Wed</v>
      </c>
      <c r="C16" s="11" t="n">
        <f aca="false">$A$30-$A16</f>
        <v>14</v>
      </c>
      <c r="D16" s="51" t="n">
        <v>45168</v>
      </c>
      <c r="E16" s="51" t="n">
        <v>45169.2569791667</v>
      </c>
      <c r="F16" s="2" t="n">
        <v>90433.709</v>
      </c>
      <c r="G16" s="2" t="n">
        <v>90483.62</v>
      </c>
      <c r="H16" s="3" t="n">
        <v>49.916</v>
      </c>
      <c r="I16" s="13" t="n">
        <f aca="false">IF($H16&gt;0,($I15+$H16),"")</f>
        <v>792.658</v>
      </c>
      <c r="J16" s="14" t="n">
        <f aca="false">IF($H16&gt;0,$I16/$A16,"")</f>
        <v>52.8438666666667</v>
      </c>
      <c r="K16" s="15" t="n">
        <f aca="false">IF($H16&lt;&gt;"",(($H16*$S$7)+($A16*$S$8))*(1+$S$9),"")</f>
        <v>9.95450632683871</v>
      </c>
      <c r="L16" s="16" t="n">
        <f aca="false">IF($K16&lt;&gt;"",($K16+$L15),"")</f>
        <v>139.951011079548</v>
      </c>
      <c r="M16" s="17" t="n">
        <f aca="false">IF($J16&lt;&gt;"",$J16*(LOOKUP(1E+307,$A:$A)-$A$2),"")</f>
        <v>1532.47213333333</v>
      </c>
      <c r="N16" s="17" t="n">
        <f aca="false">IF($M16&lt;&gt;"",IF($M16&gt;1000,(($M16*$S$7)+($A16*$S$8))*(1+$R$9)-100,($M16*$S$7)+($A16*$R$9)*(1+$R$9)),"")</f>
        <v>142.035021182397</v>
      </c>
      <c r="O16" s="18" t="n">
        <f aca="false">IF(I16&gt;=1000,"",(1000-I16))</f>
        <v>207.342</v>
      </c>
      <c r="Q16" s="22" t="s">
        <v>59</v>
      </c>
      <c r="R16" s="37" t="n">
        <f aca="false">MIN(H2:H31)</f>
        <v>30.14</v>
      </c>
      <c r="S16" s="24"/>
    </row>
    <row r="17" customFormat="false" ht="15" hidden="false" customHeight="false" outlineLevel="0" collapsed="false">
      <c r="A17" s="11" t="n">
        <v>16</v>
      </c>
      <c r="B17" s="11" t="str">
        <f aca="false">TEXT($D17,"ddd")</f>
        <v>Thu</v>
      </c>
      <c r="C17" s="11" t="n">
        <f aca="false">$A$30-$A17</f>
        <v>13</v>
      </c>
      <c r="D17" s="51" t="n">
        <v>45169</v>
      </c>
      <c r="E17" s="51" t="n">
        <v>45170.2568518519</v>
      </c>
      <c r="F17" s="2" t="n">
        <v>90483.62</v>
      </c>
      <c r="G17" s="2" t="n">
        <v>90530.819</v>
      </c>
      <c r="H17" s="3" t="n">
        <v>47.199</v>
      </c>
      <c r="I17" s="13" t="n">
        <f aca="false">IF($H17&gt;0,($I16+$H17),"")</f>
        <v>839.857</v>
      </c>
      <c r="J17" s="14" t="n">
        <f aca="false">IF($H17&gt;0,$I17/$A17,"")</f>
        <v>52.4910625</v>
      </c>
      <c r="K17" s="15" t="n">
        <f aca="false">IF($H17&lt;&gt;"",(($H17*$S$7)+($A17*$S$8))*(1+$S$9),"")</f>
        <v>9.69121395880645</v>
      </c>
      <c r="L17" s="16" t="n">
        <f aca="false">IF($K17&lt;&gt;"",($K17+$L16),"")</f>
        <v>149.642225038355</v>
      </c>
      <c r="M17" s="17" t="n">
        <f aca="false">IF($J17&lt;&gt;"",$J17*(LOOKUP(1E+307,$A:$A)-$A$2),"")</f>
        <v>1522.2408125</v>
      </c>
      <c r="N17" s="17" t="n">
        <f aca="false">IF($M17&lt;&gt;"",IF($M17&gt;1000,(($M17*$S$7)+($A17*$S$8))*(1+$R$9)-100,($M17*$S$7)+($A17*$R$9)*(1+$R$9)),"")</f>
        <v>140.591180685816</v>
      </c>
      <c r="O17" s="18" t="n">
        <f aca="false">IF(I17&gt;=1000,"",(1000-I17))</f>
        <v>160.143</v>
      </c>
      <c r="Q17" s="22" t="s">
        <v>60</v>
      </c>
      <c r="R17" s="37" t="n">
        <f aca="false">MAX(H2:H32)</f>
        <v>4406.202</v>
      </c>
      <c r="S17" s="24"/>
    </row>
    <row r="18" customFormat="false" ht="15" hidden="false" customHeight="false" outlineLevel="0" collapsed="false">
      <c r="A18" s="11" t="n">
        <v>17</v>
      </c>
      <c r="B18" s="11" t="str">
        <f aca="false">TEXT($D18,"ddd")</f>
        <v>Fri</v>
      </c>
      <c r="C18" s="11" t="n">
        <f aca="false">$A$30-$A18</f>
        <v>12</v>
      </c>
      <c r="D18" s="51" t="n">
        <v>45170</v>
      </c>
      <c r="E18" s="51" t="n">
        <v>45171.2569444444</v>
      </c>
      <c r="F18" s="2" t="n">
        <v>90530.819</v>
      </c>
      <c r="G18" s="2" t="n">
        <v>90579.44</v>
      </c>
      <c r="H18" s="3" t="n">
        <v>48.622</v>
      </c>
      <c r="I18" s="13" t="n">
        <f aca="false">IF($H18&gt;0,($I17+$H18),"")</f>
        <v>888.479</v>
      </c>
      <c r="J18" s="14" t="n">
        <f aca="false">IF($H18&gt;0,$I18/$A18,"")</f>
        <v>52.2634705882353</v>
      </c>
      <c r="K18" s="15" t="n">
        <f aca="false">IF($H18&lt;&gt;"",(($H18*$S$7)+($A18*$S$8))*(1+$S$9),"")</f>
        <v>10.0627674869032</v>
      </c>
      <c r="L18" s="16" t="n">
        <f aca="false">IF($K18&lt;&gt;"",($K18+$L17),"")</f>
        <v>159.704992525258</v>
      </c>
      <c r="M18" s="17" t="n">
        <f aca="false">IF($J18&lt;&gt;"",$J18*(LOOKUP(1E+307,$A:$A)-$A$2),"")</f>
        <v>1515.64064705882</v>
      </c>
      <c r="N18" s="17" t="n">
        <f aca="false">IF($M18&lt;&gt;"",IF($M18&gt;1000,(($M18*$S$7)+($A18*$S$8))*(1+$R$9)-100,($M18*$S$7)+($A18*$R$9)*(1+$R$9)),"")</f>
        <v>139.715277248214</v>
      </c>
      <c r="O18" s="18" t="n">
        <f aca="false">IF(I18&gt;=1000,"",(1000-I18))</f>
        <v>111.521</v>
      </c>
      <c r="Q18" s="22"/>
      <c r="R18" s="64"/>
      <c r="S18" s="24"/>
    </row>
    <row r="19" customFormat="false" ht="15" hidden="false" customHeight="false" outlineLevel="0" collapsed="false">
      <c r="A19" s="11" t="n">
        <v>18</v>
      </c>
      <c r="B19" s="11" t="str">
        <f aca="false">TEXT($D19,"ddd")</f>
        <v>Sat</v>
      </c>
      <c r="C19" s="11" t="n">
        <f aca="false">$A$30-$A19</f>
        <v>11</v>
      </c>
      <c r="D19" s="51" t="n">
        <v>45171</v>
      </c>
      <c r="E19" s="51" t="n">
        <v>45172.2782291667</v>
      </c>
      <c r="F19" s="2" t="n">
        <v>90579.44</v>
      </c>
      <c r="G19" s="2" t="n">
        <v>90633.284</v>
      </c>
      <c r="H19" s="3" t="n">
        <v>53.844</v>
      </c>
      <c r="I19" s="13" t="n">
        <f aca="false">IF($H19&gt;0,($I18+$H19),"")</f>
        <v>942.323</v>
      </c>
      <c r="J19" s="14" t="n">
        <f aca="false">IF($H19&gt;0,$I19/$A19,"")</f>
        <v>52.3512777777778</v>
      </c>
      <c r="K19" s="15" t="n">
        <f aca="false">IF($H19&lt;&gt;"",(($H19*$S$7)+($A19*$S$8))*(1+$S$9),"")</f>
        <v>11.016876464129</v>
      </c>
      <c r="L19" s="16" t="n">
        <f aca="false">IF($K19&lt;&gt;"",($K19+$L18),"")</f>
        <v>170.721868989387</v>
      </c>
      <c r="M19" s="17" t="n">
        <f aca="false">IF($J19&lt;&gt;"",$J19*(LOOKUP(1E+307,$A:$A)-$A$2),"")</f>
        <v>1518.18705555556</v>
      </c>
      <c r="N19" s="17" t="n">
        <f aca="false">IF($M19&lt;&gt;"",IF($M19&gt;1000,(($M19*$S$7)+($A19*$S$8))*(1+$R$9)-100,($M19*$S$7)+($A19*$R$9)*(1+$R$9)),"")</f>
        <v>140.269959324316</v>
      </c>
      <c r="O19" s="18" t="n">
        <f aca="false">IF(I19&gt;=1000,"",(1000-I19))</f>
        <v>57.6770000000001</v>
      </c>
      <c r="Q19" s="40"/>
      <c r="R19" s="41"/>
      <c r="S19" s="42"/>
    </row>
    <row r="20" customFormat="false" ht="15" hidden="false" customHeight="false" outlineLevel="0" collapsed="false">
      <c r="A20" s="11" t="n">
        <v>19</v>
      </c>
      <c r="B20" s="11" t="str">
        <f aca="false">TEXT($D20,"ddd")</f>
        <v>Sun</v>
      </c>
      <c r="C20" s="11" t="n">
        <f aca="false">$A$30-$A20</f>
        <v>10</v>
      </c>
      <c r="D20" s="51" t="n">
        <v>45172</v>
      </c>
      <c r="E20" s="51" t="n">
        <v>45173.2566319444</v>
      </c>
      <c r="F20" s="2" t="n">
        <v>90633.284</v>
      </c>
      <c r="G20" s="2" t="n">
        <v>90680.345</v>
      </c>
      <c r="H20" s="3" t="n">
        <v>47.063</v>
      </c>
      <c r="I20" s="69" t="n">
        <f aca="false">IF($H20&gt;0,($I19+$H20),"")</f>
        <v>989.386</v>
      </c>
      <c r="J20" s="14" t="n">
        <f aca="false">IF($H20&gt;0,$I20/$A20,"")</f>
        <v>52.0729473684211</v>
      </c>
      <c r="K20" s="15" t="n">
        <f aca="false">IF($H20&lt;&gt;"",(($H20*$S$7)+($A20*$S$8))*(1+$S$9),"")</f>
        <v>10.1303923758387</v>
      </c>
      <c r="L20" s="16" t="n">
        <f aca="false">IF($K20&lt;&gt;"",($K20+$L19),"")</f>
        <v>180.852261365226</v>
      </c>
      <c r="M20" s="17" t="n">
        <f aca="false">IF($J20&lt;&gt;"",$J20*(LOOKUP(1E+307,$A:$A)-$A$2),"")</f>
        <v>1510.11547368421</v>
      </c>
      <c r="N20" s="17" t="n">
        <f aca="false">IF($M20&lt;&gt;"",IF($M20&gt;1000,(($M20*$S$7)+($A20*$S$8))*(1+$R$9)-100,($M20*$S$7)+($A20*$R$9)*(1+$R$9)),"")</f>
        <v>139.163916487643</v>
      </c>
      <c r="O20" s="18" t="n">
        <f aca="false">IF(I20&gt;=1000,"",(1000-I20))</f>
        <v>10.6140000000001</v>
      </c>
    </row>
    <row r="21" customFormat="false" ht="15" hidden="false" customHeight="false" outlineLevel="0" collapsed="false">
      <c r="A21" s="11" t="n">
        <v>20</v>
      </c>
      <c r="B21" s="11" t="str">
        <f aca="false">TEXT($D21,"ddd")</f>
        <v>Mon</v>
      </c>
      <c r="C21" s="11" t="n">
        <f aca="false">$A$30-$A21</f>
        <v>9</v>
      </c>
      <c r="D21" s="51" t="n">
        <v>45173</v>
      </c>
      <c r="E21" s="51" t="n">
        <v>45174.2582638889</v>
      </c>
      <c r="F21" s="2" t="n">
        <v>90680.345</v>
      </c>
      <c r="G21" s="2" t="n">
        <v>90730.138</v>
      </c>
      <c r="H21" s="3" t="n">
        <v>49.795</v>
      </c>
      <c r="I21" s="70" t="n">
        <f aca="false">IF($H21&gt;0,($I20+$H21),"")</f>
        <v>1039.181</v>
      </c>
      <c r="J21" s="14" t="n">
        <f aca="false">IF($H21&gt;0,$I21/$A21,"")</f>
        <v>51.95905</v>
      </c>
      <c r="K21" s="15" t="n">
        <f aca="false">IF($H21&lt;&gt;"",(($H21*$S$7)+($A21*$S$8))*(1+$S$9),"")</f>
        <v>10.702673748871</v>
      </c>
      <c r="L21" s="16" t="n">
        <f aca="false">IF($K21&lt;&gt;"",($K21+$L20),"")</f>
        <v>191.554935114097</v>
      </c>
      <c r="M21" s="17" t="n">
        <f aca="false">IF($J21&lt;&gt;"",$J21*(LOOKUP(1E+307,$A:$A)-$A$2),"")</f>
        <v>1506.81245</v>
      </c>
      <c r="N21" s="17" t="n">
        <f aca="false">IF($M21&lt;&gt;"",IF($M21&gt;1000,(($M21*$S$7)+($A21*$S$8))*(1+$R$9)-100,($M21*$S$7)+($A21*$R$9)*(1+$R$9)),"")</f>
        <v>138.80370813611</v>
      </c>
      <c r="O21" s="18" t="str">
        <f aca="false">IF(I21&gt;=1000,"",(1000-I21))</f>
        <v/>
      </c>
    </row>
    <row r="22" customFormat="false" ht="15" hidden="false" customHeight="false" outlineLevel="0" collapsed="false">
      <c r="A22" s="11" t="n">
        <v>21</v>
      </c>
      <c r="B22" s="11" t="str">
        <f aca="false">TEXT($D22,"ddd")</f>
        <v>Tue</v>
      </c>
      <c r="C22" s="11" t="n">
        <f aca="false">$A$30-$A22</f>
        <v>8</v>
      </c>
      <c r="D22" s="51" t="n">
        <v>45174</v>
      </c>
      <c r="E22" s="51" t="n">
        <v>45175.2585185185</v>
      </c>
      <c r="F22" s="2" t="n">
        <v>90730.138</v>
      </c>
      <c r="G22" s="2" t="n">
        <v>90788.112</v>
      </c>
      <c r="H22" s="3" t="n">
        <v>57.967</v>
      </c>
      <c r="I22" s="13" t="n">
        <f aca="false">IF($H22&gt;0,($I21+$H22),"")</f>
        <v>1097.148</v>
      </c>
      <c r="J22" s="14" t="n">
        <f aca="false">IF($H22&gt;0,$I22/$A22,"")</f>
        <v>52.2451428571429</v>
      </c>
      <c r="K22" s="15" t="n">
        <f aca="false">IF($H22&lt;&gt;"",(($H22*$S$7)+($A22*$S$8))*(1+$S$9),"")</f>
        <v>12.1091487631935</v>
      </c>
      <c r="L22" s="16" t="n">
        <f aca="false">IF($K22&lt;&gt;"",($K22+$L21),"")</f>
        <v>203.66408387729</v>
      </c>
      <c r="M22" s="17" t="n">
        <f aca="false">IF($J22&lt;&gt;"",$J22*(LOOKUP(1E+307,$A:$A)-$A$2),"")</f>
        <v>1515.10914285714</v>
      </c>
      <c r="N22" s="17" t="n">
        <f aca="false">IF($M22&lt;&gt;"",IF($M22&gt;1000,(($M22*$S$7)+($A22*$S$8))*(1+$R$9)-100,($M22*$S$7)+($A22*$R$9)*(1+$R$9)),"")</f>
        <v>140.257773255692</v>
      </c>
      <c r="O22" s="18" t="str">
        <f aca="false">IF(I22&gt;=1000,"",(1000-I22))</f>
        <v/>
      </c>
    </row>
    <row r="23" customFormat="false" ht="15" hidden="false" customHeight="false" outlineLevel="0" collapsed="false">
      <c r="A23" s="11" t="n">
        <v>22</v>
      </c>
      <c r="B23" s="11" t="str">
        <f aca="false">TEXT($D23,"ddd")</f>
        <v>Wed</v>
      </c>
      <c r="C23" s="11" t="n">
        <f aca="false">$A$30-$A23</f>
        <v>7</v>
      </c>
      <c r="D23" s="51" t="n">
        <v>45175</v>
      </c>
      <c r="E23" s="51" t="n">
        <v>45176.2579513889</v>
      </c>
      <c r="F23" s="2" t="n">
        <v>90788.112</v>
      </c>
      <c r="G23" s="2" t="n">
        <v>90844.606</v>
      </c>
      <c r="H23" s="3" t="n">
        <v>56.497</v>
      </c>
      <c r="I23" s="13" t="n">
        <f aca="false">IF($H23&gt;0,($I22+$H23),"")</f>
        <v>1153.645</v>
      </c>
      <c r="J23" s="14" t="n">
        <f aca="false">IF($H23&gt;0,$I23/$A23,"")</f>
        <v>52.4384090909091</v>
      </c>
      <c r="K23" s="15" t="n">
        <f aca="false">IF($H23&lt;&gt;"",(($H23*$S$7)+($A23*$S$8))*(1+$S$9),"")</f>
        <v>12.0370768860968</v>
      </c>
      <c r="L23" s="16" t="n">
        <f aca="false">IF($K23&lt;&gt;"",($K23+$L22),"")</f>
        <v>215.701160763387</v>
      </c>
      <c r="M23" s="17" t="n">
        <f aca="false">IF($J23&lt;&gt;"",$J23*(LOOKUP(1E+307,$A:$A)-$A$2),"")</f>
        <v>1520.71386363636</v>
      </c>
      <c r="N23" s="17" t="n">
        <f aca="false">IF($M23&lt;&gt;"",IF($M23&gt;1000,(($M23*$S$7)+($A23*$S$8))*(1+$R$9)-100,($M23*$S$7)+($A23*$R$9)*(1+$R$9)),"")</f>
        <v>141.290795886128</v>
      </c>
      <c r="O23" s="18" t="str">
        <f aca="false">IF(I23&gt;=1000,"",(1000-I23))</f>
        <v/>
      </c>
      <c r="Q23" s="29"/>
    </row>
    <row r="24" customFormat="false" ht="15" hidden="false" customHeight="false" outlineLevel="0" collapsed="false">
      <c r="A24" s="11" t="n">
        <v>23</v>
      </c>
      <c r="B24" s="11" t="str">
        <f aca="false">TEXT($D24,"ddd")</f>
        <v>Thu</v>
      </c>
      <c r="C24" s="11" t="n">
        <f aca="false">$A$30-$A24</f>
        <v>6</v>
      </c>
      <c r="D24" s="51" t="n">
        <v>45176</v>
      </c>
      <c r="E24" s="51" t="n">
        <v>45177.2575347222</v>
      </c>
      <c r="F24" s="2" t="n">
        <v>90844.606</v>
      </c>
      <c r="G24" s="2" t="n">
        <v>90904.048</v>
      </c>
      <c r="H24" s="3" t="n">
        <v>59.445</v>
      </c>
      <c r="I24" s="13" t="n">
        <f aca="false">IF($H24&gt;0,($I23+$H24),"")</f>
        <v>1213.09</v>
      </c>
      <c r="J24" s="14" t="n">
        <f aca="false">IF($H24&gt;0,$I24/$A24,"")</f>
        <v>52.7430434782609</v>
      </c>
      <c r="K24" s="15" t="n">
        <f aca="false">IF($H24&lt;&gt;"",(($H24*$S$7)+($A24*$S$8))*(1+$S$9),"")</f>
        <v>12.6424806537097</v>
      </c>
      <c r="L24" s="16" t="n">
        <f aca="false">IF($K24&lt;&gt;"",($K24+$L23),"")</f>
        <v>228.343641417097</v>
      </c>
      <c r="M24" s="17" t="n">
        <f aca="false">IF($J24&lt;&gt;"",$J24*(LOOKUP(1E+307,$A:$A)-$A$2),"")</f>
        <v>1529.54826086957</v>
      </c>
      <c r="N24" s="17" t="n">
        <f aca="false">IF($M24&lt;&gt;"",IF($M24&gt;1000,(($M24*$S$7)+($A24*$S$8))*(1+$R$9)-100,($M24*$S$7)+($A24*$R$9)*(1+$R$9)),"")</f>
        <v>142.828961576729</v>
      </c>
      <c r="O24" s="18" t="str">
        <f aca="false">IF(I24&gt;=1000,"",(1000-I24))</f>
        <v/>
      </c>
    </row>
    <row r="25" customFormat="false" ht="15" hidden="false" customHeight="false" outlineLevel="0" collapsed="false">
      <c r="A25" s="11" t="n">
        <v>24</v>
      </c>
      <c r="B25" s="11" t="str">
        <f aca="false">TEXT($D25,"ddd")</f>
        <v>Fri</v>
      </c>
      <c r="C25" s="11" t="n">
        <f aca="false">$A$30-$A25</f>
        <v>5</v>
      </c>
      <c r="D25" s="51" t="n">
        <v>45177</v>
      </c>
      <c r="E25" s="51" t="n">
        <v>45178.3263541667</v>
      </c>
      <c r="F25" s="2" t="n">
        <v>90904.048</v>
      </c>
      <c r="G25" s="2" t="n">
        <v>90964.223</v>
      </c>
      <c r="H25" s="3" t="n">
        <v>60.175</v>
      </c>
      <c r="I25" s="13" t="n">
        <f aca="false">IF($H25&gt;0,($I24+$H25),"")</f>
        <v>1273.265</v>
      </c>
      <c r="J25" s="14" t="n">
        <f aca="false">IF($H25&gt;0,$I25/$A25,"")</f>
        <v>53.0527083333333</v>
      </c>
      <c r="K25" s="15" t="n">
        <f aca="false">IF($H25&lt;&gt;"",(($H25*$S$7)+($A25*$S$8))*(1+$S$9),"")</f>
        <v>12.9077664991936</v>
      </c>
      <c r="L25" s="16" t="n">
        <f aca="false">IF($K25&lt;&gt;"",($K25+$L24),"")</f>
        <v>241.25140791629</v>
      </c>
      <c r="M25" s="17" t="n">
        <f aca="false">IF($J25&lt;&gt;"",$J25*(LOOKUP(1E+307,$A:$A)-$A$2),"")</f>
        <v>1538.52854166667</v>
      </c>
      <c r="N25" s="17" t="n">
        <f aca="false">IF($M25&lt;&gt;"",IF($M25&gt;1000,(($M25*$S$7)+($A25*$S$8))*(1+$R$9)-100,($M25*$S$7)+($A25*$R$9)*(1+$R$9)),"")</f>
        <v>144.389944435224</v>
      </c>
      <c r="O25" s="18" t="str">
        <f aca="false">IF(I25&gt;=1000,"",(1000-I25))</f>
        <v/>
      </c>
    </row>
    <row r="26" customFormat="false" ht="15" hidden="false" customHeight="false" outlineLevel="0" collapsed="false">
      <c r="A26" s="11" t="n">
        <v>25</v>
      </c>
      <c r="B26" s="11" t="str">
        <f aca="false">TEXT($D26,"ddd")</f>
        <v>Sat</v>
      </c>
      <c r="C26" s="11" t="n">
        <f aca="false">$A$30-$A26</f>
        <v>4</v>
      </c>
      <c r="D26" s="51" t="n">
        <v>45178</v>
      </c>
      <c r="E26" s="51" t="n">
        <v>45179.2773148148</v>
      </c>
      <c r="F26" s="2" t="n">
        <v>90964.223</v>
      </c>
      <c r="G26" s="2" t="n">
        <v>91021.844</v>
      </c>
      <c r="H26" s="3" t="n">
        <v>57.621</v>
      </c>
      <c r="I26" s="13" t="n">
        <f aca="false">IF($H26&gt;0,($I25+$H26),"")</f>
        <v>1330.886</v>
      </c>
      <c r="J26" s="14" t="n">
        <f aca="false">IF($H26&gt;0,$I26/$A26,"")</f>
        <v>53.23544</v>
      </c>
      <c r="K26" s="15" t="n">
        <f aca="false">IF($H26&lt;&gt;"",(($H26*$S$7)+($A26*$S$8))*(1+$S$9),"")</f>
        <v>12.6694692715161</v>
      </c>
      <c r="L26" s="16" t="n">
        <f aca="false">IF($K26&lt;&gt;"",($K26+$L25),"")</f>
        <v>253.920877187807</v>
      </c>
      <c r="M26" s="17" t="n">
        <f aca="false">IF($J26&lt;&gt;"",$J26*(LOOKUP(1E+307,$A:$A)-$A$2),"")</f>
        <v>1543.82776</v>
      </c>
      <c r="N26" s="17" t="n">
        <f aca="false">IF($M26&lt;&gt;"",IF($M26&gt;1000,(($M26*$S$7)+($A26*$S$8))*(1+$R$9)-100,($M26*$S$7)+($A26*$R$9)*(1+$R$9)),"")</f>
        <v>145.375184433994</v>
      </c>
      <c r="O26" s="18" t="str">
        <f aca="false">IF(I26&gt;=1000,"",(1000-I26))</f>
        <v/>
      </c>
    </row>
    <row r="27" customFormat="false" ht="15" hidden="false" customHeight="false" outlineLevel="0" collapsed="false">
      <c r="A27" s="11" t="n">
        <v>26</v>
      </c>
      <c r="B27" s="11" t="str">
        <f aca="false">TEXT($D27,"ddd")</f>
        <v>Sun</v>
      </c>
      <c r="C27" s="11" t="n">
        <f aca="false">$A$30-$A27</f>
        <v>3</v>
      </c>
      <c r="D27" s="51" t="n">
        <v>45179</v>
      </c>
      <c r="E27" s="51" t="n">
        <v>45180.2566319444</v>
      </c>
      <c r="F27" s="2" t="n">
        <v>91021.844</v>
      </c>
      <c r="G27" s="2" t="n">
        <v>91066.398</v>
      </c>
      <c r="H27" s="3" t="n">
        <v>44.55</v>
      </c>
      <c r="I27" s="13" t="n">
        <f aca="false">IF($H27&gt;0,($I26+$H27),"")</f>
        <v>1375.436</v>
      </c>
      <c r="J27" s="14" t="n">
        <f aca="false">IF($H27&gt;0,$I27/$A27,"")</f>
        <v>52.9013846153846</v>
      </c>
      <c r="K27" s="15" t="n">
        <f aca="false">IF($H27&lt;&gt;"",(($H27*$S$7)+($A27*$S$8))*(1+$S$9),"")</f>
        <v>10.8184487854839</v>
      </c>
      <c r="L27" s="16" t="n">
        <f aca="false">IF($K27&lt;&gt;"",($K27+$L26),"")</f>
        <v>264.73932597329</v>
      </c>
      <c r="M27" s="17" t="n">
        <f aca="false">IF($J27&lt;&gt;"",$J27*(LOOKUP(1E+307,$A:$A)-$A$2),"")</f>
        <v>1534.14015384615</v>
      </c>
      <c r="N27" s="17" t="n">
        <f aca="false">IF($M27&lt;&gt;"",IF($M27&gt;1000,(($M27*$S$7)+($A27*$S$8))*(1+$R$9)-100,($M27*$S$7)+($A27*$R$9)*(1+$R$9)),"")</f>
        <v>144.016384560201</v>
      </c>
      <c r="O27" s="18" t="str">
        <f aca="false">IF(I27&gt;=1000,"",(1000-I27))</f>
        <v/>
      </c>
    </row>
    <row r="28" customFormat="false" ht="15" hidden="false" customHeight="false" outlineLevel="0" collapsed="false">
      <c r="A28" s="11" t="n">
        <v>27</v>
      </c>
      <c r="B28" s="11" t="str">
        <f aca="false">TEXT($D28,"ddd")</f>
        <v>Mon</v>
      </c>
      <c r="C28" s="11" t="n">
        <f aca="false">$A$30-$A28</f>
        <v>2</v>
      </c>
      <c r="D28" s="51" t="n">
        <v>45180</v>
      </c>
      <c r="E28" s="51" t="n">
        <v>45181.2623032407</v>
      </c>
      <c r="F28" s="2" t="n">
        <v>91066.398</v>
      </c>
      <c r="G28" s="2" t="n">
        <v>91105.392</v>
      </c>
      <c r="H28" s="3" t="n">
        <v>38.995</v>
      </c>
      <c r="I28" s="13" t="n">
        <f aca="false">IF($H28&gt;0,($I27+$H28),"")</f>
        <v>1414.431</v>
      </c>
      <c r="J28" s="14" t="n">
        <f aca="false">IF($H28&gt;0,$I28/$A28,"")</f>
        <v>52.3863333333333</v>
      </c>
      <c r="K28" s="15" t="n">
        <f aca="false">IF($H28&lt;&gt;"",(($H28*$S$7)+($A28*$S$8))*(1+$S$9),"")</f>
        <v>10.1199649553226</v>
      </c>
      <c r="L28" s="16" t="n">
        <f aca="false">IF($K28&lt;&gt;"",($K28+$L27),"")</f>
        <v>274.859290928613</v>
      </c>
      <c r="M28" s="17" t="n">
        <f aca="false">IF($J28&lt;&gt;"",$J28*(LOOKUP(1E+307,$A:$A)-$A$2),"")</f>
        <v>1519.20366666667</v>
      </c>
      <c r="N28" s="17" t="n">
        <f aca="false">IF($M28&lt;&gt;"",IF($M28&gt;1000,(($M28*$S$7)+($A28*$S$8))*(1+$R$9)-100,($M28*$S$7)+($A28*$R$9)*(1+$R$9)),"")</f>
        <v>141.836624487605</v>
      </c>
      <c r="O28" s="18" t="str">
        <f aca="false">IF(I28&gt;=1000,"",(1000-I28))</f>
        <v/>
      </c>
      <c r="Q28" s="29"/>
    </row>
    <row r="29" customFormat="false" ht="15" hidden="false" customHeight="false" outlineLevel="0" collapsed="false">
      <c r="A29" s="11" t="n">
        <v>28</v>
      </c>
      <c r="B29" s="11" t="str">
        <f aca="false">TEXT($D29,"ddd")</f>
        <v>Tue</v>
      </c>
      <c r="C29" s="11" t="n">
        <f aca="false">$A$30-$A29</f>
        <v>1</v>
      </c>
      <c r="D29" s="51" t="n">
        <v>45181</v>
      </c>
      <c r="E29" s="51" t="n">
        <v>45182.2615046296</v>
      </c>
      <c r="F29" s="2" t="n">
        <v>91105.392</v>
      </c>
      <c r="G29" s="2" t="n">
        <v>91145.862</v>
      </c>
      <c r="H29" s="3" t="n">
        <v>40.469</v>
      </c>
      <c r="I29" s="13" t="n">
        <f aca="false">IF($H29&gt;0,($I28+$H29),"")</f>
        <v>1454.9</v>
      </c>
      <c r="J29" s="14" t="n">
        <f aca="false">IF($H29&gt;0,$I29/$A29,"")</f>
        <v>51.9607142857143</v>
      </c>
      <c r="K29" s="15" t="n">
        <f aca="false">IF($H29&lt;&gt;"",(($H29*$S$7)+($A29*$S$8))*(1+$S$9),"")</f>
        <v>10.4993390488065</v>
      </c>
      <c r="L29" s="16" t="n">
        <f aca="false">IF($K29&lt;&gt;"",($K29+$L28),"")</f>
        <v>285.358629977419</v>
      </c>
      <c r="M29" s="17" t="n">
        <f aca="false">IF($J29&lt;&gt;"",$J29*(LOOKUP(1E+307,$A:$A)-$A$2),"")</f>
        <v>1506.86071428571</v>
      </c>
      <c r="N29" s="17" t="n">
        <f aca="false">IF($M29&lt;&gt;"",IF($M29&gt;1000,(($M29*$S$7)+($A29*$S$8))*(1+$R$9)-100,($M29*$S$7)+($A29*$R$9)*(1+$R$9)),"")</f>
        <v>140.062510653399</v>
      </c>
      <c r="O29" s="18" t="str">
        <f aca="false">IF(I29&gt;=1000,"",(1000-I29))</f>
        <v/>
      </c>
    </row>
    <row r="30" customFormat="false" ht="15" hidden="false" customHeight="false" outlineLevel="0" collapsed="false">
      <c r="A30" s="11" t="n">
        <v>29</v>
      </c>
      <c r="B30" s="11" t="str">
        <f aca="false">TEXT($D30,"ddd")</f>
        <v>Wed</v>
      </c>
      <c r="C30" s="11" t="n">
        <f aca="false">$A$30-$A30</f>
        <v>0</v>
      </c>
      <c r="D30" s="51" t="n">
        <v>45182</v>
      </c>
      <c r="E30" s="51" t="n">
        <v>45183.2571643519</v>
      </c>
      <c r="F30" s="2" t="n">
        <v>91145.862</v>
      </c>
      <c r="G30" s="2" t="n">
        <v>91175.999</v>
      </c>
      <c r="H30" s="3" t="n">
        <v>30.14</v>
      </c>
      <c r="I30" s="13" t="n">
        <f aca="false">IF($H30&gt;0,($I29+$H30),"")</f>
        <v>1485.04</v>
      </c>
      <c r="J30" s="14" t="n">
        <f aca="false">IF($H30&gt;0,$I30/$A30,"")</f>
        <v>51.208275862069</v>
      </c>
      <c r="K30" s="15" t="n">
        <f aca="false">IF($H30&lt;&gt;"",(($H30*$S$7)+($A30*$S$8))*(1+$S$9),"")</f>
        <v>9.06878896064516</v>
      </c>
      <c r="L30" s="16" t="n">
        <f aca="false">IF($K30&lt;&gt;"",($K30+$L29),"")</f>
        <v>294.427418938065</v>
      </c>
      <c r="M30" s="17" t="n">
        <f aca="false">IF($J30&lt;&gt;"",$J30*(LOOKUP(1E+307,$A:$A)-$A$2),"")</f>
        <v>1485.04</v>
      </c>
      <c r="N30" s="17" t="n">
        <f aca="false">IF($M30&lt;&gt;"",IF($M30&gt;1000,(($M30*$S$7)+($A30*$S$8))*(1+$R$9)-100,($M30*$S$7)+($A30*$R$9)*(1+$R$9)),"")</f>
        <v>136.80601128606</v>
      </c>
      <c r="O30" s="18" t="str">
        <f aca="false">IF(I30&gt;=1000,"",(1000-I30))</f>
        <v/>
      </c>
    </row>
    <row r="31" customFormat="false" ht="15" hidden="false" customHeight="false" outlineLevel="0" collapsed="false">
      <c r="A31" s="11" t="n">
        <v>30</v>
      </c>
      <c r="B31" s="11"/>
      <c r="C31" s="11" t="n">
        <f aca="false">$A$30-$A31</f>
        <v>-1</v>
      </c>
      <c r="D31" s="51" t="n">
        <v>45183</v>
      </c>
      <c r="E31" s="51" t="n">
        <v>45184.256875</v>
      </c>
      <c r="F31" s="2" t="n">
        <v>91175.999</v>
      </c>
      <c r="G31" s="2" t="n">
        <v>91206.344</v>
      </c>
      <c r="H31" s="3" t="n">
        <v>30.343</v>
      </c>
      <c r="I31" s="13" t="n">
        <f aca="false">IF($H31&gt;0,($I30+$H31),"")</f>
        <v>1515.383</v>
      </c>
      <c r="J31" s="14" t="n">
        <f aca="false">IF($H31&gt;0,$I31/$A31,"")</f>
        <v>50.5127666666667</v>
      </c>
      <c r="K31" s="15" t="n">
        <f aca="false">IF($H31&lt;&gt;"",(($H31*$S$7)+($A31*$S$8))*(1+$S$9),"")</f>
        <v>9.25326229712903</v>
      </c>
      <c r="L31" s="16" t="n">
        <f aca="false">IF($K31&lt;&gt;"",($K31+$L30),"")</f>
        <v>303.680681235194</v>
      </c>
      <c r="M31" s="17" t="n">
        <f aca="false">IF($J31&lt;&gt;"",$J31*(LOOKUP(1E+307,$A:$A)-$A$2),"")</f>
        <v>1464.87023333333</v>
      </c>
      <c r="N31" s="17" t="n">
        <f aca="false">IF($M31&lt;&gt;"",IF($M31&gt;1000,(($M31*$S$7)+($A31*$S$8))*(1+$R$9)-100,($M31*$S$7)+($A31*$R$9)*(1+$R$9)),"")</f>
        <v>133.807731199921</v>
      </c>
      <c r="O31" s="18" t="str">
        <f aca="false">IF(I31&gt;=1000,"",(1000-I31))</f>
        <v/>
      </c>
    </row>
    <row r="32" customFormat="false" ht="15" hidden="false" customHeight="false" outlineLevel="0" collapsed="false">
      <c r="A32" s="11"/>
      <c r="B32" s="11"/>
      <c r="C32" s="11"/>
      <c r="H32" s="3" t="n">
        <f aca="false">SUM(H2:H37)</f>
        <v>4406.202</v>
      </c>
      <c r="I32" s="13" t="n">
        <f aca="false">IF($H32&gt;0,($I31+$H32),"")</f>
        <v>5921.585</v>
      </c>
      <c r="J32" s="14" t="e">
        <f aca="false">IF($H32&gt;0,$I32/$A32,"")</f>
        <v>#DIV/0!</v>
      </c>
      <c r="K32" s="15" t="n">
        <f aca="false">IF($H32&lt;&gt;"",(($H32*$S$7)+($A32*$S$8))*(1+$S$9),"")</f>
        <v>675.666487250129</v>
      </c>
      <c r="L32" s="16" t="n">
        <f aca="false">IF($K32&lt;&gt;"",($K32+$L31),"")</f>
        <v>979.347168485323</v>
      </c>
      <c r="M32" s="17" t="e">
        <f aca="false">IF($J32&lt;&gt;"",$J32*(LOOKUP(1E+307,$A:$A)-$A$2),"")</f>
        <v>#DIV/0!</v>
      </c>
      <c r="N32" s="17" t="e">
        <f aca="false">IF($M32&lt;&gt;"",IF($M32&gt;1000,(($M32*$S$7)+($A32*$S$8))*(1+$R$9)-100,($M32*$S$7)+($A32*$R$9)*(1+$R$9)),"")</f>
        <v>#DIV/0!</v>
      </c>
      <c r="O32" s="18" t="str">
        <f aca="false">IF(I32&gt;=1000,"",(1000-I32))</f>
        <v/>
      </c>
    </row>
    <row r="33" customFormat="false" ht="15" hidden="false" customHeight="false" outlineLevel="0" collapsed="false">
      <c r="A33" s="11"/>
      <c r="B33" s="11"/>
      <c r="C33" s="11"/>
      <c r="D33" s="1"/>
      <c r="E33" s="1"/>
      <c r="H33" s="3"/>
      <c r="I33" s="13" t="str">
        <f aca="false">IF($H33&gt;0,($I32+$H33),"")</f>
        <v/>
      </c>
      <c r="J33" s="14" t="str">
        <f aca="false">IF($H33&gt;0,$I33/$A33,"")</f>
        <v/>
      </c>
      <c r="K33" s="15" t="str">
        <f aca="false">IF($H33&lt;&gt;"",(($H33*$S$7)+($A33*$S$8))*(1+$S$9),"")</f>
        <v/>
      </c>
      <c r="L33" s="16" t="str">
        <f aca="false">IF($K33&lt;&gt;"",($K33+$L32),"")</f>
        <v/>
      </c>
      <c r="M33" s="17" t="str">
        <f aca="false">IF($J33&lt;&gt;"",$J33*(LOOKUP(1E+307,$A:$A)-$A$2),"")</f>
        <v/>
      </c>
      <c r="N33" s="17" t="str">
        <f aca="false">IF($M33&lt;&gt;"",IF($M33&gt;1000,(($M33*$S$7)+($A33*$S$8))*(1+$R$9)-100,($M33*$S$7)+($A33*$R$9)*(1+$R$9)),"")</f>
        <v/>
      </c>
      <c r="O33" s="18" t="str">
        <f aca="false">IF(I33&gt;=1000,"",(1000-I33))</f>
        <v/>
      </c>
    </row>
    <row r="34" customFormat="false" ht="15" hidden="false" customHeight="false" outlineLevel="0" collapsed="false">
      <c r="A34" s="11"/>
      <c r="B34" s="11"/>
      <c r="C34" s="11"/>
      <c r="I34" s="66"/>
      <c r="J34" s="45"/>
      <c r="K34" s="27"/>
      <c r="L34" s="66"/>
      <c r="M34" s="66"/>
      <c r="N34" s="45"/>
      <c r="O34" s="66"/>
      <c r="P34" s="45"/>
    </row>
    <row r="35" customFormat="false" ht="15" hidden="false" customHeight="false" outlineLevel="0" collapsed="false">
      <c r="I35" s="46"/>
      <c r="K35" s="47"/>
      <c r="L35" s="2"/>
      <c r="M35" s="2"/>
    </row>
    <row r="36" customFormat="false" ht="15" hidden="false" customHeight="false" outlineLevel="0" collapsed="false">
      <c r="L36" s="2"/>
      <c r="M36" s="2"/>
    </row>
  </sheetData>
  <conditionalFormatting sqref="A1:I1 K1:O1">
    <cfRule type="expression" priority="2" aboveAverage="0" equalAverage="0" bottom="0" percent="0" rank="0" text="" dxfId="18">
      <formula>" =CELL(“Protect”,A1)=1"</formula>
    </cfRule>
    <cfRule type="expression" priority="3" aboveAverage="0" equalAverage="0" bottom="0" percent="0" rank="0" text="" dxfId="1">
      <formula>" =CELL(“Protect”,A1)=1"</formula>
    </cfRule>
  </conditionalFormatting>
  <conditionalFormatting sqref="Q2:Q19">
    <cfRule type="expression" priority="4" aboveAverage="0" equalAverage="0" bottom="0" percent="0" rank="0" text="" dxfId="19">
      <formula>" =CELL(“Protect”,A1)=1"</formula>
    </cfRule>
    <cfRule type="expression" priority="5" aboveAverage="0" equalAverage="0" bottom="0" percent="0" rank="0" text="" dxfId="1">
      <formula>" =CELL(“Protect”,A1)=1"</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8.453125" defaultRowHeight="15" zeroHeight="false" outlineLevelRow="0" outlineLevelCol="0"/>
  <sheetData>
    <row r="1" customFormat="false" ht="15" hidden="false" customHeight="false" outlineLevel="0" collapsed="false">
      <c r="B1" s="43" t="s">
        <v>64</v>
      </c>
      <c r="C1" s="43" t="s">
        <v>65</v>
      </c>
      <c r="D1" s="43" t="s">
        <v>66</v>
      </c>
      <c r="E1" s="43" t="s">
        <v>67</v>
      </c>
      <c r="F1" s="43" t="s">
        <v>68</v>
      </c>
      <c r="G1" s="43" t="s">
        <v>69</v>
      </c>
      <c r="H1" s="43" t="s">
        <v>70</v>
      </c>
      <c r="I1" s="43" t="s">
        <v>71</v>
      </c>
      <c r="J1" s="43" t="s">
        <v>72</v>
      </c>
      <c r="K1" s="43" t="s">
        <v>73</v>
      </c>
      <c r="L1" s="43" t="s">
        <v>74</v>
      </c>
      <c r="M1" s="43" t="s">
        <v>75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2021-10-25T18:29:45Z</dcterms:created>
  <dc:creator>RH Hutchins</dc:creator>
  <dc:description/>
  <dc:language>en-US</dc:language>
  <cp:lastModifiedBy/>
  <cp:lastPrinted>2022-08-16T01:37:09Z</cp:lastPrinted>
  <dcterms:modified xsi:type="dcterms:W3CDTF">2024-04-01T11:54:28Z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