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Proforma" sheetId="2" state="visible" r:id="rId4"/>
    <sheet name="UCost Final" sheetId="3" state="visible" r:id="rId5"/>
    <sheet name="Comps" sheetId="4" state="visible" r:id="rId6"/>
    <sheet name="Project Schedule" sheetId="5" state="visible" r:id="rId7"/>
    <sheet name="Initial Mix" sheetId="6" state="hidden" r:id="rId8"/>
  </sheets>
  <definedNames>
    <definedName function="false" hidden="false" localSheetId="3" name="_xlnm.Print_Area" vbProcedure="false">Comps!$A$5:$AL$13</definedName>
    <definedName function="false" hidden="false" localSheetId="5" name="_xlnm.Print_Area" vbProcedure="false">'Initial Mix'!$P$9:$AD$88</definedName>
    <definedName function="false" hidden="false" localSheetId="5" name="_xlnm.Print_Titles" vbProcedure="false">'Initial Mix'!$B:$B,'Initial Mix'!$5:$8</definedName>
    <definedName function="false" hidden="false" localSheetId="1" name="_xlnm.Print_Area" vbProcedure="false">Proforma!$H$15:$S$43</definedName>
    <definedName function="false" hidden="false" localSheetId="1" name="_xlnm.Print_Titles" vbProcedure="false">Proforma!$B:$B,Proforma!$5:$14</definedName>
    <definedName function="false" hidden="false" localSheetId="4" name="_xlnm.Print_Titles" vbProcedure="false">'Project Schedule'!$A:$B,'Project Schedule'!$4:$4</definedName>
    <definedName function="false" hidden="false" localSheetId="0" name="_xlnm.Print_Area" vbProcedure="false">Summary!$B$3:$H$52</definedName>
    <definedName function="false" hidden="false" localSheetId="0" name="_xlnm.Print_Titles" vbProcedure="false">Summary!$1:$2</definedName>
    <definedName function="false" hidden="false" localSheetId="2" name="_xlnm.Print_Area" vbProcedure="false">'UCost Final'!$M$146:$W$176</definedName>
    <definedName function="false" hidden="false" localSheetId="2" name="_xlnm.Print_Titles" vbProcedure="false">'UCost Final'!$B:$B,'UCost Final'!$7:$13</definedName>
    <definedName function="false" hidden="false" name="Adj2B" vbProcedure="false">'UCost Final'!$W$2</definedName>
    <definedName function="false" hidden="false" name="ADj3B" vbProcedure="false">'UCost Final'!$W$3</definedName>
    <definedName function="false" hidden="false" name="Cap10" vbProcedure="false">#REF!</definedName>
    <definedName function="false" hidden="false" name="Cap11" vbProcedure="false">#REF!</definedName>
    <definedName function="false" hidden="false" name="CapRate" vbProcedure="false">Proforma!$C$45</definedName>
    <definedName function="false" hidden="false" name="CMF" vbProcedure="false">'Initial Mix'!$P$1</definedName>
    <definedName function="false" hidden="false" name="ConstProfit" vbProcedure="false">'UCost Final'!$S$131</definedName>
    <definedName function="false" hidden="false" name="constprofit2B" vbProcedure="false">'UCost Final'!$N$131</definedName>
    <definedName function="false" hidden="false" name="constprofit3B" vbProcedure="false">'UCost Final'!$Q$131</definedName>
    <definedName function="false" hidden="false" name="Const_Profit" vbProcedure="false">'UCost Final'!$L$2</definedName>
    <definedName function="false" hidden="false" name="CTime" vbProcedure="false">#REF!</definedName>
    <definedName function="false" hidden="false" name="Four_Bedroom_Rate" vbProcedure="false">#REF!</definedName>
    <definedName function="false" hidden="false" name="Garage_Rate" vbProcedure="false">Proforma!$C$4</definedName>
    <definedName function="false" hidden="false" name="Interim_Int_Rate" vbProcedure="false">'UCost Final'!$D$139</definedName>
    <definedName function="false" hidden="false" name="Internet" vbProcedure="false">Proforma!$C$1</definedName>
    <definedName function="false" hidden="false" name="INVESTOR_SHARE___50" vbProcedure="false">Summary!$C$9</definedName>
    <definedName function="false" hidden="false" name="InvShare" vbProcedure="false">Summary!$C$9</definedName>
    <definedName function="false" hidden="false" name="Land" vbProcedure="false">'UCost Final'!$S$154</definedName>
    <definedName function="false" hidden="false" name="LandscapeArea" vbProcedure="false">'UCost Final'!$O$2</definedName>
    <definedName function="false" hidden="false" name="LoanPerU" vbProcedure="false">'Project Schedule'!$B$65</definedName>
    <definedName function="false" hidden="false" name="LTC" vbProcedure="false">#REF!</definedName>
    <definedName function="false" hidden="false" name="ltc85" vbProcedure="false">#REF!</definedName>
    <definedName function="false" hidden="false" name="LTC90" vbProcedure="false">#REF!</definedName>
    <definedName function="false" hidden="false" name="LTV" vbProcedure="false">Proforma!$D$47</definedName>
    <definedName function="false" hidden="false" name="MgrOffFirstFlr" vbProcedure="false">'UCost Final'!$Q$3</definedName>
    <definedName function="false" hidden="false" name="MonthlyNOI" vbProcedure="false">Proforma!$Q$36</definedName>
    <definedName function="false" hidden="false" name="Mortg2002" vbProcedure="false">Proforma!$F$79</definedName>
    <definedName function="false" hidden="false" name="MortgageLoan" vbProcedure="false">Proforma!$Q$50</definedName>
    <definedName function="false" hidden="false" name="MortgagePmt" vbProcedure="false">Proforma!$Q$39</definedName>
    <definedName function="false" hidden="false" name="MortPts" vbProcedure="false">'UCost Final'!$D$140</definedName>
    <definedName function="false" hidden="false" name="MortRate" vbProcedure="false">Proforma!$D$39</definedName>
    <definedName function="false" hidden="false" name="NetCash" vbProcedure="false">Proforma!$P$40</definedName>
    <definedName function="false" hidden="false" name="NOI" vbProcedure="false">Proforma!$P$36</definedName>
    <definedName function="false" hidden="false" name="One_Bedroom_Rate" vbProcedure="false">#REF!</definedName>
    <definedName function="false" hidden="false" name="Pool" vbProcedure="false">'UCost Final'!$N$3</definedName>
    <definedName function="false" hidden="false" name="Project_Value" vbProcedure="false">Proforma!$V$45</definedName>
    <definedName function="false" hidden="false" name="SM134Units" vbProcedure="false">'Initial Mix'!$AB$7</definedName>
    <definedName function="false" hidden="false" name="Term" vbProcedure="false">Proforma!$D$38</definedName>
    <definedName function="false" hidden="false" name="ThreeBdrm_First_Flr" vbProcedure="false">'UCost Final'!$Q$2</definedName>
    <definedName function="false" hidden="false" name="Three_Bedroom_Rate" vbProcedure="false">Proforma!$C$3</definedName>
    <definedName function="false" hidden="false" name="TotalCost" vbProcedure="false">'UCost Final'!$S$143</definedName>
    <definedName function="false" hidden="false" name="TotalCProfit" vbProcedure="false">'UCost Final'!$S$163</definedName>
    <definedName function="false" hidden="false" name="TotalDirectCost" vbProcedure="false">'UCost Final'!$S$132</definedName>
    <definedName function="false" hidden="false" name="TotalSF" vbProcedure="false">Proforma!$Q$9</definedName>
    <definedName function="false" hidden="false" name="TotalValue" vbProcedure="false">'UCost Final'!$S$171</definedName>
    <definedName function="false" hidden="false" name="TRUnits" vbProcedure="false">'Initial Mix'!$L$2</definedName>
    <definedName function="false" hidden="false" name="TUnits" vbProcedure="false">Proforma!$Q$12</definedName>
    <definedName function="false" hidden="false" name="TwoBdrm_First_Flr" vbProcedure="false">'UCost Final'!$Q$1</definedName>
    <definedName function="false" hidden="false" name="Two_Bedroom_Rate" vbProcedure="false">Proforma!$C$2</definedName>
    <definedName function="false" hidden="false" name="Vollyball___Basketball" vbProcedure="false">'UCost Final'!$N$4</definedName>
    <definedName function="false" hidden="false" name="Vollybasketball" vbProcedure="false">'UCost Final'!$N$4</definedName>
    <definedName function="false" hidden="false" name="_3BGarage" vbProcedure="false">'UCost Final'!$W$1</definedName>
    <definedName function="false" hidden="false" localSheetId="2" name="CMF" vbProcedure="false">'UCost Final'!$J$1</definedName>
    <definedName function="false" hidden="false" localSheetId="2" name="SM134Units" vbProcedure="false">'UCost Final'!$D$13</definedName>
    <definedName function="false" hidden="false" localSheetId="2" name="TRUnits" vbProcedure="false">'UCost Final'!$J$2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27" authorId="0">
      <text>
        <r>
          <rPr>
            <b val="true"/>
            <sz val="8"/>
            <color rgb="FF000000"/>
            <rFont val="Tahoma"/>
            <family val="0"/>
          </rPr>
          <t xml:space="preserve">Gwr: 598sf office + 598 sf fitness @ $0.10 psf+ $150/mo for the pool+$250/mo for exterior lighting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89</xdr:colOff>
                <xdr:row>28</xdr:row>
                <xdr:rowOff>1</xdr:rowOff>
              </xdr:from>
              <xdr:to>
                <xdr:col>5</xdr:col>
                <xdr:colOff>54</xdr:colOff>
                <xdr:row>32</xdr:row>
                <xdr:rowOff>3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R11" authorId="0">
      <text>
        <r>
          <rPr>
            <b val="true"/>
            <sz val="8"/>
            <color rgb="FF000000"/>
            <rFont val="Tahoma"/>
            <family val="0"/>
          </rPr>
          <t xml:space="preserve">280SF  garage &amp; 13 sf porch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44</xdr:colOff>
                <xdr:row>9</xdr:row>
                <xdr:rowOff>14</xdr:rowOff>
              </xdr:from>
              <xdr:to>
                <xdr:col>7</xdr:col>
                <xdr:colOff>64</xdr:colOff>
                <xdr:row>13</xdr:row>
                <xdr:rowOff>6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<sst xmlns="http://schemas.openxmlformats.org/spreadsheetml/2006/main" count="1573" uniqueCount="586">
  <si>
    <t xml:space="preserve">Category</t>
  </si>
  <si>
    <t xml:space="preserve">Rates</t>
  </si>
  <si>
    <t xml:space="preserve">Amounts</t>
  </si>
  <si>
    <t xml:space="preserve">% Value</t>
  </si>
  <si>
    <t xml:space="preserve">% Cost</t>
  </si>
  <si>
    <t xml:space="preserve">Per Unit </t>
  </si>
  <si>
    <t xml:space="preserve">Per SF</t>
  </si>
  <si>
    <t xml:space="preserve">TOTAL VALUE</t>
  </si>
  <si>
    <t xml:space="preserve">10% Cap</t>
  </si>
  <si>
    <t xml:space="preserve">TOTAL ANNUAL NOI</t>
  </si>
  <si>
    <t xml:space="preserve">ANNUAL MORTGAGE COST</t>
  </si>
  <si>
    <t xml:space="preserve">NET ANNUAL CASH </t>
  </si>
  <si>
    <t xml:space="preserve">INVESTOR SHARE</t>
  </si>
  <si>
    <t xml:space="preserve">PERMANENT LOAN</t>
  </si>
  <si>
    <t xml:space="preserve">Construction Cost</t>
  </si>
  <si>
    <t xml:space="preserve">Construction Profit</t>
  </si>
  <si>
    <t xml:space="preserve">TOTAL COST</t>
  </si>
  <si>
    <t xml:space="preserve">TOTAL PERMANENT LOAN EQUITY</t>
  </si>
  <si>
    <t xml:space="preserve">ANNUAL RETURN ON EQUITY</t>
  </si>
  <si>
    <t xml:space="preserve">INTERIM LOAN</t>
  </si>
  <si>
    <t xml:space="preserve">No Forward Commitment</t>
  </si>
  <si>
    <t xml:space="preserve">Total Cost to Lender</t>
  </si>
  <si>
    <t xml:space="preserve">Interim Loan</t>
  </si>
  <si>
    <t xml:space="preserve">Equity Required With No Forward Commitment</t>
  </si>
  <si>
    <t xml:space="preserve">Less Construction Profit -To Lender</t>
  </si>
  <si>
    <t xml:space="preserve">EXPECTED LOAN EQUITY</t>
  </si>
  <si>
    <t xml:space="preserve">MAXIMUM LOAN EQUITY</t>
  </si>
  <si>
    <t xml:space="preserve">With Forward Commitment</t>
  </si>
  <si>
    <t xml:space="preserve">Equity Required</t>
  </si>
  <si>
    <t xml:space="preserve">NET CASH LOAN EQUITY</t>
  </si>
  <si>
    <t xml:space="preserve">KEY ELEMENTS:</t>
  </si>
  <si>
    <t xml:space="preserve">Bank One has stated that they will apply all reasonable construction profit to the interim loan equity.  They have also stated that 25% is typical for a for build to suit, therefore, we have used it here, but it could be reduced to !5-22%.</t>
  </si>
  <si>
    <t xml:space="preserve">Maximum Loan Equity Reflects the MINIMUM Construction Profit of 15%</t>
  </si>
  <si>
    <t xml:space="preserve">Interim Interest:  8.75% rate, with 75% avg. balance and 9 month term</t>
  </si>
  <si>
    <t xml:space="preserve">Origination Points - 1.0% of Loan, Closing Costs - 0.25% of Loan</t>
  </si>
  <si>
    <t xml:space="preserve">Forward Commitment Fee Permanent Loan - 1.25% - Included in total cost for that option.</t>
  </si>
  <si>
    <t xml:space="preserve">134 Units Including 1 manager's unit</t>
  </si>
  <si>
    <t xml:space="preserve">2Bedroom 2.5 Bath, Townhome with covered parking &amp; 1,000 SF for $1180</t>
  </si>
  <si>
    <t xml:space="preserve">3 Bedroom 3.5 Bath, Townhome with Garage and 1,200 SF for $1530</t>
  </si>
  <si>
    <t xml:space="preserve">Lease Up:  3-6 months Maximum</t>
  </si>
  <si>
    <r>
      <rPr>
        <u val="single"/>
        <sz val="9"/>
        <rFont val="Times New Roman Condensed"/>
        <family val="0"/>
      </rPr>
      <t xml:space="preserve">Amenities</t>
    </r>
    <r>
      <rPr>
        <sz val="9"/>
        <rFont val="Times New Roman Condensed"/>
        <family val="0"/>
      </rPr>
      <t xml:space="preserve">:  Pool, Cabana, BBQ, Volleyball, Basketball, Business Center, Vending Machines, Fitness Center, Full Perimeter Fence, Security Gates, Pre-Wired For Unit Security, Free Cable Tv, Free High Speed Internet, Oversized Units, Low Density And Townhome Unit Design.</t>
    </r>
  </si>
  <si>
    <t xml:space="preserve">Internet</t>
  </si>
  <si>
    <t xml:space="preserve">Two Bedroom Rate</t>
  </si>
  <si>
    <t xml:space="preserve">Three Bedroom Rate</t>
  </si>
  <si>
    <t xml:space="preserve">Garage Rate</t>
  </si>
  <si>
    <t xml:space="preserve">CATEGORIES</t>
  </si>
  <si>
    <t xml:space="preserve">PLAN 1016</t>
  </si>
  <si>
    <t xml:space="preserve">PLAN 1213</t>
  </si>
  <si>
    <t xml:space="preserve">PROJECT TOTAL</t>
  </si>
  <si>
    <t xml:space="preserve">Annual </t>
  </si>
  <si>
    <t xml:space="preserve">Monthly</t>
  </si>
  <si>
    <t xml:space="preserve">Per Unit</t>
  </si>
  <si>
    <t xml:space="preserve">Avg /Unit</t>
  </si>
  <si>
    <t xml:space="preserve">Avg /SF</t>
  </si>
  <si>
    <t xml:space="preserve">% Dist</t>
  </si>
  <si>
    <t xml:space="preserve">TOTAL</t>
  </si>
  <si>
    <t xml:space="preserve">PER UNIT</t>
  </si>
  <si>
    <t xml:space="preserve">% INCOME</t>
  </si>
  <si>
    <t xml:space="preserve">Total</t>
  </si>
  <si>
    <t xml:space="preserve">Per Month</t>
  </si>
  <si>
    <t xml:space="preserve">Rental Sq. Ft</t>
  </si>
  <si>
    <t xml:space="preserve">Stories/Garages</t>
  </si>
  <si>
    <t xml:space="preserve">2 / 0</t>
  </si>
  <si>
    <t xml:space="preserve">2 / 1.5</t>
  </si>
  <si>
    <t xml:space="preserve">Unit Width</t>
  </si>
  <si>
    <t xml:space="preserve">LF</t>
  </si>
  <si>
    <t xml:space="preserve">Mix - Units</t>
  </si>
  <si>
    <t xml:space="preserve">Mix - %</t>
  </si>
  <si>
    <t xml:space="preserve">Including Manager's Unit</t>
  </si>
  <si>
    <t xml:space="preserve">INCOME:</t>
  </si>
  <si>
    <t xml:space="preserve">Rental Income</t>
  </si>
  <si>
    <t xml:space="preserve">Vacancy Allowance-5%</t>
  </si>
  <si>
    <t xml:space="preserve">Security Deposit Forfeit</t>
  </si>
  <si>
    <t xml:space="preserve">Misc. Income:  Vending Machines</t>
  </si>
  <si>
    <t xml:space="preserve">TOTAL INCOME:</t>
  </si>
  <si>
    <t xml:space="preserve">EXPENSES:</t>
  </si>
  <si>
    <t xml:space="preserve">Management Fee - 5% Total Income</t>
  </si>
  <si>
    <t xml:space="preserve">Unit Maintenance</t>
  </si>
  <si>
    <t xml:space="preserve">250/YR/Unit</t>
  </si>
  <si>
    <t xml:space="preserve">Grounds Maintenance</t>
  </si>
  <si>
    <t xml:space="preserve">Cable TV &amp; T-1</t>
  </si>
  <si>
    <t xml:space="preserve">CATV $13+$10 T-1</t>
  </si>
  <si>
    <t xml:space="preserve">    Utilities</t>
  </si>
  <si>
    <t xml:space="preserve">    Advertising/Promotion</t>
  </si>
  <si>
    <t xml:space="preserve">300/YR</t>
  </si>
  <si>
    <t xml:space="preserve">Property Taxes</t>
  </si>
  <si>
    <t xml:space="preserve">Property Insurance</t>
  </si>
  <si>
    <t xml:space="preserve">Liability Insurance</t>
  </si>
  <si>
    <t xml:space="preserve">Legal</t>
  </si>
  <si>
    <t xml:space="preserve">Rental Commissions</t>
  </si>
  <si>
    <t xml:space="preserve">TOTAL OPERATING EXPENSES:</t>
  </si>
  <si>
    <t xml:space="preserve">MONTHLY NOI:</t>
  </si>
  <si>
    <t xml:space="preserve">Replacement Reserve $350/u/y</t>
  </si>
  <si>
    <t xml:space="preserve">Term</t>
  </si>
  <si>
    <t xml:space="preserve">Mortgage: 30Y, 7.5%, 80% Value</t>
  </si>
  <si>
    <t xml:space="preserve">MortRate</t>
  </si>
  <si>
    <t xml:space="preserve">MONTHLY NET CASH INCOME:</t>
  </si>
  <si>
    <t xml:space="preserve">COVERAGE RATIO: NOI/MORTGAGE</t>
  </si>
  <si>
    <t xml:space="preserve">VALUE @ 10% CAP RATE</t>
  </si>
  <si>
    <t xml:space="preserve">MORTGAGE LOAN @ 80%LTV</t>
  </si>
  <si>
    <t xml:space="preserve">LTV</t>
  </si>
  <si>
    <t xml:space="preserve">VALUE @ 9.5% CAP RATE</t>
  </si>
  <si>
    <t xml:space="preserve">MAI Appraisal- 134 Units</t>
  </si>
  <si>
    <t xml:space="preserve">VALUE @ 10.5% CAP RATE</t>
  </si>
  <si>
    <t xml:space="preserve">Cash Flow Analysis</t>
  </si>
  <si>
    <t xml:space="preserve">Total Cost in Loan Pkg</t>
  </si>
  <si>
    <t xml:space="preserve">Max Loan 80% LTC</t>
  </si>
  <si>
    <t xml:space="preserve">Min. Loan 75% LTC</t>
  </si>
  <si>
    <t xml:space="preserve">Equity</t>
  </si>
  <si>
    <t xml:space="preserve">Total at 80% LTC</t>
  </si>
  <si>
    <t xml:space="preserve">Less EST Const Profit Allowance 10% Cost</t>
  </si>
  <si>
    <t xml:space="preserve">Net Cash Equity</t>
  </si>
  <si>
    <t xml:space="preserve">Less Land</t>
  </si>
  <si>
    <t xml:space="preserve">Net Additional Cash</t>
  </si>
  <si>
    <t xml:space="preserve">True Cost</t>
  </si>
  <si>
    <t xml:space="preserve">less Cash equity</t>
  </si>
  <si>
    <t xml:space="preserve">Cash over Cost in Base Loan</t>
  </si>
  <si>
    <t xml:space="preserve">Total at 75% LTC</t>
  </si>
  <si>
    <t xml:space="preserve">Less EST Const Profit Allowed</t>
  </si>
  <si>
    <t xml:space="preserve">Mortage</t>
  </si>
  <si>
    <t xml:space="preserve">Less 2% Cost of Loan</t>
  </si>
  <si>
    <t xml:space="preserve">Limit-90% LTC</t>
  </si>
  <si>
    <t xml:space="preserve">Less Construction Loan-80% LTC</t>
  </si>
  <si>
    <t xml:space="preserve">Net Cash at Permanent</t>
  </si>
  <si>
    <t xml:space="preserve">Less ROE</t>
  </si>
  <si>
    <t xml:space="preserve">Bal Due CSB</t>
  </si>
  <si>
    <t xml:space="preserve">Years to Pay Off</t>
  </si>
  <si>
    <t xml:space="preserve">Alternate CSB</t>
  </si>
  <si>
    <t xml:space="preserve">CMF 8%</t>
  </si>
  <si>
    <t xml:space="preserve">Construction Management Fee</t>
  </si>
  <si>
    <t xml:space="preserve">SM134Units</t>
  </si>
  <si>
    <t xml:space="preserve">Perimeter Lndscp</t>
  </si>
  <si>
    <t xml:space="preserve">TwoBdrm First Flr</t>
  </si>
  <si>
    <t xml:space="preserve">3BGarage</t>
  </si>
  <si>
    <t xml:space="preserve">Total Rental Units</t>
  </si>
  <si>
    <t xml:space="preserve">Const Profit</t>
  </si>
  <si>
    <t xml:space="preserve">Int. Courtyard</t>
  </si>
  <si>
    <t xml:space="preserve">ThreeBdrm First Flr</t>
  </si>
  <si>
    <t xml:space="preserve">Adj2B</t>
  </si>
  <si>
    <t xml:space="preserve">FAB L#</t>
  </si>
  <si>
    <t xml:space="preserve">Construction Sequence</t>
  </si>
  <si>
    <t xml:space="preserve">Phase Totals</t>
  </si>
  <si>
    <t xml:space="preserve">Pool</t>
  </si>
  <si>
    <t xml:space="preserve">MgrOffFirstFlr</t>
  </si>
  <si>
    <t xml:space="preserve">ADj3B</t>
  </si>
  <si>
    <t xml:space="preserve">Vollyball &amp; Basketball</t>
  </si>
  <si>
    <t xml:space="preserve">Mgr's Unit, Office &amp; Tech Center</t>
  </si>
  <si>
    <t xml:space="preserve">PROJECT TOTALS</t>
  </si>
  <si>
    <t xml:space="preserve">Month.Week</t>
  </si>
  <si>
    <t xml:space="preserve">Description</t>
  </si>
  <si>
    <t xml:space="preserve">Totals</t>
  </si>
  <si>
    <t xml:space="preserve">/Rental Unit</t>
  </si>
  <si>
    <t xml:space="preserve">/Rental SF</t>
  </si>
  <si>
    <t xml:space="preserve">MONTH</t>
  </si>
  <si>
    <t xml:space="preserve">TOTAL LOAN</t>
  </si>
  <si>
    <t xml:space="preserve">LTC</t>
  </si>
  <si>
    <t xml:space="preserve">MIX  Rentable Units</t>
  </si>
  <si>
    <t xml:space="preserve">MONTH NUMBER</t>
  </si>
  <si>
    <t xml:space="preserve">MIX  All Units</t>
  </si>
  <si>
    <t xml:space="preserve">MIX - %</t>
  </si>
  <si>
    <t xml:space="preserve">Heated/Total SF</t>
  </si>
  <si>
    <t xml:space="preserve">Baths/Stories/Garages</t>
  </si>
  <si>
    <t xml:space="preserve">2.5/2/0</t>
  </si>
  <si>
    <t xml:space="preserve">3.5/2/1.5</t>
  </si>
  <si>
    <t xml:space="preserve">SM134Units=</t>
  </si>
  <si>
    <t xml:space="preserve">L#1</t>
  </si>
  <si>
    <t xml:space="preserve">Permits</t>
  </si>
  <si>
    <t xml:space="preserve">SF</t>
  </si>
  <si>
    <t xml:space="preserve">L#2</t>
  </si>
  <si>
    <t xml:space="preserve">Architecture </t>
  </si>
  <si>
    <t xml:space="preserve">Foundation Design</t>
  </si>
  <si>
    <t xml:space="preserve">L#35</t>
  </si>
  <si>
    <t xml:space="preserve">Builder's Risk</t>
  </si>
  <si>
    <t xml:space="preserve">SF/YR</t>
  </si>
  <si>
    <t xml:space="preserve">L#4</t>
  </si>
  <si>
    <t xml:space="preserve">Temp Electic &amp; Utilities</t>
  </si>
  <si>
    <t xml:space="preserve">Unit</t>
  </si>
  <si>
    <t xml:space="preserve">Sitework</t>
  </si>
  <si>
    <t xml:space="preserve">FOUNDATION</t>
  </si>
  <si>
    <t xml:space="preserve">L#5</t>
  </si>
  <si>
    <t xml:space="preserve">Setup</t>
  </si>
  <si>
    <t xml:space="preserve">XX</t>
  </si>
  <si>
    <t xml:space="preserve">YY</t>
  </si>
  <si>
    <t xml:space="preserve">ZZ</t>
  </si>
  <si>
    <t xml:space="preserve">AA</t>
  </si>
  <si>
    <t xml:space="preserve">BB</t>
  </si>
  <si>
    <t xml:space="preserve">CC</t>
  </si>
  <si>
    <t xml:space="preserve">DD</t>
  </si>
  <si>
    <t xml:space="preserve">EE</t>
  </si>
  <si>
    <t xml:space="preserve">Concrete</t>
  </si>
  <si>
    <t xml:space="preserve">Finish</t>
  </si>
  <si>
    <t xml:space="preserve">PLUMBING</t>
  </si>
  <si>
    <t xml:space="preserve">L#6</t>
  </si>
  <si>
    <t xml:space="preserve">Rough</t>
  </si>
  <si>
    <t xml:space="preserve">L#17</t>
  </si>
  <si>
    <t xml:space="preserve">Top Out</t>
  </si>
  <si>
    <t xml:space="preserve">Set Out</t>
  </si>
  <si>
    <t xml:space="preserve">FRAMING LABOR</t>
  </si>
  <si>
    <t xml:space="preserve">L#7</t>
  </si>
  <si>
    <t xml:space="preserve">1st Floor Walls</t>
  </si>
  <si>
    <t xml:space="preserve">2nd Floor Walls</t>
  </si>
  <si>
    <t xml:space="preserve">Roof-Decking-Subfascia</t>
  </si>
  <si>
    <t xml:space="preserve">L#9</t>
  </si>
  <si>
    <t xml:space="preserve">Cornice</t>
  </si>
  <si>
    <t xml:space="preserve">FRAMING MATERIALS</t>
  </si>
  <si>
    <t xml:space="preserve">Trusses - Roof</t>
  </si>
  <si>
    <t xml:space="preserve">Floor Joists</t>
  </si>
  <si>
    <t xml:space="preserve">1st Floor Material</t>
  </si>
  <si>
    <t xml:space="preserve">2nd Floor Materials</t>
  </si>
  <si>
    <t xml:space="preserve">Roof System Materials</t>
  </si>
  <si>
    <t xml:space="preserve">Cornice Materials</t>
  </si>
  <si>
    <t xml:space="preserve">L#10</t>
  </si>
  <si>
    <t xml:space="preserve">Windows</t>
  </si>
  <si>
    <t xml:space="preserve">LS</t>
  </si>
  <si>
    <t xml:space="preserve">Exterior Doors</t>
  </si>
  <si>
    <t xml:space="preserve">MASONRY/SIDING</t>
  </si>
  <si>
    <t xml:space="preserve">Assume Stone &amp; Stucco Same Price.</t>
  </si>
  <si>
    <t xml:space="preserve">L#18</t>
  </si>
  <si>
    <t xml:space="preserve">Materials</t>
  </si>
  <si>
    <t xml:space="preserve">Labor</t>
  </si>
  <si>
    <t xml:space="preserve">ROOFING</t>
  </si>
  <si>
    <t xml:space="preserve">L#8</t>
  </si>
  <si>
    <t xml:space="preserve">SQ</t>
  </si>
  <si>
    <t xml:space="preserve">ELECTRIC</t>
  </si>
  <si>
    <t xml:space="preserve">L#12</t>
  </si>
  <si>
    <t xml:space="preserve">Temp Set</t>
  </si>
  <si>
    <t xml:space="preserve">L#36</t>
  </si>
  <si>
    <t xml:space="preserve">Trim</t>
  </si>
  <si>
    <t xml:space="preserve">PREWIRE</t>
  </si>
  <si>
    <t xml:space="preserve">HVAC</t>
  </si>
  <si>
    <t xml:space="preserve">L#13</t>
  </si>
  <si>
    <t xml:space="preserve">L#14</t>
  </si>
  <si>
    <t xml:space="preserve">Set</t>
  </si>
  <si>
    <t xml:space="preserve">L#15&amp;16</t>
  </si>
  <si>
    <t xml:space="preserve">INSULATION</t>
  </si>
  <si>
    <t xml:space="preserve">L#20</t>
  </si>
  <si>
    <t xml:space="preserve">SHEETROCK</t>
  </si>
  <si>
    <t xml:space="preserve">Stock</t>
  </si>
  <si>
    <t xml:space="preserve">Hang, Tape, Float &amp; Texture</t>
  </si>
  <si>
    <t xml:space="preserve">L#21</t>
  </si>
  <si>
    <t xml:space="preserve">GARAGE DOORS</t>
  </si>
  <si>
    <t xml:space="preserve">Door</t>
  </si>
  <si>
    <t xml:space="preserve">Mgr. &amp; 3B</t>
  </si>
  <si>
    <t xml:space="preserve">COVERED PARKING</t>
  </si>
  <si>
    <t xml:space="preserve">Optional</t>
  </si>
  <si>
    <t xml:space="preserve">INTERIOR TRIM</t>
  </si>
  <si>
    <t xml:space="preserve">Doors</t>
  </si>
  <si>
    <t xml:space="preserve">Millwork</t>
  </si>
  <si>
    <t xml:space="preserve">PAINT</t>
  </si>
  <si>
    <t xml:space="preserve">L#11</t>
  </si>
  <si>
    <t xml:space="preserve">Exterior</t>
  </si>
  <si>
    <t xml:space="preserve">CSF</t>
  </si>
  <si>
    <t xml:space="preserve">L#24</t>
  </si>
  <si>
    <t xml:space="preserve">Interior Trim</t>
  </si>
  <si>
    <t xml:space="preserve">Touch Up</t>
  </si>
  <si>
    <t xml:space="preserve">FINISH ITEMS</t>
  </si>
  <si>
    <t xml:space="preserve">L#22</t>
  </si>
  <si>
    <t xml:space="preserve">Cabinets</t>
  </si>
  <si>
    <t xml:space="preserve">Countertops</t>
  </si>
  <si>
    <t xml:space="preserve">L#29</t>
  </si>
  <si>
    <t xml:space="preserve">Hardware With VING Card)</t>
  </si>
  <si>
    <t xml:space="preserve">$0.35+$200 for VinCard</t>
  </si>
  <si>
    <t xml:space="preserve">Electrical Fixtures</t>
  </si>
  <si>
    <t xml:space="preserve">L#26</t>
  </si>
  <si>
    <t xml:space="preserve">Appliances(W/O Washer &amp; Dryer)</t>
  </si>
  <si>
    <t xml:space="preserve">L#27</t>
  </si>
  <si>
    <t xml:space="preserve">Flooring</t>
  </si>
  <si>
    <t xml:space="preserve">Specialty Items - Mini-Blinds</t>
  </si>
  <si>
    <t xml:space="preserve">L#28</t>
  </si>
  <si>
    <t xml:space="preserve">FLATWORK</t>
  </si>
  <si>
    <t xml:space="preserve">Curb Cut</t>
  </si>
  <si>
    <t xml:space="preserve">See Site Work</t>
  </si>
  <si>
    <t xml:space="preserve">Drives</t>
  </si>
  <si>
    <t xml:space="preserve">Walks</t>
  </si>
  <si>
    <t xml:space="preserve">L#30</t>
  </si>
  <si>
    <t xml:space="preserve">FENCING</t>
  </si>
  <si>
    <t xml:space="preserve">See Amenities</t>
  </si>
  <si>
    <t xml:space="preserve">LANDSCAPING</t>
  </si>
  <si>
    <t xml:space="preserve">Sprinklers - Front &amp; Rear</t>
  </si>
  <si>
    <t xml:space="preserve">CLEAN UP</t>
  </si>
  <si>
    <t xml:space="preserve">L#31</t>
  </si>
  <si>
    <t xml:space="preserve">Site</t>
  </si>
  <si>
    <t xml:space="preserve">Month</t>
  </si>
  <si>
    <t xml:space="preserve">Interior</t>
  </si>
  <si>
    <t xml:space="preserve">Final Grade</t>
  </si>
  <si>
    <t xml:space="preserve">Dumpster</t>
  </si>
  <si>
    <t xml:space="preserve">Job Toilet</t>
  </si>
  <si>
    <t xml:space="preserve">MISCELLANEOUS</t>
  </si>
  <si>
    <t xml:space="preserve">L#37</t>
  </si>
  <si>
    <t xml:space="preserve">SUPERVISION</t>
  </si>
  <si>
    <t xml:space="preserve">TOTAL UNIT COST</t>
  </si>
  <si>
    <t xml:space="preserve">Quantity</t>
  </si>
  <si>
    <t xml:space="preserve">Unit Cost</t>
  </si>
  <si>
    <t xml:space="preserve">Per Acre</t>
  </si>
  <si>
    <t xml:space="preserve">Land</t>
  </si>
  <si>
    <t xml:space="preserve">$2.50/SF</t>
  </si>
  <si>
    <t xml:space="preserve">Improvements</t>
  </si>
  <si>
    <t xml:space="preserve">Civil Engineering</t>
  </si>
  <si>
    <t xml:space="preserve">Lump Sum</t>
  </si>
  <si>
    <t xml:space="preserve">8" Flex Base</t>
  </si>
  <si>
    <t xml:space="preserve">Sq Yds</t>
  </si>
  <si>
    <t xml:space="preserve">1 1/2" HMAC</t>
  </si>
  <si>
    <t xml:space="preserve">Excavation/Embankment</t>
  </si>
  <si>
    <t xml:space="preserve">Cubic Yds</t>
  </si>
  <si>
    <t xml:space="preserve">Curb &amp; Gutter</t>
  </si>
  <si>
    <t xml:space="preserve">Linear Ft</t>
  </si>
  <si>
    <t xml:space="preserve">8"PVC Watermain</t>
  </si>
  <si>
    <t xml:space="preserve">2" PVC Watermain</t>
  </si>
  <si>
    <t xml:space="preserve">Water Services</t>
  </si>
  <si>
    <t xml:space="preserve">EA</t>
  </si>
  <si>
    <t xml:space="preserve">Master Meters</t>
  </si>
  <si>
    <t xml:space="preserve">Fire Hydrants W/Valve</t>
  </si>
  <si>
    <t xml:space="preserve">8" Wastewater Line(all depths)</t>
  </si>
  <si>
    <t xml:space="preserve">W.W. Manholes</t>
  </si>
  <si>
    <t xml:space="preserve">Wet Tap 8"</t>
  </si>
  <si>
    <t xml:space="preserve">Striping</t>
  </si>
  <si>
    <t xml:space="preserve">Electrical</t>
  </si>
  <si>
    <t xml:space="preserve">Contingency</t>
  </si>
  <si>
    <t xml:space="preserve">Sub Total</t>
  </si>
  <si>
    <t xml:space="preserve">Ammenities</t>
  </si>
  <si>
    <t xml:space="preserve">Perimeter Wall-Bishop</t>
  </si>
  <si>
    <t xml:space="preserve">Perimeter Wall-LBJ &amp; Met</t>
  </si>
  <si>
    <t xml:space="preserve">Landscaping &amp; Sprinklers</t>
  </si>
  <si>
    <t xml:space="preserve">Sq Ft.</t>
  </si>
  <si>
    <t xml:space="preserve">Entry Gates</t>
  </si>
  <si>
    <t xml:space="preserve">Mgr Apt, Computer &amp; Rental Offices</t>
  </si>
  <si>
    <t xml:space="preserve">Rental Office FF&amp;E</t>
  </si>
  <si>
    <t xml:space="preserve">HighSpeed T-1 Line</t>
  </si>
  <si>
    <t xml:space="preserve">Swimming Pool</t>
  </si>
  <si>
    <t xml:space="preserve">Technology &amp; Fitness Center</t>
  </si>
  <si>
    <t xml:space="preserve">Vollyball Court</t>
  </si>
  <si>
    <t xml:space="preserve">Basketball Court</t>
  </si>
  <si>
    <t xml:space="preserve">Sub Total Comm. Ammenities</t>
  </si>
  <si>
    <t xml:space="preserve">Total Imp. &amp; Ammenities</t>
  </si>
  <si>
    <t xml:space="preserve">TOTAL IMPROVED LOT</t>
  </si>
  <si>
    <t xml:space="preserve">TOTAL DIRECT COST</t>
  </si>
  <si>
    <t xml:space="preserve">Finance Cost</t>
  </si>
  <si>
    <t xml:space="preserve">Appraisal</t>
  </si>
  <si>
    <t xml:space="preserve">Interim Construction Loan</t>
  </si>
  <si>
    <t xml:space="preserve">Origination</t>
  </si>
  <si>
    <t xml:space="preserve">Closing Costs</t>
  </si>
  <si>
    <t xml:space="preserve">110% Interest Reserve</t>
  </si>
  <si>
    <t xml:space="preserve">Interim Int Rate</t>
  </si>
  <si>
    <t xml:space="preserve">Permanent Loan Fee </t>
  </si>
  <si>
    <t xml:space="preserve">MortPts</t>
  </si>
  <si>
    <t xml:space="preserve">Total Finance Cost</t>
  </si>
  <si>
    <t xml:space="preserve">CUMMULATIVE LOAN</t>
  </si>
  <si>
    <t xml:space="preserve">CONSTRUCTION COST SUMMARY</t>
  </si>
  <si>
    <t xml:space="preserve">Equity Required - Based on LTV @ 80%</t>
  </si>
  <si>
    <t xml:space="preserve">Less Defferred C. Profit</t>
  </si>
  <si>
    <t xml:space="preserve">Less Excess CMFee</t>
  </si>
  <si>
    <t xml:space="preserve">Investor Equity</t>
  </si>
  <si>
    <t xml:space="preserve">LAND COST</t>
  </si>
  <si>
    <t xml:space="preserve">LOAN USE CASH FLOW</t>
  </si>
  <si>
    <t xml:space="preserve">RAW LAND</t>
  </si>
  <si>
    <t xml:space="preserve">IMPROVEMENTS</t>
  </si>
  <si>
    <t xml:space="preserve">LOT COST</t>
  </si>
  <si>
    <t xml:space="preserve">LAND</t>
  </si>
  <si>
    <t xml:space="preserve">IMPROVED LOT COST</t>
  </si>
  <si>
    <t xml:space="preserve">AMENITIES</t>
  </si>
  <si>
    <t xml:space="preserve">UNIT COST</t>
  </si>
  <si>
    <t xml:space="preserve">TOTAL LOT COST</t>
  </si>
  <si>
    <t xml:space="preserve">COMMON AMENITIES</t>
  </si>
  <si>
    <t xml:space="preserve">DIRECT UNIT COST</t>
  </si>
  <si>
    <t xml:space="preserve">CONSTRUCTION PROFIT</t>
  </si>
  <si>
    <t xml:space="preserve">CONSTRUCTION PROFIT &amp; OVHD</t>
  </si>
  <si>
    <t xml:space="preserve">FINANCE COST</t>
  </si>
  <si>
    <t xml:space="preserve">ORIGINATION &amp; CLOSING COST</t>
  </si>
  <si>
    <t xml:space="preserve">MAI APPRAISED VALUE</t>
  </si>
  <si>
    <t xml:space="preserve">INTEREST EXPENSE</t>
  </si>
  <si>
    <t xml:space="preserve">TOTAL FINANCE COST</t>
  </si>
  <si>
    <t xml:space="preserve">EQUITY</t>
  </si>
  <si>
    <t xml:space="preserve">Land Equity</t>
  </si>
  <si>
    <t xml:space="preserve">TOTAL LOAN USE</t>
  </si>
  <si>
    <t xml:space="preserve">Less Construction Profit</t>
  </si>
  <si>
    <t xml:space="preserve">CUMMULATIVE LOAN BAL.</t>
  </si>
  <si>
    <t xml:space="preserve">TOTAL LOAN REQUEST</t>
  </si>
  <si>
    <t xml:space="preserve">LTC - TOTAL COST $13.7MM</t>
  </si>
  <si>
    <t xml:space="preserve">LTV - $15.5MM VALUE</t>
  </si>
  <si>
    <t xml:space="preserve">ONE BEDROOM</t>
  </si>
  <si>
    <t xml:space="preserve">TWO BEDROOMS</t>
  </si>
  <si>
    <t xml:space="preserve">THREE BEDROOMS</t>
  </si>
  <si>
    <t xml:space="preserve">SMALLER</t>
  </si>
  <si>
    <t xml:space="preserve">LARGER</t>
  </si>
  <si>
    <t xml:space="preserve">ONE BATH</t>
  </si>
  <si>
    <t xml:space="preserve">TWO BATH</t>
  </si>
  <si>
    <t xml:space="preserve">THREE &amp; THREE 1/2 BATH</t>
  </si>
  <si>
    <t xml:space="preserve">FOUR BEDROOMS</t>
  </si>
  <si>
    <t xml:space="preserve">THREE BATH</t>
  </si>
  <si>
    <t xml:space="preserve">FOUR BATH</t>
  </si>
  <si>
    <t xml:space="preserve">Total Units</t>
  </si>
  <si>
    <t xml:space="preserve">Age</t>
  </si>
  <si>
    <t xml:space="preserve">Size</t>
  </si>
  <si>
    <t xml:space="preserve">Rent</t>
  </si>
  <si>
    <t xml:space="preserve">Rent/SF</t>
  </si>
  <si>
    <t xml:space="preserve">Rent/Bdrm</t>
  </si>
  <si>
    <t xml:space="preserve">Jefferson</t>
  </si>
  <si>
    <t xml:space="preserve">The Palazzo</t>
  </si>
  <si>
    <t xml:space="preserve">Hillside Ranch</t>
  </si>
  <si>
    <t xml:space="preserve">Sterling Univ. Apts.</t>
  </si>
  <si>
    <t xml:space="preserve">SM134</t>
  </si>
  <si>
    <t xml:space="preserve">Man Days</t>
  </si>
  <si>
    <t xml:space="preserve">Number of Months</t>
  </si>
  <si>
    <t xml:space="preserve">1 YEAR</t>
  </si>
  <si>
    <t xml:space="preserve">Second Contract Extension</t>
  </si>
  <si>
    <t xml:space="preserve">x</t>
  </si>
  <si>
    <t xml:space="preserve">Loan Package Final</t>
  </si>
  <si>
    <t xml:space="preserve">Appraisal Complete</t>
  </si>
  <si>
    <t xml:space="preserve">Closing Loan/Land</t>
  </si>
  <si>
    <t xml:space="preserve">Survey &amp; Topo</t>
  </si>
  <si>
    <t xml:space="preserve">Partnership Agreement</t>
  </si>
  <si>
    <t xml:space="preserve">Re-Plat 2nd Parcel-Eng</t>
  </si>
  <si>
    <t xml:space="preserve">Re-Plat 2nd Parcel-Approval</t>
  </si>
  <si>
    <t xml:space="preserve">Utility Design</t>
  </si>
  <si>
    <t xml:space="preserve">Architectural Plans</t>
  </si>
  <si>
    <t xml:space="preserve">PK Review of Plans</t>
  </si>
  <si>
    <t xml:space="preserve">Creekside Review of Plans</t>
  </si>
  <si>
    <t xml:space="preserve">City Submission</t>
  </si>
  <si>
    <t xml:space="preserve">City Approval</t>
  </si>
  <si>
    <t xml:space="preserve">Supervisor Start</t>
  </si>
  <si>
    <t xml:space="preserve">Bidding-Site Improvements</t>
  </si>
  <si>
    <t xml:space="preserve">Bid Review</t>
  </si>
  <si>
    <t xml:space="preserve">Bidding-Unit Construction</t>
  </si>
  <si>
    <t xml:space="preserve">Perimeter Wall</t>
  </si>
  <si>
    <t xml:space="preserve">Volleyball Court</t>
  </si>
  <si>
    <t xml:space="preserve">Rental Offices</t>
  </si>
  <si>
    <t xml:space="preserve">Fitness Center</t>
  </si>
  <si>
    <t xml:space="preserve">Technology Center</t>
  </si>
  <si>
    <t xml:space="preserve">Unit Construction - 33 Bldgs</t>
  </si>
  <si>
    <t xml:space="preserve">Phase 1 - 4 Bldgs + Mgr Office</t>
  </si>
  <si>
    <t xml:space="preserve">Phase 2 - 4 Bldgs</t>
  </si>
  <si>
    <t xml:space="preserve">Phase 3 - 4 Bldgs</t>
  </si>
  <si>
    <t xml:space="preserve">Phase 4 - 4 Bldgs</t>
  </si>
  <si>
    <t xml:space="preserve">Phase 5 - 4 Bldgs</t>
  </si>
  <si>
    <t xml:space="preserve">Phase 6 - 4 Bldgs</t>
  </si>
  <si>
    <t xml:space="preserve">Phase 7 - 4 Bldgs</t>
  </si>
  <si>
    <t xml:space="preserve">Phase 8 - 4 Bldgs</t>
  </si>
  <si>
    <t xml:space="preserve">Loan Funds</t>
  </si>
  <si>
    <t xml:space="preserve">Loan Total</t>
  </si>
  <si>
    <t xml:space="preserve">Loan Total Per Unit</t>
  </si>
  <si>
    <t xml:space="preserve">Site Cost</t>
  </si>
  <si>
    <t xml:space="preserve">Pre-Leasing</t>
  </si>
  <si>
    <t xml:space="preserve">Phase 1</t>
  </si>
  <si>
    <t xml:space="preserve">Units</t>
  </si>
  <si>
    <t xml:space="preserve">Phase 2</t>
  </si>
  <si>
    <t xml:space="preserve">Phase 3</t>
  </si>
  <si>
    <t xml:space="preserve">Phase 4</t>
  </si>
  <si>
    <t xml:space="preserve">Phase 5</t>
  </si>
  <si>
    <t xml:space="preserve">Phase 6</t>
  </si>
  <si>
    <t xml:space="preserve">Phase 7</t>
  </si>
  <si>
    <t xml:space="preserve">Phase 8</t>
  </si>
  <si>
    <t xml:space="preserve">Rent Stabilization</t>
  </si>
  <si>
    <t xml:space="preserve">Appraisal for Permanent</t>
  </si>
  <si>
    <t xml:space="preserve">Close On Permanent</t>
  </si>
  <si>
    <t xml:space="preserve">ESW PHASE 2 COST DATA - FAB LOAN</t>
  </si>
  <si>
    <t xml:space="preserve">1</t>
  </si>
  <si>
    <t xml:space="preserve">2</t>
  </si>
  <si>
    <t xml:space="preserve">7</t>
  </si>
  <si>
    <t xml:space="preserve">3</t>
  </si>
  <si>
    <t xml:space="preserve">4</t>
  </si>
  <si>
    <t xml:space="preserve">5</t>
  </si>
  <si>
    <t xml:space="preserve">6</t>
  </si>
  <si>
    <t xml:space="preserve">PLAN A - 2+2+1</t>
  </si>
  <si>
    <t xml:space="preserve">PLAN B - 2+2.5+2</t>
  </si>
  <si>
    <t xml:space="preserve">PLAN B - 3+3.5+2</t>
  </si>
  <si>
    <t xml:space="preserve">TOTALS</t>
  </si>
  <si>
    <t xml:space="preserve">DRAW ALLOW</t>
  </si>
  <si>
    <t xml:space="preserve">% Tcost</t>
  </si>
  <si>
    <t xml:space="preserve">812/814</t>
  </si>
  <si>
    <t xml:space="preserve">820/822</t>
  </si>
  <si>
    <t xml:space="preserve">826/828</t>
  </si>
  <si>
    <t xml:space="preserve">832/834</t>
  </si>
  <si>
    <t xml:space="preserve">838/840</t>
  </si>
  <si>
    <t xml:space="preserve">861/863</t>
  </si>
  <si>
    <t xml:space="preserve">867/869</t>
  </si>
  <si>
    <t xml:space="preserve">% Of Est.</t>
  </si>
  <si>
    <t xml:space="preserve">Estimate Totals</t>
  </si>
  <si>
    <t xml:space="preserve">Per A/C SF</t>
  </si>
  <si>
    <t xml:space="preserve">MIX</t>
  </si>
  <si>
    <t xml:space="preserve">X</t>
  </si>
  <si>
    <t xml:space="preserve">1.</t>
  </si>
  <si>
    <t xml:space="preserve">Permits/Fees</t>
  </si>
  <si>
    <t xml:space="preserve">Architecture</t>
  </si>
  <si>
    <t xml:space="preserve">2.</t>
  </si>
  <si>
    <t xml:space="preserve">Arch &amp; Eng &amp; Replat</t>
  </si>
  <si>
    <t xml:space="preserve">3.</t>
  </si>
  <si>
    <t xml:space="preserve">Water/Sewer Con.</t>
  </si>
  <si>
    <t xml:space="preserve">4.</t>
  </si>
  <si>
    <t xml:space="preserve">Site Work</t>
  </si>
  <si>
    <t xml:space="preserve">5.</t>
  </si>
  <si>
    <t xml:space="preserve">Foundation</t>
  </si>
  <si>
    <t xml:space="preserve">6.</t>
  </si>
  <si>
    <t xml:space="preserve">Plumbing Rough</t>
  </si>
  <si>
    <t xml:space="preserve">7.</t>
  </si>
  <si>
    <t xml:space="preserve">Framing &amp; Sheeting (M&amp;L)</t>
  </si>
  <si>
    <t xml:space="preserve">8.</t>
  </si>
  <si>
    <t xml:space="preserve">Roof (Matl &amp; Labor)</t>
  </si>
  <si>
    <t xml:space="preserve">9.</t>
  </si>
  <si>
    <t xml:space="preserve">Cornice (M&amp;L)</t>
  </si>
  <si>
    <t xml:space="preserve">10.</t>
  </si>
  <si>
    <t xml:space="preserve">Windows/Mirrors</t>
  </si>
  <si>
    <t xml:space="preserve">11.</t>
  </si>
  <si>
    <t xml:space="preserve">Painting-Outside</t>
  </si>
  <si>
    <t xml:space="preserve">12.</t>
  </si>
  <si>
    <t xml:space="preserve">Electric-Rough</t>
  </si>
  <si>
    <t xml:space="preserve">13.</t>
  </si>
  <si>
    <t xml:space="preserve">Ducts</t>
  </si>
  <si>
    <t xml:space="preserve">14.</t>
  </si>
  <si>
    <t xml:space="preserve">Heat/Air-Units</t>
  </si>
  <si>
    <t xml:space="preserve">15.</t>
  </si>
  <si>
    <t xml:space="preserve">Insulation-Walls</t>
  </si>
  <si>
    <t xml:space="preserve">16.</t>
  </si>
  <si>
    <t xml:space="preserve">Insulation-Ceiling</t>
  </si>
  <si>
    <t xml:space="preserve">Included in Insulation- Walls, Line #15</t>
  </si>
  <si>
    <t xml:space="preserve">17.</t>
  </si>
  <si>
    <t xml:space="preserve">Plumbing - Top Out</t>
  </si>
  <si>
    <t xml:space="preserve">18.</t>
  </si>
  <si>
    <t xml:space="preserve">Masonry/Siding</t>
  </si>
  <si>
    <t xml:space="preserve">19.</t>
  </si>
  <si>
    <t xml:space="preserve">Fireplace</t>
  </si>
  <si>
    <t xml:space="preserve">20</t>
  </si>
  <si>
    <t xml:space="preserve">Shrck/Tape/Float</t>
  </si>
  <si>
    <t xml:space="preserve">21.</t>
  </si>
  <si>
    <t xml:space="preserve">Trim Work W/Garage Drs.</t>
  </si>
  <si>
    <t xml:space="preserve">22.</t>
  </si>
  <si>
    <t xml:space="preserve">Cabinets/Formica</t>
  </si>
  <si>
    <t xml:space="preserve">23.</t>
  </si>
  <si>
    <t xml:space="preserve">Tile</t>
  </si>
  <si>
    <t xml:space="preserve">24.</t>
  </si>
  <si>
    <t xml:space="preserve">Painting-Interior</t>
  </si>
  <si>
    <t xml:space="preserve">25.</t>
  </si>
  <si>
    <t xml:space="preserve">Wallpaper</t>
  </si>
  <si>
    <t xml:space="preserve">26.</t>
  </si>
  <si>
    <t xml:space="preserve">Appliances</t>
  </si>
  <si>
    <t xml:space="preserve">27.</t>
  </si>
  <si>
    <t xml:space="preserve">Carpet/Vinyl</t>
  </si>
  <si>
    <t xml:space="preserve">28.</t>
  </si>
  <si>
    <t xml:space="preserve">Drives &amp; Sidewalks</t>
  </si>
  <si>
    <t xml:space="preserve">29.</t>
  </si>
  <si>
    <t xml:space="preserve">Hardware</t>
  </si>
  <si>
    <t xml:space="preserve">30.</t>
  </si>
  <si>
    <t xml:space="preserve">Ldscp., Fencing &amp; Clean Up</t>
  </si>
  <si>
    <t xml:space="preserve">31.</t>
  </si>
  <si>
    <t xml:space="preserve">Clean Up &amp; Temps</t>
  </si>
  <si>
    <t xml:space="preserve">32.</t>
  </si>
  <si>
    <t xml:space="preserve">Septic</t>
  </si>
  <si>
    <t xml:space="preserve">33.</t>
  </si>
  <si>
    <t xml:space="preserve">Interest &amp; Fees</t>
  </si>
  <si>
    <t xml:space="preserve"> </t>
  </si>
  <si>
    <t xml:space="preserve">34.</t>
  </si>
  <si>
    <t xml:space="preserve">Lot</t>
  </si>
  <si>
    <t xml:space="preserve">35.</t>
  </si>
  <si>
    <t xml:space="preserve">Other Costs</t>
  </si>
  <si>
    <t xml:space="preserve">36.</t>
  </si>
  <si>
    <t xml:space="preserve">Electric - Trim,Pre-Wire &amp; Fix.</t>
  </si>
  <si>
    <t xml:space="preserve">37.</t>
  </si>
  <si>
    <t xml:space="preserve">Supervision</t>
  </si>
  <si>
    <t xml:space="preserve">Construction Management</t>
  </si>
  <si>
    <t xml:space="preserve">Contractor Profit</t>
  </si>
  <si>
    <t xml:space="preserve">Less:</t>
  </si>
  <si>
    <t xml:space="preserve">Land &amp; Improvments</t>
  </si>
  <si>
    <t xml:space="preserve">Interest</t>
  </si>
  <si>
    <t xml:space="preserve">Board &amp; Nail Total</t>
  </si>
  <si>
    <t xml:space="preserve">N/A</t>
  </si>
  <si>
    <t xml:space="preserve">TOTAL UNIT CONSTRUCTION</t>
  </si>
  <si>
    <t xml:space="preserve">CofO</t>
  </si>
  <si>
    <t xml:space="preserve">Parking &amp; Drives</t>
  </si>
  <si>
    <t xml:space="preserve">Curbing</t>
  </si>
  <si>
    <t xml:space="preserve">Utilities</t>
  </si>
  <si>
    <t xml:space="preserve">Landscaping</t>
  </si>
  <si>
    <t xml:space="preserve">Lighting</t>
  </si>
  <si>
    <t xml:space="preserve">Signage</t>
  </si>
  <si>
    <t xml:space="preserve">Common Ammenities</t>
  </si>
  <si>
    <t xml:space="preserve">Pool Shower/Restroom</t>
  </si>
  <si>
    <t xml:space="preserve">Project Office, Mgr &amp; Comp Off</t>
  </si>
  <si>
    <t xml:space="preserve">Interest Reserve</t>
  </si>
  <si>
    <t xml:space="preserve">Interim Loan Amount</t>
  </si>
  <si>
    <t xml:space="preserve">Cash Equity</t>
  </si>
  <si>
    <t xml:space="preserve">Water</t>
  </si>
  <si>
    <t xml:space="preserve">Sewer</t>
  </si>
  <si>
    <t xml:space="preserve">TV&amp;Cable</t>
  </si>
  <si>
    <t xml:space="preserve">Elec</t>
  </si>
  <si>
    <t xml:space="preserve">Gates</t>
  </si>
  <si>
    <t xml:space="preserve">Office FF&amp;E</t>
  </si>
  <si>
    <t xml:space="preserve">Wall On Bishop</t>
  </si>
  <si>
    <t xml:space="preserve">Baths</t>
  </si>
</sst>
</file>

<file path=xl/styles.xml><?xml version="1.0" encoding="utf-8"?>
<styleSheet xmlns="http://schemas.openxmlformats.org/spreadsheetml/2006/main">
  <numFmts count="29">
    <numFmt numFmtId="164" formatCode="[$-409]#,##0_);[RED]\(#,##0\)"/>
    <numFmt numFmtId="165" formatCode="\$#,##0.00_);[RED]&quot;($&quot;#,##0.00\)"/>
    <numFmt numFmtId="166" formatCode="[$-409]General"/>
    <numFmt numFmtId="167" formatCode="_(\$* #,##0_);_(\$* \(#,##0\);_(\$* \-_);_(@_)"/>
    <numFmt numFmtId="168" formatCode="[$-409]0.00%"/>
    <numFmt numFmtId="169" formatCode="0.0%"/>
    <numFmt numFmtId="170" formatCode="\$#,##0_);[RED]&quot;($&quot;#,##0\)"/>
    <numFmt numFmtId="171" formatCode="#,##0.0_);[RED]\(#,##0.0\)"/>
    <numFmt numFmtId="172" formatCode="[$-409]@"/>
    <numFmt numFmtId="173" formatCode="[$-409]#,##0.00_);[RED]\(#,##0.00\)"/>
    <numFmt numFmtId="174" formatCode="[$-409]0%"/>
    <numFmt numFmtId="175" formatCode="_(\$* #,##0.00_);_(\$* \(#,##0.00\);_(\$* \-??_);_(@_)"/>
    <numFmt numFmtId="176" formatCode="_(\$* #,##0_);_(\$* \(#,##0\);_(\$* \-??_);_(@_)"/>
    <numFmt numFmtId="177" formatCode="_(* #,##0.00_);_(* \(#,##0.00\);_(* \-??_);_(@_)"/>
    <numFmt numFmtId="178" formatCode="_(* #,##0_);_(* \(#,##0\);_(* \-??_);_(@_)"/>
    <numFmt numFmtId="179" formatCode="\$#,##0.0000_);[RED]&quot;($&quot;#,##0.0000\)"/>
    <numFmt numFmtId="180" formatCode="#,##0.0000_);[RED]\(#,##0.0000\)"/>
    <numFmt numFmtId="181" formatCode="0.000%"/>
    <numFmt numFmtId="182" formatCode="#,##0.000_);[RED]\(#,##0.000\)"/>
    <numFmt numFmtId="183" formatCode="[$-409]d\-mmm"/>
    <numFmt numFmtId="184" formatCode="General"/>
    <numFmt numFmtId="185" formatCode="_(* #,##0_);_(* \(#,##0\);_(* \-_);_(@_)"/>
    <numFmt numFmtId="186" formatCode="_(* #,##0.00_);_(* \(#,##0.00\);_(* \-_);_(@_)"/>
    <numFmt numFmtId="187" formatCode="_(* #,##0.000_);_(* \(#,##0.000\);_(* \-_);_(@_)"/>
    <numFmt numFmtId="188" formatCode="_(\$* #,##0.00_);_(\$* \(#,##0.00\);_(\$* \-_);_(@_)"/>
    <numFmt numFmtId="189" formatCode="[$-409]mmm\-yy"/>
    <numFmt numFmtId="190" formatCode="[$-409]d\-mmm\-yy"/>
    <numFmt numFmtId="191" formatCode="[$-409]#,##0.00"/>
    <numFmt numFmtId="192" formatCode="_(* #,##0.0000_);_(* \(#,##0.0000\);_(* \-??_);_(@_)"/>
  </numFmts>
  <fonts count="64">
    <font>
      <sz val="10"/>
      <name val="Times New Roman"/>
      <family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meriGarmnd BT"/>
      <family val="1"/>
    </font>
    <font>
      <sz val="9"/>
      <name val="Times New Roman Condensed"/>
      <family val="0"/>
    </font>
    <font>
      <b val="true"/>
      <sz val="9"/>
      <name val="Goudy"/>
      <family val="1"/>
    </font>
    <font>
      <b val="true"/>
      <sz val="10"/>
      <name val="Times New Roman"/>
      <family val="1"/>
    </font>
    <font>
      <b val="true"/>
      <sz val="10"/>
      <name val="Goudy"/>
      <family val="1"/>
    </font>
    <font>
      <b val="true"/>
      <u val="single"/>
      <sz val="9"/>
      <name val="Times New Roman Condensed"/>
      <family val="0"/>
    </font>
    <font>
      <b val="true"/>
      <sz val="9"/>
      <name val="Times New Roman Condensed"/>
      <family val="0"/>
    </font>
    <font>
      <b val="true"/>
      <sz val="9"/>
      <name val="Times New Roman Condensed"/>
      <family val="1"/>
    </font>
    <font>
      <sz val="9"/>
      <name val="Times New Roman Condensed"/>
      <family val="1"/>
    </font>
    <font>
      <b val="true"/>
      <u val="single"/>
      <sz val="9"/>
      <name val="Times New Roman Condensed"/>
      <family val="1"/>
    </font>
    <font>
      <i val="true"/>
      <sz val="9"/>
      <name val="Times New Roman Condensed"/>
      <family val="1"/>
    </font>
    <font>
      <u val="single"/>
      <sz val="9"/>
      <name val="Times New Roman Condensed"/>
      <family val="0"/>
    </font>
    <font>
      <b val="true"/>
      <u val="single"/>
      <sz val="10"/>
      <name val="Times New Roman"/>
      <family val="1"/>
    </font>
    <font>
      <sz val="9"/>
      <name val="Times New Roman"/>
      <family val="1"/>
    </font>
    <font>
      <b val="true"/>
      <sz val="9"/>
      <name val="Times New Roman"/>
      <family val="0"/>
    </font>
    <font>
      <b val="true"/>
      <sz val="9"/>
      <name val="Times New Roman"/>
      <family val="1"/>
    </font>
    <font>
      <i val="true"/>
      <sz val="9"/>
      <name val="Times New Roman"/>
      <family val="1"/>
    </font>
    <font>
      <b val="true"/>
      <sz val="10"/>
      <name val="Times New Roman"/>
      <family val="0"/>
    </font>
    <font>
      <i val="true"/>
      <sz val="10"/>
      <name val="Times New Roman"/>
      <family val="1"/>
    </font>
    <font>
      <i val="true"/>
      <sz val="9"/>
      <name val="Times New Roman"/>
      <family val="0"/>
    </font>
    <font>
      <sz val="9"/>
      <name val="Arial"/>
      <family val="2"/>
    </font>
    <font>
      <sz val="9"/>
      <name val="Times New Roman"/>
      <family val="0"/>
    </font>
    <font>
      <u val="single"/>
      <sz val="10"/>
      <name val="Times New Roman"/>
      <family val="0"/>
    </font>
    <font>
      <b val="true"/>
      <sz val="8"/>
      <color rgb="FF000000"/>
      <name val="Tahoma"/>
      <family val="0"/>
    </font>
    <font>
      <sz val="10"/>
      <name val="Times New Roman Condensed"/>
      <family val="1"/>
    </font>
    <font>
      <b val="true"/>
      <sz val="10"/>
      <name val="Times New Roman Condensed"/>
      <family val="1"/>
    </font>
    <font>
      <b val="true"/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0"/>
      <name val="Times New Roman Condensed"/>
      <family val="0"/>
    </font>
    <font>
      <b val="true"/>
      <u val="single"/>
      <sz val="8"/>
      <name val="Times New Roman Condensed"/>
      <family val="1"/>
    </font>
    <font>
      <b val="true"/>
      <u val="single"/>
      <sz val="10"/>
      <name val="Times New Roman Condensed"/>
      <family val="1"/>
    </font>
    <font>
      <b val="true"/>
      <sz val="8"/>
      <name val="Times New Roman"/>
      <family val="0"/>
    </font>
    <font>
      <b val="true"/>
      <i val="true"/>
      <sz val="10"/>
      <name val="Times New Roman Condensed"/>
      <family val="1"/>
    </font>
    <font>
      <sz val="11"/>
      <name val="Times New Roman Condensed"/>
      <family val="0"/>
    </font>
    <font>
      <b val="true"/>
      <sz val="9"/>
      <name val="Arial"/>
      <family val="2"/>
    </font>
    <font>
      <i val="true"/>
      <sz val="10"/>
      <name val="Times New Roman Condensed"/>
      <family val="1"/>
    </font>
    <font>
      <b val="true"/>
      <i val="true"/>
      <u val="single"/>
      <sz val="10"/>
      <name val="Times New Roman Condensed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Times New Roman Condensed"/>
      <family val="1"/>
    </font>
    <font>
      <sz val="8"/>
      <name val="Arial"/>
      <family val="2"/>
    </font>
    <font>
      <b val="true"/>
      <sz val="8"/>
      <name val="Times New Roman Condensed"/>
      <family val="1"/>
    </font>
    <font>
      <u val="single"/>
      <sz val="8"/>
      <name val="Times New Roman"/>
      <family val="1"/>
    </font>
    <font>
      <b val="true"/>
      <u val="single"/>
      <sz val="8"/>
      <name val="Times New Roman"/>
      <family val="1"/>
    </font>
    <font>
      <sz val="8"/>
      <name val="Times New Roman Condensed"/>
      <family val="0"/>
    </font>
    <font>
      <u val="single"/>
      <sz val="8"/>
      <name val="Times New Roman Condensed"/>
      <family val="1"/>
    </font>
    <font>
      <b val="true"/>
      <sz val="8"/>
      <name val="Times New Roman Condensed"/>
      <family val="0"/>
    </font>
    <font>
      <b val="true"/>
      <u val="single"/>
      <sz val="8"/>
      <name val="Arial"/>
      <family val="2"/>
    </font>
    <font>
      <b val="true"/>
      <sz val="8"/>
      <name val="Arial"/>
      <family val="2"/>
    </font>
    <font>
      <b val="true"/>
      <sz val="8"/>
      <name val="Arial"/>
      <family val="0"/>
    </font>
    <font>
      <b val="true"/>
      <sz val="10"/>
      <name val="AGaramond"/>
      <family val="1"/>
    </font>
    <font>
      <sz val="10"/>
      <name val="AGaramond"/>
      <family val="1"/>
    </font>
    <font>
      <b val="true"/>
      <sz val="10"/>
      <color rgb="FF800080"/>
      <name val="AGaramond"/>
      <family val="1"/>
    </font>
    <font>
      <b val="true"/>
      <u val="single"/>
      <sz val="9"/>
      <name val="Arial"/>
      <family val="0"/>
    </font>
    <font>
      <b val="true"/>
      <u val="single"/>
      <sz val="10"/>
      <color rgb="FFFF0000"/>
      <name val="Times New Roman"/>
      <family val="1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sz val="9"/>
      <name val="Goudy"/>
      <family val="1"/>
    </font>
    <font>
      <u val="single"/>
      <sz val="9"/>
      <name val="Abadi MT Condensed Light"/>
      <family val="2"/>
    </font>
    <font>
      <b val="true"/>
      <sz val="9"/>
      <name val="Arial"/>
      <family val="0"/>
    </font>
  </fonts>
  <fills count="28">
    <fill>
      <patternFill patternType="none"/>
    </fill>
    <fill>
      <patternFill patternType="gray125"/>
    </fill>
    <fill>
      <patternFill patternType="solid">
        <fgColor rgb="FFC0C0C0"/>
        <bgColor rgb="FFC0C0FF"/>
      </patternFill>
    </fill>
    <fill>
      <patternFill patternType="solid">
        <fgColor rgb="FFFFCC99"/>
        <bgColor rgb="FFFFE5BF"/>
      </patternFill>
    </fill>
    <fill>
      <patternFill patternType="solid">
        <fgColor rgb="FFCCFFCC"/>
        <bgColor rgb="FFCCFFFF"/>
      </patternFill>
    </fill>
    <fill>
      <patternFill patternType="solid">
        <fgColor rgb="FF99CCFF"/>
        <bgColor rgb="FFC0C0FF"/>
      </patternFill>
    </fill>
    <fill>
      <patternFill patternType="solid">
        <fgColor rgb="FFBF00BF"/>
        <bgColor rgb="FF800080"/>
      </patternFill>
    </fill>
    <fill>
      <patternFill patternType="solid">
        <fgColor rgb="FF339966"/>
        <bgColor rgb="FF008080"/>
      </patternFill>
    </fill>
    <fill>
      <patternFill patternType="solid">
        <fgColor rgb="FF800080"/>
        <bgColor rgb="FF660066"/>
      </patternFill>
    </fill>
    <fill>
      <patternFill patternType="solid">
        <fgColor rgb="FFA040A0"/>
        <bgColor rgb="FF993366"/>
      </patternFill>
    </fill>
    <fill>
      <patternFill patternType="solid">
        <fgColor rgb="FF7299BF"/>
        <bgColor rgb="FF7F9F7F"/>
      </patternFill>
    </fill>
    <fill>
      <patternFill patternType="solid">
        <fgColor rgb="FF263300"/>
        <bgColor rgb="FF333333"/>
      </patternFill>
    </fill>
    <fill>
      <patternFill patternType="solid">
        <fgColor rgb="FFFFCC00"/>
        <bgColor rgb="FFFFFF00"/>
      </patternFill>
    </fill>
    <fill>
      <patternFill patternType="solid">
        <fgColor rgb="FF0000FF"/>
        <bgColor rgb="FF0000FF"/>
      </patternFill>
    </fill>
    <fill>
      <patternFill patternType="solid">
        <fgColor rgb="FFC0C0FF"/>
        <bgColor rgb="FFC0C0C0"/>
      </patternFill>
    </fill>
    <fill>
      <patternFill patternType="solid">
        <fgColor rgb="FF993366"/>
        <bgColor rgb="FFA040A0"/>
      </patternFill>
    </fill>
    <fill>
      <patternFill patternType="solid">
        <fgColor rgb="FF707070"/>
        <bgColor rgb="FF7F9F7F"/>
      </patternFill>
    </fill>
    <fill>
      <patternFill patternType="solid">
        <fgColor rgb="FFFFE5BF"/>
        <bgColor rgb="FFFFFFCC"/>
      </patternFill>
    </fill>
    <fill>
      <patternFill patternType="solid">
        <fgColor rgb="FFB285DF"/>
        <bgColor rgb="FFCC99FF"/>
      </patternFill>
    </fill>
    <fill>
      <patternFill patternType="solid">
        <fgColor rgb="FF3366FF"/>
        <bgColor rgb="FF0066CC"/>
      </patternFill>
    </fill>
    <fill>
      <patternFill patternType="solid">
        <fgColor rgb="FF00FF00"/>
        <bgColor rgb="FF33CCCC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99"/>
      </patternFill>
    </fill>
    <fill>
      <patternFill patternType="solid">
        <fgColor rgb="FF7F9F7F"/>
        <bgColor rgb="FF7299BF"/>
      </patternFill>
    </fill>
    <fill>
      <patternFill patternType="solid">
        <fgColor rgb="FFFFFF00"/>
        <bgColor rgb="FFFFFF00"/>
      </patternFill>
    </fill>
    <fill>
      <patternFill patternType="solid">
        <fgColor rgb="FFCC99FF"/>
        <bgColor rgb="FFB285DF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double"/>
      <right style="medium"/>
      <top style="double"/>
      <bottom style="medium"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double"/>
      <right/>
      <top/>
      <bottom style="double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dotted"/>
      <right/>
      <top style="dotted"/>
      <bottom/>
      <diagonal/>
    </border>
    <border diagonalUp="false" diagonalDown="false">
      <left/>
      <right/>
      <top style="dotted"/>
      <bottom/>
      <diagonal/>
    </border>
    <border diagonalUp="false" diagonalDown="false">
      <left/>
      <right style="dotted"/>
      <top style="dotted"/>
      <bottom/>
      <diagonal/>
    </border>
    <border diagonalUp="false" diagonalDown="false">
      <left style="dotted"/>
      <right/>
      <top/>
      <bottom/>
      <diagonal/>
    </border>
    <border diagonalUp="false" diagonalDown="false">
      <left/>
      <right style="dotted"/>
      <top/>
      <bottom/>
      <diagonal/>
    </border>
    <border diagonalUp="false" diagonalDown="false">
      <left style="dotted"/>
      <right/>
      <top/>
      <bottom style="dotted"/>
      <diagonal/>
    </border>
    <border diagonalUp="false" diagonalDown="false">
      <left/>
      <right/>
      <top/>
      <bottom style="dotted"/>
      <diagonal/>
    </border>
    <border diagonalUp="false" diagonalDown="false">
      <left/>
      <right style="dotted"/>
      <top/>
      <bottom style="dotted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164" fontId="11" fillId="0" borderId="0" applyFont="true" applyBorder="false" applyAlignment="true" applyProtection="false">
      <alignment horizontal="general" vertical="center" textRotation="0" wrapText="false" indent="0" shrinkToFit="false"/>
    </xf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7" fontId="24" fillId="0" borderId="0" applyFont="true" applyBorder="false" applyAlignment="true" applyProtection="false">
      <alignment horizontal="general" vertical="center" textRotation="0" wrapText="false" indent="0" shrinkToFit="false"/>
    </xf>
    <xf numFmtId="185" fontId="24" fillId="0" borderId="0" applyFont="true" applyBorder="false" applyAlignment="true" applyProtection="false">
      <alignment horizontal="general" vertical="center" textRotation="0" wrapText="false" indent="0" shrinkToFit="false"/>
    </xf>
    <xf numFmtId="175" fontId="24" fillId="0" borderId="0" applyFont="true" applyBorder="false" applyAlignment="true" applyProtection="false">
      <alignment horizontal="general" vertical="center" textRotation="0" wrapText="false" indent="0" shrinkToFit="false"/>
    </xf>
    <xf numFmtId="167" fontId="5" fillId="0" borderId="0" applyFont="true" applyBorder="false" applyAlignment="true" applyProtection="false">
      <alignment horizontal="general" vertical="center" textRotation="0" wrapText="false" indent="0" shrinkToFit="false"/>
    </xf>
    <xf numFmtId="168" fontId="12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applyFont="true" applyBorder="false" applyAlignment="true" applyProtection="false">
      <alignment horizontal="general" vertical="center" textRotation="0" wrapText="false" indent="0" shrinkToFit="false"/>
    </xf>
    <xf numFmtId="165" fontId="5" fillId="0" border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0" borderId="0" applyFont="true" applyBorder="false" applyAlignment="true" applyProtection="false">
      <alignment horizontal="center" vertical="bottom" textRotation="0" wrapText="false" indent="0" shrinkToFit="false"/>
    </xf>
    <xf numFmtId="166" fontId="7" fillId="0" border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1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7">
    <xf numFmtId="164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1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5" fillId="0" borderId="0" xfId="18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5" fillId="0" borderId="0" xfId="21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7" fontId="12" fillId="0" borderId="0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5" fontId="12" fillId="0" borderId="0" xfId="21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1" fillId="0" borderId="4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2" fillId="0" borderId="0" xfId="19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1" fillId="0" borderId="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69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10" fillId="0" borderId="3" xfId="18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10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0" fillId="0" borderId="4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10" fillId="0" borderId="3" xfId="21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6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8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1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2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20" fillId="0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3" fontId="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4" fontId="20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0" fillId="0" borderId="0" xfId="19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23" fillId="0" borderId="0" xfId="19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7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8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7" fontId="17" fillId="0" borderId="5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3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7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9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0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17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0" fontId="17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5" xfId="19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80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0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1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5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5" fontId="17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81" fontId="17" fillId="0" borderId="0" xfId="19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82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9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1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17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6" fontId="19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2" borderId="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8" fontId="12" fillId="0" borderId="7" xfId="19" applyFont="fals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19" fillId="0" borderId="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5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9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9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19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2" fontId="2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9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9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8" fontId="29" fillId="0" borderId="0" xfId="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0" xfId="1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0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2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6" fontId="35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1" fontId="2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1" fontId="24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3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11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7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83" fontId="35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3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40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4" fontId="36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6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5" fillId="0" borderId="5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66" fontId="2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2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9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5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78" fontId="28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8" fontId="39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4" fontId="39" fillId="0" borderId="0" xfId="19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36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3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4" fontId="3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39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29" fillId="0" borderId="0" xfId="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2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5" fontId="41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0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85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41" fillId="0" borderId="0" xfId="1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7" fontId="41" fillId="0" borderId="0" xfId="19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77" fontId="24" fillId="0" borderId="0" xfId="15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86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7" fontId="41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0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4" fontId="41" fillId="0" borderId="0" xfId="15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1" fillId="0" borderId="0" xfId="19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76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3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2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5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5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28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5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42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32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8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88" fontId="41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7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8" fontId="4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4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5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41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1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2" fillId="0" borderId="0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28" fillId="0" borderId="0" xfId="19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41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85" fontId="41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8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42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1" fillId="0" borderId="11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0" fontId="41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0" borderId="11" xfId="15" applyFont="fals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11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left" vertical="center" textRotation="0" wrapText="false" indent="1" shrinkToFit="false"/>
      <protection locked="true" hidden="false"/>
    </xf>
    <xf numFmtId="182" fontId="4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1" fontId="4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1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1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3" fillId="0" borderId="11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2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42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2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1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41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9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0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3" fillId="0" borderId="12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43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0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7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1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1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9" fontId="41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5" fontId="42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2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42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1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11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1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2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42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1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7" fontId="42" fillId="0" borderId="3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2" fillId="0" borderId="3" xfId="2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42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9" fontId="7" fillId="0" borderId="0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3" fillId="0" borderId="11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1" fillId="0" borderId="0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5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3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45" fillId="0" borderId="13" xfId="2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44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6" fontId="53" fillId="0" borderId="13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50" fillId="0" borderId="13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42" fillId="0" borderId="14" xfId="17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0" borderId="14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2" fillId="0" borderId="1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42" fillId="0" borderId="14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50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4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2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5" fillId="2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19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5" fillId="2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5" fillId="2" borderId="2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5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8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7" fontId="54" fillId="2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4" fillId="2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6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16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6" fillId="0" borderId="1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17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18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2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56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6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56" fillId="0" borderId="2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56" fillId="0" borderId="2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3" fontId="5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89" fontId="57" fillId="0" borderId="0" xfId="0" applyFont="true" applyBorder="false" applyAlignment="true" applyProtection="false">
      <alignment horizontal="center" vertical="center" textRotation="45" wrapText="false" indent="0" shrinkToFit="false"/>
      <protection locked="true" hidden="false"/>
    </xf>
    <xf numFmtId="190" fontId="16" fillId="0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3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16" fillId="4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90" fontId="58" fillId="5" borderId="0" xfId="23" applyFont="true" applyBorder="true" applyAlignment="true" applyProtection="false">
      <alignment horizontal="center" vertical="center" textRotation="45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5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6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59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8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19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0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78" fontId="24" fillId="0" borderId="0" xfId="15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1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2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3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0" fillId="24" borderId="0" xfId="0" applyFont="false" applyBorder="false" applyAlignment="false" applyProtection="false">
      <alignment horizontal="general" vertical="center" textRotation="0" wrapText="false" indent="0" shrinkToFit="false"/>
      <protection locked="true" hidden="false"/>
    </xf>
    <xf numFmtId="168" fontId="6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25" borderId="2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5" borderId="14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24" fillId="25" borderId="25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2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6" fontId="62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3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9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9" fillId="8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6" fontId="59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84" fontId="24" fillId="0" borderId="0" xfId="22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78" fontId="24" fillId="0" borderId="0" xfId="15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9" fontId="24" fillId="0" borderId="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24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8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2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78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91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24" fillId="0" borderId="0" xfId="22" applyFont="true" applyBorder="true" applyAlignment="false" applyProtection="true">
      <alignment horizontal="center" vertical="bottom" textRotation="0" wrapText="false" indent="0" shrinkToFit="false"/>
      <protection locked="false" hidden="false"/>
    </xf>
    <xf numFmtId="178" fontId="24" fillId="21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38" fillId="2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8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4" fillId="3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27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61" fillId="0" borderId="0" xfId="19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2" xfId="19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3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92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24" fillId="26" borderId="2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2" fontId="24" fillId="0" borderId="0" xfId="0" applyFont="true" applyBorder="false" applyAlignment="false" applyProtection="false">
      <alignment horizontal="general" vertical="center" textRotation="0" wrapText="false" indent="0" shrinkToFit="false"/>
      <protection locked="true" hidden="false"/>
    </xf>
    <xf numFmtId="164" fontId="24" fillId="0" borderId="12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4" fontId="38" fillId="0" borderId="1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1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8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2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5" fontId="24" fillId="0" borderId="0" xfId="1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8" fillId="0" borderId="11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68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3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3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4" fillId="0" borderId="3" xfId="0" applyFont="true" applyBorder="true" applyAlignment="false" applyProtection="false">
      <alignment horizontal="general" vertical="center" textRotation="0" wrapText="false" indent="0" shrinkToFit="false"/>
      <protection locked="true" hidden="false"/>
    </xf>
    <xf numFmtId="176" fontId="2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24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lumn Headings" xfId="20"/>
    <cellStyle name="curency" xfId="21"/>
    <cellStyle name="Heading 2 1" xfId="22"/>
    <cellStyle name="HEADING 3" xfId="23"/>
    <cellStyle name="HEADING2" xfId="24"/>
    <cellStyle name="*unknown*" xfId="2" builtinId="2"/>
    <cellStyle name="*unknown*" xfId="1" builtinId="1"/>
  </cellStyles>
  <colors>
    <indexedColors>
      <rgbColor rgb="FF000000"/>
      <rgbColor rgb="FFFFE5B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07070"/>
      <rgbColor rgb="FFB285DF"/>
      <rgbColor rgb="FF993366"/>
      <rgbColor rgb="FFFFFFCC"/>
      <rgbColor rgb="FFCCFFFF"/>
      <rgbColor rgb="FF660066"/>
      <rgbColor rgb="FFFF8080"/>
      <rgbColor rgb="FF0066CC"/>
      <rgbColor rgb="FFC0C0FF"/>
      <rgbColor rgb="FF000080"/>
      <rgbColor rgb="FFFF00FF"/>
      <rgbColor rgb="FFFFFF00"/>
      <rgbColor rgb="FF00FFFF"/>
      <rgbColor rgb="FFBF00BF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299BF"/>
      <rgbColor rgb="FF7F9F7F"/>
      <rgbColor rgb="FF003366"/>
      <rgbColor rgb="FF339966"/>
      <rgbColor rgb="FF003300"/>
      <rgbColor rgb="FF263300"/>
      <rgbColor rgb="FF993300"/>
      <rgbColor rgb="FFA040A0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1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H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47.99"/>
    <col collapsed="false" customWidth="true" hidden="false" outlineLevel="0" max="4" min="4" style="0" width="17.99"/>
    <col collapsed="false" customWidth="true" hidden="false" outlineLevel="0" max="7" min="7" style="0" width="15.49"/>
    <col collapsed="false" customWidth="true" hidden="false" outlineLevel="0" max="8" min="8" style="0" width="10.49"/>
    <col collapsed="false" customWidth="true" hidden="false" outlineLevel="0" max="10" min="10" style="0" width="10.15"/>
  </cols>
  <sheetData>
    <row r="2" customFormat="false" ht="12.75" hidden="false" customHeight="false" outlineLevel="0" collapsed="false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customFormat="false" ht="12.75" hidden="false" customHeight="false" outlineLevel="0" collapsed="false">
      <c r="B3" s="2" t="s">
        <v>7</v>
      </c>
      <c r="C3" s="3" t="s">
        <v>8</v>
      </c>
      <c r="D3" s="4" t="n">
        <f aca="false">Project_Value</f>
        <v>14991806.5276441</v>
      </c>
      <c r="E3" s="5" t="n">
        <f aca="false">+D3/D$3</f>
        <v>1</v>
      </c>
      <c r="F3" s="5" t="n">
        <f aca="false">+D3/D$24</f>
        <v>1.13696507007753</v>
      </c>
      <c r="G3" s="4" t="n">
        <f aca="false">+D3/TUnits</f>
        <v>111879.153191374</v>
      </c>
      <c r="H3" s="6" t="n">
        <f aca="false">+D3/TotalSF</f>
        <v>101.185916183369</v>
      </c>
    </row>
    <row r="4" customFormat="false" ht="12.75" hidden="false" customHeight="false" outlineLevel="0" collapsed="false">
      <c r="B4" s="2"/>
      <c r="D4" s="7"/>
      <c r="E4" s="8"/>
      <c r="F4" s="8"/>
      <c r="G4" s="9"/>
      <c r="H4" s="10"/>
    </row>
    <row r="5" customFormat="false" ht="12.75" hidden="false" customHeight="false" outlineLevel="0" collapsed="false">
      <c r="B5" s="11" t="s">
        <v>9</v>
      </c>
      <c r="C5" s="11"/>
      <c r="D5" s="12" t="n">
        <f aca="false">MonthlyNOI*12</f>
        <v>1499180.65276441</v>
      </c>
      <c r="E5" s="13" t="n">
        <f aca="false">+D5/D$3</f>
        <v>0.1</v>
      </c>
      <c r="F5" s="13" t="n">
        <f aca="false">+D5/D$24</f>
        <v>0.113696507007753</v>
      </c>
      <c r="G5" s="12" t="n">
        <f aca="false">+D5/TUnits</f>
        <v>11187.9153191374</v>
      </c>
      <c r="H5" s="14" t="n">
        <f aca="false">+D5/TotalSF</f>
        <v>10.1185916183369</v>
      </c>
    </row>
    <row r="6" customFormat="false" ht="12.75" hidden="false" customHeight="false" outlineLevel="0" collapsed="false">
      <c r="B6" s="11" t="s">
        <v>10</v>
      </c>
      <c r="C6" s="11"/>
      <c r="D6" s="12" t="n">
        <f aca="false">MortgagePmt*12</f>
        <v>-1006318.90882032</v>
      </c>
      <c r="E6" s="13" t="n">
        <f aca="false">+D6/D$3</f>
        <v>-0.0671245928210668</v>
      </c>
      <c r="F6" s="13" t="n">
        <f aca="false">+D6/D$24</f>
        <v>-0.0763183173807301</v>
      </c>
      <c r="G6" s="12" t="n">
        <f aca="false">+D6/TUnits</f>
        <v>-7509.84260313673</v>
      </c>
      <c r="H6" s="14" t="n">
        <f aca="false">+D6/TotalSF</f>
        <v>-6.79206342303523</v>
      </c>
    </row>
    <row r="7" customFormat="false" ht="12.75" hidden="false" customHeight="false" outlineLevel="0" collapsed="false">
      <c r="B7" s="11" t="s">
        <v>11</v>
      </c>
      <c r="C7" s="11"/>
      <c r="D7" s="12" t="n">
        <f aca="false">+D6+D5</f>
        <v>492861.743944089</v>
      </c>
      <c r="E7" s="13" t="n">
        <f aca="false">+D7/D$3</f>
        <v>0.0328754071789332</v>
      </c>
      <c r="F7" s="13" t="n">
        <f aca="false">+D7/D$24</f>
        <v>0.0373781896270232</v>
      </c>
      <c r="G7" s="12" t="n">
        <f aca="false">+D7/TUnits</f>
        <v>3678.07271600066</v>
      </c>
      <c r="H7" s="14" t="n">
        <f aca="false">+D7/TotalSF</f>
        <v>3.32652819530166</v>
      </c>
    </row>
    <row r="9" customFormat="false" ht="12.75" hidden="false" customHeight="false" outlineLevel="0" collapsed="false">
      <c r="B9" s="15" t="s">
        <v>12</v>
      </c>
      <c r="C9" s="16" t="n">
        <v>0.5</v>
      </c>
      <c r="D9" s="17" t="n">
        <f aca="false">D7*InvShare</f>
        <v>246430.871972044</v>
      </c>
      <c r="E9" s="5"/>
      <c r="F9" s="5"/>
      <c r="G9" s="4"/>
      <c r="H9" s="6"/>
    </row>
    <row r="10" customFormat="false" ht="12.75" hidden="false" customHeight="false" outlineLevel="0" collapsed="false">
      <c r="B10" s="2"/>
      <c r="D10" s="7"/>
      <c r="E10" s="8"/>
      <c r="F10" s="8"/>
      <c r="G10" s="9"/>
      <c r="H10" s="10"/>
    </row>
    <row r="11" customFormat="false" ht="12.75" hidden="false" customHeight="false" outlineLevel="0" collapsed="false">
      <c r="B11" s="18" t="s">
        <v>13</v>
      </c>
      <c r="C11" s="5" t="n">
        <v>0.8</v>
      </c>
      <c r="D11" s="4" t="n">
        <f aca="false">C11*Project_Value</f>
        <v>11993445.2221153</v>
      </c>
      <c r="E11" s="8"/>
      <c r="F11" s="8"/>
      <c r="G11" s="9"/>
      <c r="H11" s="10"/>
    </row>
    <row r="12" customFormat="false" ht="12.75" hidden="false" customHeight="false" outlineLevel="0" collapsed="false">
      <c r="B12" s="2"/>
      <c r="D12" s="7"/>
      <c r="E12" s="8"/>
      <c r="F12" s="8"/>
      <c r="G12" s="9"/>
      <c r="H12" s="10"/>
    </row>
    <row r="13" customFormat="false" ht="12.75" hidden="false" customHeight="false" outlineLevel="0" collapsed="false">
      <c r="B13" s="2" t="s">
        <v>14</v>
      </c>
      <c r="D13" s="7" t="n">
        <f aca="false">TotalCost-ConstProfit</f>
        <v>11321652.8700425</v>
      </c>
      <c r="E13" s="8"/>
      <c r="F13" s="8"/>
      <c r="G13" s="9"/>
      <c r="H13" s="10"/>
    </row>
    <row r="14" customFormat="false" ht="12.75" hidden="false" customHeight="false" outlineLevel="0" collapsed="false">
      <c r="B14" s="2" t="s">
        <v>15</v>
      </c>
      <c r="C14" s="19" t="n">
        <v>0.15</v>
      </c>
      <c r="D14" s="7" t="n">
        <f aca="false">+C14*D13</f>
        <v>1698247.93050638</v>
      </c>
      <c r="E14" s="8"/>
      <c r="F14" s="8"/>
      <c r="G14" s="9"/>
      <c r="H14" s="10"/>
    </row>
    <row r="15" customFormat="false" ht="12.75" hidden="false" customHeight="false" outlineLevel="0" collapsed="false">
      <c r="B15" s="2" t="s">
        <v>16</v>
      </c>
      <c r="D15" s="7" t="n">
        <f aca="false">+D13+D14</f>
        <v>13019900.8005489</v>
      </c>
      <c r="E15" s="8"/>
      <c r="F15" s="8"/>
      <c r="G15" s="9"/>
      <c r="H15" s="10"/>
    </row>
    <row r="16" customFormat="false" ht="12.75" hidden="false" customHeight="false" outlineLevel="0" collapsed="false">
      <c r="B16" s="2"/>
      <c r="D16" s="7"/>
      <c r="E16" s="8"/>
      <c r="F16" s="8"/>
      <c r="G16" s="9"/>
      <c r="H16" s="10"/>
    </row>
    <row r="17" customFormat="false" ht="12.75" hidden="false" customHeight="false" outlineLevel="0" collapsed="false">
      <c r="B17" s="20" t="s">
        <v>17</v>
      </c>
      <c r="C17" s="21"/>
      <c r="D17" s="17" t="n">
        <f aca="false">+D15-D11</f>
        <v>1026455.57843364</v>
      </c>
      <c r="E17" s="8"/>
      <c r="F17" s="8"/>
      <c r="G17" s="9"/>
      <c r="H17" s="10"/>
    </row>
    <row r="18" customFormat="false" ht="12.75" hidden="false" customHeight="false" outlineLevel="0" collapsed="false">
      <c r="B18" s="2"/>
      <c r="D18" s="4"/>
      <c r="E18" s="8"/>
      <c r="F18" s="8"/>
      <c r="G18" s="9"/>
      <c r="H18" s="10"/>
    </row>
    <row r="19" customFormat="false" ht="12.75" hidden="false" customHeight="false" outlineLevel="0" collapsed="false">
      <c r="B19" s="20" t="s">
        <v>18</v>
      </c>
      <c r="C19" s="21"/>
      <c r="D19" s="22" t="n">
        <f aca="false">+D9/D17</f>
        <v>0.240079431735463</v>
      </c>
      <c r="E19" s="8"/>
      <c r="F19" s="8"/>
      <c r="G19" s="9"/>
      <c r="H19" s="10"/>
    </row>
    <row r="20" customFormat="false" ht="12.75" hidden="false" customHeight="false" outlineLevel="0" collapsed="false">
      <c r="B20" s="2"/>
      <c r="D20" s="7"/>
      <c r="E20" s="8"/>
      <c r="F20" s="8"/>
      <c r="G20" s="9"/>
      <c r="H20" s="10"/>
    </row>
    <row r="21" customFormat="false" ht="12.75" hidden="false" customHeight="false" outlineLevel="0" collapsed="false">
      <c r="B21" s="18" t="s">
        <v>19</v>
      </c>
      <c r="D21" s="7"/>
      <c r="E21" s="8"/>
      <c r="F21" s="8"/>
      <c r="G21" s="9"/>
      <c r="H21" s="10"/>
    </row>
    <row r="22" customFormat="false" ht="12.75" hidden="false" customHeight="false" outlineLevel="0" collapsed="false">
      <c r="B22" s="2"/>
      <c r="D22" s="7"/>
      <c r="E22" s="8"/>
      <c r="F22" s="8"/>
      <c r="G22" s="9"/>
      <c r="H22" s="10"/>
    </row>
    <row r="23" customFormat="false" ht="12.75" hidden="false" customHeight="false" outlineLevel="0" collapsed="false">
      <c r="B23" s="23" t="s">
        <v>20</v>
      </c>
      <c r="E23" s="8"/>
      <c r="F23" s="8"/>
      <c r="G23" s="9"/>
      <c r="H23" s="10"/>
    </row>
    <row r="24" customFormat="false" ht="12.75" hidden="false" customHeight="false" outlineLevel="0" collapsed="false">
      <c r="B24" s="11" t="s">
        <v>21</v>
      </c>
      <c r="D24" s="7" t="n">
        <v>13185811</v>
      </c>
      <c r="E24" s="8" t="n">
        <f aca="false">+D24/D$3</f>
        <v>0.879534496105326</v>
      </c>
      <c r="F24" s="8" t="n">
        <f aca="false">+D24/D$24</f>
        <v>1</v>
      </c>
      <c r="G24" s="9" t="n">
        <f aca="false">+D24/TUnits</f>
        <v>98401.5746268657</v>
      </c>
      <c r="H24" s="10" t="n">
        <f aca="false">+D24/TotalSF</f>
        <v>88.9965038032951</v>
      </c>
    </row>
    <row r="25" customFormat="false" ht="12.75" hidden="false" customHeight="false" outlineLevel="0" collapsed="false">
      <c r="B25" s="24" t="s">
        <v>22</v>
      </c>
      <c r="C25" s="13" t="e">
        <f aca="false">LTC</f>
        <v>#REF!</v>
      </c>
      <c r="D25" s="7" t="e">
        <f aca="false">C25*D$24</f>
        <v>#REF!</v>
      </c>
      <c r="E25" s="8" t="e">
        <f aca="false">+D25/D$3</f>
        <v>#REF!</v>
      </c>
      <c r="F25" s="8" t="e">
        <f aca="false">+D25/D$24</f>
        <v>#REF!</v>
      </c>
      <c r="G25" s="9" t="e">
        <f aca="false">+D25/TUnits</f>
        <v>#REF!</v>
      </c>
      <c r="H25" s="10" t="e">
        <f aca="false">+D25/TotalSF</f>
        <v>#REF!</v>
      </c>
    </row>
    <row r="26" customFormat="false" ht="12.75" hidden="false" customHeight="false" outlineLevel="0" collapsed="false">
      <c r="B26" s="24" t="s">
        <v>23</v>
      </c>
      <c r="C26" s="13"/>
      <c r="D26" s="7" t="e">
        <f aca="false">+D24-D25</f>
        <v>#REF!</v>
      </c>
      <c r="E26" s="8" t="e">
        <f aca="false">+D26/D$3</f>
        <v>#REF!</v>
      </c>
      <c r="F26" s="8" t="e">
        <f aca="false">+D26/D$24</f>
        <v>#REF!</v>
      </c>
      <c r="G26" s="9" t="e">
        <f aca="false">+D26/TUnits</f>
        <v>#REF!</v>
      </c>
      <c r="H26" s="10" t="e">
        <f aca="false">+D26/TotalSF</f>
        <v>#REF!</v>
      </c>
    </row>
    <row r="27" customFormat="false" ht="12.75" hidden="false" customHeight="false" outlineLevel="0" collapsed="false">
      <c r="B27" s="24" t="s">
        <v>24</v>
      </c>
      <c r="C27" s="8" t="n">
        <f aca="false">Const_Profit</f>
        <v>0.15</v>
      </c>
      <c r="D27" s="7" t="n">
        <f aca="false">ConstProfit</f>
        <v>1401375.35776384</v>
      </c>
      <c r="E27" s="8" t="n">
        <f aca="false">+D27/D$3</f>
        <v>0.0934760834312917</v>
      </c>
      <c r="F27" s="8" t="n">
        <f aca="false">+D27/D$24</f>
        <v>0.106279041749032</v>
      </c>
      <c r="G27" s="9" t="n">
        <f aca="false">+D27/TUnits</f>
        <v>10458.0250579391</v>
      </c>
      <c r="H27" s="10" t="n">
        <f aca="false">+D27/TotalSF</f>
        <v>9.45846314322827</v>
      </c>
    </row>
    <row r="28" customFormat="false" ht="12.75" hidden="false" customHeight="false" outlineLevel="0" collapsed="false">
      <c r="B28" s="20" t="s">
        <v>25</v>
      </c>
      <c r="C28" s="25"/>
      <c r="D28" s="26" t="e">
        <f aca="false">+D26-D27</f>
        <v>#REF!</v>
      </c>
      <c r="E28" s="27" t="e">
        <f aca="false">+D28/D$3</f>
        <v>#REF!</v>
      </c>
      <c r="F28" s="27" t="e">
        <f aca="false">+D28/D$24</f>
        <v>#REF!</v>
      </c>
      <c r="G28" s="26" t="e">
        <f aca="false">+D28/TUnits</f>
        <v>#REF!</v>
      </c>
      <c r="H28" s="28" t="e">
        <f aca="false">+D28/TotalSF</f>
        <v>#REF!</v>
      </c>
    </row>
    <row r="29" customFormat="false" ht="12.75" hidden="false" customHeight="false" outlineLevel="0" collapsed="false">
      <c r="B29" s="20" t="s">
        <v>26</v>
      </c>
      <c r="C29" s="25"/>
      <c r="D29" s="26" t="e">
        <f aca="false">-(0.75*D15-D14-D25)</f>
        <v>#REF!</v>
      </c>
      <c r="E29" s="27" t="e">
        <f aca="false">+D29/D$3</f>
        <v>#REF!</v>
      </c>
      <c r="F29" s="27" t="e">
        <f aca="false">+D29/D$24</f>
        <v>#REF!</v>
      </c>
      <c r="G29" s="26" t="e">
        <f aca="false">+D29/TUnits</f>
        <v>#REF!</v>
      </c>
      <c r="H29" s="28" t="e">
        <f aca="false">+D29/TotalSF</f>
        <v>#REF!</v>
      </c>
    </row>
    <row r="31" customFormat="false" ht="12.75" hidden="false" customHeight="false" outlineLevel="0" collapsed="false">
      <c r="B31" s="23" t="s">
        <v>27</v>
      </c>
    </row>
    <row r="32" customFormat="false" ht="12.75" hidden="false" customHeight="false" outlineLevel="0" collapsed="false">
      <c r="B32" s="11" t="s">
        <v>21</v>
      </c>
      <c r="D32" s="7" t="n">
        <f aca="false">TotalCost</f>
        <v>12723028.2278064</v>
      </c>
      <c r="E32" s="8" t="n">
        <f aca="false">+D32/D$3</f>
        <v>0.848665449647165</v>
      </c>
      <c r="F32" s="8" t="n">
        <f aca="false">+D32/D$24</f>
        <v>0.96490297243047</v>
      </c>
      <c r="G32" s="9" t="n">
        <f aca="false">+D32/TUnits</f>
        <v>94947.9718493014</v>
      </c>
      <c r="H32" s="10" t="n">
        <f aca="false">+D32/TotalSF</f>
        <v>85.872991055719</v>
      </c>
    </row>
    <row r="33" customFormat="false" ht="12.75" hidden="false" customHeight="false" outlineLevel="0" collapsed="false">
      <c r="B33" s="24" t="s">
        <v>22</v>
      </c>
      <c r="C33" s="13" t="e">
        <f aca="false">LTC90</f>
        <v>#REF!</v>
      </c>
      <c r="D33" s="7" t="e">
        <f aca="false">C33*D$24</f>
        <v>#REF!</v>
      </c>
      <c r="E33" s="8" t="e">
        <f aca="false">+D33/D$3</f>
        <v>#REF!</v>
      </c>
      <c r="F33" s="8" t="e">
        <f aca="false">+D33/D$24</f>
        <v>#REF!</v>
      </c>
      <c r="G33" s="9" t="e">
        <f aca="false">+D33/TUnits</f>
        <v>#REF!</v>
      </c>
      <c r="H33" s="10" t="e">
        <f aca="false">+D33/TotalSF</f>
        <v>#REF!</v>
      </c>
    </row>
    <row r="34" customFormat="false" ht="12.75" hidden="false" customHeight="false" outlineLevel="0" collapsed="false">
      <c r="B34" s="24" t="s">
        <v>28</v>
      </c>
      <c r="C34" s="29"/>
      <c r="D34" s="7" t="e">
        <f aca="false">+D24-D33</f>
        <v>#REF!</v>
      </c>
      <c r="E34" s="8" t="e">
        <f aca="false">+D34/D$3</f>
        <v>#REF!</v>
      </c>
      <c r="F34" s="8" t="e">
        <f aca="false">+D34/D$24</f>
        <v>#REF!</v>
      </c>
      <c r="G34" s="9" t="e">
        <f aca="false">+D34/TUnits</f>
        <v>#REF!</v>
      </c>
      <c r="H34" s="10" t="e">
        <f aca="false">+D34/TotalSF</f>
        <v>#REF!</v>
      </c>
    </row>
    <row r="35" customFormat="false" ht="12.75" hidden="false" customHeight="false" outlineLevel="0" collapsed="false">
      <c r="B35" s="24" t="s">
        <v>24</v>
      </c>
      <c r="C35" s="8" t="n">
        <f aca="false">Const_Profit</f>
        <v>0.15</v>
      </c>
      <c r="D35" s="7" t="n">
        <f aca="false">ConstProfit</f>
        <v>1401375.35776384</v>
      </c>
      <c r="E35" s="8" t="n">
        <f aca="false">+D35/D$3</f>
        <v>0.0934760834312917</v>
      </c>
      <c r="F35" s="8" t="n">
        <f aca="false">+D35/D$24</f>
        <v>0.106279041749032</v>
      </c>
      <c r="G35" s="9" t="n">
        <f aca="false">+D35/TUnits</f>
        <v>10458.0250579391</v>
      </c>
      <c r="H35" s="10" t="n">
        <f aca="false">+D35/TotalSF</f>
        <v>9.45846314322827</v>
      </c>
    </row>
    <row r="36" customFormat="false" ht="12.75" hidden="false" customHeight="false" outlineLevel="0" collapsed="false">
      <c r="B36" s="20" t="s">
        <v>29</v>
      </c>
      <c r="C36" s="30"/>
      <c r="D36" s="31" t="e">
        <f aca="false">+IF(D34-D35&lt;0,0,D34-D35)</f>
        <v>#REF!</v>
      </c>
      <c r="E36" s="27" t="e">
        <f aca="false">+D36/D$3</f>
        <v>#REF!</v>
      </c>
      <c r="F36" s="27" t="e">
        <f aca="false">+D36/D$24</f>
        <v>#REF!</v>
      </c>
      <c r="G36" s="31" t="e">
        <f aca="false">+D36/TUnits</f>
        <v>#REF!</v>
      </c>
      <c r="H36" s="28" t="e">
        <f aca="false">+D36/TotalSF</f>
        <v>#REF!</v>
      </c>
    </row>
    <row r="37" customFormat="false" ht="12.75" hidden="false" customHeight="false" outlineLevel="0" collapsed="false">
      <c r="D37" s="9"/>
    </row>
    <row r="38" customFormat="false" ht="12.75" hidden="false" customHeight="false" outlineLevel="0" collapsed="false">
      <c r="B38" s="32" t="s">
        <v>30</v>
      </c>
      <c r="D38" s="9"/>
    </row>
    <row r="39" customFormat="false" ht="12.75" hidden="false" customHeight="true" outlineLevel="0" collapsed="false">
      <c r="B39" s="33" t="s">
        <v>31</v>
      </c>
      <c r="C39" s="33"/>
      <c r="D39" s="33"/>
      <c r="E39" s="33"/>
      <c r="F39" s="33"/>
      <c r="G39" s="33"/>
      <c r="H39" s="33"/>
    </row>
    <row r="40" customFormat="false" ht="12.75" hidden="false" customHeight="false" outlineLevel="0" collapsed="false">
      <c r="B40" s="33"/>
      <c r="C40" s="33"/>
      <c r="D40" s="33"/>
      <c r="E40" s="33"/>
      <c r="F40" s="33"/>
      <c r="G40" s="33"/>
      <c r="H40" s="33"/>
    </row>
    <row r="41" customFormat="false" ht="12.75" hidden="false" customHeight="true" outlineLevel="0" collapsed="false">
      <c r="B41" s="34" t="s">
        <v>32</v>
      </c>
      <c r="C41" s="34"/>
      <c r="D41" s="34"/>
      <c r="E41" s="34"/>
      <c r="F41" s="34"/>
      <c r="G41" s="34"/>
      <c r="H41" s="34"/>
    </row>
    <row r="42" customFormat="false" ht="12.75" hidden="false" customHeight="false" outlineLevel="0" collapsed="false">
      <c r="B42" s="0" t="s">
        <v>33</v>
      </c>
      <c r="D42" s="9"/>
    </row>
    <row r="43" customFormat="false" ht="12.75" hidden="false" customHeight="false" outlineLevel="0" collapsed="false">
      <c r="B43" s="0" t="s">
        <v>34</v>
      </c>
      <c r="D43" s="9"/>
    </row>
    <row r="44" customFormat="false" ht="12.75" hidden="false" customHeight="false" outlineLevel="0" collapsed="false">
      <c r="B44" s="0" t="s">
        <v>35</v>
      </c>
      <c r="D44" s="9"/>
    </row>
    <row r="46" customFormat="false" ht="12.75" hidden="false" customHeight="false" outlineLevel="0" collapsed="false">
      <c r="B46" s="35" t="s">
        <v>36</v>
      </c>
      <c r="D46" s="9"/>
    </row>
    <row r="47" customFormat="false" ht="12.75" hidden="false" customHeight="false" outlineLevel="0" collapsed="false">
      <c r="B47" s="36" t="s">
        <v>37</v>
      </c>
      <c r="C47" s="36"/>
      <c r="D47" s="36"/>
    </row>
    <row r="48" customFormat="false" ht="12.75" hidden="false" customHeight="false" outlineLevel="0" collapsed="false">
      <c r="B48" s="36" t="s">
        <v>38</v>
      </c>
      <c r="C48" s="36"/>
      <c r="D48" s="36"/>
    </row>
    <row r="49" customFormat="false" ht="12.75" hidden="false" customHeight="false" outlineLevel="0" collapsed="false">
      <c r="B49" s="0" t="s">
        <v>39</v>
      </c>
      <c r="D49" s="9"/>
    </row>
    <row r="50" customFormat="false" ht="12.75" hidden="false" customHeight="true" outlineLevel="0" collapsed="false">
      <c r="B50" s="37" t="s">
        <v>40</v>
      </c>
      <c r="C50" s="37"/>
      <c r="D50" s="37"/>
      <c r="E50" s="37"/>
      <c r="F50" s="37"/>
      <c r="G50" s="37"/>
      <c r="H50" s="37"/>
    </row>
    <row r="51" customFormat="false" ht="12.75" hidden="false" customHeight="false" outlineLevel="0" collapsed="false">
      <c r="B51" s="37"/>
      <c r="C51" s="37"/>
      <c r="D51" s="37"/>
      <c r="E51" s="37"/>
      <c r="F51" s="37"/>
      <c r="G51" s="37"/>
      <c r="H51" s="37"/>
    </row>
    <row r="52" customFormat="false" ht="12.75" hidden="false" customHeight="false" outlineLevel="0" collapsed="false">
      <c r="B52" s="37"/>
      <c r="C52" s="37"/>
      <c r="D52" s="37"/>
      <c r="E52" s="37"/>
      <c r="F52" s="37"/>
      <c r="G52" s="37"/>
      <c r="H52" s="37"/>
    </row>
  </sheetData>
  <mergeCells count="5">
    <mergeCell ref="B39:H40"/>
    <mergeCell ref="B41:H41"/>
    <mergeCell ref="B47:D47"/>
    <mergeCell ref="B48:D48"/>
    <mergeCell ref="B50:H52"/>
  </mergeCells>
  <printOptions headings="false" gridLines="false" gridLinesSet="true" horizontalCentered="true" verticalCentered="false"/>
  <pageMargins left="0.747916666666667" right="0.747916666666667" top="1.35972222222222" bottom="0.984027777777778" header="0.490277777777778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 Condensed,Bold"&amp;14&amp;UPROJECT SUMMARY
&amp;UEQUITY &amp;&amp; RETURN ON EQUITY</oddHeader>
    <oddFooter>&amp;L&amp;8 &amp;F
 &amp;A&amp;C&amp;8 &amp;R&amp;8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88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pane xSplit="3675" ySplit="1275" topLeftCell="P5" activePane="bottomRight" state="split"/>
      <selection pane="topLeft" activeCell="A2" activeCellId="0" sqref="A2"/>
      <selection pane="topRight" activeCell="P2" activeCellId="0" sqref="P2"/>
      <selection pane="bottomLeft" activeCell="A5" activeCellId="0" sqref="A5"/>
      <selection pane="bottomRight" activeCell="V32" activeCellId="0" sqref="V32"/>
    </sheetView>
  </sheetViews>
  <sheetFormatPr defaultColWidth="9.32421875" defaultRowHeight="12.75" customHeight="true" zeroHeight="false" outlineLevelRow="0" outlineLevelCol="0"/>
  <cols>
    <col collapsed="false" customWidth="false" hidden="false" outlineLevel="0" max="1" min="1" style="38" width="9.32"/>
    <col collapsed="false" customWidth="true" hidden="false" outlineLevel="0" max="2" min="2" style="38" width="27.15"/>
    <col collapsed="false" customWidth="true" hidden="false" outlineLevel="0" max="3" min="3" style="38" width="18.82"/>
    <col collapsed="false" customWidth="false" hidden="false" outlineLevel="0" max="4" min="4" style="38" width="9.32"/>
    <col collapsed="false" customWidth="true" hidden="false" outlineLevel="0" max="5" min="5" style="38" width="0.99"/>
    <col collapsed="false" customWidth="true" hidden="false" outlineLevel="0" max="6" min="6" style="38" width="11.49"/>
    <col collapsed="false" customWidth="true" hidden="false" outlineLevel="0" max="7" min="7" style="38" width="12.15"/>
    <col collapsed="false" customWidth="true" hidden="false" outlineLevel="0" max="8" min="8" style="38" width="11.49"/>
    <col collapsed="false" customWidth="true" hidden="false" outlineLevel="0" max="9" min="9" style="38" width="10.49"/>
    <col collapsed="false" customWidth="true" hidden="false" outlineLevel="0" max="10" min="10" style="38" width="0.99"/>
    <col collapsed="false" customWidth="true" hidden="false" outlineLevel="0" max="11" min="11" style="38" width="12.49"/>
    <col collapsed="false" customWidth="true" hidden="false" outlineLevel="0" max="12" min="12" style="38" width="12.15"/>
    <col collapsed="false" customWidth="true" hidden="false" outlineLevel="0" max="13" min="13" style="38" width="11.49"/>
    <col collapsed="false" customWidth="true" hidden="false" outlineLevel="0" max="14" min="14" style="38" width="8.99"/>
    <col collapsed="false" customWidth="true" hidden="false" outlineLevel="0" max="15" min="15" style="38" width="0.99"/>
    <col collapsed="false" customWidth="true" hidden="false" outlineLevel="0" max="16" min="16" style="38" width="11.49"/>
    <col collapsed="false" customWidth="true" hidden="false" outlineLevel="0" max="17" min="17" style="38" width="12.49"/>
    <col collapsed="false" customWidth="true" hidden="false" outlineLevel="0" max="19" min="18" style="38" width="9.99"/>
    <col collapsed="false" customWidth="true" hidden="false" outlineLevel="0" max="20" min="20" style="38" width="7.32"/>
    <col collapsed="false" customWidth="true" hidden="false" outlineLevel="0" max="24" min="21" style="38" width="12.82"/>
    <col collapsed="false" customWidth="false" hidden="false" outlineLevel="0" max="257" min="25" style="38" width="9.32"/>
  </cols>
  <sheetData>
    <row r="1" customFormat="false" ht="12.75" hidden="false" customHeight="false" outlineLevel="0" collapsed="false">
      <c r="B1" s="38" t="s">
        <v>41</v>
      </c>
      <c r="C1" s="38" t="n">
        <v>0</v>
      </c>
    </row>
    <row r="2" customFormat="false" ht="12.75" hidden="false" customHeight="false" outlineLevel="0" collapsed="false">
      <c r="B2" s="38" t="s">
        <v>42</v>
      </c>
      <c r="C2" s="38" t="n">
        <v>575</v>
      </c>
    </row>
    <row r="3" customFormat="false" ht="12.75" hidden="false" customHeight="false" outlineLevel="0" collapsed="false">
      <c r="B3" s="38" t="s">
        <v>43</v>
      </c>
      <c r="C3" s="38" t="n">
        <f aca="false">475</f>
        <v>475</v>
      </c>
      <c r="T3" s="39"/>
    </row>
    <row r="4" customFormat="false" ht="12.75" hidden="false" customHeight="false" outlineLevel="0" collapsed="false">
      <c r="B4" s="38" t="s">
        <v>44</v>
      </c>
      <c r="C4" s="38" t="n">
        <v>75</v>
      </c>
      <c r="T4" s="39"/>
    </row>
    <row r="5" customFormat="false" ht="12.75" hidden="false" customHeight="false" outlineLevel="0" collapsed="false">
      <c r="A5" s="40"/>
      <c r="B5" s="41" t="s">
        <v>45</v>
      </c>
      <c r="C5" s="42"/>
      <c r="D5" s="42"/>
      <c r="E5" s="43"/>
      <c r="F5" s="43"/>
      <c r="G5" s="44" t="s">
        <v>46</v>
      </c>
      <c r="H5" s="44"/>
      <c r="I5" s="44"/>
      <c r="J5" s="45"/>
      <c r="K5" s="45"/>
      <c r="L5" s="44" t="s">
        <v>47</v>
      </c>
      <c r="M5" s="44"/>
      <c r="N5" s="44"/>
      <c r="O5" s="45"/>
      <c r="P5" s="45"/>
      <c r="Q5" s="44" t="s">
        <v>48</v>
      </c>
      <c r="R5" s="44"/>
      <c r="S5" s="44"/>
      <c r="T5" s="45"/>
      <c r="U5" s="45"/>
      <c r="V5" s="45" t="s">
        <v>48</v>
      </c>
      <c r="W5" s="45"/>
      <c r="X5" s="45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  <c r="IU5" s="40"/>
      <c r="IV5" s="40"/>
      <c r="IW5" s="40"/>
    </row>
    <row r="6" customFormat="false" ht="12.75" hidden="false" customHeight="false" outlineLevel="0" collapsed="false">
      <c r="B6" s="46"/>
      <c r="C6" s="46"/>
      <c r="D6" s="46"/>
      <c r="E6" s="46"/>
      <c r="F6" s="47" t="s">
        <v>49</v>
      </c>
      <c r="G6" s="48" t="s">
        <v>50</v>
      </c>
      <c r="H6" s="48" t="s">
        <v>51</v>
      </c>
      <c r="I6" s="48" t="s">
        <v>6</v>
      </c>
      <c r="J6" s="48"/>
      <c r="K6" s="47" t="s">
        <v>49</v>
      </c>
      <c r="L6" s="48" t="s">
        <v>50</v>
      </c>
      <c r="M6" s="48" t="s">
        <v>51</v>
      </c>
      <c r="N6" s="48" t="s">
        <v>6</v>
      </c>
      <c r="O6" s="49"/>
      <c r="P6" s="47" t="s">
        <v>49</v>
      </c>
      <c r="Q6" s="48" t="s">
        <v>50</v>
      </c>
      <c r="R6" s="50" t="s">
        <v>52</v>
      </c>
      <c r="S6" s="50" t="s">
        <v>53</v>
      </c>
      <c r="T6" s="50" t="s">
        <v>54</v>
      </c>
      <c r="U6" s="51"/>
      <c r="V6" s="50" t="s">
        <v>55</v>
      </c>
      <c r="W6" s="50" t="s">
        <v>56</v>
      </c>
      <c r="X6" s="50" t="s">
        <v>57</v>
      </c>
    </row>
    <row r="7" customFormat="false" ht="12.75" hidden="false" customHeight="false" outlineLevel="0" collapsed="false">
      <c r="B7" s="52"/>
      <c r="C7" s="52"/>
      <c r="D7" s="52"/>
      <c r="E7" s="52"/>
      <c r="F7" s="53" t="s">
        <v>58</v>
      </c>
      <c r="G7" s="54" t="s">
        <v>58</v>
      </c>
      <c r="H7" s="55" t="s">
        <v>59</v>
      </c>
      <c r="I7" s="55" t="s">
        <v>59</v>
      </c>
      <c r="J7" s="56"/>
      <c r="K7" s="53" t="s">
        <v>58</v>
      </c>
      <c r="L7" s="54" t="s">
        <v>58</v>
      </c>
      <c r="M7" s="55" t="s">
        <v>59</v>
      </c>
      <c r="N7" s="55" t="s">
        <v>59</v>
      </c>
      <c r="O7" s="52"/>
      <c r="P7" s="53" t="s">
        <v>58</v>
      </c>
      <c r="Q7" s="54" t="s">
        <v>58</v>
      </c>
      <c r="R7" s="46"/>
      <c r="S7" s="51"/>
      <c r="T7" s="51"/>
      <c r="U7" s="51"/>
      <c r="V7" s="51"/>
      <c r="X7" s="57"/>
    </row>
    <row r="8" customFormat="false" ht="12.95" hidden="false" customHeight="true" outlineLevel="0" collapsed="false">
      <c r="B8" s="52"/>
      <c r="C8" s="52"/>
      <c r="D8" s="52"/>
      <c r="E8" s="52"/>
      <c r="F8" s="52"/>
      <c r="G8" s="53"/>
      <c r="H8" s="54"/>
      <c r="I8" s="56"/>
      <c r="J8" s="56"/>
      <c r="K8" s="52"/>
      <c r="L8" s="54"/>
      <c r="M8" s="52"/>
      <c r="N8" s="56"/>
      <c r="O8" s="52"/>
      <c r="P8" s="52"/>
      <c r="Q8" s="52"/>
      <c r="R8" s="46"/>
      <c r="S8" s="51"/>
      <c r="T8" s="51"/>
      <c r="U8" s="51"/>
      <c r="V8" s="51"/>
      <c r="X8" s="57"/>
    </row>
    <row r="9" customFormat="false" ht="12.95" hidden="false" customHeight="true" outlineLevel="0" collapsed="false">
      <c r="B9" s="52" t="s">
        <v>60</v>
      </c>
      <c r="C9" s="52"/>
      <c r="D9" s="52"/>
      <c r="E9" s="52"/>
      <c r="F9" s="52"/>
      <c r="G9" s="58" t="n">
        <f aca="false">H9*H12</f>
        <v>74168</v>
      </c>
      <c r="H9" s="52" t="n">
        <f aca="false">+'UCost Final'!N11</f>
        <v>1016</v>
      </c>
      <c r="I9" s="52"/>
      <c r="J9" s="52"/>
      <c r="K9" s="52"/>
      <c r="L9" s="58" t="n">
        <f aca="false">M9*M12</f>
        <v>73993</v>
      </c>
      <c r="M9" s="52" t="n">
        <f aca="false">+'UCost Final'!Q11</f>
        <v>1213</v>
      </c>
      <c r="N9" s="52"/>
      <c r="O9" s="52"/>
      <c r="P9" s="52"/>
      <c r="Q9" s="52" t="n">
        <f aca="false">+L9+G9</f>
        <v>148161</v>
      </c>
      <c r="R9" s="49"/>
      <c r="S9" s="51"/>
      <c r="T9" s="51"/>
      <c r="U9" s="51" t="n">
        <f aca="false">1050000/T36/12</f>
        <v>122882.122084689</v>
      </c>
      <c r="V9" s="51" t="n">
        <f aca="false">+TotalSF</f>
        <v>148161</v>
      </c>
      <c r="X9" s="57"/>
    </row>
    <row r="10" customFormat="false" ht="12.75" hidden="true" customHeight="true" outlineLevel="0" collapsed="false">
      <c r="B10" s="52" t="s">
        <v>61</v>
      </c>
      <c r="C10" s="52"/>
      <c r="D10" s="52"/>
      <c r="E10" s="52"/>
      <c r="F10" s="52"/>
      <c r="G10" s="58"/>
      <c r="H10" s="59" t="s">
        <v>62</v>
      </c>
      <c r="I10" s="52"/>
      <c r="J10" s="52"/>
      <c r="K10" s="52"/>
      <c r="L10" s="58"/>
      <c r="M10" s="59" t="s">
        <v>63</v>
      </c>
      <c r="N10" s="52"/>
      <c r="O10" s="60"/>
      <c r="P10" s="60"/>
      <c r="Q10" s="52"/>
      <c r="R10" s="61"/>
      <c r="T10" s="51"/>
      <c r="U10" s="51"/>
      <c r="V10" s="51"/>
      <c r="X10" s="57"/>
    </row>
    <row r="11" customFormat="false" ht="13.5" hidden="true" customHeight="true" outlineLevel="0" collapsed="false">
      <c r="B11" s="52" t="s">
        <v>64</v>
      </c>
      <c r="C11" s="52"/>
      <c r="D11" s="52"/>
      <c r="E11" s="52"/>
      <c r="F11" s="52"/>
      <c r="G11" s="62" t="n">
        <v>15.83</v>
      </c>
      <c r="H11" s="52" t="s">
        <v>65</v>
      </c>
      <c r="I11" s="52"/>
      <c r="J11" s="52"/>
      <c r="K11" s="52"/>
      <c r="L11" s="52" t="n">
        <v>26</v>
      </c>
      <c r="M11" s="52" t="s">
        <v>65</v>
      </c>
      <c r="N11" s="52"/>
      <c r="O11" s="52"/>
      <c r="P11" s="52"/>
      <c r="Q11" s="52"/>
      <c r="R11" s="46"/>
      <c r="S11" s="51"/>
      <c r="T11" s="51"/>
      <c r="U11" s="51"/>
      <c r="V11" s="51"/>
      <c r="X11" s="57"/>
    </row>
    <row r="12" customFormat="false" ht="12.75" hidden="false" customHeight="false" outlineLevel="0" collapsed="false">
      <c r="B12" s="52" t="s">
        <v>66</v>
      </c>
      <c r="C12" s="52"/>
      <c r="D12" s="52"/>
      <c r="E12" s="52"/>
      <c r="F12" s="52"/>
      <c r="G12" s="58"/>
      <c r="H12" s="52" t="n">
        <f aca="false">+'UCost Final'!N8+1</f>
        <v>73</v>
      </c>
      <c r="I12" s="52"/>
      <c r="J12" s="52"/>
      <c r="K12" s="52"/>
      <c r="L12" s="58"/>
      <c r="M12" s="52" t="n">
        <f aca="false">+'UCost Final'!Q8</f>
        <v>61</v>
      </c>
      <c r="N12" s="52"/>
      <c r="O12" s="52"/>
      <c r="P12" s="52"/>
      <c r="Q12" s="52" t="n">
        <f aca="false">+M12+H12</f>
        <v>134</v>
      </c>
      <c r="R12" s="49"/>
      <c r="S12" s="51"/>
      <c r="T12" s="51"/>
      <c r="U12" s="63" t="n">
        <f aca="false">+U9/TotalSF</f>
        <v>0.829382375150606</v>
      </c>
      <c r="V12" s="51" t="n">
        <f aca="false">+TUnits</f>
        <v>134</v>
      </c>
      <c r="X12" s="57"/>
    </row>
    <row r="13" customFormat="false" ht="12.75" hidden="true" customHeight="false" outlineLevel="0" collapsed="false">
      <c r="B13" s="52" t="s">
        <v>67</v>
      </c>
      <c r="C13" s="52"/>
      <c r="D13" s="52"/>
      <c r="E13" s="52"/>
      <c r="F13" s="52"/>
      <c r="G13" s="58"/>
      <c r="H13" s="64" t="n">
        <f aca="false">+H12/$Q12</f>
        <v>0.544776119402985</v>
      </c>
      <c r="I13" s="65"/>
      <c r="J13" s="65"/>
      <c r="K13" s="52"/>
      <c r="L13" s="58"/>
      <c r="M13" s="64" t="n">
        <f aca="false">+M12/$Q12</f>
        <v>0.455223880597015</v>
      </c>
      <c r="N13" s="65"/>
      <c r="O13" s="65"/>
      <c r="P13" s="65"/>
      <c r="Q13" s="64" t="n">
        <f aca="false">+Q12/$Q12</f>
        <v>1</v>
      </c>
      <c r="R13" s="49"/>
      <c r="S13" s="51"/>
      <c r="T13" s="51"/>
      <c r="U13" s="51"/>
      <c r="V13" s="51"/>
      <c r="X13" s="49"/>
    </row>
    <row r="14" customFormat="false" ht="12.75" hidden="false" customHeight="false" outlineLevel="0" collapsed="false">
      <c r="B14" s="46"/>
      <c r="C14" s="46"/>
      <c r="D14" s="46"/>
      <c r="E14" s="46"/>
      <c r="F14" s="46"/>
      <c r="G14" s="51"/>
      <c r="H14" s="66" t="s">
        <v>68</v>
      </c>
      <c r="I14" s="67"/>
      <c r="J14" s="67"/>
      <c r="K14" s="46"/>
      <c r="L14" s="51"/>
      <c r="M14" s="67"/>
      <c r="N14" s="67"/>
      <c r="O14" s="67"/>
      <c r="P14" s="67"/>
      <c r="Q14" s="46"/>
      <c r="R14" s="49"/>
      <c r="S14" s="51"/>
      <c r="T14" s="51"/>
      <c r="U14" s="51"/>
      <c r="V14" s="67"/>
      <c r="X14" s="49"/>
    </row>
    <row r="15" customFormat="false" ht="12.75" hidden="false" customHeight="false" outlineLevel="0" collapsed="false">
      <c r="B15" s="68" t="s">
        <v>69</v>
      </c>
      <c r="C15" s="46"/>
      <c r="D15" s="46"/>
      <c r="E15" s="46"/>
      <c r="F15" s="46"/>
      <c r="G15" s="69"/>
      <c r="H15" s="69"/>
      <c r="I15" s="69"/>
      <c r="J15" s="46"/>
      <c r="K15" s="46"/>
      <c r="L15" s="69"/>
      <c r="M15" s="69"/>
      <c r="N15" s="69"/>
      <c r="O15" s="46"/>
      <c r="P15" s="46"/>
      <c r="Q15" s="69"/>
      <c r="R15" s="70"/>
      <c r="S15" s="70"/>
      <c r="T15" s="51"/>
      <c r="U15" s="51"/>
      <c r="V15" s="46"/>
      <c r="X15" s="70"/>
    </row>
    <row r="16" customFormat="false" ht="12.75" hidden="false" customHeight="false" outlineLevel="0" collapsed="false">
      <c r="B16" s="71" t="s">
        <v>70</v>
      </c>
      <c r="C16" s="46"/>
      <c r="D16" s="46"/>
      <c r="E16" s="46"/>
      <c r="F16" s="70" t="n">
        <f aca="false">12*G16</f>
        <v>1007400</v>
      </c>
      <c r="G16" s="70" t="n">
        <f aca="false">H16*H$12</f>
        <v>83950</v>
      </c>
      <c r="H16" s="70" t="n">
        <f aca="false">2*Two_Bedroom_Rate+Internet</f>
        <v>1150</v>
      </c>
      <c r="I16" s="72" t="n">
        <f aca="false">+H16/H$9</f>
        <v>1.13188976377953</v>
      </c>
      <c r="J16" s="46"/>
      <c r="K16" s="70" t="n">
        <f aca="false">12*L16</f>
        <v>1098000</v>
      </c>
      <c r="L16" s="70" t="n">
        <f aca="false">M16*M$12</f>
        <v>91500</v>
      </c>
      <c r="M16" s="70" t="n">
        <f aca="false">3*Three_Bedroom_Rate+Internet+Garage_Rate</f>
        <v>1500</v>
      </c>
      <c r="N16" s="72" t="n">
        <f aca="false">+M16/M$9</f>
        <v>1.23660346248969</v>
      </c>
      <c r="O16" s="46"/>
      <c r="P16" s="69" t="n">
        <f aca="false">+K16+F16</f>
        <v>2105400</v>
      </c>
      <c r="Q16" s="69" t="n">
        <f aca="false">+L16+G16</f>
        <v>175450</v>
      </c>
      <c r="R16" s="70" t="n">
        <f aca="false">+Q16/Q$12</f>
        <v>1309.32835820896</v>
      </c>
      <c r="S16" s="72" t="n">
        <f aca="false">+Q16/Q$9</f>
        <v>1.18418477197103</v>
      </c>
      <c r="T16" s="19" t="n">
        <f aca="false">P16/P$16</f>
        <v>1</v>
      </c>
      <c r="U16" s="51"/>
      <c r="V16" s="69" t="n">
        <f aca="false">Q16*12</f>
        <v>2105400</v>
      </c>
      <c r="W16" s="69" t="n">
        <f aca="false">+V16/TUnits</f>
        <v>15711.9402985075</v>
      </c>
      <c r="X16" s="67" t="n">
        <f aca="false">+Q16/Q$20</f>
        <v>1.03561304020576</v>
      </c>
    </row>
    <row r="17" customFormat="false" ht="12.75" hidden="false" customHeight="false" outlineLevel="0" collapsed="false">
      <c r="B17" s="71" t="s">
        <v>71</v>
      </c>
      <c r="C17" s="19" t="n">
        <v>0.05</v>
      </c>
      <c r="D17" s="46"/>
      <c r="E17" s="46"/>
      <c r="F17" s="46" t="n">
        <f aca="false">12*G17</f>
        <v>-50370</v>
      </c>
      <c r="G17" s="46" t="n">
        <f aca="false">H17*H$12</f>
        <v>-4197.5</v>
      </c>
      <c r="H17" s="46" t="n">
        <f aca="false">-$C17*H$16</f>
        <v>-57.5</v>
      </c>
      <c r="I17" s="73" t="n">
        <f aca="false">+H17/H$9</f>
        <v>-0.0565944881889764</v>
      </c>
      <c r="J17" s="46"/>
      <c r="K17" s="46" t="n">
        <f aca="false">12*L17</f>
        <v>-54900</v>
      </c>
      <c r="L17" s="46" t="n">
        <f aca="false">M17*M$12</f>
        <v>-4575</v>
      </c>
      <c r="M17" s="46" t="n">
        <f aca="false">-$C17*M$16</f>
        <v>-75</v>
      </c>
      <c r="N17" s="73" t="n">
        <f aca="false">+M17/M$9</f>
        <v>-0.0618301731244848</v>
      </c>
      <c r="O17" s="46"/>
      <c r="P17" s="46" t="n">
        <f aca="false">K17+F17</f>
        <v>-105270</v>
      </c>
      <c r="Q17" s="46" t="n">
        <f aca="false">L17+G17</f>
        <v>-8772.5</v>
      </c>
      <c r="R17" s="46" t="n">
        <f aca="false">+Q17/Q$12</f>
        <v>-65.4664179104478</v>
      </c>
      <c r="S17" s="73" t="n">
        <f aca="false">+Q17/Q$9</f>
        <v>-0.0592092385985516</v>
      </c>
      <c r="T17" s="19" t="n">
        <f aca="false">P17/P$16</f>
        <v>-0.05</v>
      </c>
      <c r="U17" s="51"/>
      <c r="V17" s="46" t="n">
        <f aca="false">12*Q17</f>
        <v>-105270</v>
      </c>
      <c r="W17" s="46" t="n">
        <f aca="false">+V17/TUnits</f>
        <v>-785.597014925373</v>
      </c>
      <c r="X17" s="67" t="n">
        <f aca="false">+Q17/Q$20</f>
        <v>-0.051780652010288</v>
      </c>
    </row>
    <row r="18" customFormat="false" ht="12.75" hidden="false" customHeight="false" outlineLevel="0" collapsed="false">
      <c r="B18" s="71" t="s">
        <v>72</v>
      </c>
      <c r="C18" s="74" t="n">
        <f aca="false">1/6</f>
        <v>0.166666666666667</v>
      </c>
      <c r="D18" s="46"/>
      <c r="E18" s="46"/>
      <c r="F18" s="46" t="n">
        <f aca="false">12*G18</f>
        <v>13991.6666666667</v>
      </c>
      <c r="G18" s="75" t="n">
        <f aca="false">H18*H$12</f>
        <v>1165.97222222222</v>
      </c>
      <c r="H18" s="46" t="n">
        <f aca="false">($C18*H$16)/12</f>
        <v>15.9722222222222</v>
      </c>
      <c r="I18" s="76" t="n">
        <f aca="false">+H18/H$9</f>
        <v>0.0157206911636046</v>
      </c>
      <c r="J18" s="46"/>
      <c r="K18" s="46" t="n">
        <f aca="false">12*L18</f>
        <v>15250</v>
      </c>
      <c r="L18" s="75" t="n">
        <f aca="false">M18*M$12</f>
        <v>1270.83333333333</v>
      </c>
      <c r="M18" s="46" t="n">
        <f aca="false">($C18*M$16)/12</f>
        <v>20.8333333333333</v>
      </c>
      <c r="N18" s="76" t="n">
        <f aca="false">+M18/M$9</f>
        <v>0.0171750480901347</v>
      </c>
      <c r="O18" s="46"/>
      <c r="P18" s="46" t="n">
        <f aca="false">K18+F18</f>
        <v>29241.6666666667</v>
      </c>
      <c r="Q18" s="46" t="n">
        <f aca="false">L18+G18</f>
        <v>2436.80555555556</v>
      </c>
      <c r="R18" s="75" t="n">
        <f aca="false">+Q18/Q$12</f>
        <v>18.1851160862355</v>
      </c>
      <c r="S18" s="73" t="n">
        <f aca="false">+Q18/Q$9</f>
        <v>0.0164470107218199</v>
      </c>
      <c r="T18" s="19" t="n">
        <f aca="false">P18/P$16</f>
        <v>0.0138888888888889</v>
      </c>
      <c r="U18" s="51"/>
      <c r="V18" s="46" t="n">
        <f aca="false">12*Q18</f>
        <v>29241.6666666667</v>
      </c>
      <c r="W18" s="46" t="n">
        <f aca="false">+V18/TUnits</f>
        <v>218.221393034826</v>
      </c>
      <c r="X18" s="67" t="n">
        <f aca="false">+Q18/Q$20</f>
        <v>0.0143835144473022</v>
      </c>
    </row>
    <row r="19" customFormat="false" ht="12.75" hidden="false" customHeight="false" outlineLevel="0" collapsed="false">
      <c r="B19" s="77" t="s">
        <v>73</v>
      </c>
      <c r="C19" s="46" t="n">
        <v>300</v>
      </c>
      <c r="D19" s="46"/>
      <c r="E19" s="46"/>
      <c r="F19" s="78" t="n">
        <f aca="false">12*G19</f>
        <v>1975.93984962406</v>
      </c>
      <c r="G19" s="79" t="n">
        <f aca="false">H19*H$12</f>
        <v>164.661654135338</v>
      </c>
      <c r="H19" s="78" t="n">
        <f aca="false">$C19/SM134Units</f>
        <v>2.25563909774436</v>
      </c>
      <c r="I19" s="80" t="n">
        <f aca="false">+H19/H$9</f>
        <v>0.00222011722218933</v>
      </c>
      <c r="J19" s="46"/>
      <c r="K19" s="78" t="n">
        <f aca="false">12*L19</f>
        <v>1651.12781954887</v>
      </c>
      <c r="L19" s="79" t="n">
        <f aca="false">M19*M$12</f>
        <v>137.593984962406</v>
      </c>
      <c r="M19" s="78" t="n">
        <f aca="false">$C19/SM134Units</f>
        <v>2.25563909774436</v>
      </c>
      <c r="N19" s="80" t="n">
        <f aca="false">+M19/M$9</f>
        <v>0.00185955407893187</v>
      </c>
      <c r="O19" s="46"/>
      <c r="P19" s="78" t="n">
        <f aca="false">K19+F19</f>
        <v>3627.06766917293</v>
      </c>
      <c r="Q19" s="78" t="n">
        <f aca="false">L19+G19</f>
        <v>302.255639097744</v>
      </c>
      <c r="R19" s="79" t="n">
        <f aca="false">+Q19/Q$12</f>
        <v>2.25563909774436</v>
      </c>
      <c r="S19" s="81" t="n">
        <f aca="false">+Q19/Q$9</f>
        <v>0.00204004858969462</v>
      </c>
      <c r="T19" s="19" t="n">
        <f aca="false">P19/P$16</f>
        <v>0.00172274516442146</v>
      </c>
      <c r="U19" s="51"/>
      <c r="V19" s="78" t="n">
        <f aca="false">12*Q19</f>
        <v>3627.06766917293</v>
      </c>
      <c r="W19" s="78" t="n">
        <f aca="false">+V19/TUnits</f>
        <v>27.0676691729323</v>
      </c>
      <c r="X19" s="82" t="n">
        <f aca="false">+Q19/Q$20</f>
        <v>0.00178409735722627</v>
      </c>
    </row>
    <row r="20" customFormat="false" ht="12.75" hidden="false" customHeight="false" outlineLevel="0" collapsed="false">
      <c r="B20" s="68" t="s">
        <v>74</v>
      </c>
      <c r="C20" s="46"/>
      <c r="D20" s="46"/>
      <c r="E20" s="46"/>
      <c r="F20" s="69" t="n">
        <f aca="false">12*G20</f>
        <v>972997.606516291</v>
      </c>
      <c r="G20" s="69" t="n">
        <f aca="false">SUM(G15:G19)</f>
        <v>81083.1338763576</v>
      </c>
      <c r="H20" s="69" t="n">
        <f aca="false">SUM(H15:H19)</f>
        <v>1110.72786131997</v>
      </c>
      <c r="I20" s="83" t="n">
        <f aca="false">+H20/H$9</f>
        <v>1.09323608397634</v>
      </c>
      <c r="J20" s="46"/>
      <c r="K20" s="69" t="n">
        <f aca="false">12*L20</f>
        <v>1060001.12781955</v>
      </c>
      <c r="L20" s="69" t="n">
        <f aca="false">SUM(L15:L19)</f>
        <v>88333.4273182957</v>
      </c>
      <c r="M20" s="69" t="n">
        <f aca="false">SUM(M15:M19)</f>
        <v>1448.08897243108</v>
      </c>
      <c r="N20" s="83" t="n">
        <f aca="false">+M20/M$9</f>
        <v>1.19380789153428</v>
      </c>
      <c r="O20" s="46"/>
      <c r="P20" s="69" t="n">
        <f aca="false">SUM(P15:P19)</f>
        <v>2032998.73433584</v>
      </c>
      <c r="Q20" s="69" t="n">
        <f aca="false">SUM(Q15:Q19)</f>
        <v>169416.561194653</v>
      </c>
      <c r="R20" s="70" t="n">
        <f aca="false">+Q20/Q$12</f>
        <v>1264.30269548249</v>
      </c>
      <c r="S20" s="72" t="n">
        <f aca="false">+Q20/Q$9</f>
        <v>1.14346259268399</v>
      </c>
      <c r="T20" s="19" t="n">
        <f aca="false">P20/P$16</f>
        <v>0.96561163405331</v>
      </c>
      <c r="U20" s="51"/>
      <c r="V20" s="69" t="n">
        <f aca="false">SUM(V15:V19)</f>
        <v>2032998.73433584</v>
      </c>
      <c r="W20" s="69" t="n">
        <f aca="false">+V20/TUnits</f>
        <v>15171.6323457898</v>
      </c>
      <c r="X20" s="67" t="n">
        <f aca="false">+Q20/Q$20</f>
        <v>1</v>
      </c>
    </row>
    <row r="21" customFormat="false" ht="12.75" hidden="false" customHeight="false" outlineLevel="0" collapsed="false">
      <c r="B21" s="68"/>
      <c r="C21" s="68"/>
      <c r="D21" s="68"/>
      <c r="E21" s="46"/>
      <c r="F21" s="46"/>
      <c r="G21" s="68"/>
      <c r="H21" s="68"/>
      <c r="I21" s="68"/>
      <c r="J21" s="46"/>
      <c r="K21" s="46"/>
      <c r="L21" s="68"/>
      <c r="M21" s="68"/>
      <c r="N21" s="68"/>
      <c r="O21" s="46"/>
      <c r="P21" s="68"/>
      <c r="Q21" s="68"/>
      <c r="R21" s="68"/>
      <c r="S21" s="49"/>
      <c r="T21" s="51"/>
      <c r="U21" s="51"/>
      <c r="V21" s="68"/>
      <c r="W21" s="68" t="n">
        <f aca="false">+V21/TUnits</f>
        <v>0</v>
      </c>
      <c r="X21" s="57"/>
    </row>
    <row r="22" customFormat="false" ht="12.75" hidden="false" customHeight="false" outlineLevel="0" collapsed="false">
      <c r="B22" s="68" t="s">
        <v>75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51"/>
      <c r="U22" s="51"/>
      <c r="V22" s="46"/>
      <c r="W22" s="46" t="n">
        <f aca="false">+V22/TUnits</f>
        <v>0</v>
      </c>
      <c r="X22" s="46"/>
    </row>
    <row r="23" customFormat="false" ht="12.75" hidden="false" customHeight="false" outlineLevel="0" collapsed="false">
      <c r="B23" s="71" t="s">
        <v>76</v>
      </c>
      <c r="C23" s="46" t="n">
        <v>0.05</v>
      </c>
      <c r="D23" s="46"/>
      <c r="E23" s="46"/>
      <c r="F23" s="70" t="n">
        <f aca="false">12*G23</f>
        <v>50370</v>
      </c>
      <c r="G23" s="70" t="n">
        <f aca="false">H$12*H23</f>
        <v>4197.5</v>
      </c>
      <c r="H23" s="69" t="n">
        <f aca="false">$C23*H$16</f>
        <v>57.5</v>
      </c>
      <c r="I23" s="72" t="n">
        <f aca="false">+H23/H$9</f>
        <v>0.0565944881889764</v>
      </c>
      <c r="J23" s="46"/>
      <c r="K23" s="70" t="n">
        <f aca="false">12*L23</f>
        <v>54900</v>
      </c>
      <c r="L23" s="69" t="n">
        <f aca="false">M$12*M23</f>
        <v>4575</v>
      </c>
      <c r="M23" s="69" t="n">
        <f aca="false">$C23*M$16</f>
        <v>75</v>
      </c>
      <c r="N23" s="72" t="n">
        <f aca="false">+M23/M$9</f>
        <v>0.0618301731244848</v>
      </c>
      <c r="O23" s="46"/>
      <c r="P23" s="69" t="n">
        <f aca="false">+K23+F23</f>
        <v>105270</v>
      </c>
      <c r="Q23" s="69" t="n">
        <f aca="false">+L23+G23</f>
        <v>8772.5</v>
      </c>
      <c r="R23" s="69" t="n">
        <f aca="false">+Q23/Q$12</f>
        <v>65.4664179104478</v>
      </c>
      <c r="S23" s="84" t="n">
        <f aca="false">+Q23/Q$9</f>
        <v>0.0592092385985516</v>
      </c>
      <c r="T23" s="19" t="n">
        <f aca="false">P23/P$16</f>
        <v>0.05</v>
      </c>
      <c r="U23" s="51"/>
      <c r="V23" s="69" t="n">
        <f aca="false">Q23*12</f>
        <v>105270</v>
      </c>
      <c r="W23" s="69" t="n">
        <f aca="false">+V23/TUnits</f>
        <v>785.597014925373</v>
      </c>
      <c r="X23" s="67" t="n">
        <f aca="false">+Q23/Q$20</f>
        <v>0.051780652010288</v>
      </c>
    </row>
    <row r="24" customFormat="false" ht="12.75" hidden="false" customHeight="false" outlineLevel="0" collapsed="false">
      <c r="B24" s="71" t="s">
        <v>77</v>
      </c>
      <c r="C24" s="46" t="s">
        <v>78</v>
      </c>
      <c r="D24" s="46"/>
      <c r="E24" s="46"/>
      <c r="F24" s="46" t="n">
        <f aca="false">12*G24</f>
        <v>18250</v>
      </c>
      <c r="G24" s="49" t="n">
        <f aca="false">H$12*H24</f>
        <v>1520.83333333333</v>
      </c>
      <c r="H24" s="46" t="n">
        <f aca="false">250/12</f>
        <v>20.8333333333333</v>
      </c>
      <c r="I24" s="73" t="n">
        <f aca="false">+H24/H$9</f>
        <v>0.020505249343832</v>
      </c>
      <c r="J24" s="46"/>
      <c r="K24" s="46" t="n">
        <f aca="false">12*L24</f>
        <v>15250</v>
      </c>
      <c r="L24" s="49" t="n">
        <f aca="false">M$12*M24</f>
        <v>1270.83333333333</v>
      </c>
      <c r="M24" s="46" t="n">
        <f aca="false">250/12</f>
        <v>20.8333333333333</v>
      </c>
      <c r="N24" s="73" t="n">
        <f aca="false">+M24/M$9</f>
        <v>0.0171750480901347</v>
      </c>
      <c r="O24" s="46"/>
      <c r="P24" s="46" t="n">
        <f aca="false">K24+F24</f>
        <v>33500</v>
      </c>
      <c r="Q24" s="46" t="n">
        <f aca="false">L24+G24</f>
        <v>2791.66666666667</v>
      </c>
      <c r="R24" s="49" t="n">
        <f aca="false">+Q24/Q$12</f>
        <v>20.8333333333333</v>
      </c>
      <c r="S24" s="85" t="n">
        <f aca="false">+Q24/Q$9</f>
        <v>0.018842115446485</v>
      </c>
      <c r="T24" s="19" t="n">
        <f aca="false">P24/P$16</f>
        <v>0.0159114657547259</v>
      </c>
      <c r="U24" s="51"/>
      <c r="V24" s="46" t="n">
        <f aca="false">12*Q24</f>
        <v>33500</v>
      </c>
      <c r="W24" s="46" t="n">
        <f aca="false">+V24/TUnits</f>
        <v>250</v>
      </c>
      <c r="X24" s="67" t="n">
        <f aca="false">+Q24/Q$20</f>
        <v>0.0164781214243816</v>
      </c>
    </row>
    <row r="25" customFormat="false" ht="12.75" hidden="false" customHeight="false" outlineLevel="0" collapsed="false">
      <c r="B25" s="71" t="s">
        <v>79</v>
      </c>
      <c r="C25" s="49" t="n">
        <f aca="false">4800*10.3+2000*8</f>
        <v>65440</v>
      </c>
      <c r="D25" s="46"/>
      <c r="E25" s="46"/>
      <c r="F25" s="46" t="n">
        <f aca="false">12*G25</f>
        <v>35650.1492537313</v>
      </c>
      <c r="G25" s="49" t="n">
        <f aca="false">H$12*H25</f>
        <v>2970.84577114428</v>
      </c>
      <c r="H25" s="49" t="n">
        <f aca="false">$C25/12/134</f>
        <v>40.6965174129353</v>
      </c>
      <c r="I25" s="73" t="n">
        <f aca="false">+H25/H$9</f>
        <v>0.0400556273749363</v>
      </c>
      <c r="J25" s="46"/>
      <c r="K25" s="46" t="n">
        <f aca="false">12*L25</f>
        <v>29789.8507462687</v>
      </c>
      <c r="L25" s="49" t="n">
        <f aca="false">M$12*M25</f>
        <v>2482.48756218905</v>
      </c>
      <c r="M25" s="49" t="n">
        <f aca="false">$C25/12/134</f>
        <v>40.6965174129353</v>
      </c>
      <c r="N25" s="73" t="n">
        <f aca="false">+M25/M$9</f>
        <v>0.033550302896072</v>
      </c>
      <c r="O25" s="46"/>
      <c r="P25" s="46" t="n">
        <f aca="false">K25+F25</f>
        <v>65440</v>
      </c>
      <c r="Q25" s="46" t="n">
        <f aca="false">L25+G25</f>
        <v>5453.33333333333</v>
      </c>
      <c r="R25" s="49" t="n">
        <f aca="false">+Q25/Q$12</f>
        <v>40.6965174129353</v>
      </c>
      <c r="S25" s="85" t="n">
        <f aca="false">+Q25/Q$9</f>
        <v>0.0368068070094919</v>
      </c>
      <c r="T25" s="19" t="n">
        <f aca="false">P25/P$16</f>
        <v>0.0310819796713214</v>
      </c>
      <c r="U25" s="51"/>
      <c r="V25" s="46" t="n">
        <f aca="false">12*Q25</f>
        <v>65440</v>
      </c>
      <c r="W25" s="46" t="n">
        <f aca="false">+V25/TUnits</f>
        <v>488.358208955224</v>
      </c>
      <c r="X25" s="67" t="n">
        <f aca="false">+Q25/Q$20</f>
        <v>0.0321889034630307</v>
      </c>
    </row>
    <row r="26" customFormat="false" ht="12.75" hidden="false" customHeight="false" outlineLevel="0" collapsed="false">
      <c r="B26" s="71" t="s">
        <v>80</v>
      </c>
      <c r="C26" s="46" t="s">
        <v>81</v>
      </c>
      <c r="D26" s="46"/>
      <c r="E26" s="46"/>
      <c r="F26" s="46" t="n">
        <f aca="false">12*G26</f>
        <v>19741.2857142857</v>
      </c>
      <c r="G26" s="49" t="n">
        <f aca="false">H$12*H26</f>
        <v>1645.10714285714</v>
      </c>
      <c r="H26" s="49" t="n">
        <f aca="false">351/28+10</f>
        <v>22.5357142857143</v>
      </c>
      <c r="I26" s="73" t="n">
        <f aca="false">+H26/H$9</f>
        <v>0.0221808211473566</v>
      </c>
      <c r="J26" s="46"/>
      <c r="K26" s="46" t="n">
        <f aca="false">12*L26</f>
        <v>16496.1428571429</v>
      </c>
      <c r="L26" s="49" t="n">
        <f aca="false">M$12*M26</f>
        <v>1374.67857142857</v>
      </c>
      <c r="M26" s="49" t="n">
        <f aca="false">351/28+10</f>
        <v>22.5357142857143</v>
      </c>
      <c r="N26" s="73" t="n">
        <f aca="false">+M26/M$9</f>
        <v>0.0185784948769285</v>
      </c>
      <c r="O26" s="46"/>
      <c r="P26" s="46" t="n">
        <f aca="false">K26+F26</f>
        <v>36237.4285714286</v>
      </c>
      <c r="Q26" s="46" t="n">
        <f aca="false">L26+G26</f>
        <v>3019.78571428571</v>
      </c>
      <c r="R26" s="49" t="n">
        <f aca="false">+Q26/Q$12</f>
        <v>22.5357142857143</v>
      </c>
      <c r="S26" s="85" t="n">
        <f aca="false">+Q26/Q$9</f>
        <v>0.0203817854515406</v>
      </c>
      <c r="T26" s="19" t="n">
        <f aca="false">P26/P$16</f>
        <v>0.0172116598135407</v>
      </c>
      <c r="U26" s="51"/>
      <c r="V26" s="46" t="n">
        <f aca="false">12*Q26</f>
        <v>36237.4285714286</v>
      </c>
      <c r="W26" s="46" t="n">
        <f aca="false">+V26/TUnits</f>
        <v>270.428571428571</v>
      </c>
      <c r="X26" s="67" t="n">
        <f aca="false">+Q26/Q$20</f>
        <v>0.0178246193464882</v>
      </c>
    </row>
    <row r="27" customFormat="false" ht="12.75" hidden="false" customHeight="false" outlineLevel="0" collapsed="false">
      <c r="B27" s="46" t="s">
        <v>82</v>
      </c>
      <c r="C27" s="46" t="n">
        <f aca="false">(598*2*0.1)+150+250</f>
        <v>519.6</v>
      </c>
      <c r="D27" s="46"/>
      <c r="E27" s="46"/>
      <c r="F27" s="46" t="n">
        <f aca="false">12*G27</f>
        <v>3396.78805970149</v>
      </c>
      <c r="G27" s="49" t="n">
        <f aca="false">H$12*H27</f>
        <v>283.065671641791</v>
      </c>
      <c r="H27" s="49" t="n">
        <f aca="false">$C27/134</f>
        <v>3.87761194029851</v>
      </c>
      <c r="I27" s="73" t="n">
        <f aca="false">+H27/H$9</f>
        <v>0.00381654718533318</v>
      </c>
      <c r="J27" s="46"/>
      <c r="K27" s="46" t="n">
        <f aca="false">12*L27</f>
        <v>2838.41194029851</v>
      </c>
      <c r="L27" s="49" t="n">
        <f aca="false">M$12*M27</f>
        <v>236.534328358209</v>
      </c>
      <c r="M27" s="49" t="n">
        <f aca="false">$C27/134</f>
        <v>3.87761194029851</v>
      </c>
      <c r="N27" s="73" t="n">
        <f aca="false">+M27/M$9</f>
        <v>0.00319671223437635</v>
      </c>
      <c r="O27" s="46"/>
      <c r="P27" s="46" t="n">
        <f aca="false">K27+F27</f>
        <v>6235.2</v>
      </c>
      <c r="Q27" s="46" t="n">
        <f aca="false">L27+G27</f>
        <v>519.6</v>
      </c>
      <c r="R27" s="49" t="n">
        <f aca="false">+Q27/Q$12</f>
        <v>3.87761194029851</v>
      </c>
      <c r="S27" s="85" t="n">
        <f aca="false">+Q27/Q$9</f>
        <v>0.00350699576811712</v>
      </c>
      <c r="T27" s="19" t="n">
        <f aca="false">P27/P$16</f>
        <v>0.00296152750071245</v>
      </c>
      <c r="U27" s="51"/>
      <c r="V27" s="46" t="n">
        <f aca="false">12*Q27</f>
        <v>6235.2</v>
      </c>
      <c r="W27" s="46" t="n">
        <f aca="false">+V27/TUnits</f>
        <v>46.5313432835821</v>
      </c>
      <c r="X27" s="67" t="n">
        <f aca="false">+Q27/Q$20</f>
        <v>0.00306699649866579</v>
      </c>
    </row>
    <row r="28" customFormat="false" ht="12.75" hidden="false" customHeight="false" outlineLevel="0" collapsed="false">
      <c r="B28" s="46" t="s">
        <v>83</v>
      </c>
      <c r="C28" s="46" t="s">
        <v>84</v>
      </c>
      <c r="D28" s="46"/>
      <c r="E28" s="46"/>
      <c r="F28" s="46" t="n">
        <f aca="false">12*G28</f>
        <v>163.432835820896</v>
      </c>
      <c r="G28" s="49" t="n">
        <f aca="false">H$12*H28</f>
        <v>13.6194029850746</v>
      </c>
      <c r="H28" s="73" t="n">
        <f aca="false">25/$Q$12</f>
        <v>0.186567164179105</v>
      </c>
      <c r="I28" s="73" t="n">
        <f aca="false">+H28/H$9</f>
        <v>0.000183629098601481</v>
      </c>
      <c r="J28" s="46"/>
      <c r="K28" s="46" t="n">
        <f aca="false">12*L28</f>
        <v>136.567164179105</v>
      </c>
      <c r="L28" s="49" t="n">
        <f aca="false">M$12*M28</f>
        <v>11.3805970149254</v>
      </c>
      <c r="M28" s="73" t="n">
        <f aca="false">25/$Q$12</f>
        <v>0.186567164179105</v>
      </c>
      <c r="N28" s="73" t="n">
        <f aca="false">+M28/M$9</f>
        <v>0.000153806400807176</v>
      </c>
      <c r="O28" s="46"/>
      <c r="P28" s="46" t="n">
        <f aca="false">K28+F28</f>
        <v>300</v>
      </c>
      <c r="Q28" s="46" t="n">
        <f aca="false">L28+G28</f>
        <v>25</v>
      </c>
      <c r="R28" s="86" t="n">
        <f aca="false">+Q28/Q$12</f>
        <v>0.186567164179105</v>
      </c>
      <c r="S28" s="85" t="n">
        <f aca="false">+Q28/Q$9</f>
        <v>0.000168735362207329</v>
      </c>
      <c r="T28" s="19" t="n">
        <f aca="false">P28/P$16</f>
        <v>0.000142490738102023</v>
      </c>
      <c r="U28" s="51"/>
      <c r="V28" s="46" t="n">
        <f aca="false">12*Q28</f>
        <v>300</v>
      </c>
      <c r="W28" s="46" t="n">
        <f aca="false">+V28/TUnits</f>
        <v>2.23880597014925</v>
      </c>
      <c r="X28" s="67" t="n">
        <f aca="false">+Q28/Q$20</f>
        <v>0.000147565266486999</v>
      </c>
    </row>
    <row r="29" customFormat="false" ht="12.75" hidden="false" customHeight="false" outlineLevel="0" collapsed="false">
      <c r="B29" s="71" t="s">
        <v>85</v>
      </c>
      <c r="C29" s="46"/>
      <c r="D29" s="46"/>
      <c r="E29" s="46"/>
      <c r="F29" s="46" t="n">
        <f aca="false">12*G29</f>
        <v>114812.064</v>
      </c>
      <c r="G29" s="49" t="n">
        <f aca="false">H$12*H29</f>
        <v>9567.672</v>
      </c>
      <c r="H29" s="49" t="n">
        <f aca="false">0.129*H9</f>
        <v>131.064</v>
      </c>
      <c r="I29" s="73" t="n">
        <f aca="false">+H29/H$9</f>
        <v>0.129</v>
      </c>
      <c r="J29" s="46"/>
      <c r="K29" s="46" t="n">
        <f aca="false">12*L29</f>
        <v>114541.164</v>
      </c>
      <c r="L29" s="49" t="n">
        <f aca="false">M$12*M29</f>
        <v>9545.097</v>
      </c>
      <c r="M29" s="49" t="n">
        <f aca="false">0.129*M9</f>
        <v>156.477</v>
      </c>
      <c r="N29" s="73" t="n">
        <f aca="false">+M29/M$9</f>
        <v>0.129</v>
      </c>
      <c r="O29" s="46"/>
      <c r="P29" s="46" t="n">
        <f aca="false">K29+F29</f>
        <v>229353.228</v>
      </c>
      <c r="Q29" s="46" t="n">
        <f aca="false">L29+G29</f>
        <v>19112.769</v>
      </c>
      <c r="R29" s="49" t="n">
        <f aca="false">+Q29/Q$12</f>
        <v>142.632604477612</v>
      </c>
      <c r="S29" s="85" t="n">
        <f aca="false">+Q29/Q$9</f>
        <v>0.129</v>
      </c>
      <c r="T29" s="19" t="n">
        <f aca="false">P29/P$16</f>
        <v>0.108935702479339</v>
      </c>
      <c r="U29" s="51"/>
      <c r="V29" s="46" t="n">
        <f aca="false">12*Q29</f>
        <v>229353.228</v>
      </c>
      <c r="W29" s="46" t="n">
        <f aca="false">+V29/TUnits</f>
        <v>1711.59125373134</v>
      </c>
      <c r="X29" s="67" t="n">
        <f aca="false">+Q29/Q$20</f>
        <v>0.112815234031578</v>
      </c>
    </row>
    <row r="30" customFormat="false" ht="12.75" hidden="false" customHeight="false" outlineLevel="0" collapsed="false">
      <c r="B30" s="71" t="s">
        <v>86</v>
      </c>
      <c r="C30" s="46"/>
      <c r="D30" s="46"/>
      <c r="E30" s="46"/>
      <c r="F30" s="46" t="n">
        <f aca="false">12*G30</f>
        <v>16687.8</v>
      </c>
      <c r="G30" s="49" t="n">
        <f aca="false">H$12*H30</f>
        <v>1390.65</v>
      </c>
      <c r="H30" s="49" t="n">
        <f aca="false">(75*H$9*0.003)/12</f>
        <v>19.05</v>
      </c>
      <c r="I30" s="73" t="n">
        <f aca="false">+H30/H$9</f>
        <v>0.01875</v>
      </c>
      <c r="J30" s="46"/>
      <c r="K30" s="46" t="n">
        <f aca="false">12*L30</f>
        <v>16648.425</v>
      </c>
      <c r="L30" s="49" t="n">
        <f aca="false">M$12*M30</f>
        <v>1387.36875</v>
      </c>
      <c r="M30" s="73" t="n">
        <f aca="false">(75*M$9*0.003)/12</f>
        <v>22.74375</v>
      </c>
      <c r="N30" s="73" t="n">
        <f aca="false">+M30/M$9</f>
        <v>0.01875</v>
      </c>
      <c r="O30" s="46"/>
      <c r="P30" s="46" t="n">
        <f aca="false">K30+F30</f>
        <v>33336.225</v>
      </c>
      <c r="Q30" s="46" t="n">
        <f aca="false">L30+G30</f>
        <v>2778.01875</v>
      </c>
      <c r="R30" s="49" t="n">
        <f aca="false">+Q30/Q$12</f>
        <v>20.7314832089552</v>
      </c>
      <c r="S30" s="85" t="n">
        <f aca="false">+Q30/Q$9</f>
        <v>0.01875</v>
      </c>
      <c r="T30" s="19" t="n">
        <f aca="false">P30/P$16</f>
        <v>0.0158336776859504</v>
      </c>
      <c r="U30" s="51"/>
      <c r="V30" s="46" t="n">
        <f aca="false">12*Q30</f>
        <v>33336.225</v>
      </c>
      <c r="W30" s="46" t="n">
        <f aca="false">+V30/TUnits</f>
        <v>248.777798507463</v>
      </c>
      <c r="X30" s="67" t="n">
        <f aca="false">+Q30/Q$20</f>
        <v>0.0163975630859852</v>
      </c>
    </row>
    <row r="31" customFormat="false" ht="12.75" hidden="false" customHeight="false" outlineLevel="0" collapsed="false">
      <c r="B31" s="71" t="s">
        <v>87</v>
      </c>
      <c r="C31" s="46"/>
      <c r="D31" s="46"/>
      <c r="E31" s="46"/>
      <c r="F31" s="46" t="n">
        <f aca="false">12*G31</f>
        <v>3650</v>
      </c>
      <c r="G31" s="49" t="n">
        <f aca="false">H$12*H31</f>
        <v>304.166666666667</v>
      </c>
      <c r="H31" s="73" t="n">
        <f aca="false">50/12</f>
        <v>4.16666666666667</v>
      </c>
      <c r="I31" s="73" t="n">
        <f aca="false">+H31/H$9</f>
        <v>0.0041010498687664</v>
      </c>
      <c r="J31" s="46"/>
      <c r="K31" s="46" t="n">
        <f aca="false">12*L31</f>
        <v>3050</v>
      </c>
      <c r="L31" s="49" t="n">
        <f aca="false">M$12*M31</f>
        <v>254.166666666667</v>
      </c>
      <c r="M31" s="73" t="n">
        <f aca="false">50/12</f>
        <v>4.16666666666667</v>
      </c>
      <c r="N31" s="73" t="n">
        <f aca="false">+M31/M$9</f>
        <v>0.00343500961802693</v>
      </c>
      <c r="O31" s="46"/>
      <c r="P31" s="46" t="n">
        <f aca="false">K31+F31</f>
        <v>6700</v>
      </c>
      <c r="Q31" s="46" t="n">
        <f aca="false">L31+G31</f>
        <v>558.333333333333</v>
      </c>
      <c r="R31" s="49" t="n">
        <f aca="false">+Q31/Q$12</f>
        <v>4.16666666666667</v>
      </c>
      <c r="S31" s="85" t="n">
        <f aca="false">+Q31/Q$9</f>
        <v>0.003768423089297</v>
      </c>
      <c r="T31" s="19" t="n">
        <f aca="false">P31/P$16</f>
        <v>0.00318229315094519</v>
      </c>
      <c r="U31" s="51"/>
      <c r="V31" s="46" t="n">
        <f aca="false">12*Q31</f>
        <v>6700</v>
      </c>
      <c r="W31" s="46" t="n">
        <f aca="false">+V31/TUnits</f>
        <v>50</v>
      </c>
      <c r="X31" s="67" t="n">
        <f aca="false">+Q31/Q$20</f>
        <v>0.00329562428487631</v>
      </c>
    </row>
    <row r="32" customFormat="false" ht="12.75" hidden="false" customHeight="false" outlineLevel="0" collapsed="false">
      <c r="B32" s="71" t="s">
        <v>88</v>
      </c>
      <c r="C32" s="46"/>
      <c r="D32" s="46"/>
      <c r="E32" s="46"/>
      <c r="F32" s="46" t="n">
        <f aca="false">12*G32</f>
        <v>817.164179104478</v>
      </c>
      <c r="G32" s="49" t="n">
        <f aca="false">H$12*H32</f>
        <v>68.0970149253731</v>
      </c>
      <c r="H32" s="73" t="n">
        <f aca="false">1500/12/$Q$12</f>
        <v>0.932835820895522</v>
      </c>
      <c r="I32" s="73" t="n">
        <f aca="false">+H32/H$9</f>
        <v>0.000918145493007404</v>
      </c>
      <c r="J32" s="46"/>
      <c r="K32" s="46" t="n">
        <f aca="false">12*L32</f>
        <v>682.835820895522</v>
      </c>
      <c r="L32" s="49" t="n">
        <f aca="false">M$12*M32</f>
        <v>56.9029850746269</v>
      </c>
      <c r="M32" s="73" t="n">
        <f aca="false">1500/12/$Q$12</f>
        <v>0.932835820895522</v>
      </c>
      <c r="N32" s="73" t="n">
        <f aca="false">+M32/M$9</f>
        <v>0.00076903200403588</v>
      </c>
      <c r="O32" s="46"/>
      <c r="P32" s="46" t="n">
        <f aca="false">K32+F32</f>
        <v>1500</v>
      </c>
      <c r="Q32" s="46" t="n">
        <f aca="false">L32+G32</f>
        <v>125</v>
      </c>
      <c r="R32" s="49" t="n">
        <f aca="false">+Q32/Q$12</f>
        <v>0.932835820895522</v>
      </c>
      <c r="S32" s="85" t="n">
        <f aca="false">+Q32/Q$9</f>
        <v>0.000843676811036643</v>
      </c>
      <c r="T32" s="19" t="n">
        <f aca="false">P32/P$16</f>
        <v>0.000712453690510117</v>
      </c>
      <c r="U32" s="51"/>
      <c r="V32" s="46" t="n">
        <f aca="false">12*Q32</f>
        <v>1500</v>
      </c>
      <c r="W32" s="46" t="n">
        <f aca="false">+V32/TUnits</f>
        <v>11.1940298507463</v>
      </c>
      <c r="X32" s="67" t="n">
        <f aca="false">+Q32/Q$20</f>
        <v>0.000737826332434995</v>
      </c>
    </row>
    <row r="33" customFormat="false" ht="12.75" hidden="false" customHeight="false" outlineLevel="0" collapsed="false">
      <c r="B33" s="77" t="s">
        <v>89</v>
      </c>
      <c r="C33" s="46"/>
      <c r="D33" s="46"/>
      <c r="E33" s="46"/>
      <c r="F33" s="78" t="n">
        <f aca="false">12*G33</f>
        <v>8687</v>
      </c>
      <c r="G33" s="87" t="n">
        <f aca="false">H$12*H33</f>
        <v>723.916666666667</v>
      </c>
      <c r="H33" s="81" t="n">
        <f aca="false">833/3/28</f>
        <v>9.91666666666667</v>
      </c>
      <c r="I33" s="81" t="n">
        <f aca="false">+H33/H$9</f>
        <v>0.00976049868766404</v>
      </c>
      <c r="J33" s="46"/>
      <c r="K33" s="78" t="n">
        <f aca="false">12*L33</f>
        <v>7259</v>
      </c>
      <c r="L33" s="87" t="n">
        <f aca="false">M$12*M33</f>
        <v>604.916666666667</v>
      </c>
      <c r="M33" s="81" t="n">
        <f aca="false">833/3/28</f>
        <v>9.91666666666667</v>
      </c>
      <c r="N33" s="81" t="n">
        <f aca="false">+M33/M$9</f>
        <v>0.0081753228909041</v>
      </c>
      <c r="O33" s="46"/>
      <c r="P33" s="78" t="n">
        <f aca="false">K33+F33</f>
        <v>15946</v>
      </c>
      <c r="Q33" s="78" t="n">
        <f aca="false">L33+G33</f>
        <v>1328.83333333333</v>
      </c>
      <c r="R33" s="87" t="n">
        <f aca="false">+Q33/Q$12</f>
        <v>9.91666666666667</v>
      </c>
      <c r="S33" s="88" t="n">
        <f aca="false">+Q33/Q$9</f>
        <v>0.00896884695252687</v>
      </c>
      <c r="T33" s="89" t="n">
        <f aca="false">P33/P$16</f>
        <v>0.00757385769924955</v>
      </c>
      <c r="U33" s="51"/>
      <c r="V33" s="78" t="n">
        <f aca="false">12*Q33</f>
        <v>15946</v>
      </c>
      <c r="W33" s="78" t="n">
        <f aca="false">+V33/TUnits</f>
        <v>119</v>
      </c>
      <c r="X33" s="82" t="n">
        <f aca="false">+Q33/Q$20</f>
        <v>0.00784358579800563</v>
      </c>
    </row>
    <row r="34" customFormat="false" ht="12.75" hidden="false" customHeight="false" outlineLevel="0" collapsed="false">
      <c r="B34" s="68" t="s">
        <v>90</v>
      </c>
      <c r="C34" s="46"/>
      <c r="D34" s="46"/>
      <c r="E34" s="46"/>
      <c r="F34" s="69" t="n">
        <f aca="false">12*G34</f>
        <v>272225.684042644</v>
      </c>
      <c r="G34" s="69" t="n">
        <f aca="false">SUM(G23:G33)</f>
        <v>22685.4736702203</v>
      </c>
      <c r="H34" s="69" t="n">
        <f aca="false">SUM(H23:H33)</f>
        <v>310.759913290689</v>
      </c>
      <c r="I34" s="72" t="n">
        <f aca="false">H34/H$9</f>
        <v>0.305866056388474</v>
      </c>
      <c r="J34" s="46"/>
      <c r="K34" s="69" t="n">
        <f aca="false">12*L34</f>
        <v>261592.397528785</v>
      </c>
      <c r="L34" s="69" t="n">
        <f aca="false">SUM(L23:L33)</f>
        <v>21799.3664607321</v>
      </c>
      <c r="M34" s="69" t="n">
        <f aca="false">SUM(M23:M33)</f>
        <v>357.366663290689</v>
      </c>
      <c r="N34" s="72" t="n">
        <f aca="false">M34/M$9</f>
        <v>0.29461390213577</v>
      </c>
      <c r="O34" s="46"/>
      <c r="P34" s="69" t="n">
        <f aca="false">SUM(P23:P33)</f>
        <v>533818.081571429</v>
      </c>
      <c r="Q34" s="69" t="n">
        <f aca="false">SUM(Q23:Q33)</f>
        <v>44484.8401309524</v>
      </c>
      <c r="R34" s="69" t="n">
        <f aca="false">SUM(R23:R33)</f>
        <v>331.976418887704</v>
      </c>
      <c r="S34" s="90" t="n">
        <f aca="false">Q34/Q$9</f>
        <v>0.300246624489254</v>
      </c>
      <c r="T34" s="19" t="n">
        <f aca="false">P34/P$16</f>
        <v>0.253547108184397</v>
      </c>
      <c r="U34" s="51"/>
      <c r="V34" s="69" t="n">
        <f aca="false">SUM(V23:V33)</f>
        <v>533818.081571429</v>
      </c>
      <c r="W34" s="69" t="n">
        <f aca="false">+V34/TUnits</f>
        <v>3983.71702665245</v>
      </c>
      <c r="X34" s="67" t="n">
        <f aca="false">+Q34/Q$20</f>
        <v>0.262576691542222</v>
      </c>
    </row>
    <row r="35" customFormat="false" ht="12.75" hidden="false" customHeight="false" outlineLevel="0" collapsed="false">
      <c r="B35" s="68"/>
      <c r="C35" s="46"/>
      <c r="D35" s="46"/>
      <c r="E35" s="46"/>
      <c r="F35" s="46"/>
      <c r="G35" s="69"/>
      <c r="H35" s="69"/>
      <c r="I35" s="72"/>
      <c r="J35" s="46"/>
      <c r="K35" s="46"/>
      <c r="L35" s="69"/>
      <c r="M35" s="69"/>
      <c r="N35" s="72"/>
      <c r="O35" s="46"/>
      <c r="P35" s="69"/>
      <c r="Q35" s="69"/>
      <c r="R35" s="69"/>
      <c r="S35" s="90"/>
      <c r="T35" s="51"/>
      <c r="U35" s="51"/>
      <c r="V35" s="69"/>
      <c r="W35" s="69"/>
      <c r="X35" s="67"/>
    </row>
    <row r="36" customFormat="false" ht="12.75" hidden="false" customHeight="false" outlineLevel="0" collapsed="false">
      <c r="B36" s="91" t="s">
        <v>91</v>
      </c>
      <c r="C36" s="92"/>
      <c r="D36" s="92"/>
      <c r="E36" s="46"/>
      <c r="F36" s="93" t="n">
        <f aca="false">12*G36</f>
        <v>700771.922473647</v>
      </c>
      <c r="G36" s="94" t="n">
        <f aca="false">+G20-G34</f>
        <v>58397.6602061372</v>
      </c>
      <c r="H36" s="94" t="n">
        <f aca="false">+H20-H34</f>
        <v>799.967948029277</v>
      </c>
      <c r="I36" s="95" t="n">
        <f aca="false">+I20-I34</f>
        <v>0.787370027587871</v>
      </c>
      <c r="J36" s="46"/>
      <c r="K36" s="93" t="n">
        <f aca="false">12*L36</f>
        <v>798408.730290764</v>
      </c>
      <c r="L36" s="94" t="n">
        <f aca="false">+L20-L34</f>
        <v>66534.0608575637</v>
      </c>
      <c r="M36" s="94" t="n">
        <f aca="false">+M20-M34</f>
        <v>1090.72230914039</v>
      </c>
      <c r="N36" s="96" t="n">
        <f aca="false">+M36/M$9</f>
        <v>0.899193989398506</v>
      </c>
      <c r="O36" s="46"/>
      <c r="P36" s="94" t="n">
        <f aca="false">+P20-P34</f>
        <v>1499180.65276441</v>
      </c>
      <c r="Q36" s="94" t="n">
        <f aca="false">+Q20-Q34</f>
        <v>124931.721063701</v>
      </c>
      <c r="R36" s="94" t="n">
        <f aca="false">+R20-R34</f>
        <v>932.326276594783</v>
      </c>
      <c r="S36" s="95" t="n">
        <f aca="false">Q36/Q$9</f>
        <v>0.84321596819474</v>
      </c>
      <c r="T36" s="97" t="n">
        <f aca="false">P36/P$16</f>
        <v>0.712064525868914</v>
      </c>
      <c r="U36" s="51"/>
      <c r="V36" s="94" t="n">
        <f aca="false">+V20-V34</f>
        <v>1499180.65276441</v>
      </c>
      <c r="W36" s="94" t="n">
        <f aca="false">+V36/TUnits</f>
        <v>11187.9153191374</v>
      </c>
      <c r="X36" s="98" t="n">
        <f aca="false">+Q36/Q$20</f>
        <v>0.737423308457778</v>
      </c>
    </row>
    <row r="37" customFormat="false" ht="12.75" hidden="false" customHeight="false" outlineLevel="0" collapsed="false">
      <c r="B37" s="68"/>
      <c r="C37" s="92"/>
      <c r="D37" s="92"/>
      <c r="E37" s="46"/>
      <c r="F37" s="46"/>
      <c r="G37" s="92"/>
      <c r="H37" s="92"/>
      <c r="I37" s="99"/>
      <c r="J37" s="46"/>
      <c r="K37" s="46"/>
      <c r="L37" s="92"/>
      <c r="M37" s="92"/>
      <c r="N37" s="100"/>
      <c r="O37" s="46"/>
      <c r="P37" s="92"/>
      <c r="Q37" s="92"/>
      <c r="R37" s="92"/>
      <c r="S37" s="99"/>
      <c r="T37" s="51"/>
      <c r="U37" s="51"/>
      <c r="V37" s="92"/>
      <c r="W37" s="92"/>
      <c r="X37" s="67"/>
    </row>
    <row r="38" customFormat="false" ht="12.75" hidden="false" customHeight="false" outlineLevel="0" collapsed="false">
      <c r="B38" s="46" t="s">
        <v>92</v>
      </c>
      <c r="C38" s="49" t="s">
        <v>93</v>
      </c>
      <c r="D38" s="73" t="n">
        <v>360</v>
      </c>
      <c r="E38" s="46"/>
      <c r="F38" s="46" t="n">
        <f aca="false">12*G38</f>
        <v>-25550</v>
      </c>
      <c r="G38" s="49" t="n">
        <f aca="false">H$12*H38</f>
        <v>-2129.16666666667</v>
      </c>
      <c r="H38" s="73" t="n">
        <f aca="false">-350/12</f>
        <v>-29.1666666666667</v>
      </c>
      <c r="I38" s="73" t="n">
        <f aca="false">+H38/H$9</f>
        <v>-0.0287073490813648</v>
      </c>
      <c r="J38" s="46"/>
      <c r="K38" s="46" t="n">
        <f aca="false">12*L38</f>
        <v>-21350</v>
      </c>
      <c r="L38" s="49" t="n">
        <f aca="false">M$12*M38</f>
        <v>-1779.16666666667</v>
      </c>
      <c r="M38" s="73" t="n">
        <f aca="false">-350/12</f>
        <v>-29.1666666666667</v>
      </c>
      <c r="N38" s="73" t="n">
        <f aca="false">+M38/M$9</f>
        <v>-0.0240450673261885</v>
      </c>
      <c r="O38" s="46"/>
      <c r="P38" s="46" t="n">
        <f aca="false">K38+F38</f>
        <v>-46900</v>
      </c>
      <c r="Q38" s="46" t="n">
        <f aca="false">L38+G38</f>
        <v>-3908.33333333333</v>
      </c>
      <c r="R38" s="73" t="n">
        <f aca="false">+Q38/Q$12</f>
        <v>-29.1666666666667</v>
      </c>
      <c r="S38" s="101" t="n">
        <f aca="false">+Q38/Q$9</f>
        <v>-0.026378961625079</v>
      </c>
      <c r="T38" s="19" t="n">
        <f aca="false">P38/P$16</f>
        <v>-0.0222760520566163</v>
      </c>
      <c r="U38" s="51"/>
      <c r="V38" s="46" t="n">
        <f aca="false">12*Q38</f>
        <v>-46900</v>
      </c>
      <c r="W38" s="46" t="n">
        <f aca="false">+V38/TUnits</f>
        <v>-350</v>
      </c>
      <c r="X38" s="67" t="n">
        <f aca="false">+-Q38/Q$20</f>
        <v>0.0230693699941342</v>
      </c>
    </row>
    <row r="39" customFormat="false" ht="24" hidden="false" customHeight="false" outlineLevel="0" collapsed="false">
      <c r="B39" s="102" t="s">
        <v>94</v>
      </c>
      <c r="C39" s="46" t="s">
        <v>95</v>
      </c>
      <c r="D39" s="103" t="n">
        <f aca="false">0.075/12</f>
        <v>0.00625</v>
      </c>
      <c r="E39" s="46"/>
      <c r="F39" s="46" t="n">
        <f aca="false">12*G39</f>
        <v>-470390.299564798</v>
      </c>
      <c r="G39" s="49" t="n">
        <f aca="false">H$12*H39</f>
        <v>-39199.1916303998</v>
      </c>
      <c r="H39" s="49" t="n">
        <f aca="false">PMT(MortRate,Term,H50)</f>
        <v>-536.975227813696</v>
      </c>
      <c r="I39" s="73" t="n">
        <f aca="false">+H39/H$9</f>
        <v>-0.52851892501348</v>
      </c>
      <c r="J39" s="46"/>
      <c r="K39" s="46" t="n">
        <f aca="false">12*L39</f>
        <v>-535928.609255525</v>
      </c>
      <c r="L39" s="49" t="n">
        <f aca="false">M$12*M39</f>
        <v>-44660.7174379604</v>
      </c>
      <c r="M39" s="49" t="n">
        <f aca="false">PMT(MortRate,Term,M50)</f>
        <v>-732.142908819023</v>
      </c>
      <c r="N39" s="73" t="n">
        <f aca="false">+M39/M$9</f>
        <v>-0.603580304055254</v>
      </c>
      <c r="O39" s="46"/>
      <c r="P39" s="49" t="n">
        <f aca="false">K39+F39</f>
        <v>-1006318.90882032</v>
      </c>
      <c r="Q39" s="49" t="n">
        <f aca="false">L39+G39</f>
        <v>-83859.9090683602</v>
      </c>
      <c r="R39" s="49" t="n">
        <f aca="false">+Q39/Q$12</f>
        <v>-625.820216928061</v>
      </c>
      <c r="S39" s="101" t="n">
        <f aca="false">+Q39/Q$9</f>
        <v>-0.566005285252936</v>
      </c>
      <c r="T39" s="19" t="n">
        <f aca="false">P39/P$16</f>
        <v>-0.477970413612768</v>
      </c>
      <c r="U39" s="51"/>
      <c r="V39" s="46" t="n">
        <f aca="false">12*Q39</f>
        <v>-1006318.90882032</v>
      </c>
      <c r="W39" s="46" t="n">
        <f aca="false">+V39/TUnits</f>
        <v>-7509.84260313673</v>
      </c>
      <c r="X39" s="67" t="n">
        <f aca="false">-+Q39/Q$20</f>
        <v>0.494992393169923</v>
      </c>
    </row>
    <row r="40" customFormat="false" ht="12.75" hidden="false" customHeight="false" outlineLevel="0" collapsed="false">
      <c r="B40" s="91" t="s">
        <v>96</v>
      </c>
      <c r="C40" s="104"/>
      <c r="D40" s="68"/>
      <c r="E40" s="46"/>
      <c r="F40" s="93" t="n">
        <f aca="false">12*G40</f>
        <v>230381.622908849</v>
      </c>
      <c r="G40" s="93" t="n">
        <f aca="false">+G39+G36</f>
        <v>19198.4685757374</v>
      </c>
      <c r="H40" s="93" t="n">
        <f aca="false">SUM(H36:H39)</f>
        <v>233.826053548915</v>
      </c>
      <c r="I40" s="105" t="n">
        <f aca="false">+I39+I36</f>
        <v>0.258851102574391</v>
      </c>
      <c r="J40" s="46"/>
      <c r="K40" s="93" t="n">
        <f aca="false">12*L40</f>
        <v>262480.121035239</v>
      </c>
      <c r="L40" s="93" t="n">
        <f aca="false">+L39+L36</f>
        <v>21873.3434196033</v>
      </c>
      <c r="M40" s="93" t="n">
        <f aca="false">SUM(M36:M39)</f>
        <v>329.412733654698</v>
      </c>
      <c r="N40" s="105" t="n">
        <f aca="false">+M40/M$9</f>
        <v>0.271568618017064</v>
      </c>
      <c r="O40" s="46"/>
      <c r="P40" s="93" t="n">
        <f aca="false">+P39+P36</f>
        <v>492861.743944089</v>
      </c>
      <c r="Q40" s="93" t="n">
        <f aca="false">+Q39+Q36</f>
        <v>41071.8119953407</v>
      </c>
      <c r="R40" s="93" t="n">
        <f aca="false">SUM(R36:R39)</f>
        <v>277.339393000055</v>
      </c>
      <c r="S40" s="96" t="n">
        <f aca="false">Q40/Q$9</f>
        <v>0.277210682941805</v>
      </c>
      <c r="T40" s="97" t="n">
        <f aca="false">P40/P$16</f>
        <v>0.234094112256146</v>
      </c>
      <c r="U40" s="51"/>
      <c r="V40" s="93" t="n">
        <f aca="false">+V39+V36</f>
        <v>492861.743944089</v>
      </c>
      <c r="W40" s="93" t="n">
        <f aca="false">+V40/TUnits</f>
        <v>3678.07271600066</v>
      </c>
      <c r="X40" s="98" t="n">
        <f aca="false">+Q40/Q$20</f>
        <v>0.242430915287855</v>
      </c>
    </row>
    <row r="41" customFormat="false" ht="12.75" hidden="false" customHeight="false" outlineLevel="0" collapsed="false">
      <c r="B41" s="68"/>
      <c r="C41" s="68"/>
      <c r="D41" s="68"/>
      <c r="E41" s="46"/>
      <c r="F41" s="46"/>
      <c r="G41" s="68"/>
      <c r="H41" s="68"/>
      <c r="I41" s="68"/>
      <c r="J41" s="46"/>
      <c r="K41" s="46"/>
      <c r="L41" s="68"/>
      <c r="M41" s="68"/>
      <c r="N41" s="68"/>
      <c r="O41" s="46"/>
      <c r="P41" s="46"/>
      <c r="Q41" s="68"/>
      <c r="R41" s="68"/>
      <c r="S41" s="68"/>
      <c r="T41" s="51"/>
      <c r="U41" s="51"/>
      <c r="V41" s="68"/>
      <c r="W41" s="68"/>
      <c r="X41" s="67"/>
    </row>
    <row r="42" customFormat="false" ht="12.75" hidden="false" customHeight="false" outlineLevel="0" collapsed="false">
      <c r="B42" s="68"/>
      <c r="C42" s="68"/>
      <c r="D42" s="68"/>
      <c r="E42" s="46"/>
      <c r="F42" s="46"/>
      <c r="G42" s="68"/>
      <c r="H42" s="68"/>
      <c r="I42" s="68"/>
      <c r="J42" s="46"/>
      <c r="K42" s="46"/>
      <c r="L42" s="68"/>
      <c r="M42" s="68"/>
      <c r="N42" s="68"/>
      <c r="O42" s="46"/>
      <c r="P42" s="49"/>
      <c r="Q42" s="19"/>
      <c r="R42" s="19"/>
      <c r="S42" s="19"/>
      <c r="T42" s="51"/>
      <c r="U42" s="51"/>
      <c r="V42" s="68"/>
      <c r="W42" s="68"/>
      <c r="X42" s="67"/>
    </row>
    <row r="43" customFormat="false" ht="12.75" hidden="false" customHeight="false" outlineLevel="0" collapsed="false">
      <c r="B43" s="68" t="s">
        <v>97</v>
      </c>
      <c r="C43" s="104"/>
      <c r="D43" s="68"/>
      <c r="E43" s="46"/>
      <c r="F43" s="46"/>
      <c r="G43" s="106" t="n">
        <f aca="false">G36/-G39</f>
        <v>1.48976695123602</v>
      </c>
      <c r="H43" s="92"/>
      <c r="I43" s="100"/>
      <c r="J43" s="46"/>
      <c r="K43" s="46"/>
      <c r="L43" s="106" t="n">
        <f aca="false">L36/-L39</f>
        <v>1.48976695123602</v>
      </c>
      <c r="M43" s="92"/>
      <c r="N43" s="100"/>
      <c r="O43" s="46"/>
      <c r="P43" s="46"/>
      <c r="Q43" s="107" t="n">
        <f aca="false">Q36/-Q39</f>
        <v>1.48976695123602</v>
      </c>
      <c r="R43" s="92"/>
      <c r="S43" s="100"/>
      <c r="T43" s="51"/>
      <c r="U43" s="51"/>
      <c r="V43" s="107" t="n">
        <f aca="false">V36/-V39</f>
        <v>1.48976695123602</v>
      </c>
      <c r="W43" s="107"/>
      <c r="X43" s="92"/>
    </row>
    <row r="44" customFormat="false" ht="12.75" hidden="false" customHeight="false" outlineLevel="0" collapsed="false">
      <c r="B44" s="68"/>
      <c r="C44" s="104"/>
      <c r="D44" s="68"/>
      <c r="E44" s="46"/>
      <c r="F44" s="46"/>
      <c r="G44" s="108"/>
      <c r="H44" s="108"/>
      <c r="I44" s="100"/>
      <c r="J44" s="46"/>
      <c r="K44" s="46"/>
      <c r="L44" s="108"/>
      <c r="M44" s="92"/>
      <c r="N44" s="100"/>
      <c r="O44" s="46"/>
      <c r="P44" s="46"/>
      <c r="Q44" s="109"/>
      <c r="R44" s="108"/>
      <c r="S44" s="92"/>
      <c r="T44" s="100"/>
      <c r="U44" s="67"/>
    </row>
    <row r="45" customFormat="false" ht="12.75" hidden="false" customHeight="false" outlineLevel="0" collapsed="false">
      <c r="B45" s="68" t="s">
        <v>98</v>
      </c>
      <c r="C45" s="104" t="n">
        <v>0.1</v>
      </c>
      <c r="D45" s="68"/>
      <c r="E45" s="46"/>
      <c r="F45" s="46"/>
      <c r="G45" s="92" t="n">
        <f aca="false">H$12*H45</f>
        <v>7007719.22473647</v>
      </c>
      <c r="H45" s="92" t="n">
        <f aca="false">(H$36*12)/CapRate</f>
        <v>95996.1537635132</v>
      </c>
      <c r="I45" s="100" t="n">
        <f aca="false">+H45/H$9</f>
        <v>94.4844033105445</v>
      </c>
      <c r="J45" s="46"/>
      <c r="K45" s="46"/>
      <c r="L45" s="110" t="n">
        <f aca="false">M$12*M45</f>
        <v>7984087.30290764</v>
      </c>
      <c r="M45" s="92" t="n">
        <f aca="false">(M$36*12)/CapRate</f>
        <v>130886.677096847</v>
      </c>
      <c r="N45" s="100" t="n">
        <f aca="false">+M45/M$9</f>
        <v>107.903278727821</v>
      </c>
      <c r="O45" s="46"/>
      <c r="P45" s="46"/>
      <c r="Q45" s="111"/>
      <c r="R45" s="92" t="n">
        <f aca="false">Project_Value/Q12</f>
        <v>111879.153191374</v>
      </c>
      <c r="S45" s="100" t="n">
        <f aca="false">+V45/Q$9</f>
        <v>101.185916183369</v>
      </c>
      <c r="T45" s="51"/>
      <c r="U45" s="51"/>
      <c r="V45" s="111" t="n">
        <f aca="false">L45+G45</f>
        <v>14991806.5276441</v>
      </c>
      <c r="W45" s="111" t="n">
        <f aca="false">+V45/TUnits</f>
        <v>111879.153191374</v>
      </c>
      <c r="X45" s="92"/>
    </row>
    <row r="46" customFormat="false" ht="13.5" hidden="false" customHeight="false" outlineLevel="0" collapsed="false"/>
    <row r="47" customFormat="false" ht="14.25" hidden="false" customHeight="false" outlineLevel="0" collapsed="false">
      <c r="B47" s="112" t="s">
        <v>99</v>
      </c>
      <c r="C47" s="113" t="s">
        <v>100</v>
      </c>
      <c r="D47" s="114" t="n">
        <v>0.8</v>
      </c>
      <c r="E47" s="113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0"/>
      <c r="U47" s="0"/>
    </row>
    <row r="48" customFormat="false" ht="12.75" hidden="false" customHeight="false" outlineLevel="0" collapsed="false">
      <c r="B48" s="115" t="s">
        <v>101</v>
      </c>
      <c r="C48" s="68"/>
      <c r="D48" s="68"/>
      <c r="E48" s="68"/>
      <c r="F48" s="111" t="n">
        <f aca="false">F$36/0.095*LTV</f>
        <v>5901237.24188334</v>
      </c>
      <c r="G48" s="111"/>
      <c r="H48" s="111" t="n">
        <f aca="false">+F48/H$12</f>
        <v>80838.8663271691</v>
      </c>
      <c r="I48" s="100" t="n">
        <f aca="false">+H48/H$9</f>
        <v>79.5658133141428</v>
      </c>
      <c r="J48" s="68"/>
      <c r="K48" s="111" t="n">
        <f aca="false">K$36/0.095*LTV</f>
        <v>6723441.93929065</v>
      </c>
      <c r="L48" s="111"/>
      <c r="M48" s="111" t="n">
        <f aca="false">+K48/M$12</f>
        <v>110220.359660502</v>
      </c>
      <c r="N48" s="100" t="n">
        <f aca="false">+M48/M$9</f>
        <v>90.8659189286912</v>
      </c>
      <c r="O48" s="68"/>
      <c r="P48" s="68" t="n">
        <f aca="false">+K48+F48</f>
        <v>12624679.181174</v>
      </c>
      <c r="Q48" s="111" t="n">
        <f aca="false">+L48+G48</f>
        <v>0</v>
      </c>
      <c r="R48" s="111" t="n">
        <f aca="false">+Q48/Q$12</f>
        <v>0</v>
      </c>
      <c r="T48" s="0"/>
      <c r="U48" s="0"/>
    </row>
    <row r="49" customFormat="false" ht="12.75" hidden="false" customHeight="false" outlineLevel="0" collapsed="false">
      <c r="B49" s="115"/>
      <c r="C49" s="68"/>
      <c r="D49" s="68"/>
      <c r="E49" s="68"/>
      <c r="F49" s="68"/>
      <c r="G49" s="68"/>
      <c r="H49" s="111"/>
      <c r="I49" s="68"/>
      <c r="J49" s="68"/>
      <c r="K49" s="68"/>
      <c r="L49" s="111"/>
      <c r="M49" s="111"/>
      <c r="N49" s="68"/>
      <c r="O49" s="68"/>
      <c r="P49" s="68"/>
      <c r="Q49" s="111"/>
      <c r="R49" s="111"/>
      <c r="T49" s="0"/>
      <c r="U49" s="0"/>
    </row>
    <row r="50" customFormat="false" ht="12.75" hidden="false" customHeight="false" outlineLevel="0" collapsed="false">
      <c r="B50" s="115" t="s">
        <v>102</v>
      </c>
      <c r="D50" s="116" t="n">
        <f aca="false">72*1016+1638</f>
        <v>74790</v>
      </c>
      <c r="E50" s="68"/>
      <c r="F50" s="111" t="n">
        <f aca="false">F$36/0.1*LTV</f>
        <v>5606175.37978918</v>
      </c>
      <c r="G50" s="111"/>
      <c r="H50" s="111" t="n">
        <f aca="false">+F50/H$12</f>
        <v>76796.9230108106</v>
      </c>
      <c r="I50" s="111" t="n">
        <f aca="false">+H50/H$9</f>
        <v>75.5875226484357</v>
      </c>
      <c r="J50" s="68"/>
      <c r="K50" s="111" t="n">
        <f aca="false">K$36/0.1*LTV</f>
        <v>6387269.84232611</v>
      </c>
      <c r="L50" s="111"/>
      <c r="M50" s="111" t="n">
        <f aca="false">+K50/M$12</f>
        <v>104709.341677477</v>
      </c>
      <c r="N50" s="100" t="n">
        <f aca="false">+M50/M$9</f>
        <v>86.3226229822566</v>
      </c>
      <c r="O50" s="68"/>
      <c r="P50" s="68" t="n">
        <f aca="false">+K50+F50</f>
        <v>11993445.2221153</v>
      </c>
      <c r="Q50" s="111" t="n">
        <f aca="false">+L50+G50</f>
        <v>0</v>
      </c>
      <c r="R50" s="111" t="n">
        <f aca="false">+Q50/Q$12</f>
        <v>0</v>
      </c>
      <c r="T50" s="0"/>
      <c r="U50" s="0"/>
    </row>
    <row r="51" customFormat="false" ht="12.75" hidden="false" customHeight="false" outlineLevel="0" collapsed="false">
      <c r="B51" s="115"/>
      <c r="C51" s="68"/>
      <c r="D51" s="116" t="n">
        <f aca="false">61*1213</f>
        <v>73993</v>
      </c>
      <c r="E51" s="68"/>
      <c r="F51" s="68"/>
      <c r="G51" s="68"/>
      <c r="H51" s="111"/>
      <c r="I51" s="68"/>
      <c r="J51" s="68"/>
      <c r="K51" s="68"/>
      <c r="L51" s="111"/>
      <c r="M51" s="111"/>
      <c r="N51" s="68"/>
      <c r="O51" s="68"/>
      <c r="P51" s="68"/>
      <c r="Q51" s="111"/>
      <c r="R51" s="111"/>
      <c r="T51" s="0"/>
      <c r="U51" s="0"/>
    </row>
    <row r="52" customFormat="false" ht="12.75" hidden="false" customHeight="false" outlineLevel="0" collapsed="false">
      <c r="B52" s="115" t="s">
        <v>103</v>
      </c>
      <c r="C52" s="68"/>
      <c r="D52" s="116" t="n">
        <f aca="false">+D51+D50</f>
        <v>148783</v>
      </c>
      <c r="E52" s="68"/>
      <c r="F52" s="111" t="n">
        <f aca="false">F$36/0.105*LTV</f>
        <v>5339214.64741826</v>
      </c>
      <c r="G52" s="111"/>
      <c r="H52" s="111" t="n">
        <f aca="false">+F52/H$12</f>
        <v>73139.9266769625</v>
      </c>
      <c r="I52" s="100" t="n">
        <f aca="false">+H52/H$9</f>
        <v>71.988116808034</v>
      </c>
      <c r="J52" s="68"/>
      <c r="K52" s="111" t="n">
        <f aca="false">K$36/0.105*LTV</f>
        <v>6083114.13554868</v>
      </c>
      <c r="L52" s="111"/>
      <c r="M52" s="111" t="n">
        <f aca="false">+K52/M$12</f>
        <v>99723.1825499784</v>
      </c>
      <c r="N52" s="100" t="n">
        <f aca="false">+M52/M$9</f>
        <v>82.2120218878635</v>
      </c>
      <c r="O52" s="68"/>
      <c r="P52" s="68" t="n">
        <f aca="false">+K52+F52</f>
        <v>11422328.7829669</v>
      </c>
      <c r="Q52" s="111" t="n">
        <f aca="false">+L52+G52</f>
        <v>0</v>
      </c>
      <c r="R52" s="111" t="n">
        <f aca="false">+Q52/Q$12</f>
        <v>0</v>
      </c>
      <c r="T52" s="0"/>
      <c r="U52" s="0"/>
    </row>
    <row r="53" customFormat="false" ht="13.5" hidden="false" customHeight="false" outlineLevel="0" collapsed="false">
      <c r="B53" s="117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8"/>
      <c r="Q53" s="118"/>
      <c r="R53" s="118"/>
      <c r="T53" s="0"/>
      <c r="U53" s="0"/>
    </row>
    <row r="54" customFormat="false" ht="13.5" hidden="false" customHeight="false" outlineLevel="0" collapsed="false"/>
    <row r="55" customFormat="false" ht="12.75" hidden="false" customHeight="false" outlineLevel="0" collapsed="false">
      <c r="A55" s="0"/>
      <c r="B55" s="0" t="s">
        <v>104</v>
      </c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T55" s="0"/>
      <c r="U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19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T56" s="0"/>
      <c r="U56" s="0"/>
    </row>
    <row r="57" customFormat="false" ht="12.75" hidden="false" customHeight="false" outlineLevel="0" collapsed="false">
      <c r="A57" s="0"/>
      <c r="B57" s="0" t="s">
        <v>105</v>
      </c>
      <c r="C57" s="0"/>
      <c r="D57" s="0"/>
      <c r="E57" s="0"/>
      <c r="F57" s="0" t="n">
        <f aca="false">TotalCost</f>
        <v>12723028.2278064</v>
      </c>
      <c r="G57" s="19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T57" s="0"/>
      <c r="U57" s="0"/>
    </row>
    <row r="58" customFormat="false" ht="12.75" hidden="false" customHeight="false" outlineLevel="0" collapsed="false">
      <c r="A58" s="0"/>
      <c r="B58" s="0" t="s">
        <v>106</v>
      </c>
      <c r="C58" s="0"/>
      <c r="D58" s="0"/>
      <c r="E58" s="0"/>
      <c r="F58" s="0" t="n">
        <f aca="false">F57*0.8</f>
        <v>10178422.5822451</v>
      </c>
      <c r="G58" s="19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T58" s="0"/>
      <c r="U58" s="0"/>
    </row>
    <row r="59" customFormat="false" ht="12.75" hidden="false" customHeight="false" outlineLevel="0" collapsed="false">
      <c r="A59" s="0"/>
      <c r="B59" s="0" t="s">
        <v>107</v>
      </c>
      <c r="C59" s="0"/>
      <c r="D59" s="0"/>
      <c r="E59" s="0"/>
      <c r="F59" s="0" t="n">
        <f aca="false">F57*0.75</f>
        <v>9542271.17085479</v>
      </c>
      <c r="G59" s="19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T59" s="0"/>
      <c r="U59" s="0"/>
    </row>
    <row r="60" customFormat="false" ht="12.75" hidden="false" customHeight="false" outlineLevel="0" collapsed="false">
      <c r="A60" s="0"/>
      <c r="B60" s="119" t="s">
        <v>108</v>
      </c>
      <c r="C60" s="0"/>
      <c r="D60" s="0"/>
      <c r="E60" s="0"/>
      <c r="F60" s="0"/>
      <c r="G60" s="19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T60" s="0"/>
      <c r="U60" s="0"/>
    </row>
    <row r="61" customFormat="false" ht="12.75" hidden="false" customHeight="false" outlineLevel="0" collapsed="false">
      <c r="A61" s="0"/>
      <c r="B61" s="0" t="s">
        <v>109</v>
      </c>
      <c r="C61" s="0"/>
      <c r="D61" s="0"/>
      <c r="E61" s="0"/>
      <c r="F61" s="0" t="n">
        <f aca="false">F$57-F58</f>
        <v>2544605.64556128</v>
      </c>
      <c r="G61" s="19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T61" s="0"/>
      <c r="U61" s="0"/>
    </row>
    <row r="62" customFormat="false" ht="12.75" hidden="false" customHeight="false" outlineLevel="0" collapsed="false">
      <c r="A62" s="0"/>
      <c r="B62" s="0" t="s">
        <v>110</v>
      </c>
      <c r="C62" s="0"/>
      <c r="D62" s="0"/>
      <c r="E62" s="0"/>
      <c r="F62" s="0" t="n">
        <f aca="false">0.1*F57</f>
        <v>1272302.82278064</v>
      </c>
      <c r="G62" s="19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T62" s="0"/>
      <c r="U62" s="0"/>
    </row>
    <row r="63" customFormat="false" ht="12.75" hidden="false" customHeight="false" outlineLevel="0" collapsed="false">
      <c r="A63" s="0"/>
      <c r="B63" s="0" t="s">
        <v>111</v>
      </c>
      <c r="C63" s="0"/>
      <c r="D63" s="0"/>
      <c r="E63" s="0"/>
      <c r="F63" s="120" t="n">
        <f aca="false">F61-F62</f>
        <v>1272302.82278064</v>
      </c>
      <c r="G63" s="19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T63" s="0"/>
      <c r="U63" s="0"/>
    </row>
    <row r="64" customFormat="false" ht="12.75" hidden="false" customHeight="false" outlineLevel="0" collapsed="false">
      <c r="A64" s="0"/>
      <c r="B64" s="0" t="s">
        <v>112</v>
      </c>
      <c r="C64" s="0"/>
      <c r="D64" s="0"/>
      <c r="E64" s="0"/>
      <c r="F64" s="0" t="n">
        <f aca="false">Land</f>
        <v>1121670</v>
      </c>
      <c r="G64" s="19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T64" s="0"/>
      <c r="U64" s="0"/>
    </row>
    <row r="65" customFormat="false" ht="12.75" hidden="false" customHeight="false" outlineLevel="0" collapsed="false">
      <c r="A65" s="0"/>
      <c r="B65" s="38" t="s">
        <v>113</v>
      </c>
      <c r="F65" s="38" t="n">
        <f aca="false">+F63-F64</f>
        <v>150632.822780637</v>
      </c>
      <c r="G65" s="19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</row>
    <row r="66" customFormat="false" ht="12.75" hidden="false" customHeight="false" outlineLevel="0" collapsed="false">
      <c r="A66" s="0"/>
      <c r="B66" s="38" t="s">
        <v>114</v>
      </c>
      <c r="F66" s="38" t="n">
        <f aca="false">+F57-TotalCProfit</f>
        <v>11321652.8700425</v>
      </c>
      <c r="G66" s="19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T66" s="100"/>
    </row>
    <row r="67" customFormat="false" ht="12.75" hidden="false" customHeight="false" outlineLevel="0" collapsed="false">
      <c r="A67" s="0"/>
      <c r="B67" s="38" t="s">
        <v>115</v>
      </c>
      <c r="F67" s="38" t="n">
        <f aca="false">+F66-F63</f>
        <v>10049350.0472619</v>
      </c>
      <c r="G67" s="19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T67" s="100"/>
    </row>
    <row r="68" customFormat="false" ht="12.75" hidden="false" customHeight="false" outlineLevel="0" collapsed="false">
      <c r="A68" s="0"/>
      <c r="B68" s="38" t="s">
        <v>116</v>
      </c>
      <c r="F68" s="38" t="n">
        <f aca="false">+F58-F67</f>
        <v>129072.534983205</v>
      </c>
      <c r="G68" s="19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T68" s="100"/>
    </row>
    <row r="69" customFormat="false" ht="12.75" hidden="false" customHeight="false" outlineLevel="0" collapsed="false">
      <c r="A69" s="0"/>
      <c r="G69" s="19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T69" s="100"/>
    </row>
    <row r="70" customFormat="false" ht="12.75" hidden="false" customHeight="false" outlineLevel="0" collapsed="false">
      <c r="A70" s="0"/>
      <c r="G70" s="19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T70" s="100"/>
    </row>
    <row r="71" customFormat="false" ht="12.75" hidden="false" customHeight="false" outlineLevel="0" collapsed="false">
      <c r="A71" s="0"/>
      <c r="B71" s="0" t="s">
        <v>117</v>
      </c>
      <c r="C71" s="0"/>
      <c r="D71" s="0"/>
      <c r="E71" s="0"/>
      <c r="F71" s="0" t="n">
        <f aca="false">F$57-F59</f>
        <v>3180757.0569516</v>
      </c>
      <c r="G71" s="19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T71" s="100"/>
    </row>
    <row r="72" customFormat="false" ht="12.75" hidden="false" customHeight="false" outlineLevel="0" collapsed="false">
      <c r="B72" s="0" t="s">
        <v>118</v>
      </c>
      <c r="C72" s="0"/>
      <c r="D72" s="0"/>
      <c r="E72" s="0"/>
      <c r="F72" s="0" t="n">
        <f aca="false">0.1*F57</f>
        <v>1272302.82278064</v>
      </c>
      <c r="G72" s="19"/>
      <c r="H72" s="108"/>
      <c r="I72" s="100"/>
      <c r="L72" s="108"/>
      <c r="M72" s="108"/>
      <c r="N72" s="100"/>
      <c r="R72" s="121"/>
      <c r="S72" s="121"/>
      <c r="T72" s="100"/>
    </row>
    <row r="73" customFormat="false" ht="12.75" hidden="false" customHeight="false" outlineLevel="0" collapsed="false">
      <c r="B73" s="0" t="s">
        <v>111</v>
      </c>
      <c r="C73" s="0"/>
      <c r="D73" s="0"/>
      <c r="E73" s="0"/>
      <c r="F73" s="0" t="n">
        <f aca="false">F71-F72</f>
        <v>1908454.23417096</v>
      </c>
    </row>
    <row r="74" customFormat="false" ht="12.75" hidden="false" customHeight="false" outlineLevel="0" collapsed="false">
      <c r="B74" s="0" t="s">
        <v>112</v>
      </c>
      <c r="C74" s="0"/>
      <c r="D74" s="0"/>
      <c r="E74" s="0"/>
      <c r="F74" s="0" t="n">
        <f aca="false">Land</f>
        <v>1121670</v>
      </c>
    </row>
    <row r="75" customFormat="false" ht="12.75" hidden="false" customHeight="false" outlineLevel="0" collapsed="false">
      <c r="B75" s="38" t="s">
        <v>113</v>
      </c>
      <c r="F75" s="38" t="n">
        <f aca="false">+F73-F74</f>
        <v>786784.234170958</v>
      </c>
    </row>
    <row r="77" customFormat="false" ht="12.75" hidden="false" customHeight="false" outlineLevel="0" collapsed="false">
      <c r="B77" s="38" t="s">
        <v>119</v>
      </c>
      <c r="F77" s="38" t="n">
        <f aca="false">0.8*15500000</f>
        <v>12400000</v>
      </c>
    </row>
    <row r="78" customFormat="false" ht="12.75" hidden="false" customHeight="false" outlineLevel="0" collapsed="false">
      <c r="B78" s="38" t="s">
        <v>120</v>
      </c>
      <c r="F78" s="38" t="n">
        <f aca="false">F77*0.98</f>
        <v>12152000</v>
      </c>
    </row>
    <row r="79" customFormat="false" ht="12.75" hidden="false" customHeight="false" outlineLevel="0" collapsed="false">
      <c r="B79" s="38" t="s">
        <v>121</v>
      </c>
      <c r="F79" s="38" t="n">
        <f aca="false">0.9*F57</f>
        <v>11450725.4050257</v>
      </c>
      <c r="G79" s="38" t="n">
        <f aca="false">Mortg2002/0.8</f>
        <v>14313406.7562822</v>
      </c>
    </row>
    <row r="80" customFormat="false" ht="12.75" hidden="false" customHeight="false" outlineLevel="0" collapsed="false">
      <c r="B80" s="38" t="s">
        <v>122</v>
      </c>
      <c r="F80" s="38" t="n">
        <f aca="false">F58</f>
        <v>10178422.5822451</v>
      </c>
      <c r="G80" s="38" t="n">
        <f aca="false">15500000</f>
        <v>15500000</v>
      </c>
    </row>
    <row r="81" customFormat="false" ht="12.75" hidden="false" customHeight="false" outlineLevel="0" collapsed="false">
      <c r="B81" s="38" t="s">
        <v>123</v>
      </c>
      <c r="F81" s="38" t="n">
        <f aca="false">+F79-F80</f>
        <v>1272302.82278064</v>
      </c>
      <c r="G81" s="38" t="n">
        <f aca="false">+G80-G79</f>
        <v>1186593.24371782</v>
      </c>
    </row>
    <row r="82" customFormat="false" ht="12.75" hidden="false" customHeight="false" outlineLevel="0" collapsed="false">
      <c r="B82" s="38" t="s">
        <v>124</v>
      </c>
      <c r="F82" s="38" t="n">
        <f aca="false">-F63</f>
        <v>-1272302.82278064</v>
      </c>
      <c r="G82" s="38" t="n">
        <f aca="false">PMT(MortRate,Term,G81)</f>
        <v>-8296.83211758201</v>
      </c>
    </row>
    <row r="83" customFormat="false" ht="12.75" hidden="false" customHeight="false" outlineLevel="0" collapsed="false">
      <c r="F83" s="38" t="n">
        <f aca="false">+F82+F81</f>
        <v>0</v>
      </c>
    </row>
    <row r="84" customFormat="false" ht="12.75" hidden="false" customHeight="false" outlineLevel="0" collapsed="false">
      <c r="B84" s="38" t="s">
        <v>125</v>
      </c>
      <c r="F84" s="38" t="n">
        <v>1000000</v>
      </c>
    </row>
    <row r="85" customFormat="false" ht="12.75" hidden="false" customHeight="false" outlineLevel="0" collapsed="false">
      <c r="B85" s="38" t="s">
        <v>126</v>
      </c>
      <c r="F85" s="122" t="n">
        <f aca="false">F84/NetCash</f>
        <v>2.02896656575042</v>
      </c>
    </row>
    <row r="87" customFormat="false" ht="12.75" hidden="false" customHeight="false" outlineLevel="0" collapsed="false">
      <c r="B87" s="38" t="s">
        <v>127</v>
      </c>
    </row>
    <row r="88" customFormat="false" ht="12.75" hidden="false" customHeight="false" outlineLevel="0" collapsed="false">
      <c r="B88" s="38" t="s">
        <v>128</v>
      </c>
      <c r="F88" s="38" t="n">
        <f aca="false">0.08*TotalCost</f>
        <v>1017842.25822451</v>
      </c>
    </row>
  </sheetData>
  <mergeCells count="4">
    <mergeCell ref="G5:I5"/>
    <mergeCell ref="L5:N5"/>
    <mergeCell ref="Q5:S5"/>
    <mergeCell ref="V5:X5"/>
  </mergeCells>
  <printOptions headings="false" gridLines="false" gridLinesSet="true" horizontalCentered="true" verticalCentered="false"/>
  <pageMargins left="0.5" right="0.5" top="1.0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Roman,Bold"&amp;12SM134:  MONTHLY PROFORMA</oddHeader>
    <oddFooter>&amp;L&amp;8 &amp;F
 &amp;A&amp;C&amp;8 &amp;R&amp;8 &amp;D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Q188"/>
  <sheetViews>
    <sheetView showFormulas="false" showGridLines="true" showRowColHeaders="true" showZeros="true" rightToLeft="false" tabSelected="true" showOutlineSymbols="true" defaultGridColor="true" view="normal" topLeftCell="B1" colorId="64" zoomScale="85" zoomScaleNormal="85" zoomScalePageLayoutView="100" workbookViewId="0">
      <pane xSplit="1" ySplit="7" topLeftCell="M152" activePane="bottomRight" state="frozen"/>
      <selection pane="topLeft" activeCell="B1" activeCellId="0" sqref="B1"/>
      <selection pane="topRight" activeCell="M1" activeCellId="0" sqref="M1"/>
      <selection pane="bottomLeft" activeCell="B152" activeCellId="0" sqref="B152"/>
      <selection pane="bottomRight" activeCell="S175" activeCellId="0" sqref="S175"/>
    </sheetView>
  </sheetViews>
  <sheetFormatPr defaultColWidth="7.65234375" defaultRowHeight="12" customHeight="true" zeroHeight="false" outlineLevelRow="0" outlineLevelCol="0"/>
  <cols>
    <col collapsed="false" customWidth="true" hidden="true" outlineLevel="0" max="1" min="1" style="123" width="8.15"/>
    <col collapsed="false" customWidth="true" hidden="false" outlineLevel="0" max="2" min="2" style="124" width="26.99"/>
    <col collapsed="false" customWidth="true" hidden="false" outlineLevel="0" max="3" min="3" style="124" width="16.49"/>
    <col collapsed="false" customWidth="true" hidden="false" outlineLevel="0" max="4" min="4" style="124" width="11.65"/>
    <col collapsed="false" customWidth="true" hidden="false" outlineLevel="0" max="5" min="5" style="124" width="13.49"/>
    <col collapsed="false" customWidth="true" hidden="false" outlineLevel="0" max="6" min="6" style="124" width="13.99"/>
    <col collapsed="false" customWidth="true" hidden="false" outlineLevel="0" max="7" min="7" style="124" width="11.99"/>
    <col collapsed="false" customWidth="true" hidden="false" outlineLevel="0" max="8" min="8" style="124" width="9.99"/>
    <col collapsed="false" customWidth="true" hidden="false" outlineLevel="0" max="9" min="9" style="124" width="1.15"/>
    <col collapsed="false" customWidth="true" hidden="false" outlineLevel="0" max="10" min="10" style="124" width="15.49"/>
    <col collapsed="false" customWidth="true" hidden="false" outlineLevel="0" max="11" min="11" style="124" width="11.82"/>
    <col collapsed="false" customWidth="true" hidden="false" outlineLevel="0" max="12" min="12" style="124" width="10.49"/>
    <col collapsed="false" customWidth="true" hidden="false" outlineLevel="0" max="13" min="13" style="124" width="15.49"/>
    <col collapsed="false" customWidth="true" hidden="false" outlineLevel="0" max="14" min="14" style="124" width="11.99"/>
    <col collapsed="false" customWidth="true" hidden="false" outlineLevel="0" max="15" min="15" style="124" width="10.49"/>
    <col collapsed="false" customWidth="true" hidden="false" outlineLevel="0" max="16" min="16" style="124" width="14.32"/>
    <col collapsed="false" customWidth="true" hidden="false" outlineLevel="0" max="17" min="17" style="124" width="11.99"/>
    <col collapsed="false" customWidth="true" hidden="false" outlineLevel="0" max="18" min="18" style="124" width="10.49"/>
    <col collapsed="false" customWidth="true" hidden="false" outlineLevel="0" max="19" min="19" style="124" width="15.15"/>
    <col collapsed="false" customWidth="true" hidden="false" outlineLevel="0" max="20" min="20" style="124" width="11.99"/>
    <col collapsed="false" customWidth="true" hidden="false" outlineLevel="0" max="21" min="21" style="124" width="10.49"/>
    <col collapsed="false" customWidth="true" hidden="false" outlineLevel="0" max="22" min="22" style="124" width="11.32"/>
    <col collapsed="false" customWidth="true" hidden="false" outlineLevel="0" max="23" min="23" style="124" width="10.15"/>
    <col collapsed="false" customWidth="true" hidden="false" outlineLevel="0" max="24" min="24" style="124" width="12.65"/>
    <col collapsed="false" customWidth="true" hidden="false" outlineLevel="0" max="25" min="25" style="124" width="11.65"/>
    <col collapsed="false" customWidth="true" hidden="false" outlineLevel="0" max="26" min="26" style="124" width="60.49"/>
    <col collapsed="false" customWidth="true" hidden="false" outlineLevel="0" max="27" min="27" style="124" width="0.99"/>
    <col collapsed="false" customWidth="true" hidden="false" outlineLevel="0" max="28" min="28" style="124" width="13.15"/>
    <col collapsed="false" customWidth="true" hidden="false" outlineLevel="0" max="29" min="29" style="124" width="11.15"/>
    <col collapsed="false" customWidth="true" hidden="false" outlineLevel="0" max="30" min="30" style="124" width="60.49"/>
    <col collapsed="false" customWidth="true" hidden="false" outlineLevel="0" max="31" min="31" style="124" width="3.15"/>
    <col collapsed="false" customWidth="true" hidden="false" outlineLevel="0" max="32" min="32" style="124" width="28.82"/>
    <col collapsed="false" customWidth="true" hidden="true" outlineLevel="0" max="33" min="33" style="124" width="11.49"/>
    <col collapsed="false" customWidth="true" hidden="true" outlineLevel="0" max="34" min="34" style="124" width="10.49"/>
    <col collapsed="false" customWidth="true" hidden="true" outlineLevel="0" max="36" min="35" style="124" width="9.99"/>
    <col collapsed="false" customWidth="true" hidden="false" outlineLevel="0" max="37" min="37" style="124" width="11.32"/>
    <col collapsed="false" customWidth="true" hidden="true" outlineLevel="0" max="38" min="38" style="124" width="9.99"/>
    <col collapsed="false" customWidth="true" hidden="true" outlineLevel="0" max="39" min="39" style="124" width="11.49"/>
    <col collapsed="false" customWidth="true" hidden="true" outlineLevel="0" max="41" min="40" style="124" width="9.99"/>
    <col collapsed="false" customWidth="true" hidden="false" outlineLevel="0" max="42" min="42" style="124" width="11.32"/>
    <col collapsed="false" customWidth="true" hidden="true" outlineLevel="0" max="46" min="43" style="124" width="9.99"/>
    <col collapsed="false" customWidth="true" hidden="false" outlineLevel="0" max="47" min="47" style="124" width="13.15"/>
    <col collapsed="false" customWidth="true" hidden="true" outlineLevel="0" max="50" min="48" style="124" width="9.99"/>
    <col collapsed="false" customWidth="true" hidden="true" outlineLevel="0" max="51" min="51" style="124" width="10.99"/>
    <col collapsed="false" customWidth="true" hidden="false" outlineLevel="0" max="52" min="52" style="124" width="13.15"/>
    <col collapsed="false" customWidth="true" hidden="true" outlineLevel="0" max="56" min="53" style="124" width="10.99"/>
    <col collapsed="false" customWidth="true" hidden="false" outlineLevel="0" max="57" min="57" style="124" width="13.15"/>
    <col collapsed="false" customWidth="true" hidden="true" outlineLevel="0" max="61" min="58" style="124" width="10.99"/>
    <col collapsed="false" customWidth="true" hidden="false" outlineLevel="0" max="62" min="62" style="124" width="13.15"/>
    <col collapsed="false" customWidth="true" hidden="true" outlineLevel="0" max="66" min="63" style="124" width="10.99"/>
    <col collapsed="false" customWidth="true" hidden="false" outlineLevel="0" max="67" min="67" style="124" width="13.15"/>
    <col collapsed="false" customWidth="true" hidden="true" outlineLevel="0" max="71" min="68" style="124" width="10.99"/>
    <col collapsed="false" customWidth="true" hidden="false" outlineLevel="0" max="72" min="72" style="124" width="13.15"/>
    <col collapsed="false" customWidth="true" hidden="true" outlineLevel="0" max="76" min="73" style="124" width="10.99"/>
    <col collapsed="false" customWidth="true" hidden="false" outlineLevel="0" max="77" min="77" style="124" width="13.15"/>
    <col collapsed="false" customWidth="true" hidden="true" outlineLevel="0" max="81" min="78" style="124" width="10.99"/>
    <col collapsed="false" customWidth="true" hidden="false" outlineLevel="0" max="82" min="82" style="124" width="13.15"/>
    <col collapsed="false" customWidth="true" hidden="true" outlineLevel="0" max="86" min="83" style="124" width="10.99"/>
    <col collapsed="false" customWidth="true" hidden="false" outlineLevel="0" max="87" min="87" style="124" width="13.15"/>
    <col collapsed="false" customWidth="true" hidden="true" outlineLevel="0" max="89" min="88" style="124" width="10.99"/>
    <col collapsed="false" customWidth="true" hidden="true" outlineLevel="0" max="90" min="90" style="124" width="11.49"/>
    <col collapsed="false" customWidth="true" hidden="true" outlineLevel="0" max="91" min="91" style="124" width="10.99"/>
    <col collapsed="false" customWidth="true" hidden="false" outlineLevel="0" max="92" min="92" style="124" width="13.15"/>
    <col collapsed="false" customWidth="true" hidden="false" outlineLevel="0" max="93" min="93" style="124" width="14.15"/>
    <col collapsed="false" customWidth="true" hidden="false" outlineLevel="0" max="94" min="94" style="124" width="14.32"/>
    <col collapsed="false" customWidth="true" hidden="false" outlineLevel="0" max="95" min="95" style="124" width="9.99"/>
    <col collapsed="false" customWidth="false" hidden="false" outlineLevel="0" max="257" min="96" style="124" width="7.65"/>
  </cols>
  <sheetData>
    <row r="1" customFormat="false" ht="12.75" hidden="false" customHeight="false" outlineLevel="0" collapsed="false">
      <c r="A1" s="125"/>
      <c r="B1" s="126" t="s">
        <v>129</v>
      </c>
      <c r="C1" s="126"/>
      <c r="D1" s="126"/>
      <c r="E1" s="126"/>
      <c r="F1" s="126"/>
      <c r="G1" s="126"/>
      <c r="H1" s="126"/>
      <c r="I1" s="126"/>
      <c r="J1" s="127" t="n">
        <v>1.1</v>
      </c>
      <c r="K1" s="126" t="s">
        <v>130</v>
      </c>
      <c r="L1" s="126" t="n">
        <v>134</v>
      </c>
      <c r="M1" s="126" t="s">
        <v>131</v>
      </c>
      <c r="N1" s="126" t="n">
        <f aca="false">SQRT(10.3*43560)*25*4</f>
        <v>66982.6843296086</v>
      </c>
      <c r="O1" s="126"/>
      <c r="P1" s="126" t="s">
        <v>132</v>
      </c>
      <c r="Q1" s="126" t="n">
        <f aca="false">(15+10/12)*(33+5.5/12)</f>
        <v>529.756944444445</v>
      </c>
      <c r="R1" s="126"/>
      <c r="S1" s="126"/>
      <c r="T1" s="128" t="n">
        <f aca="false">75/295</f>
        <v>0.254237288135593</v>
      </c>
      <c r="U1" s="126"/>
      <c r="V1" s="129" t="s">
        <v>133</v>
      </c>
      <c r="W1" s="126" t="n">
        <f aca="false">14*20</f>
        <v>280</v>
      </c>
      <c r="X1" s="126"/>
      <c r="Y1" s="126"/>
      <c r="Z1" s="126"/>
      <c r="AA1" s="126"/>
      <c r="AB1" s="126"/>
      <c r="AC1" s="126"/>
      <c r="AD1" s="126"/>
      <c r="AE1" s="126"/>
      <c r="AF1" s="126"/>
      <c r="AG1" s="126"/>
      <c r="AH1" s="126"/>
      <c r="AI1" s="126"/>
      <c r="AJ1" s="126"/>
      <c r="AK1" s="126"/>
      <c r="AL1" s="126"/>
      <c r="AM1" s="126"/>
      <c r="AN1" s="129"/>
      <c r="AO1" s="126"/>
      <c r="AP1" s="126"/>
    </row>
    <row r="2" customFormat="false" ht="12.75" hidden="false" customHeight="false" outlineLevel="0" collapsed="false">
      <c r="A2" s="130"/>
      <c r="B2" s="130" t="s">
        <v>134</v>
      </c>
      <c r="C2" s="130"/>
      <c r="D2" s="130"/>
      <c r="E2" s="130"/>
      <c r="F2" s="130"/>
      <c r="G2" s="130"/>
      <c r="H2" s="130"/>
      <c r="I2" s="130"/>
      <c r="J2" s="131" t="n">
        <v>14</v>
      </c>
      <c r="K2" s="130" t="s">
        <v>135</v>
      </c>
      <c r="L2" s="132" t="n">
        <v>0.15</v>
      </c>
      <c r="M2" s="130" t="s">
        <v>136</v>
      </c>
      <c r="N2" s="130" t="n">
        <f aca="false">(670-((25+38+18+20+18+38)*2))*(670-((25+38+18+20+18+38)*2))-Pool-Vollybasketball</f>
        <v>112986</v>
      </c>
      <c r="O2" s="130" t="n">
        <f aca="false">+N2+N1</f>
        <v>179968.684329609</v>
      </c>
      <c r="P2" s="130" t="s">
        <v>137</v>
      </c>
      <c r="Q2" s="130" t="n">
        <f aca="false">280+13+529</f>
        <v>822</v>
      </c>
      <c r="R2" s="130"/>
      <c r="S2" s="130"/>
      <c r="T2" s="130" t="n">
        <f aca="false">475*3</f>
        <v>1425</v>
      </c>
      <c r="U2" s="130"/>
      <c r="V2" s="130" t="s">
        <v>138</v>
      </c>
      <c r="W2" s="130" t="n">
        <v>91</v>
      </c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J2" s="130"/>
      <c r="AK2" s="130"/>
      <c r="AL2" s="130"/>
      <c r="AM2" s="130"/>
      <c r="AN2" s="130"/>
      <c r="AO2" s="130"/>
      <c r="AP2" s="130"/>
      <c r="AQ2" s="133"/>
      <c r="AR2" s="133"/>
      <c r="AS2" s="133"/>
      <c r="AT2" s="133"/>
      <c r="AU2" s="133"/>
    </row>
    <row r="3" customFormat="false" ht="12.75" hidden="false" customHeight="false" outlineLevel="0" collapsed="false">
      <c r="A3" s="125" t="s">
        <v>139</v>
      </c>
      <c r="B3" s="126" t="s">
        <v>140</v>
      </c>
      <c r="C3" s="126"/>
      <c r="D3" s="126"/>
      <c r="E3" s="126"/>
      <c r="F3" s="126"/>
      <c r="G3" s="126"/>
      <c r="H3" s="126"/>
      <c r="I3" s="126"/>
      <c r="J3" s="126" t="s">
        <v>141</v>
      </c>
      <c r="K3" s="126"/>
      <c r="L3" s="126"/>
      <c r="M3" s="126" t="s">
        <v>142</v>
      </c>
      <c r="N3" s="126" t="n">
        <f aca="false">(45+15*2)*(20+15*2)</f>
        <v>3750</v>
      </c>
      <c r="O3" s="126"/>
      <c r="P3" s="126" t="s">
        <v>143</v>
      </c>
      <c r="Q3" s="126" t="n">
        <f aca="false">(11/12+30)*((47+5.5/12))</f>
        <v>1467.25347222222</v>
      </c>
      <c r="R3" s="126"/>
      <c r="S3" s="126"/>
      <c r="T3" s="126" t="n">
        <f aca="false">75*12</f>
        <v>900</v>
      </c>
      <c r="U3" s="126"/>
      <c r="V3" s="129" t="s">
        <v>144</v>
      </c>
      <c r="W3" s="126" t="n">
        <v>74</v>
      </c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  <c r="AM3" s="126"/>
      <c r="AN3" s="129"/>
      <c r="AO3" s="126"/>
      <c r="AP3" s="126"/>
    </row>
    <row r="4" customFormat="false" ht="12.75" hidden="false" customHeight="false" outlineLevel="0" collapsed="false">
      <c r="A4" s="125"/>
      <c r="B4" s="0"/>
      <c r="C4" s="0"/>
      <c r="D4" s="0"/>
      <c r="E4" s="0"/>
      <c r="F4" s="0"/>
      <c r="G4" s="0"/>
      <c r="H4" s="126"/>
      <c r="I4" s="126"/>
      <c r="J4" s="126"/>
      <c r="K4" s="126"/>
      <c r="L4" s="126"/>
      <c r="M4" s="126" t="s">
        <v>145</v>
      </c>
      <c r="N4" s="126" t="n">
        <f aca="false">100*50+100*50</f>
        <v>10000</v>
      </c>
      <c r="O4" s="126"/>
      <c r="P4" s="126"/>
      <c r="Q4" s="126"/>
      <c r="R4" s="126"/>
      <c r="S4" s="126"/>
      <c r="T4" s="126"/>
      <c r="U4" s="126"/>
      <c r="V4" s="129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  <c r="AM4" s="126"/>
      <c r="AN4" s="129"/>
      <c r="AO4" s="126"/>
      <c r="AP4" s="126"/>
    </row>
    <row r="5" customFormat="false" ht="15.75" hidden="false" customHeight="true" outlineLevel="0" collapsed="false">
      <c r="A5" s="125"/>
      <c r="B5" s="134" t="s">
        <v>45</v>
      </c>
      <c r="C5" s="135"/>
      <c r="D5" s="135"/>
      <c r="E5" s="135"/>
      <c r="F5" s="135"/>
      <c r="G5" s="135"/>
      <c r="H5" s="135"/>
      <c r="I5" s="135"/>
      <c r="J5" s="136" t="s">
        <v>146</v>
      </c>
      <c r="K5" s="136"/>
      <c r="L5" s="136"/>
      <c r="M5" s="137" t="s">
        <v>46</v>
      </c>
      <c r="N5" s="137"/>
      <c r="O5" s="137"/>
      <c r="P5" s="137" t="s">
        <v>47</v>
      </c>
      <c r="Q5" s="137"/>
      <c r="R5" s="137"/>
      <c r="S5" s="138" t="s">
        <v>147</v>
      </c>
      <c r="T5" s="138"/>
      <c r="U5" s="138"/>
      <c r="V5" s="138"/>
      <c r="W5" s="138"/>
      <c r="X5" s="139"/>
      <c r="Y5" s="140"/>
      <c r="Z5" s="140"/>
      <c r="AA5" s="141"/>
      <c r="AB5" s="139"/>
      <c r="AC5" s="140"/>
      <c r="AD5" s="140"/>
      <c r="AE5" s="126"/>
      <c r="AF5" s="126"/>
      <c r="AG5" s="126"/>
      <c r="AH5" s="126"/>
      <c r="AI5" s="126"/>
      <c r="AJ5" s="129"/>
      <c r="AK5" s="129"/>
      <c r="AL5" s="126"/>
    </row>
    <row r="6" customFormat="false" ht="15.75" hidden="false" customHeight="false" outlineLevel="0" collapsed="false">
      <c r="A6" s="125"/>
      <c r="B6" s="142"/>
      <c r="C6" s="135"/>
      <c r="D6" s="135"/>
      <c r="E6" s="135"/>
      <c r="F6" s="135"/>
      <c r="G6" s="135"/>
      <c r="H6" s="135"/>
      <c r="I6" s="135"/>
      <c r="J6" s="143"/>
      <c r="K6" s="143"/>
      <c r="L6" s="143"/>
      <c r="M6" s="144"/>
      <c r="N6" s="144"/>
      <c r="O6" s="144"/>
      <c r="P6" s="144"/>
      <c r="Q6" s="144"/>
      <c r="R6" s="144"/>
      <c r="S6" s="145"/>
      <c r="T6" s="145"/>
      <c r="U6" s="145"/>
      <c r="V6" s="145"/>
      <c r="W6" s="145"/>
      <c r="X6" s="139"/>
      <c r="Y6" s="140"/>
      <c r="Z6" s="140"/>
      <c r="AA6" s="146"/>
      <c r="AB6" s="139"/>
      <c r="AC6" s="140"/>
      <c r="AD6" s="140"/>
      <c r="AE6" s="147"/>
      <c r="AF6" s="148" t="s">
        <v>148</v>
      </c>
      <c r="AG6" s="149" t="n">
        <v>1.1</v>
      </c>
      <c r="AH6" s="149" t="n">
        <v>1.2</v>
      </c>
      <c r="AI6" s="150" t="n">
        <v>1.3</v>
      </c>
      <c r="AJ6" s="150" t="n">
        <v>1.4</v>
      </c>
      <c r="AK6" s="150"/>
      <c r="AL6" s="150" t="n">
        <v>2.1</v>
      </c>
      <c r="AM6" s="150" t="n">
        <v>2.2</v>
      </c>
      <c r="AN6" s="150" t="n">
        <v>2.3</v>
      </c>
      <c r="AO6" s="150" t="n">
        <v>2.4</v>
      </c>
      <c r="AP6" s="150"/>
      <c r="AQ6" s="150" t="n">
        <v>3.1</v>
      </c>
      <c r="AR6" s="150" t="n">
        <v>3.2</v>
      </c>
      <c r="AS6" s="150" t="n">
        <v>3.3</v>
      </c>
      <c r="AT6" s="150" t="n">
        <v>3.4</v>
      </c>
      <c r="AU6" s="150"/>
      <c r="AV6" s="149" t="n">
        <v>4.1</v>
      </c>
      <c r="AW6" s="149" t="n">
        <v>4.2</v>
      </c>
      <c r="AX6" s="150" t="n">
        <v>4.3</v>
      </c>
      <c r="AY6" s="150" t="n">
        <v>4.4</v>
      </c>
      <c r="AZ6" s="150"/>
      <c r="BA6" s="150" t="n">
        <v>5.1</v>
      </c>
      <c r="BB6" s="150" t="n">
        <v>5.2</v>
      </c>
      <c r="BC6" s="150" t="n">
        <v>5.3</v>
      </c>
      <c r="BD6" s="150" t="n">
        <v>5.4</v>
      </c>
      <c r="BE6" s="150"/>
      <c r="BF6" s="150" t="n">
        <v>6.1</v>
      </c>
      <c r="BG6" s="150" t="n">
        <v>6.2</v>
      </c>
      <c r="BH6" s="150" t="n">
        <v>6.3</v>
      </c>
      <c r="BI6" s="150" t="n">
        <v>6.4</v>
      </c>
      <c r="BJ6" s="150"/>
      <c r="BK6" s="149" t="n">
        <v>7.1</v>
      </c>
      <c r="BL6" s="149" t="n">
        <v>7.2</v>
      </c>
      <c r="BM6" s="150" t="n">
        <v>7.3</v>
      </c>
      <c r="BN6" s="150" t="n">
        <v>7.4</v>
      </c>
      <c r="BO6" s="150"/>
      <c r="BP6" s="150" t="n">
        <f aca="false">+BK6+1</f>
        <v>8.1</v>
      </c>
      <c r="BQ6" s="150" t="n">
        <f aca="false">+BL6+1</f>
        <v>8.2</v>
      </c>
      <c r="BR6" s="150" t="n">
        <f aca="false">+BM6+1</f>
        <v>8.3</v>
      </c>
      <c r="BS6" s="150" t="n">
        <f aca="false">+BN6+1</f>
        <v>8.4</v>
      </c>
      <c r="BT6" s="150"/>
      <c r="BU6" s="150" t="n">
        <f aca="false">+BP6+1</f>
        <v>9.1</v>
      </c>
      <c r="BV6" s="150" t="n">
        <f aca="false">+BQ6+1</f>
        <v>9.2</v>
      </c>
      <c r="BW6" s="150" t="n">
        <f aca="false">+BR6+1</f>
        <v>9.3</v>
      </c>
      <c r="BX6" s="150" t="n">
        <f aca="false">+BS6+1</f>
        <v>9.4</v>
      </c>
      <c r="BY6" s="150"/>
      <c r="BZ6" s="150" t="n">
        <f aca="false">+BU6+1</f>
        <v>10.1</v>
      </c>
      <c r="CA6" s="150" t="n">
        <f aca="false">+BV6+1</f>
        <v>10.2</v>
      </c>
      <c r="CB6" s="150" t="n">
        <f aca="false">+BW6+1</f>
        <v>10.3</v>
      </c>
      <c r="CC6" s="150" t="n">
        <f aca="false">+BX6+1</f>
        <v>10.4</v>
      </c>
      <c r="CD6" s="150"/>
      <c r="CE6" s="150" t="n">
        <f aca="false">+BZ6+1</f>
        <v>11.1</v>
      </c>
      <c r="CF6" s="150" t="n">
        <f aca="false">+CA6+1</f>
        <v>11.2</v>
      </c>
      <c r="CG6" s="150" t="n">
        <f aca="false">+CB6+1</f>
        <v>11.3</v>
      </c>
      <c r="CH6" s="150" t="n">
        <f aca="false">+CC6+1</f>
        <v>11.4</v>
      </c>
      <c r="CI6" s="150"/>
      <c r="CJ6" s="150" t="n">
        <f aca="false">+CE6+1</f>
        <v>12.1</v>
      </c>
      <c r="CK6" s="150" t="n">
        <f aca="false">+CF6+1</f>
        <v>12.2</v>
      </c>
      <c r="CL6" s="150" t="n">
        <f aca="false">+CG6+1</f>
        <v>12.3</v>
      </c>
      <c r="CM6" s="150" t="n">
        <f aca="false">+CH6+1</f>
        <v>12.4</v>
      </c>
      <c r="CN6" s="150"/>
      <c r="CO6" s="150"/>
      <c r="CP6" s="150"/>
      <c r="CQ6" s="150"/>
    </row>
    <row r="7" customFormat="false" ht="26.25" hidden="false" customHeight="true" outlineLevel="0" collapsed="false">
      <c r="A7" s="125"/>
      <c r="B7" s="151" t="s">
        <v>149</v>
      </c>
      <c r="D7" s="152"/>
      <c r="E7" s="152"/>
      <c r="F7" s="152"/>
      <c r="H7" s="152"/>
      <c r="I7" s="152"/>
      <c r="J7" s="152" t="s">
        <v>150</v>
      </c>
      <c r="K7" s="152" t="s">
        <v>51</v>
      </c>
      <c r="L7" s="152" t="s">
        <v>6</v>
      </c>
      <c r="M7" s="152" t="s">
        <v>150</v>
      </c>
      <c r="N7" s="152" t="s">
        <v>51</v>
      </c>
      <c r="O7" s="152" t="s">
        <v>6</v>
      </c>
      <c r="P7" s="152" t="s">
        <v>150</v>
      </c>
      <c r="Q7" s="152" t="s">
        <v>51</v>
      </c>
      <c r="R7" s="152" t="s">
        <v>6</v>
      </c>
      <c r="S7" s="153" t="s">
        <v>147</v>
      </c>
      <c r="T7" s="152" t="s">
        <v>151</v>
      </c>
      <c r="U7" s="152" t="s">
        <v>152</v>
      </c>
      <c r="V7" s="152" t="s">
        <v>4</v>
      </c>
      <c r="W7" s="152" t="s">
        <v>3</v>
      </c>
      <c r="X7" s="152"/>
      <c r="Y7" s="152"/>
      <c r="Z7" s="152"/>
      <c r="AA7" s="152"/>
      <c r="AB7" s="152"/>
      <c r="AC7" s="152"/>
      <c r="AD7" s="152"/>
      <c r="AE7" s="152"/>
      <c r="AF7" s="148" t="s">
        <v>153</v>
      </c>
      <c r="AG7" s="154" t="n">
        <v>37018</v>
      </c>
      <c r="AH7" s="154" t="n">
        <f aca="false">+AG7+7</f>
        <v>37025</v>
      </c>
      <c r="AI7" s="154" t="n">
        <f aca="false">+AH7+7</f>
        <v>37032</v>
      </c>
      <c r="AJ7" s="154" t="n">
        <f aca="false">+AI7+7</f>
        <v>37039</v>
      </c>
      <c r="AK7" s="155" t="n">
        <v>37012</v>
      </c>
      <c r="AL7" s="155" t="n">
        <f aca="false">+AJ7+7</f>
        <v>37046</v>
      </c>
      <c r="AM7" s="155" t="n">
        <f aca="false">+AL7+7</f>
        <v>37053</v>
      </c>
      <c r="AN7" s="155" t="n">
        <f aca="false">+AM7+7</f>
        <v>37060</v>
      </c>
      <c r="AO7" s="155" t="n">
        <f aca="false">+AN7+7</f>
        <v>37067</v>
      </c>
      <c r="AP7" s="155" t="n">
        <v>37043</v>
      </c>
      <c r="AQ7" s="155" t="n">
        <f aca="false">+AO7+7</f>
        <v>37074</v>
      </c>
      <c r="AR7" s="155" t="n">
        <f aca="false">+AQ7+7</f>
        <v>37081</v>
      </c>
      <c r="AS7" s="155" t="n">
        <f aca="false">+AR7+7</f>
        <v>37088</v>
      </c>
      <c r="AT7" s="155" t="n">
        <f aca="false">+AS7+7</f>
        <v>37095</v>
      </c>
      <c r="AU7" s="155" t="n">
        <v>37073</v>
      </c>
      <c r="AV7" s="155" t="n">
        <f aca="false">+AT7+7</f>
        <v>37102</v>
      </c>
      <c r="AW7" s="155" t="n">
        <f aca="false">+AV7+7</f>
        <v>37109</v>
      </c>
      <c r="AX7" s="155" t="n">
        <f aca="false">+AW7+7</f>
        <v>37116</v>
      </c>
      <c r="AY7" s="155" t="n">
        <f aca="false">+AX7+7</f>
        <v>37123</v>
      </c>
      <c r="AZ7" s="155" t="n">
        <f aca="false">+AU7+31</f>
        <v>37104</v>
      </c>
      <c r="BA7" s="155" t="n">
        <f aca="false">+AY7+7</f>
        <v>37130</v>
      </c>
      <c r="BB7" s="155" t="n">
        <f aca="false">+BA7+7</f>
        <v>37137</v>
      </c>
      <c r="BC7" s="155" t="n">
        <f aca="false">+BB7+7</f>
        <v>37144</v>
      </c>
      <c r="BD7" s="155" t="n">
        <f aca="false">+BC7+7</f>
        <v>37151</v>
      </c>
      <c r="BE7" s="155" t="n">
        <f aca="false">+AZ7+31</f>
        <v>37135</v>
      </c>
      <c r="BF7" s="155" t="n">
        <f aca="false">+BD7+7</f>
        <v>37158</v>
      </c>
      <c r="BG7" s="155" t="n">
        <f aca="false">+BF7+7</f>
        <v>37165</v>
      </c>
      <c r="BH7" s="155" t="n">
        <f aca="false">+BG7+7</f>
        <v>37172</v>
      </c>
      <c r="BI7" s="155" t="n">
        <f aca="false">+BH7+7</f>
        <v>37179</v>
      </c>
      <c r="BJ7" s="155" t="n">
        <f aca="false">+BE7+30</f>
        <v>37165</v>
      </c>
      <c r="BK7" s="155" t="n">
        <f aca="false">+BI7+7</f>
        <v>37186</v>
      </c>
      <c r="BL7" s="155" t="n">
        <f aca="false">+BK7+7</f>
        <v>37193</v>
      </c>
      <c r="BM7" s="155" t="n">
        <f aca="false">+BL7+7</f>
        <v>37200</v>
      </c>
      <c r="BN7" s="155" t="n">
        <f aca="false">+BM7+7</f>
        <v>37207</v>
      </c>
      <c r="BO7" s="155" t="n">
        <f aca="false">+BJ7+31</f>
        <v>37196</v>
      </c>
      <c r="BP7" s="155" t="n">
        <f aca="false">+BN7+7</f>
        <v>37214</v>
      </c>
      <c r="BQ7" s="155" t="n">
        <f aca="false">+BP7+7</f>
        <v>37221</v>
      </c>
      <c r="BR7" s="155" t="n">
        <f aca="false">+BQ7+7</f>
        <v>37228</v>
      </c>
      <c r="BS7" s="155" t="n">
        <f aca="false">+BR7+7</f>
        <v>37235</v>
      </c>
      <c r="BT7" s="155" t="n">
        <f aca="false">+BO7+30</f>
        <v>37226</v>
      </c>
      <c r="BU7" s="155" t="n">
        <f aca="false">+BS7+7</f>
        <v>37242</v>
      </c>
      <c r="BV7" s="155" t="n">
        <f aca="false">+BU7+7</f>
        <v>37249</v>
      </c>
      <c r="BW7" s="155" t="n">
        <f aca="false">+BV7+7</f>
        <v>37256</v>
      </c>
      <c r="BX7" s="155" t="n">
        <f aca="false">+BW7+7</f>
        <v>37263</v>
      </c>
      <c r="BY7" s="155" t="n">
        <f aca="false">+BT7+31</f>
        <v>37257</v>
      </c>
      <c r="BZ7" s="155" t="n">
        <f aca="false">+BX7+7</f>
        <v>37270</v>
      </c>
      <c r="CA7" s="155" t="n">
        <f aca="false">+BZ7+7</f>
        <v>37277</v>
      </c>
      <c r="CB7" s="155" t="n">
        <f aca="false">+CA7+7</f>
        <v>37284</v>
      </c>
      <c r="CC7" s="155" t="n">
        <f aca="false">+CB7+7</f>
        <v>37291</v>
      </c>
      <c r="CD7" s="155" t="n">
        <f aca="false">+BY7+31</f>
        <v>37288</v>
      </c>
      <c r="CE7" s="155" t="n">
        <f aca="false">+CC7+7</f>
        <v>37298</v>
      </c>
      <c r="CF7" s="155" t="n">
        <f aca="false">+CE7+7</f>
        <v>37305</v>
      </c>
      <c r="CG7" s="155" t="n">
        <f aca="false">+CF7+7</f>
        <v>37312</v>
      </c>
      <c r="CH7" s="155" t="n">
        <f aca="false">+CG7+7</f>
        <v>37319</v>
      </c>
      <c r="CI7" s="155" t="n">
        <f aca="false">+CD7+28</f>
        <v>37316</v>
      </c>
      <c r="CJ7" s="155" t="n">
        <f aca="false">+CH7+7</f>
        <v>37326</v>
      </c>
      <c r="CK7" s="155" t="n">
        <f aca="false">+CJ7+7</f>
        <v>37333</v>
      </c>
      <c r="CL7" s="155" t="n">
        <f aca="false">+CK7+7</f>
        <v>37340</v>
      </c>
      <c r="CM7" s="155" t="n">
        <f aca="false">+CL7+7</f>
        <v>37347</v>
      </c>
      <c r="CN7" s="155" t="n">
        <f aca="false">+CI7+31</f>
        <v>37347</v>
      </c>
      <c r="CO7" s="156" t="s">
        <v>154</v>
      </c>
      <c r="CP7" s="156" t="s">
        <v>16</v>
      </c>
      <c r="CQ7" s="156" t="s">
        <v>155</v>
      </c>
    </row>
    <row r="8" customFormat="false" ht="18" hidden="false" customHeight="true" outlineLevel="0" collapsed="false">
      <c r="A8" s="125"/>
      <c r="B8" s="151" t="s">
        <v>156</v>
      </c>
      <c r="D8" s="157"/>
      <c r="E8" s="158"/>
      <c r="F8" s="158"/>
      <c r="H8" s="158"/>
      <c r="I8" s="158"/>
      <c r="J8" s="157" t="n">
        <v>1</v>
      </c>
      <c r="K8" s="158"/>
      <c r="L8" s="158"/>
      <c r="M8" s="159"/>
      <c r="N8" s="157" t="n">
        <v>72</v>
      </c>
      <c r="O8" s="158"/>
      <c r="P8" s="159"/>
      <c r="Q8" s="157" t="n">
        <v>61</v>
      </c>
      <c r="R8" s="158"/>
      <c r="S8" s="160" t="n">
        <f aca="false">+N8+Q8</f>
        <v>133</v>
      </c>
      <c r="U8" s="161" t="n">
        <f aca="false">N11*$N8+Q11*$Q8</f>
        <v>147145</v>
      </c>
      <c r="V8" s="152"/>
      <c r="W8" s="126"/>
      <c r="X8" s="126"/>
      <c r="Y8" s="126"/>
      <c r="Z8" s="126"/>
      <c r="AA8" s="126"/>
      <c r="AB8" s="126"/>
      <c r="AC8" s="126"/>
      <c r="AD8" s="126"/>
      <c r="AE8" s="126"/>
      <c r="AF8" s="162" t="s">
        <v>157</v>
      </c>
      <c r="AG8" s="163"/>
      <c r="AH8" s="163"/>
      <c r="AI8" s="164"/>
      <c r="AJ8" s="165"/>
      <c r="AK8" s="166" t="n">
        <v>1</v>
      </c>
      <c r="AL8" s="167"/>
      <c r="AM8" s="167"/>
      <c r="AN8" s="167"/>
      <c r="AO8" s="167"/>
      <c r="AP8" s="166" t="n">
        <v>2</v>
      </c>
      <c r="AQ8" s="166"/>
      <c r="AR8" s="166"/>
      <c r="AS8" s="166"/>
      <c r="AT8" s="166"/>
      <c r="AU8" s="166" t="n">
        <v>3</v>
      </c>
      <c r="AV8" s="166"/>
      <c r="AW8" s="166"/>
      <c r="AX8" s="166"/>
      <c r="AY8" s="166"/>
      <c r="AZ8" s="166" t="n">
        <v>4</v>
      </c>
      <c r="BA8" s="166"/>
      <c r="BB8" s="166"/>
      <c r="BC8" s="166"/>
      <c r="BD8" s="166"/>
      <c r="BE8" s="166" t="n">
        <v>5</v>
      </c>
      <c r="BF8" s="166"/>
      <c r="BG8" s="166"/>
      <c r="BH8" s="166"/>
      <c r="BI8" s="166"/>
      <c r="BJ8" s="166" t="n">
        <v>6</v>
      </c>
      <c r="BK8" s="166"/>
      <c r="BL8" s="166"/>
      <c r="BM8" s="166"/>
      <c r="BN8" s="166"/>
      <c r="BO8" s="166" t="n">
        <v>7</v>
      </c>
      <c r="BP8" s="166"/>
      <c r="BQ8" s="166"/>
      <c r="BR8" s="166"/>
      <c r="BS8" s="166"/>
      <c r="BT8" s="166" t="n">
        <v>8</v>
      </c>
      <c r="BU8" s="166"/>
      <c r="BV8" s="166"/>
      <c r="BW8" s="166"/>
      <c r="BX8" s="166"/>
      <c r="BY8" s="166" t="n">
        <v>9</v>
      </c>
      <c r="BZ8" s="166"/>
      <c r="CA8" s="166"/>
      <c r="CB8" s="166"/>
      <c r="CC8" s="166"/>
      <c r="CD8" s="166" t="n">
        <v>10</v>
      </c>
      <c r="CE8" s="166"/>
      <c r="CF8" s="166"/>
      <c r="CG8" s="166"/>
      <c r="CH8" s="166"/>
      <c r="CI8" s="166" t="n">
        <v>11</v>
      </c>
      <c r="CJ8" s="166"/>
      <c r="CK8" s="166"/>
      <c r="CL8" s="166"/>
      <c r="CM8" s="166"/>
      <c r="CN8" s="166" t="n">
        <v>12</v>
      </c>
      <c r="CO8" s="156"/>
      <c r="CP8" s="156"/>
      <c r="CQ8" s="156"/>
    </row>
    <row r="9" customFormat="false" ht="13.5" hidden="false" customHeight="false" outlineLevel="0" collapsed="false">
      <c r="A9" s="125"/>
      <c r="B9" s="151" t="s">
        <v>158</v>
      </c>
      <c r="D9" s="157"/>
      <c r="E9" s="158"/>
      <c r="F9" s="158"/>
      <c r="H9" s="158"/>
      <c r="I9" s="158"/>
      <c r="J9" s="157"/>
      <c r="K9" s="158"/>
      <c r="L9" s="158"/>
      <c r="M9" s="159"/>
      <c r="N9" s="157" t="n">
        <v>73</v>
      </c>
      <c r="O9" s="158"/>
      <c r="P9" s="159"/>
      <c r="Q9" s="157" t="n">
        <v>61</v>
      </c>
      <c r="R9" s="158"/>
      <c r="S9" s="160" t="n">
        <f aca="false">+N9+Q9</f>
        <v>134</v>
      </c>
      <c r="U9" s="168" t="n">
        <f aca="false">+U8+K11</f>
        <v>148783</v>
      </c>
      <c r="V9" s="152"/>
      <c r="W9" s="126"/>
      <c r="X9" s="126"/>
      <c r="Y9" s="126"/>
      <c r="Z9" s="126"/>
      <c r="AA9" s="126"/>
      <c r="AB9" s="126"/>
      <c r="AC9" s="126"/>
      <c r="AD9" s="126"/>
      <c r="AE9" s="126"/>
    </row>
    <row r="10" customFormat="false" ht="13.5" hidden="false" customHeight="false" outlineLevel="0" collapsed="false">
      <c r="A10" s="125"/>
      <c r="B10" s="151" t="s">
        <v>159</v>
      </c>
      <c r="D10" s="157"/>
      <c r="E10" s="158"/>
      <c r="F10" s="158"/>
      <c r="H10" s="158"/>
      <c r="I10" s="158"/>
      <c r="J10" s="169" t="n">
        <f aca="false">J8/SM134Units</f>
        <v>0.0075187969924812</v>
      </c>
      <c r="K10" s="158"/>
      <c r="L10" s="158"/>
      <c r="M10" s="159"/>
      <c r="N10" s="170" t="n">
        <f aca="false">N8/SM134Units</f>
        <v>0.541353383458647</v>
      </c>
      <c r="O10" s="158"/>
      <c r="P10" s="159"/>
      <c r="Q10" s="170" t="n">
        <f aca="false">Q8/SM134Units</f>
        <v>0.458646616541353</v>
      </c>
      <c r="R10" s="158"/>
      <c r="S10" s="171" t="n">
        <f aca="false">+Q10+N10</f>
        <v>1</v>
      </c>
      <c r="T10" s="158"/>
      <c r="U10" s="158"/>
      <c r="V10" s="152"/>
      <c r="W10" s="126"/>
      <c r="X10" s="126"/>
      <c r="Y10" s="126"/>
      <c r="Z10" s="126"/>
      <c r="AA10" s="126"/>
      <c r="AB10" s="126"/>
      <c r="AC10" s="126"/>
      <c r="AD10" s="126"/>
      <c r="AE10" s="126"/>
      <c r="AF10" s="172"/>
      <c r="AG10" s="152"/>
      <c r="AH10" s="152"/>
      <c r="AI10" s="164"/>
      <c r="AJ10" s="165"/>
      <c r="AK10" s="165"/>
      <c r="AL10" s="126"/>
    </row>
    <row r="11" customFormat="false" ht="13.5" hidden="false" customHeight="false" outlineLevel="0" collapsed="false">
      <c r="A11" s="125"/>
      <c r="B11" s="151" t="s">
        <v>160</v>
      </c>
      <c r="D11" s="157"/>
      <c r="E11" s="158"/>
      <c r="F11" s="157"/>
      <c r="H11" s="157"/>
      <c r="I11" s="158"/>
      <c r="J11" s="157"/>
      <c r="K11" s="173" t="n">
        <f aca="false">(186+654)+598+200</f>
        <v>1638</v>
      </c>
      <c r="L11" s="173" t="n">
        <f aca="false">+K11+517+68</f>
        <v>2223</v>
      </c>
      <c r="M11" s="173"/>
      <c r="N11" s="174" t="n">
        <f aca="false">1107-Adj2B</f>
        <v>1016</v>
      </c>
      <c r="O11" s="174" t="n">
        <f aca="false">N11</f>
        <v>1016</v>
      </c>
      <c r="P11" s="174"/>
      <c r="Q11" s="174" t="n">
        <f aca="false">1287-ADj3B</f>
        <v>1213</v>
      </c>
      <c r="R11" s="174" t="n">
        <f aca="false">+Q11+13+_3BGarage</f>
        <v>1506</v>
      </c>
      <c r="S11" s="160"/>
      <c r="V11" s="152"/>
      <c r="W11" s="126"/>
      <c r="X11" s="126"/>
      <c r="Y11" s="126"/>
      <c r="Z11" s="126"/>
      <c r="AA11" s="126"/>
      <c r="AB11" s="126"/>
      <c r="AC11" s="126"/>
      <c r="AD11" s="126"/>
      <c r="AE11" s="126"/>
      <c r="AF11" s="172"/>
      <c r="AG11" s="152"/>
      <c r="AH11" s="152"/>
      <c r="AI11" s="152"/>
      <c r="AJ11" s="175"/>
      <c r="AK11" s="175"/>
      <c r="AL11" s="126"/>
    </row>
    <row r="12" customFormat="false" ht="13.5" hidden="false" customHeight="false" outlineLevel="0" collapsed="false">
      <c r="A12" s="125"/>
      <c r="B12" s="151" t="s">
        <v>161</v>
      </c>
      <c r="D12" s="173"/>
      <c r="E12" s="158"/>
      <c r="F12" s="173"/>
      <c r="H12" s="173"/>
      <c r="I12" s="158"/>
      <c r="J12" s="173"/>
      <c r="K12" s="173"/>
      <c r="L12" s="173"/>
      <c r="M12" s="173"/>
      <c r="N12" s="173" t="s">
        <v>162</v>
      </c>
      <c r="O12" s="173"/>
      <c r="P12" s="173"/>
      <c r="Q12" s="173" t="s">
        <v>163</v>
      </c>
      <c r="R12" s="173"/>
      <c r="S12" s="160"/>
      <c r="T12" s="173"/>
      <c r="U12" s="173"/>
      <c r="V12" s="152"/>
      <c r="W12" s="126"/>
      <c r="X12" s="126"/>
      <c r="Y12" s="126"/>
      <c r="Z12" s="126"/>
      <c r="AA12" s="126"/>
      <c r="AB12" s="126"/>
      <c r="AC12" s="126"/>
      <c r="AD12" s="126"/>
      <c r="AE12" s="126"/>
      <c r="AF12" s="172"/>
      <c r="AG12" s="152"/>
      <c r="AH12" s="152"/>
      <c r="AI12" s="152"/>
      <c r="AJ12" s="175"/>
      <c r="AK12" s="175"/>
      <c r="AL12" s="126"/>
    </row>
    <row r="13" customFormat="false" ht="22.9" hidden="false" customHeight="true" outlineLevel="0" collapsed="false">
      <c r="A13" s="125"/>
      <c r="B13" s="176"/>
      <c r="C13" s="124" t="s">
        <v>164</v>
      </c>
      <c r="D13" s="124" t="n">
        <f aca="false">+Q8+N8</f>
        <v>133</v>
      </c>
      <c r="E13" s="152"/>
      <c r="F13" s="164"/>
      <c r="H13" s="164"/>
      <c r="I13" s="152"/>
      <c r="J13" s="164"/>
      <c r="K13" s="164"/>
      <c r="L13" s="164"/>
      <c r="M13" s="164"/>
      <c r="N13" s="164"/>
      <c r="O13" s="164"/>
      <c r="P13" s="164"/>
      <c r="Q13" s="164"/>
      <c r="R13" s="164"/>
      <c r="S13" s="175"/>
      <c r="T13" s="164"/>
      <c r="U13" s="164"/>
      <c r="V13" s="152"/>
      <c r="W13" s="126"/>
      <c r="X13" s="126"/>
      <c r="Y13" s="126"/>
      <c r="Z13" s="126"/>
      <c r="AA13" s="126"/>
      <c r="AB13" s="126"/>
      <c r="AC13" s="126"/>
      <c r="AD13" s="126"/>
      <c r="AE13" s="126"/>
      <c r="AF13" s="172"/>
      <c r="AG13" s="152"/>
      <c r="AH13" s="152"/>
      <c r="AI13" s="152"/>
      <c r="AJ13" s="175"/>
      <c r="AK13" s="175"/>
      <c r="AL13" s="126"/>
    </row>
    <row r="14" customFormat="false" ht="12.75" hidden="false" customHeight="false" outlineLevel="0" collapsed="false">
      <c r="A14" s="177" t="s">
        <v>165</v>
      </c>
      <c r="B14" s="178" t="s">
        <v>166</v>
      </c>
      <c r="C14" s="179" t="n">
        <v>0.87</v>
      </c>
      <c r="D14" s="180" t="s">
        <v>167</v>
      </c>
      <c r="E14" s="180"/>
      <c r="F14" s="181"/>
      <c r="G14" s="178"/>
      <c r="H14" s="181"/>
      <c r="I14" s="181"/>
      <c r="J14" s="182" t="n">
        <f aca="false">K14*J$8</f>
        <v>1425.06</v>
      </c>
      <c r="K14" s="182" t="n">
        <f aca="false">K$11*0.87</f>
        <v>1425.06</v>
      </c>
      <c r="L14" s="183" t="n">
        <f aca="false">+K14/K$11</f>
        <v>0.87</v>
      </c>
      <c r="M14" s="182" t="n">
        <f aca="false">N14*N$8</f>
        <v>63642.24</v>
      </c>
      <c r="N14" s="182" t="n">
        <f aca="false">N$11*0.87</f>
        <v>883.92</v>
      </c>
      <c r="O14" s="183" t="n">
        <f aca="false">+N14/N$11</f>
        <v>0.87</v>
      </c>
      <c r="P14" s="182" t="n">
        <f aca="false">Q14*Q$8</f>
        <v>64373.91</v>
      </c>
      <c r="Q14" s="182" t="n">
        <f aca="false">Q$11*0.87</f>
        <v>1055.31</v>
      </c>
      <c r="R14" s="183" t="n">
        <f aca="false">+Q14/Q$11</f>
        <v>0.87</v>
      </c>
      <c r="S14" s="184" t="n">
        <f aca="false">+P14+M14</f>
        <v>128016.15</v>
      </c>
      <c r="T14" s="182" t="n">
        <f aca="false">S14/S$8</f>
        <v>962.527443609023</v>
      </c>
      <c r="U14" s="183" t="n">
        <f aca="false">+S14/U$8</f>
        <v>0.87</v>
      </c>
      <c r="V14" s="185" t="n">
        <f aca="false">+S14/TotalCost</f>
        <v>0.0100617673487683</v>
      </c>
      <c r="W14" s="186" t="n">
        <f aca="false">+$S14/TotalValue</f>
        <v>0.00825910670737879</v>
      </c>
      <c r="X14" s="187"/>
      <c r="Y14" s="188"/>
      <c r="Z14" s="186"/>
      <c r="AA14" s="186"/>
      <c r="AB14" s="189"/>
      <c r="AC14" s="126"/>
      <c r="AD14" s="126"/>
      <c r="AE14" s="127"/>
      <c r="AF14" s="190" t="s">
        <v>166</v>
      </c>
      <c r="AG14" s="178" t="n">
        <f aca="false">+S14</f>
        <v>128016.15</v>
      </c>
      <c r="AH14" s="178"/>
      <c r="AI14" s="178"/>
      <c r="AJ14" s="178"/>
      <c r="AK14" s="178" t="n">
        <f aca="false">SUM(AG14:AJ14)</f>
        <v>128016.15</v>
      </c>
      <c r="AL14" s="178"/>
      <c r="AM14" s="191"/>
      <c r="AN14" s="191"/>
      <c r="AO14" s="191"/>
      <c r="AP14" s="178" t="n">
        <f aca="false">SUM(AL14:AO14)</f>
        <v>0</v>
      </c>
      <c r="AQ14" s="191"/>
      <c r="AR14" s="191"/>
      <c r="AS14" s="191"/>
      <c r="AT14" s="191"/>
      <c r="AU14" s="178" t="n">
        <f aca="false">SUM(AQ14:AT14)</f>
        <v>0</v>
      </c>
      <c r="AV14" s="191"/>
      <c r="AW14" s="191"/>
      <c r="AX14" s="191"/>
      <c r="AY14" s="191"/>
      <c r="AZ14" s="178" t="n">
        <f aca="false">SUM(AV14:AY14)</f>
        <v>0</v>
      </c>
      <c r="BA14" s="191"/>
      <c r="BB14" s="191"/>
      <c r="BC14" s="191"/>
      <c r="BD14" s="191"/>
      <c r="BE14" s="178" t="n">
        <f aca="false">SUM(BA14:BD14)</f>
        <v>0</v>
      </c>
      <c r="BF14" s="191"/>
      <c r="BG14" s="191"/>
      <c r="BH14" s="191"/>
      <c r="BI14" s="191"/>
      <c r="BJ14" s="178" t="n">
        <f aca="false">SUM(BF14:BI14)</f>
        <v>0</v>
      </c>
      <c r="BK14" s="191"/>
      <c r="BL14" s="191"/>
      <c r="BM14" s="191"/>
      <c r="BN14" s="191"/>
      <c r="BO14" s="178" t="n">
        <f aca="false">SUM(BK14:BN14)</f>
        <v>0</v>
      </c>
      <c r="BP14" s="191"/>
      <c r="BQ14" s="191"/>
      <c r="BR14" s="191"/>
      <c r="BS14" s="191"/>
      <c r="BT14" s="178" t="n">
        <f aca="false">SUM(BP14:BS14)</f>
        <v>0</v>
      </c>
      <c r="BU14" s="191"/>
      <c r="BV14" s="191"/>
      <c r="BW14" s="191"/>
      <c r="BX14" s="191"/>
      <c r="BY14" s="178" t="n">
        <f aca="false">SUM(BU14:BX14)</f>
        <v>0</v>
      </c>
      <c r="BZ14" s="191"/>
      <c r="CA14" s="191"/>
      <c r="CB14" s="191"/>
      <c r="CC14" s="191"/>
      <c r="CD14" s="178" t="n">
        <f aca="false">SUM(BZ14:CC14)</f>
        <v>0</v>
      </c>
      <c r="CE14" s="191"/>
      <c r="CF14" s="191"/>
      <c r="CG14" s="191"/>
      <c r="CH14" s="191"/>
      <c r="CI14" s="178" t="n">
        <f aca="false">SUM(CE14:CH14)</f>
        <v>0</v>
      </c>
      <c r="CJ14" s="191"/>
      <c r="CK14" s="191"/>
      <c r="CL14" s="191"/>
      <c r="CM14" s="191"/>
      <c r="CN14" s="178" t="n">
        <f aca="false">SUM(CJ14:CM14)</f>
        <v>0</v>
      </c>
      <c r="CO14" s="191" t="n">
        <f aca="false">+CN14+CI14+CD14+BY14+BT14+BO14+BJ14+BE14+AZ14+AU14+AP14+AK14</f>
        <v>128016.15</v>
      </c>
      <c r="CP14" s="191" t="n">
        <f aca="false">S14</f>
        <v>128016.15</v>
      </c>
      <c r="CQ14" s="192" t="n">
        <f aca="false">+CO14/CP14</f>
        <v>1</v>
      </c>
    </row>
    <row r="15" customFormat="false" ht="12.75" hidden="false" customHeight="false" outlineLevel="0" collapsed="false">
      <c r="A15" s="177" t="s">
        <v>168</v>
      </c>
      <c r="B15" s="178" t="s">
        <v>169</v>
      </c>
      <c r="C15" s="193"/>
      <c r="D15" s="180"/>
      <c r="E15" s="180"/>
      <c r="F15" s="181"/>
      <c r="G15" s="178"/>
      <c r="H15" s="181"/>
      <c r="I15" s="181"/>
      <c r="J15" s="193" t="n">
        <f aca="false">K15*J$8</f>
        <v>585.820895522388</v>
      </c>
      <c r="K15" s="193" t="n">
        <f aca="false">((68000+10500)/134)</f>
        <v>585.820895522388</v>
      </c>
      <c r="L15" s="181" t="n">
        <f aca="false">+K15/K$11</f>
        <v>0.357644014360432</v>
      </c>
      <c r="M15" s="193" t="n">
        <f aca="false">N15*N$8</f>
        <v>42179.1044776119</v>
      </c>
      <c r="N15" s="193" t="n">
        <f aca="false">((68000+10500)/134)</f>
        <v>585.820895522388</v>
      </c>
      <c r="O15" s="181" t="n">
        <f aca="false">+N15/N$11</f>
        <v>0.57659536960865</v>
      </c>
      <c r="P15" s="193" t="n">
        <f aca="false">Q15*Q$8</f>
        <v>35735.0746268657</v>
      </c>
      <c r="Q15" s="193" t="n">
        <f aca="false">((68000+10500)/134)</f>
        <v>585.820895522388</v>
      </c>
      <c r="R15" s="181" t="n">
        <f aca="false">+Q15/Q$11</f>
        <v>0.482952098534533</v>
      </c>
      <c r="S15" s="194" t="n">
        <f aca="false">+P15+M15</f>
        <v>77914.1791044776</v>
      </c>
      <c r="T15" s="195" t="n">
        <f aca="false">+S15/S$8</f>
        <v>585.820895522388</v>
      </c>
      <c r="U15" s="181" t="n">
        <f aca="false">+S15/U$8</f>
        <v>0.529506127319838</v>
      </c>
      <c r="V15" s="185" t="n">
        <f aca="false">+S15/TotalCost</f>
        <v>0.00612387064694197</v>
      </c>
      <c r="W15" s="186" t="n">
        <f aca="false">+$S15/TotalValue</f>
        <v>0.00502672138821315</v>
      </c>
      <c r="X15" s="187"/>
      <c r="Y15" s="188"/>
      <c r="Z15" s="186"/>
      <c r="AA15" s="186"/>
      <c r="AB15" s="196"/>
      <c r="AC15" s="126"/>
      <c r="AD15" s="186"/>
      <c r="AE15" s="127"/>
      <c r="AF15" s="190" t="s">
        <v>169</v>
      </c>
      <c r="AG15" s="178" t="n">
        <f aca="false">+S15</f>
        <v>77914.1791044776</v>
      </c>
      <c r="AH15" s="178"/>
      <c r="AI15" s="178"/>
      <c r="AJ15" s="178"/>
      <c r="AK15" s="178" t="n">
        <f aca="false">SUM(AG15:AJ15)</f>
        <v>77914.1791044776</v>
      </c>
      <c r="AL15" s="178"/>
      <c r="AM15" s="191"/>
      <c r="AN15" s="191"/>
      <c r="AO15" s="191"/>
      <c r="AP15" s="178" t="n">
        <f aca="false">SUM(AL15:AO15)</f>
        <v>0</v>
      </c>
      <c r="AQ15" s="191"/>
      <c r="AR15" s="191"/>
      <c r="AS15" s="191"/>
      <c r="AT15" s="191"/>
      <c r="AU15" s="178" t="n">
        <f aca="false">SUM(AQ15:AT15)</f>
        <v>0</v>
      </c>
      <c r="AV15" s="191"/>
      <c r="AW15" s="191"/>
      <c r="AX15" s="191"/>
      <c r="AY15" s="191"/>
      <c r="AZ15" s="178" t="n">
        <f aca="false">SUM(AV15:AY15)</f>
        <v>0</v>
      </c>
      <c r="BA15" s="191"/>
      <c r="BB15" s="191"/>
      <c r="BC15" s="191"/>
      <c r="BD15" s="191"/>
      <c r="BE15" s="178" t="n">
        <f aca="false">SUM(BA15:BD15)</f>
        <v>0</v>
      </c>
      <c r="BF15" s="191"/>
      <c r="BG15" s="191"/>
      <c r="BH15" s="191"/>
      <c r="BI15" s="191"/>
      <c r="BJ15" s="178" t="n">
        <f aca="false">SUM(BF15:BI15)</f>
        <v>0</v>
      </c>
      <c r="BK15" s="191"/>
      <c r="BL15" s="191"/>
      <c r="BM15" s="191"/>
      <c r="BN15" s="191"/>
      <c r="BO15" s="178" t="n">
        <f aca="false">SUM(BK15:BN15)</f>
        <v>0</v>
      </c>
      <c r="BP15" s="191"/>
      <c r="BQ15" s="191"/>
      <c r="BR15" s="191"/>
      <c r="BS15" s="191"/>
      <c r="BT15" s="178" t="n">
        <f aca="false">SUM(BP15:BS15)</f>
        <v>0</v>
      </c>
      <c r="BU15" s="191"/>
      <c r="BV15" s="191"/>
      <c r="BW15" s="191"/>
      <c r="BX15" s="191"/>
      <c r="BY15" s="178" t="n">
        <f aca="false">SUM(BU15:BX15)</f>
        <v>0</v>
      </c>
      <c r="BZ15" s="191"/>
      <c r="CA15" s="191"/>
      <c r="CB15" s="191"/>
      <c r="CC15" s="191"/>
      <c r="CD15" s="178" t="n">
        <f aca="false">SUM(BZ15:CC15)</f>
        <v>0</v>
      </c>
      <c r="CE15" s="191"/>
      <c r="CF15" s="191"/>
      <c r="CG15" s="191"/>
      <c r="CH15" s="191"/>
      <c r="CI15" s="178" t="n">
        <f aca="false">SUM(CE15:CH15)</f>
        <v>0</v>
      </c>
      <c r="CJ15" s="191"/>
      <c r="CK15" s="191"/>
      <c r="CL15" s="191"/>
      <c r="CM15" s="191"/>
      <c r="CN15" s="178" t="n">
        <f aca="false">SUM(CJ15:CM15)</f>
        <v>0</v>
      </c>
      <c r="CO15" s="191" t="n">
        <f aca="false">+CN15+CI15+CD15+BY15+BT15+BO15+BJ15+BE15+AZ15+AU15+AP15+AK15</f>
        <v>77914.1791044776</v>
      </c>
      <c r="CP15" s="191" t="n">
        <f aca="false">S15</f>
        <v>77914.1791044776</v>
      </c>
      <c r="CQ15" s="192" t="n">
        <f aca="false">+CO15/CP15</f>
        <v>1</v>
      </c>
    </row>
    <row r="16" customFormat="false" ht="12.75" hidden="false" customHeight="false" outlineLevel="0" collapsed="false">
      <c r="A16" s="177"/>
      <c r="B16" s="178" t="s">
        <v>170</v>
      </c>
      <c r="C16" s="179" t="n">
        <v>0.15</v>
      </c>
      <c r="D16" s="180" t="s">
        <v>167</v>
      </c>
      <c r="E16" s="180"/>
      <c r="F16" s="181"/>
      <c r="G16" s="178"/>
      <c r="H16" s="181"/>
      <c r="I16" s="181"/>
      <c r="J16" s="193" t="n">
        <f aca="false">K16*J$8</f>
        <v>220.088020833333</v>
      </c>
      <c r="K16" s="193" t="n">
        <f aca="false">$C16*MgrOffFirstFlr</f>
        <v>220.088020833333</v>
      </c>
      <c r="L16" s="181" t="n">
        <f aca="false">+K16/K$11</f>
        <v>0.134363871082621</v>
      </c>
      <c r="M16" s="193" t="n">
        <f aca="false">N16*N$8</f>
        <v>5721.375</v>
      </c>
      <c r="N16" s="193" t="n">
        <f aca="false">$C16*TwoBdrm_First_Flr</f>
        <v>79.4635416666667</v>
      </c>
      <c r="O16" s="181" t="n">
        <f aca="false">+N16/N$11</f>
        <v>0.0782121473097113</v>
      </c>
      <c r="P16" s="193" t="n">
        <f aca="false">Q16*Q$8</f>
        <v>7521.3</v>
      </c>
      <c r="Q16" s="193" t="n">
        <f aca="false">$C16*ThreeBdrm_First_Flr</f>
        <v>123.3</v>
      </c>
      <c r="R16" s="181" t="n">
        <f aca="false">+Q16/Q$11</f>
        <v>0.101648804616653</v>
      </c>
      <c r="S16" s="194" t="n">
        <f aca="false">+P16+M16</f>
        <v>13242.675</v>
      </c>
      <c r="T16" s="195" t="n">
        <f aca="false">+S16/S$8</f>
        <v>99.568984962406</v>
      </c>
      <c r="U16" s="181" t="n">
        <f aca="false">+S16/U$8</f>
        <v>0.0899974514934249</v>
      </c>
      <c r="V16" s="185" t="n">
        <f aca="false">+S16/TotalCost</f>
        <v>0.00104084301024012</v>
      </c>
      <c r="W16" s="186" t="n">
        <f aca="false">+$S16/TotalValue</f>
        <v>0.000854366155490049</v>
      </c>
      <c r="X16" s="187"/>
      <c r="Y16" s="188"/>
      <c r="Z16" s="197"/>
      <c r="AA16" s="197"/>
      <c r="AB16" s="196"/>
      <c r="AC16" s="126"/>
      <c r="AD16" s="197"/>
      <c r="AE16" s="127"/>
      <c r="AF16" s="190" t="s">
        <v>170</v>
      </c>
      <c r="AG16" s="178" t="n">
        <f aca="false">+S16</f>
        <v>13242.675</v>
      </c>
      <c r="AH16" s="178"/>
      <c r="AI16" s="178"/>
      <c r="AJ16" s="178"/>
      <c r="AK16" s="178" t="n">
        <f aca="false">SUM(AG16:AJ16)</f>
        <v>13242.675</v>
      </c>
      <c r="AL16" s="178"/>
      <c r="AM16" s="191"/>
      <c r="AN16" s="191"/>
      <c r="AO16" s="191"/>
      <c r="AP16" s="178" t="n">
        <f aca="false">SUM(AL16:AO16)</f>
        <v>0</v>
      </c>
      <c r="AQ16" s="191"/>
      <c r="AR16" s="191"/>
      <c r="AS16" s="191"/>
      <c r="AT16" s="191"/>
      <c r="AU16" s="178" t="n">
        <f aca="false">SUM(AQ16:AT16)</f>
        <v>0</v>
      </c>
      <c r="AV16" s="191"/>
      <c r="AW16" s="191"/>
      <c r="AX16" s="191"/>
      <c r="AY16" s="191"/>
      <c r="AZ16" s="178" t="n">
        <f aca="false">SUM(AV16:AY16)</f>
        <v>0</v>
      </c>
      <c r="BA16" s="191"/>
      <c r="BB16" s="191"/>
      <c r="BC16" s="191"/>
      <c r="BD16" s="191"/>
      <c r="BE16" s="178" t="n">
        <f aca="false">SUM(BA16:BD16)</f>
        <v>0</v>
      </c>
      <c r="BF16" s="191"/>
      <c r="BG16" s="191"/>
      <c r="BH16" s="191"/>
      <c r="BI16" s="191"/>
      <c r="BJ16" s="178" t="n">
        <f aca="false">SUM(BF16:BI16)</f>
        <v>0</v>
      </c>
      <c r="BK16" s="191"/>
      <c r="BL16" s="191"/>
      <c r="BM16" s="191"/>
      <c r="BN16" s="191"/>
      <c r="BO16" s="178" t="n">
        <f aca="false">SUM(BK16:BN16)</f>
        <v>0</v>
      </c>
      <c r="BP16" s="191"/>
      <c r="BQ16" s="191"/>
      <c r="BR16" s="191"/>
      <c r="BS16" s="191"/>
      <c r="BT16" s="178" t="n">
        <f aca="false">SUM(BP16:BS16)</f>
        <v>0</v>
      </c>
      <c r="BU16" s="191"/>
      <c r="BV16" s="191"/>
      <c r="BW16" s="191"/>
      <c r="BX16" s="191"/>
      <c r="BY16" s="178" t="n">
        <f aca="false">SUM(BU16:BX16)</f>
        <v>0</v>
      </c>
      <c r="BZ16" s="191"/>
      <c r="CA16" s="191"/>
      <c r="CB16" s="191"/>
      <c r="CC16" s="191"/>
      <c r="CD16" s="178" t="n">
        <f aca="false">SUM(BZ16:CC16)</f>
        <v>0</v>
      </c>
      <c r="CE16" s="191"/>
      <c r="CF16" s="191"/>
      <c r="CG16" s="191"/>
      <c r="CH16" s="191"/>
      <c r="CI16" s="178" t="n">
        <f aca="false">SUM(CE16:CH16)</f>
        <v>0</v>
      </c>
      <c r="CJ16" s="191"/>
      <c r="CK16" s="191"/>
      <c r="CL16" s="191"/>
      <c r="CM16" s="191"/>
      <c r="CN16" s="178" t="n">
        <f aca="false">SUM(CJ16:CM16)</f>
        <v>0</v>
      </c>
      <c r="CO16" s="191" t="n">
        <f aca="false">+CN16+CI16+CD16+BY16+BT16+BO16+BJ16+BE16+AZ16+AU16+AP16+AK16</f>
        <v>13242.675</v>
      </c>
      <c r="CP16" s="191" t="n">
        <f aca="false">S16</f>
        <v>13242.675</v>
      </c>
      <c r="CQ16" s="192" t="n">
        <f aca="false">+CO16/CP16</f>
        <v>1</v>
      </c>
    </row>
    <row r="17" customFormat="false" ht="12.75" hidden="false" customHeight="false" outlineLevel="0" collapsed="false">
      <c r="A17" s="177" t="s">
        <v>171</v>
      </c>
      <c r="B17" s="178" t="s">
        <v>172</v>
      </c>
      <c r="C17" s="179" t="n">
        <f aca="false">0.42/100*60</f>
        <v>0.252</v>
      </c>
      <c r="D17" s="180" t="s">
        <v>173</v>
      </c>
      <c r="E17" s="180"/>
      <c r="F17" s="181"/>
      <c r="G17" s="178"/>
      <c r="H17" s="181"/>
      <c r="I17" s="181"/>
      <c r="J17" s="193" t="n">
        <f aca="false">K17*J$8</f>
        <v>412.776</v>
      </c>
      <c r="K17" s="193" t="n">
        <f aca="false">0.42/100*60*K11</f>
        <v>412.776</v>
      </c>
      <c r="L17" s="181" t="n">
        <f aca="false">+K17/K$11</f>
        <v>0.252</v>
      </c>
      <c r="M17" s="193" t="n">
        <f aca="false">N17*N$8</f>
        <v>18434.304</v>
      </c>
      <c r="N17" s="193" t="n">
        <f aca="false">0.42/100*60*N11</f>
        <v>256.032</v>
      </c>
      <c r="O17" s="181" t="n">
        <f aca="false">+N17/N$11</f>
        <v>0.252</v>
      </c>
      <c r="P17" s="193" t="n">
        <f aca="false">Q17*Q$8</f>
        <v>18646.236</v>
      </c>
      <c r="Q17" s="193" t="n">
        <f aca="false">0.42/100*60*Q11</f>
        <v>305.676</v>
      </c>
      <c r="R17" s="181" t="n">
        <f aca="false">+Q17/Q$11</f>
        <v>0.252</v>
      </c>
      <c r="S17" s="194" t="n">
        <f aca="false">+P17+M17</f>
        <v>37080.54</v>
      </c>
      <c r="T17" s="195" t="n">
        <f aca="false">+S17/S$8</f>
        <v>278.801052631579</v>
      </c>
      <c r="U17" s="181" t="n">
        <f aca="false">+S17/U$8</f>
        <v>0.252</v>
      </c>
      <c r="V17" s="185" t="n">
        <f aca="false">+S17/TotalCost</f>
        <v>0.00291444295619496</v>
      </c>
      <c r="W17" s="186" t="n">
        <f aca="false">+$S17/TotalValue</f>
        <v>0.00239229297730972</v>
      </c>
      <c r="X17" s="187"/>
      <c r="Y17" s="188"/>
      <c r="Z17" s="186"/>
      <c r="AA17" s="186"/>
      <c r="AB17" s="196"/>
      <c r="AC17" s="126"/>
      <c r="AD17" s="186"/>
      <c r="AE17" s="127"/>
      <c r="AF17" s="190" t="s">
        <v>172</v>
      </c>
      <c r="AG17" s="178" t="n">
        <f aca="false">+S17</f>
        <v>37080.54</v>
      </c>
      <c r="AH17" s="178"/>
      <c r="AI17" s="178"/>
      <c r="AJ17" s="178"/>
      <c r="AK17" s="178" t="n">
        <f aca="false">SUM(AG17:AJ17)</f>
        <v>37080.54</v>
      </c>
      <c r="AL17" s="178"/>
      <c r="AM17" s="191"/>
      <c r="AN17" s="191"/>
      <c r="AO17" s="191"/>
      <c r="AP17" s="178" t="n">
        <f aca="false">SUM(AL17:AO17)</f>
        <v>0</v>
      </c>
      <c r="AQ17" s="191"/>
      <c r="AR17" s="191"/>
      <c r="AS17" s="191"/>
      <c r="AT17" s="191"/>
      <c r="AU17" s="178" t="n">
        <f aca="false">SUM(AQ17:AT17)</f>
        <v>0</v>
      </c>
      <c r="AV17" s="191"/>
      <c r="AW17" s="191"/>
      <c r="AX17" s="191"/>
      <c r="AY17" s="191"/>
      <c r="AZ17" s="178" t="n">
        <f aca="false">SUM(AV17:AY17)</f>
        <v>0</v>
      </c>
      <c r="BA17" s="191"/>
      <c r="BB17" s="191"/>
      <c r="BC17" s="191"/>
      <c r="BD17" s="191"/>
      <c r="BE17" s="178" t="n">
        <f aca="false">SUM(BA17:BD17)</f>
        <v>0</v>
      </c>
      <c r="BF17" s="191"/>
      <c r="BG17" s="191"/>
      <c r="BH17" s="191"/>
      <c r="BI17" s="191"/>
      <c r="BJ17" s="178" t="n">
        <f aca="false">SUM(BF17:BI17)</f>
        <v>0</v>
      </c>
      <c r="BK17" s="191"/>
      <c r="BL17" s="191"/>
      <c r="BM17" s="191"/>
      <c r="BN17" s="191"/>
      <c r="BO17" s="178" t="n">
        <f aca="false">SUM(BK17:BN17)</f>
        <v>0</v>
      </c>
      <c r="BP17" s="191"/>
      <c r="BQ17" s="191"/>
      <c r="BR17" s="191"/>
      <c r="BS17" s="191"/>
      <c r="BT17" s="178" t="n">
        <f aca="false">SUM(BP17:BS17)</f>
        <v>0</v>
      </c>
      <c r="BU17" s="191"/>
      <c r="BV17" s="191"/>
      <c r="BW17" s="191"/>
      <c r="BX17" s="191"/>
      <c r="BY17" s="178" t="n">
        <f aca="false">SUM(BU17:BX17)</f>
        <v>0</v>
      </c>
      <c r="BZ17" s="191"/>
      <c r="CA17" s="191"/>
      <c r="CB17" s="191"/>
      <c r="CC17" s="191"/>
      <c r="CD17" s="178" t="n">
        <f aca="false">SUM(BZ17:CC17)</f>
        <v>0</v>
      </c>
      <c r="CE17" s="191"/>
      <c r="CF17" s="191"/>
      <c r="CG17" s="191"/>
      <c r="CH17" s="191"/>
      <c r="CI17" s="178" t="n">
        <f aca="false">SUM(CE17:CH17)</f>
        <v>0</v>
      </c>
      <c r="CJ17" s="191"/>
      <c r="CK17" s="191"/>
      <c r="CL17" s="191"/>
      <c r="CM17" s="191"/>
      <c r="CN17" s="178" t="n">
        <f aca="false">SUM(CJ17:CM17)</f>
        <v>0</v>
      </c>
      <c r="CO17" s="191" t="n">
        <f aca="false">+CN17+CI17+CD17+BY17+BT17+BO17+BJ17+BE17+AZ17+AU17+AP17+AK17</f>
        <v>37080.54</v>
      </c>
      <c r="CP17" s="191" t="n">
        <f aca="false">S17</f>
        <v>37080.54</v>
      </c>
      <c r="CQ17" s="192" t="n">
        <f aca="false">+CO17/CP17</f>
        <v>1</v>
      </c>
    </row>
    <row r="18" customFormat="false" ht="12.75" hidden="false" customHeight="false" outlineLevel="0" collapsed="false">
      <c r="A18" s="177" t="s">
        <v>174</v>
      </c>
      <c r="B18" s="178" t="s">
        <v>175</v>
      </c>
      <c r="C18" s="179" t="n">
        <v>88</v>
      </c>
      <c r="D18" s="180" t="s">
        <v>176</v>
      </c>
      <c r="E18" s="180"/>
      <c r="F18" s="181"/>
      <c r="G18" s="178"/>
      <c r="H18" s="181"/>
      <c r="I18" s="181"/>
      <c r="J18" s="193" t="n">
        <f aca="false">K18*J$8</f>
        <v>96.8</v>
      </c>
      <c r="K18" s="193" t="n">
        <f aca="false">88*CMF</f>
        <v>96.8</v>
      </c>
      <c r="L18" s="181" t="n">
        <f aca="false">+K18/K$11</f>
        <v>0.0590964590964591</v>
      </c>
      <c r="M18" s="193" t="n">
        <f aca="false">N18*N$8</f>
        <v>6969.6</v>
      </c>
      <c r="N18" s="193" t="n">
        <f aca="false">88*CMF</f>
        <v>96.8</v>
      </c>
      <c r="O18" s="181" t="n">
        <f aca="false">+N18/N$11</f>
        <v>0.0952755905511811</v>
      </c>
      <c r="P18" s="193" t="n">
        <f aca="false">Q18*Q$8</f>
        <v>5904.8</v>
      </c>
      <c r="Q18" s="193" t="n">
        <f aca="false">88*CMF</f>
        <v>96.8</v>
      </c>
      <c r="R18" s="181" t="n">
        <f aca="false">+Q18/Q$11</f>
        <v>0.0798021434460017</v>
      </c>
      <c r="S18" s="194" t="n">
        <f aca="false">+P18+M18</f>
        <v>12874.4</v>
      </c>
      <c r="T18" s="195" t="n">
        <f aca="false">+S18/S$8</f>
        <v>96.8</v>
      </c>
      <c r="U18" s="181" t="n">
        <f aca="false">+S18/U$8</f>
        <v>0.0874946481361922</v>
      </c>
      <c r="V18" s="185" t="n">
        <f aca="false">+S18/TotalCost</f>
        <v>0.00101189746414794</v>
      </c>
      <c r="W18" s="186" t="n">
        <f aca="false">+$S18/TotalValue</f>
        <v>0.00083060647733491</v>
      </c>
      <c r="X18" s="187"/>
      <c r="Y18" s="188"/>
      <c r="Z18" s="186"/>
      <c r="AA18" s="186"/>
      <c r="AB18" s="196"/>
      <c r="AC18" s="126"/>
      <c r="AD18" s="186"/>
      <c r="AE18" s="127"/>
      <c r="AF18" s="190" t="s">
        <v>175</v>
      </c>
      <c r="AG18" s="178"/>
      <c r="AH18" s="178"/>
      <c r="AI18" s="178"/>
      <c r="AJ18" s="178"/>
      <c r="AK18" s="178" t="n">
        <f aca="false">SUM(AG18:AJ18)</f>
        <v>0</v>
      </c>
      <c r="AL18" s="178"/>
      <c r="AM18" s="178"/>
      <c r="AN18" s="178"/>
      <c r="AO18" s="178" t="n">
        <f aca="false">$S18/10</f>
        <v>1287.44</v>
      </c>
      <c r="AP18" s="178" t="n">
        <f aca="false">SUM(AL18:AO18)</f>
        <v>1287.44</v>
      </c>
      <c r="AQ18" s="178"/>
      <c r="AR18" s="178"/>
      <c r="AS18" s="178"/>
      <c r="AT18" s="178" t="n">
        <f aca="false">$S18/10</f>
        <v>1287.44</v>
      </c>
      <c r="AU18" s="178" t="n">
        <f aca="false">SUM(AQ18:AT18)</f>
        <v>1287.44</v>
      </c>
      <c r="AV18" s="178"/>
      <c r="AW18" s="178"/>
      <c r="AX18" s="178"/>
      <c r="AY18" s="178" t="n">
        <f aca="false">$S18/10</f>
        <v>1287.44</v>
      </c>
      <c r="AZ18" s="178" t="n">
        <f aca="false">SUM(AV18:AY18)</f>
        <v>1287.44</v>
      </c>
      <c r="BA18" s="178"/>
      <c r="BB18" s="178"/>
      <c r="BC18" s="178"/>
      <c r="BD18" s="178" t="n">
        <f aca="false">$S18/10</f>
        <v>1287.44</v>
      </c>
      <c r="BE18" s="178" t="n">
        <f aca="false">SUM(BA18:BD18)</f>
        <v>1287.44</v>
      </c>
      <c r="BF18" s="178"/>
      <c r="BG18" s="191"/>
      <c r="BH18" s="191"/>
      <c r="BI18" s="178" t="n">
        <f aca="false">$S18/10</f>
        <v>1287.44</v>
      </c>
      <c r="BJ18" s="178" t="n">
        <f aca="false">SUM(BF18:BI18)</f>
        <v>1287.44</v>
      </c>
      <c r="BK18" s="178"/>
      <c r="BL18" s="178"/>
      <c r="BM18" s="178"/>
      <c r="BN18" s="178" t="n">
        <f aca="false">$S18/10</f>
        <v>1287.44</v>
      </c>
      <c r="BO18" s="178" t="n">
        <f aca="false">SUM(BK18:BN18)</f>
        <v>1287.44</v>
      </c>
      <c r="BP18" s="178"/>
      <c r="BQ18" s="178"/>
      <c r="BR18" s="178"/>
      <c r="BS18" s="178" t="n">
        <f aca="false">$S18/10</f>
        <v>1287.44</v>
      </c>
      <c r="BT18" s="178" t="n">
        <f aca="false">SUM(BP18:BS18)</f>
        <v>1287.44</v>
      </c>
      <c r="BU18" s="178"/>
      <c r="BV18" s="178"/>
      <c r="BW18" s="178"/>
      <c r="BX18" s="178" t="n">
        <f aca="false">$S18/10</f>
        <v>1287.44</v>
      </c>
      <c r="BY18" s="178" t="n">
        <f aca="false">SUM(BU18:BX18)</f>
        <v>1287.44</v>
      </c>
      <c r="BZ18" s="191"/>
      <c r="CA18" s="178"/>
      <c r="CB18" s="191"/>
      <c r="CC18" s="178" t="n">
        <f aca="false">$S18/10</f>
        <v>1287.44</v>
      </c>
      <c r="CD18" s="178" t="n">
        <f aca="false">SUM(BZ18:CC18)</f>
        <v>1287.44</v>
      </c>
      <c r="CE18" s="178"/>
      <c r="CF18" s="178"/>
      <c r="CG18" s="178"/>
      <c r="CH18" s="178" t="n">
        <f aca="false">$S18/10</f>
        <v>1287.44</v>
      </c>
      <c r="CI18" s="178" t="n">
        <f aca="false">SUM(CE18:CH18)</f>
        <v>1287.44</v>
      </c>
      <c r="CJ18" s="178"/>
      <c r="CK18" s="178"/>
      <c r="CL18" s="191"/>
      <c r="CM18" s="191"/>
      <c r="CN18" s="178" t="n">
        <f aca="false">SUM(CJ18:CM18)</f>
        <v>0</v>
      </c>
      <c r="CO18" s="191" t="n">
        <f aca="false">+CN18+CI18+CD18+BY18+BT18+BO18+BJ18+BE18+AZ18+AU18+AP18+AK18</f>
        <v>12874.4</v>
      </c>
      <c r="CP18" s="191" t="n">
        <f aca="false">S18</f>
        <v>12874.4</v>
      </c>
      <c r="CQ18" s="192" t="n">
        <f aca="false">+CO18/CP18</f>
        <v>1</v>
      </c>
    </row>
    <row r="19" customFormat="false" ht="12.75" hidden="false" customHeight="false" outlineLevel="0" collapsed="false">
      <c r="A19" s="177" t="s">
        <v>174</v>
      </c>
      <c r="B19" s="178" t="s">
        <v>177</v>
      </c>
      <c r="C19" s="198"/>
      <c r="D19" s="180"/>
      <c r="E19" s="180"/>
      <c r="F19" s="181"/>
      <c r="G19" s="178"/>
      <c r="H19" s="181"/>
      <c r="I19" s="181"/>
      <c r="J19" s="193" t="n">
        <f aca="false">K19*J$8</f>
        <v>1432.2</v>
      </c>
      <c r="K19" s="193" t="n">
        <f aca="false">1302*CMF</f>
        <v>1432.2</v>
      </c>
      <c r="L19" s="181" t="n">
        <f aca="false">+K19/K$11</f>
        <v>0.874358974358974</v>
      </c>
      <c r="M19" s="193" t="n">
        <f aca="false">N19*N$8</f>
        <v>103118.4</v>
      </c>
      <c r="N19" s="193" t="n">
        <f aca="false">1302*CMF</f>
        <v>1432.2</v>
      </c>
      <c r="O19" s="181" t="n">
        <f aca="false">+N19/N$11</f>
        <v>1.40964566929134</v>
      </c>
      <c r="P19" s="193" t="n">
        <f aca="false">Q19*Q$8</f>
        <v>87364.2</v>
      </c>
      <c r="Q19" s="193" t="n">
        <f aca="false">1302*CMF</f>
        <v>1432.2</v>
      </c>
      <c r="R19" s="181" t="n">
        <f aca="false">+Q19/Q$11</f>
        <v>1.18070898598516</v>
      </c>
      <c r="S19" s="194" t="n">
        <f aca="false">+P19+M19</f>
        <v>190482.6</v>
      </c>
      <c r="T19" s="195" t="n">
        <f aca="false">+S19/S$8</f>
        <v>1432.2</v>
      </c>
      <c r="U19" s="181" t="n">
        <f aca="false">+S19/U$8</f>
        <v>1.29452308946957</v>
      </c>
      <c r="V19" s="185" t="n">
        <f aca="false">+S19/TotalCost</f>
        <v>0.0149714829354616</v>
      </c>
      <c r="W19" s="186" t="n">
        <f aca="false">+$S19/TotalValue</f>
        <v>0.0122892003805688</v>
      </c>
      <c r="X19" s="187"/>
      <c r="Y19" s="188"/>
      <c r="Z19" s="186"/>
      <c r="AA19" s="186"/>
      <c r="AB19" s="196"/>
      <c r="AC19" s="126"/>
      <c r="AD19" s="186"/>
      <c r="AE19" s="127"/>
      <c r="AF19" s="190" t="s">
        <v>177</v>
      </c>
      <c r="AG19" s="178"/>
      <c r="AH19" s="178"/>
      <c r="AI19" s="178"/>
      <c r="AJ19" s="178"/>
      <c r="AK19" s="178" t="n">
        <f aca="false">SUM(AG19:AJ19)</f>
        <v>0</v>
      </c>
      <c r="AL19" s="178"/>
      <c r="AM19" s="191"/>
      <c r="AN19" s="177" t="n">
        <f aca="false">$S19/8</f>
        <v>23810.325</v>
      </c>
      <c r="AO19" s="191"/>
      <c r="AP19" s="178" t="n">
        <f aca="false">SUM(AL19:AO19)</f>
        <v>23810.325</v>
      </c>
      <c r="AQ19" s="191"/>
      <c r="AR19" s="177" t="n">
        <f aca="false">$S19/8</f>
        <v>23810.325</v>
      </c>
      <c r="AS19" s="191"/>
      <c r="AT19" s="191"/>
      <c r="AU19" s="178" t="n">
        <f aca="false">SUM(AQ19:AT19)</f>
        <v>23810.325</v>
      </c>
      <c r="AV19" s="177" t="n">
        <f aca="false">$S19/8</f>
        <v>23810.325</v>
      </c>
      <c r="AW19" s="191"/>
      <c r="AX19" s="191"/>
      <c r="AY19" s="177" t="n">
        <f aca="false">$S19/8</f>
        <v>23810.325</v>
      </c>
      <c r="AZ19" s="178" t="n">
        <f aca="false">SUM(AV19:AY19)</f>
        <v>47620.65</v>
      </c>
      <c r="BA19" s="191"/>
      <c r="BB19" s="191"/>
      <c r="BC19" s="177" t="n">
        <f aca="false">$S19/8</f>
        <v>23810.325</v>
      </c>
      <c r="BD19" s="191"/>
      <c r="BE19" s="178" t="n">
        <f aca="false">SUM(BA19:BD19)</f>
        <v>23810.325</v>
      </c>
      <c r="BF19" s="191"/>
      <c r="BG19" s="177" t="n">
        <f aca="false">$S19/8</f>
        <v>23810.325</v>
      </c>
      <c r="BH19" s="191"/>
      <c r="BI19" s="191"/>
      <c r="BJ19" s="178" t="n">
        <f aca="false">SUM(BF19:BI19)</f>
        <v>23810.325</v>
      </c>
      <c r="BK19" s="177" t="n">
        <f aca="false">$S19/8</f>
        <v>23810.325</v>
      </c>
      <c r="BL19" s="191"/>
      <c r="BM19" s="191"/>
      <c r="BN19" s="177" t="n">
        <f aca="false">$S19/8</f>
        <v>23810.325</v>
      </c>
      <c r="BO19" s="178" t="n">
        <f aca="false">SUM(BK19:BN19)</f>
        <v>47620.65</v>
      </c>
      <c r="BP19" s="191"/>
      <c r="BQ19" s="191"/>
      <c r="BR19" s="191"/>
      <c r="BS19" s="191"/>
      <c r="BT19" s="178" t="n">
        <f aca="false">SUM(BP19:BS19)</f>
        <v>0</v>
      </c>
      <c r="BU19" s="191"/>
      <c r="BV19" s="191"/>
      <c r="BW19" s="191"/>
      <c r="BX19" s="191"/>
      <c r="BY19" s="178" t="n">
        <f aca="false">SUM(BU19:BX19)</f>
        <v>0</v>
      </c>
      <c r="BZ19" s="191"/>
      <c r="CA19" s="191"/>
      <c r="CB19" s="191"/>
      <c r="CC19" s="191"/>
      <c r="CD19" s="178" t="n">
        <f aca="false">SUM(BZ19:CC19)</f>
        <v>0</v>
      </c>
      <c r="CE19" s="191"/>
      <c r="CF19" s="191"/>
      <c r="CG19" s="191"/>
      <c r="CH19" s="191"/>
      <c r="CI19" s="178" t="n">
        <f aca="false">SUM(CE19:CH19)</f>
        <v>0</v>
      </c>
      <c r="CJ19" s="191"/>
      <c r="CK19" s="191"/>
      <c r="CL19" s="191"/>
      <c r="CM19" s="191"/>
      <c r="CN19" s="178" t="n">
        <f aca="false">SUM(CJ19:CM19)</f>
        <v>0</v>
      </c>
      <c r="CO19" s="191" t="n">
        <f aca="false">+CN19+CI19+CD19+BY19+BT19+BO19+BJ19+BE19+AZ19+AU19+AP19+AK19</f>
        <v>190482.6</v>
      </c>
      <c r="CP19" s="191" t="n">
        <f aca="false">S19</f>
        <v>190482.6</v>
      </c>
      <c r="CQ19" s="192" t="n">
        <f aca="false">+CO19/CP19</f>
        <v>1</v>
      </c>
    </row>
    <row r="20" customFormat="false" ht="12.75" hidden="false" customHeight="false" outlineLevel="0" collapsed="false">
      <c r="A20" s="177"/>
      <c r="B20" s="199" t="s">
        <v>178</v>
      </c>
      <c r="C20" s="198" t="n">
        <v>5.5</v>
      </c>
      <c r="D20" s="180" t="s">
        <v>167</v>
      </c>
      <c r="E20" s="180"/>
      <c r="F20" s="181"/>
      <c r="G20" s="178"/>
      <c r="H20" s="181"/>
      <c r="I20" s="181"/>
      <c r="J20" s="193" t="n">
        <f aca="false">K20*J$8</f>
        <v>8876.88350694445</v>
      </c>
      <c r="K20" s="193" t="n">
        <f aca="false">5.5*MgrOffFirstFlr*CMF</f>
        <v>8876.88350694445</v>
      </c>
      <c r="L20" s="181" t="n">
        <f aca="false">+K20/K$11</f>
        <v>5.41934280033239</v>
      </c>
      <c r="M20" s="193" t="n">
        <f aca="false">N20*N$8</f>
        <v>230762.125</v>
      </c>
      <c r="N20" s="193" t="n">
        <f aca="false">5.5*TwoBdrm_First_Flr*CMF</f>
        <v>3205.02951388889</v>
      </c>
      <c r="O20" s="181" t="n">
        <f aca="false">+N20/N$11</f>
        <v>3.15455660815836</v>
      </c>
      <c r="P20" s="193" t="n">
        <f aca="false">Q20*Q$8</f>
        <v>303359.1</v>
      </c>
      <c r="Q20" s="193" t="n">
        <f aca="false">5.5*ThreeBdrm_First_Flr*CMF</f>
        <v>4973.1</v>
      </c>
      <c r="R20" s="181" t="n">
        <f aca="false">+Q20/Q$11</f>
        <v>4.09983511953834</v>
      </c>
      <c r="S20" s="194" t="n">
        <f aca="false">+P20+M20</f>
        <v>534121.225</v>
      </c>
      <c r="T20" s="195" t="n">
        <f aca="false">+S20/S$8</f>
        <v>4015.94906015038</v>
      </c>
      <c r="U20" s="181" t="n">
        <f aca="false">+S20/U$8</f>
        <v>3.6298972102348</v>
      </c>
      <c r="V20" s="185" t="n">
        <f aca="false">+S20/TotalCost</f>
        <v>0.0419806680796848</v>
      </c>
      <c r="W20" s="186" t="n">
        <f aca="false">+$S20/TotalValue</f>
        <v>0.0344594349380986</v>
      </c>
      <c r="X20" s="187"/>
      <c r="Y20" s="188"/>
      <c r="Z20" s="186"/>
      <c r="AA20" s="186"/>
      <c r="AB20" s="196"/>
      <c r="AC20" s="126"/>
      <c r="AD20" s="186"/>
      <c r="AE20" s="127"/>
      <c r="AF20" s="200" t="s">
        <v>178</v>
      </c>
      <c r="AG20" s="178"/>
      <c r="AH20" s="178"/>
      <c r="AI20" s="178"/>
      <c r="AJ20" s="178"/>
      <c r="AK20" s="178" t="n">
        <f aca="false">SUM(AG20:AJ20)</f>
        <v>0</v>
      </c>
      <c r="AL20" s="178"/>
      <c r="AM20" s="178"/>
      <c r="AN20" s="178"/>
      <c r="AO20" s="177" t="n">
        <f aca="false">$S20/8/2</f>
        <v>33382.5765625</v>
      </c>
      <c r="AP20" s="178" t="n">
        <f aca="false">SUM(AL20:AO20)</f>
        <v>33382.5765625</v>
      </c>
      <c r="AQ20" s="177"/>
      <c r="AR20" s="177" t="n">
        <f aca="false">$S20/8/2</f>
        <v>33382.5765625</v>
      </c>
      <c r="AS20" s="177" t="n">
        <f aca="false">$S20/8/2</f>
        <v>33382.5765625</v>
      </c>
      <c r="AT20" s="201"/>
      <c r="AU20" s="178" t="n">
        <f aca="false">SUM(AQ20:AT20)</f>
        <v>66765.153125</v>
      </c>
      <c r="AV20" s="177" t="n">
        <f aca="false">$S20/8/2</f>
        <v>33382.5765625</v>
      </c>
      <c r="AW20" s="178" t="n">
        <f aca="false">$S20/8/2</f>
        <v>33382.5765625</v>
      </c>
      <c r="AX20" s="178"/>
      <c r="AY20" s="178" t="n">
        <f aca="false">$S20/8/2</f>
        <v>33382.5765625</v>
      </c>
      <c r="AZ20" s="178" t="n">
        <f aca="false">SUM(AV20:AY20)</f>
        <v>100147.7296875</v>
      </c>
      <c r="BA20" s="178" t="n">
        <f aca="false">$S20/8/2</f>
        <v>33382.5765625</v>
      </c>
      <c r="BB20" s="191"/>
      <c r="BC20" s="178" t="n">
        <f aca="false">$S20/8/2</f>
        <v>33382.5765625</v>
      </c>
      <c r="BD20" s="178" t="n">
        <f aca="false">$S20/8/2</f>
        <v>33382.5765625</v>
      </c>
      <c r="BE20" s="178" t="n">
        <f aca="false">SUM(BA20:BD20)</f>
        <v>100147.7296875</v>
      </c>
      <c r="BF20" s="191"/>
      <c r="BG20" s="178" t="n">
        <f aca="false">$S20/8/2</f>
        <v>33382.5765625</v>
      </c>
      <c r="BH20" s="178" t="n">
        <f aca="false">$S20/8/2</f>
        <v>33382.5765625</v>
      </c>
      <c r="BI20" s="191"/>
      <c r="BJ20" s="178" t="n">
        <f aca="false">SUM(BF20:BI20)</f>
        <v>66765.153125</v>
      </c>
      <c r="BK20" s="178" t="n">
        <f aca="false">$S20/8/2</f>
        <v>33382.5765625</v>
      </c>
      <c r="BL20" s="178" t="n">
        <f aca="false">$S20/8/2</f>
        <v>33382.5765625</v>
      </c>
      <c r="BM20" s="191"/>
      <c r="BN20" s="178" t="n">
        <f aca="false">$S20/8/2</f>
        <v>33382.5765625</v>
      </c>
      <c r="BO20" s="178" t="n">
        <f aca="false">SUM(BK20:BN20)</f>
        <v>100147.7296875</v>
      </c>
      <c r="BP20" s="178" t="n">
        <f aca="false">$S20/8/2</f>
        <v>33382.5765625</v>
      </c>
      <c r="BQ20" s="191"/>
      <c r="BR20" s="178" t="n">
        <f aca="false">$S20/8/2</f>
        <v>33382.5765625</v>
      </c>
      <c r="BS20" s="191"/>
      <c r="BT20" s="178" t="n">
        <f aca="false">SUM(BP20:BS20)</f>
        <v>66765.153125</v>
      </c>
      <c r="BU20" s="191"/>
      <c r="BV20" s="191"/>
      <c r="BW20" s="191"/>
      <c r="BX20" s="191"/>
      <c r="BY20" s="178" t="n">
        <f aca="false">SUM(BU20:BX20)</f>
        <v>0</v>
      </c>
      <c r="BZ20" s="191"/>
      <c r="CA20" s="191"/>
      <c r="CB20" s="191"/>
      <c r="CC20" s="191"/>
      <c r="CD20" s="178" t="n">
        <f aca="false">SUM(BZ20:CC20)</f>
        <v>0</v>
      </c>
      <c r="CE20" s="191"/>
      <c r="CF20" s="191"/>
      <c r="CG20" s="191"/>
      <c r="CH20" s="191"/>
      <c r="CI20" s="178" t="n">
        <f aca="false">SUM(CE20:CH20)</f>
        <v>0</v>
      </c>
      <c r="CJ20" s="191"/>
      <c r="CK20" s="191"/>
      <c r="CL20" s="191"/>
      <c r="CM20" s="191"/>
      <c r="CN20" s="178" t="n">
        <f aca="false">SUM(CJ20:CM20)</f>
        <v>0</v>
      </c>
      <c r="CO20" s="191" t="n">
        <f aca="false">+CN20+CI20+CD20+BY20+BT20+BO20+BJ20+BE20+AZ20+AU20+AP20+AK20</f>
        <v>534121.225</v>
      </c>
      <c r="CP20" s="191" t="n">
        <f aca="false">S20</f>
        <v>534121.225</v>
      </c>
      <c r="CQ20" s="192" t="n">
        <f aca="false">+CO20/CP20</f>
        <v>1</v>
      </c>
    </row>
    <row r="21" customFormat="false" ht="12.75" hidden="false" customHeight="false" outlineLevel="0" collapsed="false">
      <c r="A21" s="177" t="s">
        <v>179</v>
      </c>
      <c r="B21" s="177" t="s">
        <v>180</v>
      </c>
      <c r="C21" s="198"/>
      <c r="D21" s="180"/>
      <c r="E21" s="180"/>
      <c r="F21" s="181"/>
      <c r="G21" s="178"/>
      <c r="H21" s="181"/>
      <c r="I21" s="181"/>
      <c r="J21" s="178"/>
      <c r="K21" s="178"/>
      <c r="L21" s="178"/>
      <c r="M21" s="178"/>
      <c r="N21" s="178"/>
      <c r="O21" s="178"/>
      <c r="P21" s="178"/>
      <c r="Q21" s="178"/>
      <c r="R21" s="178"/>
      <c r="S21" s="202"/>
      <c r="T21" s="178"/>
      <c r="U21" s="181"/>
      <c r="V21" s="186"/>
      <c r="W21" s="186"/>
      <c r="X21" s="187"/>
      <c r="Y21" s="188"/>
      <c r="Z21" s="186"/>
      <c r="AA21" s="186"/>
      <c r="AB21" s="196"/>
      <c r="AC21" s="126"/>
      <c r="AD21" s="186"/>
      <c r="AE21" s="127"/>
      <c r="AF21" s="203" t="s">
        <v>180</v>
      </c>
      <c r="AG21" s="178"/>
      <c r="AH21" s="178"/>
      <c r="AI21" s="178"/>
      <c r="AJ21" s="178"/>
      <c r="AK21" s="178" t="n">
        <f aca="false">SUM(AG21:AJ21)</f>
        <v>0</v>
      </c>
      <c r="AL21" s="178"/>
      <c r="AM21" s="191"/>
      <c r="AN21" s="191" t="s">
        <v>181</v>
      </c>
      <c r="AO21" s="191" t="s">
        <v>181</v>
      </c>
      <c r="AP21" s="178" t="n">
        <f aca="false">SUM(AL21:AO21)</f>
        <v>0</v>
      </c>
      <c r="AQ21" s="191" t="s">
        <v>181</v>
      </c>
      <c r="AR21" s="191" t="s">
        <v>182</v>
      </c>
      <c r="AS21" s="191" t="s">
        <v>182</v>
      </c>
      <c r="AT21" s="191" t="s">
        <v>182</v>
      </c>
      <c r="AU21" s="178" t="n">
        <f aca="false">SUM(AQ21:AT21)</f>
        <v>0</v>
      </c>
      <c r="AV21" s="191" t="s">
        <v>183</v>
      </c>
      <c r="AW21" s="191" t="s">
        <v>183</v>
      </c>
      <c r="AX21" s="191" t="s">
        <v>183</v>
      </c>
      <c r="AY21" s="191" t="s">
        <v>184</v>
      </c>
      <c r="AZ21" s="178" t="n">
        <f aca="false">SUM(AV21:AY21)</f>
        <v>0</v>
      </c>
      <c r="BA21" s="191" t="s">
        <v>184</v>
      </c>
      <c r="BB21" s="191" t="s">
        <v>184</v>
      </c>
      <c r="BC21" s="191" t="s">
        <v>185</v>
      </c>
      <c r="BD21" s="191" t="s">
        <v>185</v>
      </c>
      <c r="BE21" s="178" t="n">
        <f aca="false">SUM(BA21:BD21)</f>
        <v>0</v>
      </c>
      <c r="BF21" s="191" t="s">
        <v>185</v>
      </c>
      <c r="BG21" s="191" t="s">
        <v>186</v>
      </c>
      <c r="BH21" s="191" t="s">
        <v>186</v>
      </c>
      <c r="BI21" s="191" t="s">
        <v>186</v>
      </c>
      <c r="BJ21" s="178" t="n">
        <f aca="false">SUM(BF21:BI21)</f>
        <v>0</v>
      </c>
      <c r="BK21" s="191" t="s">
        <v>187</v>
      </c>
      <c r="BL21" s="191" t="s">
        <v>187</v>
      </c>
      <c r="BM21" s="191" t="s">
        <v>187</v>
      </c>
      <c r="BN21" s="191" t="s">
        <v>188</v>
      </c>
      <c r="BO21" s="178" t="n">
        <f aca="false">SUM(BK21:BN21)</f>
        <v>0</v>
      </c>
      <c r="BP21" s="191" t="s">
        <v>188</v>
      </c>
      <c r="BQ21" s="191" t="s">
        <v>188</v>
      </c>
      <c r="BR21" s="191"/>
      <c r="BS21" s="191"/>
      <c r="BT21" s="178" t="n">
        <f aca="false">SUM(BP21:BS21)</f>
        <v>0</v>
      </c>
      <c r="BU21" s="191"/>
      <c r="BV21" s="191"/>
      <c r="BW21" s="191"/>
      <c r="BX21" s="191"/>
      <c r="BY21" s="178" t="n">
        <f aca="false">SUM(BU21:BX21)</f>
        <v>0</v>
      </c>
      <c r="BZ21" s="191"/>
      <c r="CA21" s="191"/>
      <c r="CB21" s="191"/>
      <c r="CC21" s="191"/>
      <c r="CD21" s="178" t="n">
        <f aca="false">SUM(BZ21:CC21)</f>
        <v>0</v>
      </c>
      <c r="CE21" s="191"/>
      <c r="CF21" s="191"/>
      <c r="CG21" s="191"/>
      <c r="CH21" s="191"/>
      <c r="CI21" s="178" t="n">
        <f aca="false">SUM(CE21:CH21)</f>
        <v>0</v>
      </c>
      <c r="CJ21" s="191"/>
      <c r="CK21" s="191"/>
      <c r="CL21" s="191"/>
      <c r="CM21" s="191"/>
      <c r="CN21" s="178" t="n">
        <f aca="false">SUM(CJ21:CM21)</f>
        <v>0</v>
      </c>
      <c r="CO21" s="191" t="n">
        <f aca="false">+CN21+CI21+CD21+BY21+BT21+BO21+BJ21+BE21+AZ21+AU21+AP21+AK21</f>
        <v>0</v>
      </c>
      <c r="CP21" s="191"/>
      <c r="CQ21" s="192"/>
    </row>
    <row r="22" customFormat="false" ht="12.75" hidden="false" customHeight="false" outlineLevel="0" collapsed="false">
      <c r="A22" s="177" t="s">
        <v>179</v>
      </c>
      <c r="B22" s="177" t="s">
        <v>189</v>
      </c>
      <c r="C22" s="198"/>
      <c r="D22" s="180"/>
      <c r="E22" s="180"/>
      <c r="F22" s="181"/>
      <c r="G22" s="178"/>
      <c r="H22" s="181"/>
      <c r="I22" s="181"/>
      <c r="J22" s="193"/>
      <c r="K22" s="193"/>
      <c r="L22" s="181"/>
      <c r="M22" s="193"/>
      <c r="N22" s="193"/>
      <c r="O22" s="181"/>
      <c r="P22" s="193"/>
      <c r="Q22" s="193"/>
      <c r="R22" s="181"/>
      <c r="S22" s="194"/>
      <c r="T22" s="195"/>
      <c r="U22" s="181"/>
      <c r="V22" s="186"/>
      <c r="W22" s="186"/>
      <c r="X22" s="187"/>
      <c r="Y22" s="188"/>
      <c r="Z22" s="186"/>
      <c r="AA22" s="186"/>
      <c r="AB22" s="196"/>
      <c r="AC22" s="126"/>
      <c r="AD22" s="186"/>
      <c r="AE22" s="127"/>
      <c r="AF22" s="203" t="s">
        <v>189</v>
      </c>
      <c r="AG22" s="178"/>
      <c r="AH22" s="178"/>
      <c r="AI22" s="178"/>
      <c r="AJ22" s="178"/>
      <c r="AK22" s="178" t="n">
        <f aca="false">SUM(AG22:AJ22)</f>
        <v>0</v>
      </c>
      <c r="AL22" s="178"/>
      <c r="AM22" s="191"/>
      <c r="AN22" s="191"/>
      <c r="AO22" s="191"/>
      <c r="AP22" s="178" t="n">
        <f aca="false">SUM(AL22:AO22)</f>
        <v>0</v>
      </c>
      <c r="AQ22" s="191"/>
      <c r="AR22" s="191"/>
      <c r="AS22" s="191"/>
      <c r="AT22" s="191"/>
      <c r="AU22" s="178" t="n">
        <f aca="false">SUM(AQ22:AT22)</f>
        <v>0</v>
      </c>
      <c r="AV22" s="191"/>
      <c r="AW22" s="191"/>
      <c r="AX22" s="191"/>
      <c r="AY22" s="191"/>
      <c r="AZ22" s="178" t="n">
        <f aca="false">SUM(AV22:AY22)</f>
        <v>0</v>
      </c>
      <c r="BA22" s="191"/>
      <c r="BB22" s="191"/>
      <c r="BC22" s="191"/>
      <c r="BD22" s="191"/>
      <c r="BE22" s="178" t="n">
        <f aca="false">SUM(BA22:BD22)</f>
        <v>0</v>
      </c>
      <c r="BF22" s="191"/>
      <c r="BG22" s="191"/>
      <c r="BH22" s="191"/>
      <c r="BI22" s="191"/>
      <c r="BJ22" s="178" t="n">
        <f aca="false">SUM(BF22:BI22)</f>
        <v>0</v>
      </c>
      <c r="BK22" s="191"/>
      <c r="BL22" s="191"/>
      <c r="BM22" s="191"/>
      <c r="BN22" s="191"/>
      <c r="BO22" s="178" t="n">
        <f aca="false">SUM(BK22:BN22)</f>
        <v>0</v>
      </c>
      <c r="BP22" s="191"/>
      <c r="BQ22" s="191"/>
      <c r="BR22" s="191"/>
      <c r="BS22" s="191"/>
      <c r="BT22" s="178" t="n">
        <f aca="false">SUM(BP22:BS22)</f>
        <v>0</v>
      </c>
      <c r="BU22" s="191"/>
      <c r="BV22" s="191"/>
      <c r="BW22" s="191"/>
      <c r="BX22" s="191"/>
      <c r="BY22" s="178" t="n">
        <f aca="false">SUM(BU22:BX22)</f>
        <v>0</v>
      </c>
      <c r="BZ22" s="191"/>
      <c r="CA22" s="191"/>
      <c r="CB22" s="191"/>
      <c r="CC22" s="191"/>
      <c r="CD22" s="178" t="n">
        <f aca="false">SUM(BZ22:CC22)</f>
        <v>0</v>
      </c>
      <c r="CE22" s="191"/>
      <c r="CF22" s="191"/>
      <c r="CG22" s="191"/>
      <c r="CH22" s="191"/>
      <c r="CI22" s="178" t="n">
        <f aca="false">SUM(CE22:CH22)</f>
        <v>0</v>
      </c>
      <c r="CJ22" s="191"/>
      <c r="CK22" s="191"/>
      <c r="CL22" s="191"/>
      <c r="CM22" s="191"/>
      <c r="CN22" s="178" t="n">
        <f aca="false">SUM(CJ22:CM22)</f>
        <v>0</v>
      </c>
      <c r="CO22" s="191" t="n">
        <f aca="false">+CN22+CI22+CD22+BY22+BT22+BO22+BJ22+BE22+AZ22+AU22+AP22+AK22</f>
        <v>0</v>
      </c>
      <c r="CP22" s="191"/>
      <c r="CQ22" s="192"/>
    </row>
    <row r="23" customFormat="false" ht="12.75" hidden="false" customHeight="false" outlineLevel="0" collapsed="false">
      <c r="A23" s="177" t="s">
        <v>179</v>
      </c>
      <c r="B23" s="177" t="s">
        <v>190</v>
      </c>
      <c r="C23" s="198"/>
      <c r="D23" s="180"/>
      <c r="E23" s="180"/>
      <c r="F23" s="181"/>
      <c r="G23" s="178"/>
      <c r="H23" s="181"/>
      <c r="I23" s="181"/>
      <c r="J23" s="193"/>
      <c r="K23" s="193"/>
      <c r="L23" s="181"/>
      <c r="M23" s="193"/>
      <c r="N23" s="193"/>
      <c r="O23" s="181"/>
      <c r="P23" s="193"/>
      <c r="Q23" s="193"/>
      <c r="R23" s="181"/>
      <c r="S23" s="194"/>
      <c r="T23" s="195"/>
      <c r="U23" s="181"/>
      <c r="V23" s="186"/>
      <c r="W23" s="186"/>
      <c r="X23" s="187"/>
      <c r="Y23" s="188"/>
      <c r="Z23" s="186"/>
      <c r="AA23" s="186"/>
      <c r="AB23" s="196"/>
      <c r="AC23" s="126"/>
      <c r="AD23" s="186"/>
      <c r="AE23" s="127"/>
      <c r="AF23" s="203" t="s">
        <v>190</v>
      </c>
      <c r="AG23" s="178"/>
      <c r="AH23" s="178"/>
      <c r="AI23" s="178"/>
      <c r="AJ23" s="178"/>
      <c r="AK23" s="178" t="n">
        <f aca="false">SUM(AG23:AJ23)</f>
        <v>0</v>
      </c>
      <c r="AL23" s="178"/>
      <c r="AM23" s="191"/>
      <c r="AN23" s="191"/>
      <c r="AO23" s="191"/>
      <c r="AP23" s="178" t="n">
        <f aca="false">SUM(AL23:AO23)</f>
        <v>0</v>
      </c>
      <c r="AQ23" s="191"/>
      <c r="AR23" s="191"/>
      <c r="AS23" s="191"/>
      <c r="AT23" s="191"/>
      <c r="AU23" s="178" t="n">
        <f aca="false">SUM(AQ23:AT23)</f>
        <v>0</v>
      </c>
      <c r="AV23" s="191"/>
      <c r="AW23" s="191"/>
      <c r="AX23" s="191"/>
      <c r="AY23" s="191"/>
      <c r="AZ23" s="178" t="n">
        <f aca="false">SUM(AV23:AY23)</f>
        <v>0</v>
      </c>
      <c r="BA23" s="191"/>
      <c r="BB23" s="191"/>
      <c r="BC23" s="191"/>
      <c r="BD23" s="191"/>
      <c r="BE23" s="178" t="n">
        <f aca="false">SUM(BA23:BD23)</f>
        <v>0</v>
      </c>
      <c r="BF23" s="191"/>
      <c r="BG23" s="191"/>
      <c r="BH23" s="191"/>
      <c r="BI23" s="191"/>
      <c r="BJ23" s="178" t="n">
        <f aca="false">SUM(BF23:BI23)</f>
        <v>0</v>
      </c>
      <c r="BK23" s="191"/>
      <c r="BL23" s="191"/>
      <c r="BM23" s="191"/>
      <c r="BN23" s="191"/>
      <c r="BO23" s="178" t="n">
        <f aca="false">SUM(BK23:BN23)</f>
        <v>0</v>
      </c>
      <c r="BP23" s="191"/>
      <c r="BQ23" s="191"/>
      <c r="BR23" s="191"/>
      <c r="BS23" s="191"/>
      <c r="BT23" s="178" t="n">
        <f aca="false">SUM(BP23:BS23)</f>
        <v>0</v>
      </c>
      <c r="BU23" s="191"/>
      <c r="BV23" s="191"/>
      <c r="BW23" s="191"/>
      <c r="BX23" s="191"/>
      <c r="BY23" s="178" t="n">
        <f aca="false">SUM(BU23:BX23)</f>
        <v>0</v>
      </c>
      <c r="BZ23" s="191"/>
      <c r="CA23" s="191"/>
      <c r="CB23" s="191"/>
      <c r="CC23" s="191"/>
      <c r="CD23" s="178" t="n">
        <f aca="false">SUM(BZ23:CC23)</f>
        <v>0</v>
      </c>
      <c r="CE23" s="191"/>
      <c r="CF23" s="191"/>
      <c r="CG23" s="191"/>
      <c r="CH23" s="191"/>
      <c r="CI23" s="178" t="n">
        <f aca="false">SUM(CE23:CH23)</f>
        <v>0</v>
      </c>
      <c r="CJ23" s="191"/>
      <c r="CK23" s="191"/>
      <c r="CL23" s="191"/>
      <c r="CM23" s="191"/>
      <c r="CN23" s="178" t="n">
        <f aca="false">SUM(CJ23:CM23)</f>
        <v>0</v>
      </c>
      <c r="CO23" s="191" t="n">
        <f aca="false">+CN23+CI23+CD23+BY23+BT23+BO23+BJ23+BE23+AZ23+AU23+AP23+AK23</f>
        <v>0</v>
      </c>
      <c r="CP23" s="191"/>
      <c r="CQ23" s="192"/>
    </row>
    <row r="24" customFormat="false" ht="12.75" hidden="false" customHeight="false" outlineLevel="0" collapsed="false">
      <c r="A24" s="177"/>
      <c r="B24" s="199" t="s">
        <v>191</v>
      </c>
      <c r="C24" s="198"/>
      <c r="D24" s="180"/>
      <c r="E24" s="180"/>
      <c r="F24" s="181"/>
      <c r="G24" s="178"/>
      <c r="H24" s="181"/>
      <c r="I24" s="181"/>
      <c r="J24" s="193"/>
      <c r="K24" s="193"/>
      <c r="L24" s="181"/>
      <c r="M24" s="193"/>
      <c r="N24" s="193"/>
      <c r="O24" s="181"/>
      <c r="P24" s="193"/>
      <c r="Q24" s="193"/>
      <c r="R24" s="181"/>
      <c r="S24" s="194"/>
      <c r="T24" s="195"/>
      <c r="U24" s="181"/>
      <c r="V24" s="186"/>
      <c r="W24" s="186"/>
      <c r="X24" s="187"/>
      <c r="Y24" s="188"/>
      <c r="Z24" s="186"/>
      <c r="AA24" s="186"/>
      <c r="AB24" s="196"/>
      <c r="AC24" s="126"/>
      <c r="AD24" s="186"/>
      <c r="AE24" s="127"/>
      <c r="AF24" s="200" t="s">
        <v>191</v>
      </c>
      <c r="AG24" s="178"/>
      <c r="AH24" s="178"/>
      <c r="AI24" s="178"/>
      <c r="AJ24" s="178"/>
      <c r="AK24" s="178" t="n">
        <f aca="false">SUM(AG24:AJ24)</f>
        <v>0</v>
      </c>
      <c r="AL24" s="178"/>
      <c r="AM24" s="191"/>
      <c r="AN24" s="191"/>
      <c r="AO24" s="191"/>
      <c r="AP24" s="178" t="n">
        <f aca="false">SUM(AL24:AO24)</f>
        <v>0</v>
      </c>
      <c r="AQ24" s="191"/>
      <c r="AR24" s="191"/>
      <c r="AS24" s="191"/>
      <c r="AT24" s="191"/>
      <c r="AU24" s="178" t="n">
        <f aca="false">SUM(AQ24:AT24)</f>
        <v>0</v>
      </c>
      <c r="AV24" s="191"/>
      <c r="AW24" s="191"/>
      <c r="AX24" s="191"/>
      <c r="AY24" s="191"/>
      <c r="AZ24" s="178" t="n">
        <f aca="false">SUM(AV24:AY24)</f>
        <v>0</v>
      </c>
      <c r="BA24" s="191"/>
      <c r="BB24" s="191"/>
      <c r="BC24" s="191"/>
      <c r="BD24" s="191"/>
      <c r="BE24" s="178" t="n">
        <f aca="false">SUM(BA24:BD24)</f>
        <v>0</v>
      </c>
      <c r="BF24" s="191"/>
      <c r="BG24" s="191"/>
      <c r="BH24" s="191"/>
      <c r="BI24" s="191"/>
      <c r="BJ24" s="178" t="n">
        <f aca="false">SUM(BF24:BI24)</f>
        <v>0</v>
      </c>
      <c r="BK24" s="191"/>
      <c r="BL24" s="191"/>
      <c r="BM24" s="191"/>
      <c r="BN24" s="191"/>
      <c r="BO24" s="178" t="n">
        <f aca="false">SUM(BK24:BN24)</f>
        <v>0</v>
      </c>
      <c r="BP24" s="191"/>
      <c r="BQ24" s="191"/>
      <c r="BR24" s="191"/>
      <c r="BS24" s="191"/>
      <c r="BT24" s="178" t="n">
        <f aca="false">SUM(BP24:BS24)</f>
        <v>0</v>
      </c>
      <c r="BU24" s="191"/>
      <c r="BV24" s="191"/>
      <c r="BW24" s="191"/>
      <c r="BX24" s="191"/>
      <c r="BY24" s="178" t="n">
        <f aca="false">SUM(BU24:BX24)</f>
        <v>0</v>
      </c>
      <c r="BZ24" s="191"/>
      <c r="CA24" s="191"/>
      <c r="CB24" s="191"/>
      <c r="CC24" s="191"/>
      <c r="CD24" s="178" t="n">
        <f aca="false">SUM(BZ24:CC24)</f>
        <v>0</v>
      </c>
      <c r="CE24" s="191"/>
      <c r="CF24" s="191"/>
      <c r="CG24" s="191"/>
      <c r="CH24" s="191"/>
      <c r="CI24" s="178" t="n">
        <f aca="false">SUM(CE24:CH24)</f>
        <v>0</v>
      </c>
      <c r="CJ24" s="191"/>
      <c r="CK24" s="191"/>
      <c r="CL24" s="191"/>
      <c r="CM24" s="191"/>
      <c r="CN24" s="178" t="n">
        <f aca="false">SUM(CJ24:CM24)</f>
        <v>0</v>
      </c>
      <c r="CO24" s="191" t="n">
        <f aca="false">+CN24+CI24+CD24+BY24+BT24+BO24+BJ24+BE24+AZ24+AU24+AP24+AK24</f>
        <v>0</v>
      </c>
      <c r="CP24" s="191"/>
      <c r="CQ24" s="192"/>
    </row>
    <row r="25" customFormat="false" ht="12.75" hidden="false" customHeight="false" outlineLevel="0" collapsed="false">
      <c r="A25" s="177" t="s">
        <v>192</v>
      </c>
      <c r="B25" s="177" t="s">
        <v>193</v>
      </c>
      <c r="C25" s="193"/>
      <c r="D25" s="180"/>
      <c r="E25" s="180"/>
      <c r="F25" s="181"/>
      <c r="G25" s="178"/>
      <c r="H25" s="181"/>
      <c r="I25" s="181"/>
      <c r="J25" s="193" t="n">
        <f aca="false">K25*J$8</f>
        <v>2232.45</v>
      </c>
      <c r="K25" s="193" t="n">
        <f aca="false">(13500+300-1500)/2*0.33*CMF</f>
        <v>2232.45</v>
      </c>
      <c r="L25" s="181" t="n">
        <f aca="false">+K25/K$11</f>
        <v>1.36291208791209</v>
      </c>
      <c r="M25" s="193" t="n">
        <f aca="false">N25*N$8</f>
        <v>165963.6</v>
      </c>
      <c r="N25" s="193" t="n">
        <f aca="false">(13500+300-1100)/2*0.33*CMF</f>
        <v>2305.05</v>
      </c>
      <c r="O25" s="181" t="n">
        <f aca="false">+N25/N$11</f>
        <v>2.26875</v>
      </c>
      <c r="P25" s="193" t="n">
        <f aca="false">Q25*Q$8</f>
        <v>152786.7</v>
      </c>
      <c r="Q25" s="193" t="n">
        <f aca="false">(13500+300)/2*0.33*CMF</f>
        <v>2504.7</v>
      </c>
      <c r="R25" s="181" t="n">
        <f aca="false">+Q25/Q$11</f>
        <v>2.06488046166529</v>
      </c>
      <c r="S25" s="194" t="n">
        <f aca="false">+P25+M25</f>
        <v>318750.3</v>
      </c>
      <c r="T25" s="195" t="n">
        <f aca="false">+S25/S$8</f>
        <v>2396.61879699248</v>
      </c>
      <c r="U25" s="181" t="n">
        <f aca="false">+S25/U$8</f>
        <v>2.16623262768018</v>
      </c>
      <c r="V25" s="185" t="n">
        <f aca="false">+S25/TotalCost</f>
        <v>0.025053021520723</v>
      </c>
      <c r="W25" s="186" t="n">
        <f aca="false">+$S25/TotalValue</f>
        <v>0.0205645361207082</v>
      </c>
      <c r="X25" s="187"/>
      <c r="Y25" s="188"/>
      <c r="Z25" s="186"/>
      <c r="AA25" s="186"/>
      <c r="AB25" s="196"/>
      <c r="AC25" s="126"/>
      <c r="AD25" s="186"/>
      <c r="AE25" s="127"/>
      <c r="AF25" s="203" t="s">
        <v>193</v>
      </c>
      <c r="AG25" s="178"/>
      <c r="AH25" s="178"/>
      <c r="AI25" s="178"/>
      <c r="AJ25" s="178"/>
      <c r="AK25" s="178" t="n">
        <f aca="false">SUM(AG25:AJ25)</f>
        <v>0</v>
      </c>
      <c r="AL25" s="178"/>
      <c r="AM25" s="178"/>
      <c r="AN25" s="178"/>
      <c r="AO25" s="178"/>
      <c r="AP25" s="178" t="n">
        <f aca="false">SUM(AL25:AO25)</f>
        <v>0</v>
      </c>
      <c r="AQ25" s="178"/>
      <c r="AR25" s="178" t="n">
        <f aca="false">$S25/8</f>
        <v>39843.7875</v>
      </c>
      <c r="AS25" s="191"/>
      <c r="AT25" s="191"/>
      <c r="AU25" s="178" t="n">
        <f aca="false">SUM(AQ25:AT25)</f>
        <v>39843.7875</v>
      </c>
      <c r="AV25" s="178" t="n">
        <f aca="false">$S25/8</f>
        <v>39843.7875</v>
      </c>
      <c r="AW25" s="191"/>
      <c r="AX25" s="191"/>
      <c r="AY25" s="178" t="n">
        <f aca="false">$S25/8</f>
        <v>39843.7875</v>
      </c>
      <c r="AZ25" s="178" t="n">
        <f aca="false">SUM(AV25:AY25)</f>
        <v>79687.575</v>
      </c>
      <c r="BA25" s="191"/>
      <c r="BB25" s="191"/>
      <c r="BC25" s="178" t="n">
        <f aca="false">$S25/8</f>
        <v>39843.7875</v>
      </c>
      <c r="BD25" s="191"/>
      <c r="BE25" s="178" t="n">
        <f aca="false">SUM(BA25:BD25)</f>
        <v>39843.7875</v>
      </c>
      <c r="BF25" s="191"/>
      <c r="BG25" s="178" t="n">
        <f aca="false">$S25/8</f>
        <v>39843.7875</v>
      </c>
      <c r="BH25" s="191"/>
      <c r="BI25" s="191"/>
      <c r="BJ25" s="178" t="n">
        <f aca="false">SUM(BF25:BI25)</f>
        <v>39843.7875</v>
      </c>
      <c r="BK25" s="178" t="n">
        <f aca="false">$S25/8</f>
        <v>39843.7875</v>
      </c>
      <c r="BL25" s="191"/>
      <c r="BM25" s="191"/>
      <c r="BN25" s="178" t="n">
        <f aca="false">$S25/8</f>
        <v>39843.7875</v>
      </c>
      <c r="BO25" s="178" t="n">
        <f aca="false">SUM(BK25:BN25)</f>
        <v>79687.575</v>
      </c>
      <c r="BP25" s="191"/>
      <c r="BQ25" s="191"/>
      <c r="BR25" s="178" t="n">
        <f aca="false">$S25/8</f>
        <v>39843.7875</v>
      </c>
      <c r="BS25" s="191"/>
      <c r="BT25" s="178" t="n">
        <f aca="false">SUM(BP25:BS25)</f>
        <v>39843.7875</v>
      </c>
      <c r="BU25" s="191"/>
      <c r="BV25" s="191"/>
      <c r="BW25" s="191"/>
      <c r="BX25" s="191"/>
      <c r="BY25" s="178" t="n">
        <f aca="false">SUM(BU25:BX25)</f>
        <v>0</v>
      </c>
      <c r="BZ25" s="191"/>
      <c r="CA25" s="191"/>
      <c r="CB25" s="191"/>
      <c r="CC25" s="191"/>
      <c r="CD25" s="178" t="n">
        <f aca="false">SUM(BZ25:CC25)</f>
        <v>0</v>
      </c>
      <c r="CE25" s="191"/>
      <c r="CF25" s="191"/>
      <c r="CG25" s="191"/>
      <c r="CH25" s="191"/>
      <c r="CI25" s="178" t="n">
        <f aca="false">SUM(CE25:CH25)</f>
        <v>0</v>
      </c>
      <c r="CJ25" s="191"/>
      <c r="CK25" s="191"/>
      <c r="CL25" s="191"/>
      <c r="CM25" s="191"/>
      <c r="CN25" s="178" t="n">
        <f aca="false">SUM(CJ25:CM25)</f>
        <v>0</v>
      </c>
      <c r="CO25" s="191" t="n">
        <f aca="false">+CN25+CI25+CD25+BY25+BT25+BO25+BJ25+BE25+AZ25+AU25+AP25+AK25</f>
        <v>318750.3</v>
      </c>
      <c r="CP25" s="191" t="n">
        <f aca="false">S25</f>
        <v>318750.3</v>
      </c>
      <c r="CQ25" s="192" t="n">
        <f aca="false">+CO25/CP25</f>
        <v>1</v>
      </c>
    </row>
    <row r="26" customFormat="false" ht="12.75" hidden="false" customHeight="false" outlineLevel="0" collapsed="false">
      <c r="A26" s="177" t="s">
        <v>194</v>
      </c>
      <c r="B26" s="177" t="s">
        <v>195</v>
      </c>
      <c r="C26" s="193"/>
      <c r="D26" s="180"/>
      <c r="E26" s="180"/>
      <c r="F26" s="181"/>
      <c r="G26" s="178"/>
      <c r="H26" s="181"/>
      <c r="I26" s="181"/>
      <c r="J26" s="193" t="n">
        <f aca="false">K26*J$8</f>
        <v>2232.45</v>
      </c>
      <c r="K26" s="193" t="n">
        <f aca="false">(13500+300-1500)/2*0.33*CMF</f>
        <v>2232.45</v>
      </c>
      <c r="L26" s="181" t="n">
        <f aca="false">+K26/K$11</f>
        <v>1.36291208791209</v>
      </c>
      <c r="M26" s="193" t="n">
        <f aca="false">N26*N$8</f>
        <v>165963.6</v>
      </c>
      <c r="N26" s="193" t="n">
        <f aca="false">(13500+300-1100)/2*0.33*CMF</f>
        <v>2305.05</v>
      </c>
      <c r="O26" s="181" t="n">
        <f aca="false">+N26/N$11</f>
        <v>2.26875</v>
      </c>
      <c r="P26" s="193" t="n">
        <f aca="false">Q26*Q$8</f>
        <v>152786.7</v>
      </c>
      <c r="Q26" s="193" t="n">
        <f aca="false">(13500+300)/2*0.33*CMF</f>
        <v>2504.7</v>
      </c>
      <c r="R26" s="181" t="n">
        <f aca="false">+Q26/Q$11</f>
        <v>2.06488046166529</v>
      </c>
      <c r="S26" s="194" t="n">
        <f aca="false">+P26+M26</f>
        <v>318750.3</v>
      </c>
      <c r="T26" s="195" t="n">
        <f aca="false">+S26/S$8</f>
        <v>2396.61879699248</v>
      </c>
      <c r="U26" s="181" t="n">
        <f aca="false">+S26/U$8</f>
        <v>2.16623262768018</v>
      </c>
      <c r="V26" s="185" t="n">
        <f aca="false">+S26/TotalCost</f>
        <v>0.025053021520723</v>
      </c>
      <c r="W26" s="186" t="n">
        <f aca="false">+$S26/TotalValue</f>
        <v>0.0205645361207082</v>
      </c>
      <c r="X26" s="187"/>
      <c r="Y26" s="188"/>
      <c r="Z26" s="186"/>
      <c r="AA26" s="186"/>
      <c r="AB26" s="196"/>
      <c r="AC26" s="126"/>
      <c r="AD26" s="186"/>
      <c r="AE26" s="127"/>
      <c r="AF26" s="203" t="s">
        <v>195</v>
      </c>
      <c r="AG26" s="178"/>
      <c r="AH26" s="178"/>
      <c r="AI26" s="178"/>
      <c r="AJ26" s="178"/>
      <c r="AK26" s="178" t="n">
        <f aca="false">SUM(AG26:AJ26)</f>
        <v>0</v>
      </c>
      <c r="AL26" s="178"/>
      <c r="AM26" s="178"/>
      <c r="AN26" s="178"/>
      <c r="AO26" s="178"/>
      <c r="AP26" s="178" t="n">
        <f aca="false">SUM(AL26:AO26)</f>
        <v>0</v>
      </c>
      <c r="AQ26" s="178"/>
      <c r="AR26" s="178"/>
      <c r="AS26" s="178"/>
      <c r="AT26" s="178"/>
      <c r="AU26" s="178" t="n">
        <f aca="false">SUM(AQ26:AT26)</f>
        <v>0</v>
      </c>
      <c r="AV26" s="178"/>
      <c r="AW26" s="178"/>
      <c r="AX26" s="178"/>
      <c r="AY26" s="178" t="n">
        <f aca="false">$S26/8</f>
        <v>39843.7875</v>
      </c>
      <c r="AZ26" s="178" t="n">
        <f aca="false">SUM(AV26:AY26)</f>
        <v>39843.7875</v>
      </c>
      <c r="BA26" s="178"/>
      <c r="BB26" s="178"/>
      <c r="BC26" s="178" t="n">
        <f aca="false">$S26/8</f>
        <v>39843.7875</v>
      </c>
      <c r="BD26" s="178"/>
      <c r="BE26" s="178" t="n">
        <f aca="false">SUM(BA26:BD26)</f>
        <v>39843.7875</v>
      </c>
      <c r="BF26" s="178"/>
      <c r="BG26" s="178" t="n">
        <f aca="false">$S26/8</f>
        <v>39843.7875</v>
      </c>
      <c r="BH26" s="178"/>
      <c r="BI26" s="178"/>
      <c r="BJ26" s="178" t="n">
        <f aca="false">SUM(BF26:BI26)</f>
        <v>39843.7875</v>
      </c>
      <c r="BK26" s="178" t="n">
        <f aca="false">$S26/8</f>
        <v>39843.7875</v>
      </c>
      <c r="BL26" s="178"/>
      <c r="BM26" s="178"/>
      <c r="BN26" s="178" t="n">
        <f aca="false">$S26/8</f>
        <v>39843.7875</v>
      </c>
      <c r="BO26" s="178" t="n">
        <f aca="false">SUM(BK26:BN26)</f>
        <v>79687.575</v>
      </c>
      <c r="BP26" s="178"/>
      <c r="BQ26" s="178"/>
      <c r="BR26" s="178" t="n">
        <f aca="false">$S26/8</f>
        <v>39843.7875</v>
      </c>
      <c r="BS26" s="178"/>
      <c r="BT26" s="178" t="n">
        <f aca="false">SUM(BP26:BS26)</f>
        <v>39843.7875</v>
      </c>
      <c r="BU26" s="178"/>
      <c r="BV26" s="178" t="n">
        <f aca="false">$S26/8</f>
        <v>39843.7875</v>
      </c>
      <c r="BW26" s="178"/>
      <c r="BX26" s="178"/>
      <c r="BY26" s="178" t="n">
        <f aca="false">SUM(BU26:BX26)</f>
        <v>39843.7875</v>
      </c>
      <c r="BZ26" s="178" t="n">
        <f aca="false">$S26/8</f>
        <v>39843.7875</v>
      </c>
      <c r="CA26" s="178"/>
      <c r="CB26" s="178"/>
      <c r="CC26" s="178"/>
      <c r="CD26" s="178" t="n">
        <f aca="false">SUM(BZ26:CC26)</f>
        <v>39843.7875</v>
      </c>
      <c r="CE26" s="178"/>
      <c r="CF26" s="178"/>
      <c r="CG26" s="178"/>
      <c r="CH26" s="178"/>
      <c r="CI26" s="178" t="n">
        <f aca="false">SUM(CE26:CH26)</f>
        <v>0</v>
      </c>
      <c r="CJ26" s="178"/>
      <c r="CK26" s="178"/>
      <c r="CL26" s="191"/>
      <c r="CM26" s="191"/>
      <c r="CN26" s="178" t="n">
        <f aca="false">SUM(CJ26:CM26)</f>
        <v>0</v>
      </c>
      <c r="CO26" s="191" t="n">
        <f aca="false">+CN26+CI26+CD26+BY26+BT26+BO26+BJ26+BE26+AZ26+AU26+AP26+AK26</f>
        <v>318750.3</v>
      </c>
      <c r="CP26" s="191" t="n">
        <f aca="false">S26</f>
        <v>318750.3</v>
      </c>
      <c r="CQ26" s="192" t="n">
        <f aca="false">+CO26/CP26</f>
        <v>1</v>
      </c>
    </row>
    <row r="27" customFormat="false" ht="12.75" hidden="false" customHeight="false" outlineLevel="0" collapsed="false">
      <c r="A27" s="177" t="s">
        <v>194</v>
      </c>
      <c r="B27" s="177" t="s">
        <v>196</v>
      </c>
      <c r="C27" s="193"/>
      <c r="D27" s="180"/>
      <c r="E27" s="180"/>
      <c r="F27" s="181"/>
      <c r="G27" s="178"/>
      <c r="H27" s="181"/>
      <c r="I27" s="181"/>
      <c r="J27" s="193" t="n">
        <f aca="false">K27*J$8</f>
        <v>2232.45</v>
      </c>
      <c r="K27" s="193" t="n">
        <f aca="false">(13500+300-1500)/2*0.33*CMF</f>
        <v>2232.45</v>
      </c>
      <c r="L27" s="181" t="n">
        <f aca="false">+K27/K$11</f>
        <v>1.36291208791209</v>
      </c>
      <c r="M27" s="193" t="n">
        <f aca="false">N27*N$8</f>
        <v>165963.6</v>
      </c>
      <c r="N27" s="193" t="n">
        <f aca="false">(13500+300-1100)/2*0.33*CMF</f>
        <v>2305.05</v>
      </c>
      <c r="O27" s="181" t="n">
        <f aca="false">+N27/N$11</f>
        <v>2.26875</v>
      </c>
      <c r="P27" s="193" t="n">
        <f aca="false">Q27*Q$8</f>
        <v>152786.7</v>
      </c>
      <c r="Q27" s="193" t="n">
        <f aca="false">(13500+300)/2*0.33*CMF</f>
        <v>2504.7</v>
      </c>
      <c r="R27" s="181" t="n">
        <f aca="false">+Q27/Q$11</f>
        <v>2.06488046166529</v>
      </c>
      <c r="S27" s="194" t="n">
        <f aca="false">+P27+M27</f>
        <v>318750.3</v>
      </c>
      <c r="T27" s="195" t="n">
        <f aca="false">+S27/S$8</f>
        <v>2396.61879699248</v>
      </c>
      <c r="U27" s="181" t="n">
        <f aca="false">+S27/U$8</f>
        <v>2.16623262768018</v>
      </c>
      <c r="V27" s="185" t="n">
        <f aca="false">+S27/TotalCost</f>
        <v>0.025053021520723</v>
      </c>
      <c r="W27" s="186" t="n">
        <f aca="false">+$S27/TotalValue</f>
        <v>0.0205645361207082</v>
      </c>
      <c r="X27" s="187"/>
      <c r="Y27" s="188"/>
      <c r="Z27" s="186"/>
      <c r="AA27" s="186"/>
      <c r="AB27" s="196"/>
      <c r="AC27" s="126"/>
      <c r="AD27" s="186"/>
      <c r="AE27" s="127"/>
      <c r="AF27" s="203" t="s">
        <v>196</v>
      </c>
      <c r="AG27" s="178"/>
      <c r="AH27" s="178"/>
      <c r="AI27" s="178"/>
      <c r="AJ27" s="178"/>
      <c r="AK27" s="178" t="n">
        <f aca="false">SUM(AG27:AJ27)</f>
        <v>0</v>
      </c>
      <c r="AL27" s="178"/>
      <c r="AM27" s="178"/>
      <c r="AN27" s="178"/>
      <c r="AO27" s="178"/>
      <c r="AP27" s="178" t="n">
        <f aca="false">SUM(AL27:AO27)</f>
        <v>0</v>
      </c>
      <c r="AQ27" s="178"/>
      <c r="AR27" s="178"/>
      <c r="AS27" s="178"/>
      <c r="AT27" s="178"/>
      <c r="AU27" s="178" t="n">
        <f aca="false">SUM(AQ27:AT27)</f>
        <v>0</v>
      </c>
      <c r="AV27" s="178"/>
      <c r="AW27" s="178"/>
      <c r="AX27" s="178"/>
      <c r="AY27" s="178"/>
      <c r="AZ27" s="178" t="n">
        <f aca="false">SUM(AV27:AY27)</f>
        <v>0</v>
      </c>
      <c r="BA27" s="178"/>
      <c r="BB27" s="178"/>
      <c r="BC27" s="178"/>
      <c r="BD27" s="178"/>
      <c r="BE27" s="178" t="n">
        <f aca="false">SUM(BA27:BD27)</f>
        <v>0</v>
      </c>
      <c r="BF27" s="177" t="n">
        <f aca="false">$S27/8</f>
        <v>39843.7875</v>
      </c>
      <c r="BG27" s="191"/>
      <c r="BH27" s="191"/>
      <c r="BI27" s="177" t="n">
        <f aca="false">$S27/8</f>
        <v>39843.7875</v>
      </c>
      <c r="BJ27" s="178" t="n">
        <f aca="false">SUM(BF27:BI27)</f>
        <v>79687.575</v>
      </c>
      <c r="BK27" s="191"/>
      <c r="BL27" s="191"/>
      <c r="BM27" s="177" t="n">
        <f aca="false">$S27/8</f>
        <v>39843.7875</v>
      </c>
      <c r="BN27" s="191"/>
      <c r="BO27" s="178" t="n">
        <f aca="false">SUM(BK27:BN27)</f>
        <v>39843.7875</v>
      </c>
      <c r="BP27" s="191"/>
      <c r="BQ27" s="177" t="n">
        <f aca="false">$S27/8</f>
        <v>39843.7875</v>
      </c>
      <c r="BR27" s="191"/>
      <c r="BS27" s="191"/>
      <c r="BT27" s="178" t="n">
        <f aca="false">SUM(BP27:BS27)</f>
        <v>39843.7875</v>
      </c>
      <c r="BU27" s="177" t="n">
        <f aca="false">$S27/8</f>
        <v>39843.7875</v>
      </c>
      <c r="BV27" s="191"/>
      <c r="BW27" s="191"/>
      <c r="BX27" s="177" t="n">
        <f aca="false">$S27/8</f>
        <v>39843.7875</v>
      </c>
      <c r="BY27" s="178" t="n">
        <f aca="false">SUM(BU27:BX27)</f>
        <v>79687.575</v>
      </c>
      <c r="BZ27" s="191"/>
      <c r="CA27" s="191"/>
      <c r="CB27" s="177" t="n">
        <f aca="false">$S27/8</f>
        <v>39843.7875</v>
      </c>
      <c r="CC27" s="191"/>
      <c r="CD27" s="178" t="n">
        <f aca="false">SUM(BZ27:CC27)</f>
        <v>39843.7875</v>
      </c>
      <c r="CE27" s="191"/>
      <c r="CF27" s="177" t="n">
        <f aca="false">$S27/8</f>
        <v>39843.7875</v>
      </c>
      <c r="CG27" s="178"/>
      <c r="CH27" s="178"/>
      <c r="CI27" s="178" t="n">
        <f aca="false">SUM(CE27:CH27)</f>
        <v>39843.7875</v>
      </c>
      <c r="CJ27" s="178"/>
      <c r="CK27" s="178"/>
      <c r="CL27" s="191"/>
      <c r="CM27" s="191"/>
      <c r="CN27" s="178" t="n">
        <f aca="false">SUM(CJ27:CM27)</f>
        <v>0</v>
      </c>
      <c r="CO27" s="191" t="n">
        <f aca="false">+CN27+CI27+CD27+BY27+BT27+BO27+BJ27+BE27+AZ27+AU27+AP27+AK27</f>
        <v>318750.3</v>
      </c>
      <c r="CP27" s="191" t="n">
        <f aca="false">S27</f>
        <v>318750.3</v>
      </c>
      <c r="CQ27" s="192" t="n">
        <f aca="false">+CO27/CP27</f>
        <v>1</v>
      </c>
    </row>
    <row r="28" customFormat="false" ht="12.75" hidden="false" customHeight="false" outlineLevel="0" collapsed="false">
      <c r="A28" s="177"/>
      <c r="B28" s="199" t="s">
        <v>197</v>
      </c>
      <c r="C28" s="198" t="n">
        <f aca="false">SUM(C29:C32)</f>
        <v>3.4</v>
      </c>
      <c r="D28" s="180" t="s">
        <v>167</v>
      </c>
      <c r="E28" s="180"/>
      <c r="F28" s="181" t="n">
        <f aca="false">E28/1376</f>
        <v>0</v>
      </c>
      <c r="G28" s="178"/>
      <c r="H28" s="181"/>
      <c r="I28" s="181"/>
      <c r="J28" s="193"/>
      <c r="K28" s="193"/>
      <c r="L28" s="181"/>
      <c r="M28" s="193"/>
      <c r="N28" s="193"/>
      <c r="O28" s="181"/>
      <c r="P28" s="193"/>
      <c r="Q28" s="193"/>
      <c r="R28" s="181"/>
      <c r="S28" s="194"/>
      <c r="T28" s="195"/>
      <c r="U28" s="181" t="n">
        <f aca="false">+S28/U$8</f>
        <v>0</v>
      </c>
      <c r="V28" s="186"/>
      <c r="W28" s="186"/>
      <c r="X28" s="187"/>
      <c r="Y28" s="188"/>
      <c r="Z28" s="186"/>
      <c r="AA28" s="186"/>
      <c r="AB28" s="196"/>
      <c r="AC28" s="126"/>
      <c r="AD28" s="186"/>
      <c r="AE28" s="127"/>
      <c r="AF28" s="200" t="s">
        <v>197</v>
      </c>
      <c r="AG28" s="178"/>
      <c r="AH28" s="178"/>
      <c r="AI28" s="178"/>
      <c r="AJ28" s="178"/>
      <c r="AK28" s="178" t="n">
        <f aca="false">SUM(AG28:AJ28)</f>
        <v>0</v>
      </c>
      <c r="AL28" s="178"/>
      <c r="AM28" s="191"/>
      <c r="AN28" s="191"/>
      <c r="AO28" s="191"/>
      <c r="AP28" s="178" t="n">
        <f aca="false">SUM(AL28:AO28)</f>
        <v>0</v>
      </c>
      <c r="AQ28" s="191"/>
      <c r="AR28" s="191"/>
      <c r="AS28" s="191"/>
      <c r="AT28" s="191"/>
      <c r="AU28" s="178" t="n">
        <f aca="false">SUM(AQ28:AT28)</f>
        <v>0</v>
      </c>
      <c r="AV28" s="191"/>
      <c r="AW28" s="191"/>
      <c r="AX28" s="191"/>
      <c r="AY28" s="191"/>
      <c r="AZ28" s="178" t="n">
        <f aca="false">SUM(AV28:AY28)</f>
        <v>0</v>
      </c>
      <c r="BA28" s="191"/>
      <c r="BB28" s="191"/>
      <c r="BC28" s="191"/>
      <c r="BD28" s="191"/>
      <c r="BE28" s="178" t="n">
        <f aca="false">SUM(BA28:BD28)</f>
        <v>0</v>
      </c>
      <c r="BF28" s="191"/>
      <c r="BG28" s="191"/>
      <c r="BH28" s="191"/>
      <c r="BI28" s="191"/>
      <c r="BJ28" s="178" t="n">
        <f aca="false">SUM(BF28:BI28)</f>
        <v>0</v>
      </c>
      <c r="BK28" s="191"/>
      <c r="BL28" s="191"/>
      <c r="BM28" s="191"/>
      <c r="BN28" s="191"/>
      <c r="BO28" s="178" t="n">
        <f aca="false">SUM(BK28:BN28)</f>
        <v>0</v>
      </c>
      <c r="BP28" s="191"/>
      <c r="BQ28" s="191"/>
      <c r="BR28" s="191"/>
      <c r="BS28" s="191"/>
      <c r="BT28" s="178" t="n">
        <f aca="false">SUM(BP28:BS28)</f>
        <v>0</v>
      </c>
      <c r="BU28" s="191"/>
      <c r="BV28" s="191"/>
      <c r="BW28" s="191"/>
      <c r="BX28" s="191"/>
      <c r="BY28" s="178" t="n">
        <f aca="false">SUM(BU28:BX28)</f>
        <v>0</v>
      </c>
      <c r="BZ28" s="191"/>
      <c r="CA28" s="191"/>
      <c r="CB28" s="191"/>
      <c r="CC28" s="191"/>
      <c r="CD28" s="178" t="n">
        <f aca="false">SUM(BZ28:CC28)</f>
        <v>0</v>
      </c>
      <c r="CE28" s="191"/>
      <c r="CF28" s="191"/>
      <c r="CG28" s="191"/>
      <c r="CH28" s="191"/>
      <c r="CI28" s="178" t="n">
        <f aca="false">SUM(CE28:CH28)</f>
        <v>0</v>
      </c>
      <c r="CJ28" s="191"/>
      <c r="CK28" s="191"/>
      <c r="CL28" s="191"/>
      <c r="CM28" s="191"/>
      <c r="CN28" s="178" t="n">
        <f aca="false">SUM(CJ28:CM28)</f>
        <v>0</v>
      </c>
      <c r="CO28" s="191" t="n">
        <f aca="false">+CN28+CI28+CD28+BY28+BT28+BO28+BJ28+BE28+AZ28+AU28+AP28+AK28</f>
        <v>0</v>
      </c>
      <c r="CP28" s="191"/>
      <c r="CQ28" s="192"/>
    </row>
    <row r="29" customFormat="false" ht="12.75" hidden="false" customHeight="false" outlineLevel="0" collapsed="false">
      <c r="A29" s="177" t="s">
        <v>198</v>
      </c>
      <c r="B29" s="177" t="s">
        <v>199</v>
      </c>
      <c r="C29" s="179" t="n">
        <v>0.88</v>
      </c>
      <c r="D29" s="180"/>
      <c r="E29" s="180"/>
      <c r="F29" s="181"/>
      <c r="G29" s="178"/>
      <c r="H29" s="181"/>
      <c r="I29" s="181"/>
      <c r="J29" s="193" t="n">
        <f aca="false">K29*J$8</f>
        <v>2151.864</v>
      </c>
      <c r="K29" s="193" t="n">
        <f aca="false">L$11*$C29*CMF</f>
        <v>2151.864</v>
      </c>
      <c r="L29" s="181" t="n">
        <f aca="false">+K29/K$11</f>
        <v>1.31371428571429</v>
      </c>
      <c r="M29" s="193" t="n">
        <f aca="false">N29*N$8</f>
        <v>70811.136</v>
      </c>
      <c r="N29" s="193" t="n">
        <f aca="false">O$11*$C29*CMF</f>
        <v>983.488</v>
      </c>
      <c r="O29" s="181" t="n">
        <f aca="false">+N29/N$11</f>
        <v>0.968</v>
      </c>
      <c r="P29" s="193" t="n">
        <f aca="false">Q29*Q$8</f>
        <v>88926.288</v>
      </c>
      <c r="Q29" s="193" t="n">
        <f aca="false">R$11*$C29*CMF</f>
        <v>1457.808</v>
      </c>
      <c r="R29" s="181" t="n">
        <f aca="false">+Q29/Q$11</f>
        <v>1.20182028029678</v>
      </c>
      <c r="S29" s="194" t="n">
        <f aca="false">+P29+M29</f>
        <v>159737.424</v>
      </c>
      <c r="T29" s="195" t="n">
        <f aca="false">+S29/S$8</f>
        <v>1201.03326315789</v>
      </c>
      <c r="U29" s="181" t="n">
        <f aca="false">+S29/U$8</f>
        <v>1.0855783342961</v>
      </c>
      <c r="V29" s="185" t="n">
        <f aca="false">+S29/TotalCost</f>
        <v>0.0125549846420124</v>
      </c>
      <c r="W29" s="186" t="n">
        <f aca="false">+$S29/TotalValue</f>
        <v>0.0103056405772069</v>
      </c>
      <c r="X29" s="187"/>
      <c r="Y29" s="188"/>
      <c r="Z29" s="204"/>
      <c r="AA29" s="205"/>
      <c r="AB29" s="196"/>
      <c r="AC29" s="126"/>
      <c r="AD29" s="205"/>
      <c r="AE29" s="127"/>
      <c r="AF29" s="203" t="s">
        <v>199</v>
      </c>
      <c r="AG29" s="178"/>
      <c r="AH29" s="178"/>
      <c r="AI29" s="178"/>
      <c r="AJ29" s="178"/>
      <c r="AK29" s="178" t="n">
        <f aca="false">SUM(AG29:AJ29)</f>
        <v>0</v>
      </c>
      <c r="AL29" s="178"/>
      <c r="AM29" s="178"/>
      <c r="AN29" s="178"/>
      <c r="AO29" s="178"/>
      <c r="AP29" s="178" t="n">
        <f aca="false">SUM(AL29:AO29)</f>
        <v>0</v>
      </c>
      <c r="AQ29" s="178"/>
      <c r="AR29" s="178"/>
      <c r="AS29" s="178" t="n">
        <f aca="false">$S29/8</f>
        <v>19967.178</v>
      </c>
      <c r="AT29" s="178"/>
      <c r="AU29" s="178" t="n">
        <f aca="false">SUM(AQ29:AT29)</f>
        <v>19967.178</v>
      </c>
      <c r="AV29" s="191"/>
      <c r="AW29" s="178" t="n">
        <f aca="false">$S29/8</f>
        <v>19967.178</v>
      </c>
      <c r="AX29" s="191"/>
      <c r="AY29" s="191"/>
      <c r="AZ29" s="178" t="n">
        <f aca="false">SUM(AV29:AY29)</f>
        <v>19967.178</v>
      </c>
      <c r="BA29" s="178" t="n">
        <f aca="false">$S29/8</f>
        <v>19967.178</v>
      </c>
      <c r="BB29" s="191"/>
      <c r="BC29" s="191"/>
      <c r="BD29" s="178" t="n">
        <f aca="false">$S29/8</f>
        <v>19967.178</v>
      </c>
      <c r="BE29" s="178" t="n">
        <f aca="false">SUM(BA29:BD29)</f>
        <v>39934.356</v>
      </c>
      <c r="BF29" s="191"/>
      <c r="BG29" s="191"/>
      <c r="BH29" s="178" t="n">
        <f aca="false">$S29/8</f>
        <v>19967.178</v>
      </c>
      <c r="BI29" s="191"/>
      <c r="BJ29" s="178" t="n">
        <f aca="false">SUM(BF29:BI29)</f>
        <v>19967.178</v>
      </c>
      <c r="BK29" s="191"/>
      <c r="BL29" s="178" t="n">
        <f aca="false">$S29/8</f>
        <v>19967.178</v>
      </c>
      <c r="BM29" s="191"/>
      <c r="BN29" s="191"/>
      <c r="BO29" s="178" t="n">
        <f aca="false">SUM(BK29:BN29)</f>
        <v>19967.178</v>
      </c>
      <c r="BP29" s="178" t="n">
        <f aca="false">$S29/8</f>
        <v>19967.178</v>
      </c>
      <c r="BQ29" s="191"/>
      <c r="BR29" s="191"/>
      <c r="BS29" s="178" t="n">
        <f aca="false">$S29/8</f>
        <v>19967.178</v>
      </c>
      <c r="BT29" s="178" t="n">
        <f aca="false">SUM(BP29:BS29)</f>
        <v>39934.356</v>
      </c>
      <c r="BU29" s="191"/>
      <c r="BV29" s="191"/>
      <c r="BW29" s="191"/>
      <c r="BX29" s="191"/>
      <c r="BY29" s="178" t="n">
        <f aca="false">SUM(BU29:BX29)</f>
        <v>0</v>
      </c>
      <c r="BZ29" s="191"/>
      <c r="CA29" s="191"/>
      <c r="CB29" s="191"/>
      <c r="CC29" s="191"/>
      <c r="CD29" s="178" t="n">
        <f aca="false">SUM(BZ29:CC29)</f>
        <v>0</v>
      </c>
      <c r="CE29" s="191"/>
      <c r="CF29" s="191"/>
      <c r="CG29" s="191"/>
      <c r="CH29" s="191"/>
      <c r="CI29" s="178" t="n">
        <f aca="false">SUM(CE29:CH29)</f>
        <v>0</v>
      </c>
      <c r="CJ29" s="191"/>
      <c r="CK29" s="191"/>
      <c r="CL29" s="191"/>
      <c r="CM29" s="191"/>
      <c r="CN29" s="178" t="n">
        <f aca="false">SUM(CJ29:CM29)</f>
        <v>0</v>
      </c>
      <c r="CO29" s="191" t="n">
        <f aca="false">+CN29+CI29+CD29+BY29+BT29+BO29+BJ29+BE29+AZ29+AU29+AP29+AK29</f>
        <v>159737.424</v>
      </c>
      <c r="CP29" s="191" t="n">
        <f aca="false">S29</f>
        <v>159737.424</v>
      </c>
      <c r="CQ29" s="192" t="n">
        <f aca="false">+CO29/CP29</f>
        <v>1</v>
      </c>
    </row>
    <row r="30" customFormat="false" ht="12.75" hidden="false" customHeight="false" outlineLevel="0" collapsed="false">
      <c r="A30" s="177" t="s">
        <v>198</v>
      </c>
      <c r="B30" s="177" t="s">
        <v>200</v>
      </c>
      <c r="C30" s="179" t="n">
        <v>0.88</v>
      </c>
      <c r="D30" s="180"/>
      <c r="E30" s="180"/>
      <c r="F30" s="181"/>
      <c r="G30" s="178"/>
      <c r="H30" s="181"/>
      <c r="I30" s="181"/>
      <c r="J30" s="193" t="n">
        <f aca="false">K30*J$8</f>
        <v>2151.864</v>
      </c>
      <c r="K30" s="193" t="n">
        <f aca="false">L$11*$C30*CMF</f>
        <v>2151.864</v>
      </c>
      <c r="L30" s="181" t="n">
        <f aca="false">+K30/K$11</f>
        <v>1.31371428571429</v>
      </c>
      <c r="M30" s="193" t="n">
        <f aca="false">N30*N$8</f>
        <v>70811.136</v>
      </c>
      <c r="N30" s="193" t="n">
        <f aca="false">O$11*$C30*CMF</f>
        <v>983.488</v>
      </c>
      <c r="O30" s="181" t="n">
        <f aca="false">+N30/N$11</f>
        <v>0.968</v>
      </c>
      <c r="P30" s="193" t="n">
        <f aca="false">Q30*Q$8</f>
        <v>88926.288</v>
      </c>
      <c r="Q30" s="193" t="n">
        <f aca="false">R$11*$C30*CMF</f>
        <v>1457.808</v>
      </c>
      <c r="R30" s="181" t="n">
        <f aca="false">+Q30/Q$11</f>
        <v>1.20182028029678</v>
      </c>
      <c r="S30" s="194" t="n">
        <f aca="false">+P30+M30</f>
        <v>159737.424</v>
      </c>
      <c r="T30" s="195" t="n">
        <f aca="false">+S30/S$8</f>
        <v>1201.03326315789</v>
      </c>
      <c r="U30" s="181" t="n">
        <f aca="false">+S30/U$8</f>
        <v>1.0855783342961</v>
      </c>
      <c r="V30" s="185" t="n">
        <f aca="false">+S30/TotalCost</f>
        <v>0.0125549846420124</v>
      </c>
      <c r="W30" s="186" t="n">
        <f aca="false">+$S30/TotalValue</f>
        <v>0.0103056405772069</v>
      </c>
      <c r="X30" s="187"/>
      <c r="Y30" s="188"/>
      <c r="Z30" s="204"/>
      <c r="AA30" s="146"/>
      <c r="AB30" s="196"/>
      <c r="AC30" s="126"/>
      <c r="AD30" s="205"/>
      <c r="AE30" s="127"/>
      <c r="AF30" s="203" t="s">
        <v>200</v>
      </c>
      <c r="AG30" s="178"/>
      <c r="AH30" s="178"/>
      <c r="AI30" s="178"/>
      <c r="AJ30" s="178"/>
      <c r="AK30" s="178" t="n">
        <f aca="false">SUM(AG30:AJ30)</f>
        <v>0</v>
      </c>
      <c r="AL30" s="178"/>
      <c r="AM30" s="178"/>
      <c r="AN30" s="178"/>
      <c r="AO30" s="178"/>
      <c r="AP30" s="178" t="n">
        <f aca="false">SUM(AL30:AO30)</f>
        <v>0</v>
      </c>
      <c r="AQ30" s="178"/>
      <c r="AR30" s="178"/>
      <c r="AS30" s="191"/>
      <c r="AT30" s="178" t="n">
        <f aca="false">$S30/8</f>
        <v>19967.178</v>
      </c>
      <c r="AU30" s="178" t="n">
        <f aca="false">SUM(AQ30:AT30)</f>
        <v>19967.178</v>
      </c>
      <c r="AV30" s="191"/>
      <c r="AW30" s="191"/>
      <c r="AX30" s="178" t="n">
        <f aca="false">$S30/8</f>
        <v>19967.178</v>
      </c>
      <c r="AY30" s="191"/>
      <c r="AZ30" s="178" t="n">
        <f aca="false">SUM(AV30:AY30)</f>
        <v>19967.178</v>
      </c>
      <c r="BA30" s="191"/>
      <c r="BB30" s="178" t="n">
        <f aca="false">$S30/8</f>
        <v>19967.178</v>
      </c>
      <c r="BC30" s="191"/>
      <c r="BD30" s="191"/>
      <c r="BE30" s="178" t="n">
        <f aca="false">SUM(BA30:BD30)</f>
        <v>19967.178</v>
      </c>
      <c r="BF30" s="178" t="n">
        <f aca="false">$S30/8</f>
        <v>19967.178</v>
      </c>
      <c r="BG30" s="191"/>
      <c r="BH30" s="191"/>
      <c r="BI30" s="178" t="n">
        <f aca="false">$S30/8</f>
        <v>19967.178</v>
      </c>
      <c r="BJ30" s="178" t="n">
        <f aca="false">SUM(BF30:BI30)</f>
        <v>39934.356</v>
      </c>
      <c r="BK30" s="191"/>
      <c r="BL30" s="191"/>
      <c r="BM30" s="178" t="n">
        <f aca="false">$S30/8</f>
        <v>19967.178</v>
      </c>
      <c r="BN30" s="191"/>
      <c r="BO30" s="178" t="n">
        <f aca="false">SUM(BK30:BN30)</f>
        <v>19967.178</v>
      </c>
      <c r="BP30" s="191"/>
      <c r="BQ30" s="178" t="n">
        <f aca="false">$S30/8</f>
        <v>19967.178</v>
      </c>
      <c r="BR30" s="191"/>
      <c r="BS30" s="191"/>
      <c r="BT30" s="178" t="n">
        <f aca="false">SUM(BP30:BS30)</f>
        <v>19967.178</v>
      </c>
      <c r="BU30" s="178" t="n">
        <f aca="false">$S30/8</f>
        <v>19967.178</v>
      </c>
      <c r="BV30" s="191"/>
      <c r="BW30" s="191"/>
      <c r="BX30" s="191"/>
      <c r="BY30" s="178" t="n">
        <f aca="false">SUM(BU30:BX30)</f>
        <v>19967.178</v>
      </c>
      <c r="BZ30" s="191"/>
      <c r="CA30" s="191"/>
      <c r="CB30" s="191"/>
      <c r="CC30" s="191"/>
      <c r="CD30" s="178" t="n">
        <f aca="false">SUM(BZ30:CC30)</f>
        <v>0</v>
      </c>
      <c r="CE30" s="191"/>
      <c r="CF30" s="191"/>
      <c r="CG30" s="191"/>
      <c r="CH30" s="191"/>
      <c r="CI30" s="178" t="n">
        <f aca="false">SUM(CE30:CH30)</f>
        <v>0</v>
      </c>
      <c r="CJ30" s="191"/>
      <c r="CK30" s="191"/>
      <c r="CL30" s="191"/>
      <c r="CM30" s="191"/>
      <c r="CN30" s="178" t="n">
        <f aca="false">SUM(CJ30:CM30)</f>
        <v>0</v>
      </c>
      <c r="CO30" s="191" t="n">
        <f aca="false">+CN30+CI30+CD30+BY30+BT30+BO30+BJ30+BE30+AZ30+AU30+AP30+AK30</f>
        <v>159737.424</v>
      </c>
      <c r="CP30" s="191" t="n">
        <f aca="false">S30</f>
        <v>159737.424</v>
      </c>
      <c r="CQ30" s="192" t="n">
        <f aca="false">+CO30/CP30</f>
        <v>1</v>
      </c>
    </row>
    <row r="31" customFormat="false" ht="12.75" hidden="false" customHeight="false" outlineLevel="0" collapsed="false">
      <c r="A31" s="177" t="s">
        <v>198</v>
      </c>
      <c r="B31" s="177" t="s">
        <v>201</v>
      </c>
      <c r="C31" s="179" t="n">
        <v>0.35</v>
      </c>
      <c r="D31" s="180"/>
      <c r="E31" s="180"/>
      <c r="F31" s="181"/>
      <c r="G31" s="178"/>
      <c r="H31" s="181"/>
      <c r="I31" s="181"/>
      <c r="J31" s="193" t="n">
        <f aca="false">K31*J$8</f>
        <v>855.855</v>
      </c>
      <c r="K31" s="193" t="n">
        <f aca="false">L$11*$C31*CMF</f>
        <v>855.855</v>
      </c>
      <c r="L31" s="181" t="n">
        <f aca="false">+K31/K$11</f>
        <v>0.5225</v>
      </c>
      <c r="M31" s="193" t="n">
        <f aca="false">N31*N$8</f>
        <v>28163.52</v>
      </c>
      <c r="N31" s="193" t="n">
        <f aca="false">O$11*$C31*CMF</f>
        <v>391.16</v>
      </c>
      <c r="O31" s="181" t="n">
        <f aca="false">+N31/N$11</f>
        <v>0.385</v>
      </c>
      <c r="P31" s="193" t="n">
        <f aca="false">Q31*Q$8</f>
        <v>35368.41</v>
      </c>
      <c r="Q31" s="193" t="n">
        <f aca="false">R$11*$C31*CMF</f>
        <v>579.81</v>
      </c>
      <c r="R31" s="181" t="n">
        <f aca="false">+Q31/Q$11</f>
        <v>0.477996702390767</v>
      </c>
      <c r="S31" s="194" t="n">
        <f aca="false">+P31+M31</f>
        <v>63531.93</v>
      </c>
      <c r="T31" s="195" t="n">
        <f aca="false">+S31/S$8</f>
        <v>477.683684210526</v>
      </c>
      <c r="U31" s="181" t="n">
        <f aca="false">+S31/U$8</f>
        <v>0.431764110231404</v>
      </c>
      <c r="V31" s="185" t="n">
        <f aca="false">+S31/TotalCost</f>
        <v>0.0049934598008004</v>
      </c>
      <c r="W31" s="186" t="n">
        <f aca="false">+$S31/TotalValue</f>
        <v>0.00409883432048003</v>
      </c>
      <c r="X31" s="187"/>
      <c r="Y31" s="188"/>
      <c r="Z31" s="206"/>
      <c r="AA31" s="206"/>
      <c r="AB31" s="196"/>
      <c r="AC31" s="126"/>
      <c r="AD31" s="146"/>
      <c r="AE31" s="127"/>
      <c r="AF31" s="203" t="s">
        <v>201</v>
      </c>
      <c r="AG31" s="178"/>
      <c r="AH31" s="178"/>
      <c r="AI31" s="178"/>
      <c r="AJ31" s="178"/>
      <c r="AK31" s="178" t="n">
        <f aca="false">SUM(AG31:AJ31)</f>
        <v>0</v>
      </c>
      <c r="AL31" s="178"/>
      <c r="AM31" s="178"/>
      <c r="AN31" s="178"/>
      <c r="AO31" s="178"/>
      <c r="AP31" s="178" t="n">
        <f aca="false">SUM(AL31:AO31)</f>
        <v>0</v>
      </c>
      <c r="AQ31" s="178"/>
      <c r="AR31" s="178"/>
      <c r="AS31" s="178"/>
      <c r="AT31" s="191"/>
      <c r="AU31" s="178" t="n">
        <f aca="false">SUM(AQ31:AT31)</f>
        <v>0</v>
      </c>
      <c r="AV31" s="178" t="n">
        <f aca="false">$S31/8</f>
        <v>7941.49125</v>
      </c>
      <c r="AW31" s="191"/>
      <c r="AX31" s="191"/>
      <c r="AY31" s="178" t="n">
        <f aca="false">$S31/8</f>
        <v>7941.49125</v>
      </c>
      <c r="AZ31" s="178" t="n">
        <f aca="false">SUM(AV31:AY31)</f>
        <v>15882.9825</v>
      </c>
      <c r="BA31" s="191"/>
      <c r="BB31" s="191"/>
      <c r="BC31" s="178" t="n">
        <f aca="false">$S31/8</f>
        <v>7941.49125</v>
      </c>
      <c r="BD31" s="191"/>
      <c r="BE31" s="178" t="n">
        <f aca="false">SUM(BA31:BD31)</f>
        <v>7941.49125</v>
      </c>
      <c r="BF31" s="191"/>
      <c r="BG31" s="178" t="n">
        <f aca="false">$S31/8</f>
        <v>7941.49125</v>
      </c>
      <c r="BH31" s="191"/>
      <c r="BI31" s="191"/>
      <c r="BJ31" s="178" t="n">
        <f aca="false">SUM(BF31:BI31)</f>
        <v>7941.49125</v>
      </c>
      <c r="BK31" s="178" t="n">
        <f aca="false">$S31/8</f>
        <v>7941.49125</v>
      </c>
      <c r="BL31" s="191"/>
      <c r="BM31" s="191"/>
      <c r="BN31" s="178" t="n">
        <f aca="false">$S31/8</f>
        <v>7941.49125</v>
      </c>
      <c r="BO31" s="178" t="n">
        <f aca="false">SUM(BK31:BN31)</f>
        <v>15882.9825</v>
      </c>
      <c r="BP31" s="191"/>
      <c r="BQ31" s="191"/>
      <c r="BR31" s="178" t="n">
        <f aca="false">$S31/8</f>
        <v>7941.49125</v>
      </c>
      <c r="BS31" s="191"/>
      <c r="BT31" s="178" t="n">
        <f aca="false">SUM(BP31:BS31)</f>
        <v>7941.49125</v>
      </c>
      <c r="BU31" s="191"/>
      <c r="BV31" s="178" t="n">
        <f aca="false">$S31/8</f>
        <v>7941.49125</v>
      </c>
      <c r="BW31" s="191"/>
      <c r="BX31" s="191"/>
      <c r="BY31" s="178" t="n">
        <f aca="false">SUM(BU31:BX31)</f>
        <v>7941.49125</v>
      </c>
      <c r="BZ31" s="191"/>
      <c r="CA31" s="191"/>
      <c r="CB31" s="191"/>
      <c r="CC31" s="191"/>
      <c r="CD31" s="178" t="n">
        <f aca="false">SUM(BZ31:CC31)</f>
        <v>0</v>
      </c>
      <c r="CE31" s="191"/>
      <c r="CF31" s="191"/>
      <c r="CG31" s="191"/>
      <c r="CH31" s="191"/>
      <c r="CI31" s="178" t="n">
        <f aca="false">SUM(CE31:CH31)</f>
        <v>0</v>
      </c>
      <c r="CJ31" s="191"/>
      <c r="CK31" s="191"/>
      <c r="CL31" s="191"/>
      <c r="CM31" s="191"/>
      <c r="CN31" s="178" t="n">
        <f aca="false">SUM(CJ31:CM31)</f>
        <v>0</v>
      </c>
      <c r="CO31" s="191" t="n">
        <f aca="false">+CN31+CI31+CD31+BY31+BT31+BO31+BJ31+BE31+AZ31+AU31+AP31+AK31</f>
        <v>63531.93</v>
      </c>
      <c r="CP31" s="191" t="n">
        <f aca="false">S31</f>
        <v>63531.93</v>
      </c>
      <c r="CQ31" s="192" t="n">
        <f aca="false">+CO31/CP31</f>
        <v>1</v>
      </c>
    </row>
    <row r="32" customFormat="false" ht="12.75" hidden="false" customHeight="false" outlineLevel="0" collapsed="false">
      <c r="A32" s="177" t="s">
        <v>202</v>
      </c>
      <c r="B32" s="177" t="s">
        <v>203</v>
      </c>
      <c r="C32" s="179" t="n">
        <v>1.29</v>
      </c>
      <c r="D32" s="180"/>
      <c r="E32" s="180"/>
      <c r="F32" s="181"/>
      <c r="G32" s="178"/>
      <c r="H32" s="181"/>
      <c r="I32" s="181"/>
      <c r="J32" s="193" t="n">
        <f aca="false">K32*J$8</f>
        <v>2113.47279</v>
      </c>
      <c r="K32" s="193" t="n">
        <f aca="false">L$11*$C32*CMF*0.67</f>
        <v>2113.47279</v>
      </c>
      <c r="L32" s="181" t="n">
        <f aca="false">+K32/K$11</f>
        <v>1.29027642857143</v>
      </c>
      <c r="M32" s="193" t="n">
        <f aca="false">N32*N$8</f>
        <v>69547.80096</v>
      </c>
      <c r="N32" s="193" t="n">
        <f aca="false">O$11*$C32*CMF*0.67</f>
        <v>965.94168</v>
      </c>
      <c r="O32" s="181" t="n">
        <f aca="false">+N32/N$11</f>
        <v>0.95073</v>
      </c>
      <c r="P32" s="193" t="n">
        <f aca="false">Q32*Q$8</f>
        <v>87339.76218</v>
      </c>
      <c r="Q32" s="193" t="n">
        <f aca="false">R$11*$C32*CMF*0.67</f>
        <v>1431.79938</v>
      </c>
      <c r="R32" s="181" t="n">
        <f aca="false">+Q32/Q$11</f>
        <v>1.1803787139324</v>
      </c>
      <c r="S32" s="194" t="n">
        <f aca="false">+P32+M32</f>
        <v>156887.56314</v>
      </c>
      <c r="T32" s="195" t="n">
        <f aca="false">+S32/S$8</f>
        <v>1179.60573789474</v>
      </c>
      <c r="U32" s="181" t="n">
        <f aca="false">+S32/U$8</f>
        <v>1.06621062992287</v>
      </c>
      <c r="V32" s="185" t="n">
        <f aca="false">+S32/TotalCost</f>
        <v>0.0123309923023765</v>
      </c>
      <c r="W32" s="186" t="n">
        <f aca="false">+$S32/TotalValue</f>
        <v>0.0101217785805454</v>
      </c>
      <c r="X32" s="187"/>
      <c r="Y32" s="188"/>
      <c r="Z32" s="206"/>
      <c r="AA32" s="146"/>
      <c r="AB32" s="196"/>
      <c r="AC32" s="126"/>
      <c r="AD32" s="146"/>
      <c r="AE32" s="127"/>
      <c r="AF32" s="203" t="s">
        <v>203</v>
      </c>
      <c r="AG32" s="178"/>
      <c r="AH32" s="178"/>
      <c r="AI32" s="178"/>
      <c r="AJ32" s="178"/>
      <c r="AK32" s="178" t="n">
        <f aca="false">SUM(AG32:AJ32)</f>
        <v>0</v>
      </c>
      <c r="AL32" s="178"/>
      <c r="AM32" s="178"/>
      <c r="AN32" s="178"/>
      <c r="AO32" s="178"/>
      <c r="AP32" s="178" t="n">
        <f aca="false">SUM(AL32:AO32)</f>
        <v>0</v>
      </c>
      <c r="AQ32" s="178"/>
      <c r="AR32" s="178"/>
      <c r="AS32" s="178"/>
      <c r="AT32" s="191"/>
      <c r="AU32" s="178" t="n">
        <f aca="false">SUM(AQ32:AT32)</f>
        <v>0</v>
      </c>
      <c r="AV32" s="178" t="n">
        <f aca="false">$S32/8</f>
        <v>19610.9453925</v>
      </c>
      <c r="AW32" s="191"/>
      <c r="AX32" s="191"/>
      <c r="AY32" s="178" t="n">
        <f aca="false">$S32/8</f>
        <v>19610.9453925</v>
      </c>
      <c r="AZ32" s="178" t="n">
        <f aca="false">SUM(AV32:AY32)</f>
        <v>39221.890785</v>
      </c>
      <c r="BA32" s="191"/>
      <c r="BB32" s="191"/>
      <c r="BC32" s="178" t="n">
        <f aca="false">$S32/8</f>
        <v>19610.9453925</v>
      </c>
      <c r="BD32" s="191"/>
      <c r="BE32" s="178" t="n">
        <f aca="false">SUM(BA32:BD32)</f>
        <v>19610.9453925</v>
      </c>
      <c r="BF32" s="191"/>
      <c r="BG32" s="178" t="n">
        <f aca="false">$S32/8</f>
        <v>19610.9453925</v>
      </c>
      <c r="BH32" s="191"/>
      <c r="BI32" s="191"/>
      <c r="BJ32" s="178" t="n">
        <f aca="false">SUM(BF32:BI32)</f>
        <v>19610.9453925</v>
      </c>
      <c r="BK32" s="178" t="n">
        <f aca="false">$S32/8</f>
        <v>19610.9453925</v>
      </c>
      <c r="BL32" s="191"/>
      <c r="BM32" s="191"/>
      <c r="BN32" s="178" t="n">
        <f aca="false">$S32/8</f>
        <v>19610.9453925</v>
      </c>
      <c r="BO32" s="178" t="n">
        <f aca="false">SUM(BK32:BN32)</f>
        <v>39221.890785</v>
      </c>
      <c r="BP32" s="191"/>
      <c r="BQ32" s="191"/>
      <c r="BR32" s="178" t="n">
        <f aca="false">$S32/8</f>
        <v>19610.9453925</v>
      </c>
      <c r="BS32" s="191"/>
      <c r="BT32" s="178" t="n">
        <f aca="false">SUM(BP32:BS32)</f>
        <v>19610.9453925</v>
      </c>
      <c r="BU32" s="191"/>
      <c r="BV32" s="178" t="n">
        <f aca="false">$S32/8</f>
        <v>19610.9453925</v>
      </c>
      <c r="BW32" s="191"/>
      <c r="BX32" s="191"/>
      <c r="BY32" s="178" t="n">
        <f aca="false">SUM(BU32:BX32)</f>
        <v>19610.9453925</v>
      </c>
      <c r="BZ32" s="191"/>
      <c r="CA32" s="191"/>
      <c r="CB32" s="191"/>
      <c r="CC32" s="191"/>
      <c r="CD32" s="178" t="n">
        <f aca="false">SUM(BZ32:CC32)</f>
        <v>0</v>
      </c>
      <c r="CE32" s="191"/>
      <c r="CF32" s="191"/>
      <c r="CG32" s="191"/>
      <c r="CH32" s="191"/>
      <c r="CI32" s="178" t="n">
        <f aca="false">SUM(CE32:CH32)</f>
        <v>0</v>
      </c>
      <c r="CJ32" s="191"/>
      <c r="CK32" s="191"/>
      <c r="CL32" s="191"/>
      <c r="CM32" s="191"/>
      <c r="CN32" s="178" t="n">
        <f aca="false">SUM(CJ32:CM32)</f>
        <v>0</v>
      </c>
      <c r="CO32" s="191" t="n">
        <f aca="false">+CN32+CI32+CD32+BY32+BT32+BO32+BJ32+BE32+AZ32+AU32+AP32+AK32</f>
        <v>156887.56314</v>
      </c>
      <c r="CP32" s="191" t="n">
        <f aca="false">S32</f>
        <v>156887.56314</v>
      </c>
      <c r="CQ32" s="192" t="n">
        <f aca="false">+CO32/CP32</f>
        <v>1</v>
      </c>
    </row>
    <row r="33" customFormat="false" ht="12.75" hidden="false" customHeight="false" outlineLevel="0" collapsed="false">
      <c r="A33" s="177"/>
      <c r="B33" s="199" t="s">
        <v>204</v>
      </c>
      <c r="C33" s="198"/>
      <c r="D33" s="180"/>
      <c r="E33" s="180"/>
      <c r="F33" s="181"/>
      <c r="G33" s="178"/>
      <c r="H33" s="181"/>
      <c r="I33" s="181"/>
      <c r="J33" s="193"/>
      <c r="K33" s="207"/>
      <c r="L33" s="181"/>
      <c r="M33" s="193"/>
      <c r="N33" s="193"/>
      <c r="O33" s="181"/>
      <c r="P33" s="193" t="n">
        <f aca="false">Q33*Q$8</f>
        <v>0</v>
      </c>
      <c r="Q33" s="186"/>
      <c r="R33" s="181" t="n">
        <f aca="false">+Q33/Q$11</f>
        <v>0</v>
      </c>
      <c r="S33" s="195"/>
      <c r="T33" s="195"/>
      <c r="U33" s="181"/>
      <c r="V33" s="186"/>
      <c r="W33" s="186"/>
      <c r="X33" s="187"/>
      <c r="Y33" s="188"/>
      <c r="Z33" s="186"/>
      <c r="AA33" s="186"/>
      <c r="AB33" s="196"/>
      <c r="AC33" s="126"/>
      <c r="AD33" s="186"/>
      <c r="AE33" s="127"/>
      <c r="AF33" s="200" t="s">
        <v>204</v>
      </c>
      <c r="AG33" s="178"/>
      <c r="AH33" s="178"/>
      <c r="AI33" s="178"/>
      <c r="AJ33" s="178"/>
      <c r="AK33" s="178" t="n">
        <f aca="false">SUM(AG33:AJ33)</f>
        <v>0</v>
      </c>
      <c r="AL33" s="178"/>
      <c r="AM33" s="191"/>
      <c r="AN33" s="191"/>
      <c r="AO33" s="191"/>
      <c r="AP33" s="178" t="n">
        <f aca="false">SUM(AL33:AO33)</f>
        <v>0</v>
      </c>
      <c r="AQ33" s="191"/>
      <c r="AR33" s="191"/>
      <c r="AS33" s="191"/>
      <c r="AT33" s="191"/>
      <c r="AU33" s="178" t="n">
        <f aca="false">SUM(AQ33:AT33)</f>
        <v>0</v>
      </c>
      <c r="AV33" s="191"/>
      <c r="AW33" s="191"/>
      <c r="AX33" s="191"/>
      <c r="AY33" s="191"/>
      <c r="AZ33" s="178" t="n">
        <f aca="false">SUM(AV33:AY33)</f>
        <v>0</v>
      </c>
      <c r="BA33" s="191"/>
      <c r="BB33" s="191"/>
      <c r="BC33" s="191"/>
      <c r="BD33" s="191"/>
      <c r="BE33" s="178" t="n">
        <f aca="false">SUM(BA33:BD33)</f>
        <v>0</v>
      </c>
      <c r="BF33" s="191"/>
      <c r="BG33" s="191"/>
      <c r="BH33" s="191"/>
      <c r="BI33" s="191"/>
      <c r="BJ33" s="178" t="n">
        <f aca="false">SUM(BF33:BI33)</f>
        <v>0</v>
      </c>
      <c r="BK33" s="191"/>
      <c r="BL33" s="191"/>
      <c r="BM33" s="191"/>
      <c r="BN33" s="191"/>
      <c r="BO33" s="178" t="n">
        <f aca="false">SUM(BK33:BN33)</f>
        <v>0</v>
      </c>
      <c r="BP33" s="191"/>
      <c r="BQ33" s="191"/>
      <c r="BR33" s="191"/>
      <c r="BS33" s="191"/>
      <c r="BT33" s="178" t="n">
        <f aca="false">SUM(BP33:BS33)</f>
        <v>0</v>
      </c>
      <c r="BU33" s="191"/>
      <c r="BV33" s="191"/>
      <c r="BW33" s="191"/>
      <c r="BX33" s="191"/>
      <c r="BY33" s="178" t="n">
        <f aca="false">SUM(BU33:BX33)</f>
        <v>0</v>
      </c>
      <c r="BZ33" s="191"/>
      <c r="CA33" s="191"/>
      <c r="CB33" s="191"/>
      <c r="CC33" s="191"/>
      <c r="CD33" s="178" t="n">
        <f aca="false">SUM(BZ33:CC33)</f>
        <v>0</v>
      </c>
      <c r="CE33" s="191"/>
      <c r="CF33" s="191"/>
      <c r="CG33" s="191"/>
      <c r="CH33" s="191"/>
      <c r="CI33" s="178" t="n">
        <f aca="false">SUM(CE33:CH33)</f>
        <v>0</v>
      </c>
      <c r="CJ33" s="191"/>
      <c r="CK33" s="191"/>
      <c r="CL33" s="191"/>
      <c r="CM33" s="191"/>
      <c r="CN33" s="178" t="n">
        <f aca="false">SUM(CJ33:CM33)</f>
        <v>0</v>
      </c>
      <c r="CO33" s="191" t="n">
        <f aca="false">+CN33+CI33+CD33+BY33+BT33+BO33+BJ33+BE33+AZ33+AU33+AP33+AK33</f>
        <v>0</v>
      </c>
      <c r="CP33" s="191"/>
      <c r="CQ33" s="192"/>
    </row>
    <row r="34" customFormat="false" ht="12.75" hidden="false" customHeight="false" outlineLevel="0" collapsed="false">
      <c r="A34" s="177" t="s">
        <v>198</v>
      </c>
      <c r="B34" s="177" t="s">
        <v>205</v>
      </c>
      <c r="C34" s="208" t="n">
        <v>2.37</v>
      </c>
      <c r="D34" s="180" t="s">
        <v>167</v>
      </c>
      <c r="E34" s="209"/>
      <c r="F34" s="181"/>
      <c r="G34" s="178"/>
      <c r="H34" s="181"/>
      <c r="I34" s="181"/>
      <c r="J34" s="193" t="n">
        <f aca="false">K34*J$8</f>
        <v>4270.266</v>
      </c>
      <c r="K34" s="193" t="n">
        <f aca="false">K$11*2.37*CMF</f>
        <v>4270.266</v>
      </c>
      <c r="L34" s="181" t="n">
        <f aca="false">+K34/K$11</f>
        <v>2.607</v>
      </c>
      <c r="M34" s="193" t="n">
        <f aca="false">N34*N$8</f>
        <v>190707.264</v>
      </c>
      <c r="N34" s="193" t="n">
        <f aca="false">N$11*2.37*CMF</f>
        <v>2648.712</v>
      </c>
      <c r="O34" s="181" t="n">
        <f aca="false">+N34/N$11</f>
        <v>2.607</v>
      </c>
      <c r="P34" s="193" t="n">
        <f aca="false">Q34*Q$8</f>
        <v>192899.751</v>
      </c>
      <c r="Q34" s="193" t="n">
        <f aca="false">Q$11*2.37*CMF</f>
        <v>3162.291</v>
      </c>
      <c r="R34" s="181" t="n">
        <f aca="false">+Q34/Q$11</f>
        <v>2.607</v>
      </c>
      <c r="S34" s="194" t="n">
        <f aca="false">+P34+M34</f>
        <v>383607.015</v>
      </c>
      <c r="T34" s="195" t="n">
        <f aca="false">+S34/S$8</f>
        <v>2884.26327067669</v>
      </c>
      <c r="U34" s="181" t="n">
        <f aca="false">+S34/U$8</f>
        <v>2.607</v>
      </c>
      <c r="V34" s="185" t="n">
        <f aca="false">+S34/TotalCost</f>
        <v>0.0301506062968265</v>
      </c>
      <c r="W34" s="186" t="n">
        <f aca="false">+$S34/TotalValue</f>
        <v>0.0247488404438351</v>
      </c>
      <c r="X34" s="187"/>
      <c r="Y34" s="188"/>
      <c r="Z34" s="186"/>
      <c r="AA34" s="186"/>
      <c r="AB34" s="196"/>
      <c r="AC34" s="126"/>
      <c r="AD34" s="186"/>
      <c r="AE34" s="127"/>
      <c r="AF34" s="203" t="s">
        <v>205</v>
      </c>
      <c r="AG34" s="178"/>
      <c r="AH34" s="178"/>
      <c r="AI34" s="178"/>
      <c r="AJ34" s="178"/>
      <c r="AK34" s="178" t="n">
        <f aca="false">SUM(AG34:AJ34)</f>
        <v>0</v>
      </c>
      <c r="AL34" s="178"/>
      <c r="AM34" s="178"/>
      <c r="AN34" s="178"/>
      <c r="AO34" s="178"/>
      <c r="AP34" s="178" t="n">
        <f aca="false">SUM(AL34:AO34)</f>
        <v>0</v>
      </c>
      <c r="AQ34" s="178"/>
      <c r="AR34" s="191"/>
      <c r="AS34" s="191"/>
      <c r="AT34" s="191"/>
      <c r="AU34" s="178" t="n">
        <f aca="false">SUM(AQ34:AT34)</f>
        <v>0</v>
      </c>
      <c r="AV34" s="178" t="n">
        <f aca="false">$S34/8</f>
        <v>47950.876875</v>
      </c>
      <c r="AW34" s="178"/>
      <c r="AX34" s="191"/>
      <c r="AY34" s="178" t="n">
        <f aca="false">$S34/8</f>
        <v>47950.876875</v>
      </c>
      <c r="AZ34" s="178" t="n">
        <f aca="false">SUM(AV34:AY34)</f>
        <v>95901.75375</v>
      </c>
      <c r="BA34" s="178"/>
      <c r="BB34" s="191"/>
      <c r="BC34" s="178" t="n">
        <f aca="false">$S34/8</f>
        <v>47950.876875</v>
      </c>
      <c r="BD34" s="191"/>
      <c r="BE34" s="178" t="n">
        <f aca="false">SUM(BA34:BD34)</f>
        <v>47950.876875</v>
      </c>
      <c r="BF34" s="191"/>
      <c r="BG34" s="178" t="n">
        <f aca="false">$S34/8</f>
        <v>47950.876875</v>
      </c>
      <c r="BH34" s="191"/>
      <c r="BI34" s="191"/>
      <c r="BJ34" s="178" t="n">
        <f aca="false">SUM(BF34:BI34)</f>
        <v>47950.876875</v>
      </c>
      <c r="BK34" s="178" t="n">
        <f aca="false">$S34/8</f>
        <v>47950.876875</v>
      </c>
      <c r="BL34" s="191"/>
      <c r="BM34" s="191"/>
      <c r="BN34" s="178" t="n">
        <f aca="false">$S34/8</f>
        <v>47950.876875</v>
      </c>
      <c r="BO34" s="178" t="n">
        <f aca="false">SUM(BK34:BN34)</f>
        <v>95901.75375</v>
      </c>
      <c r="BP34" s="191"/>
      <c r="BQ34" s="191"/>
      <c r="BR34" s="178" t="n">
        <f aca="false">$S34/8</f>
        <v>47950.876875</v>
      </c>
      <c r="BS34" s="191"/>
      <c r="BT34" s="178" t="n">
        <f aca="false">SUM(BP34:BS34)</f>
        <v>47950.876875</v>
      </c>
      <c r="BU34" s="191"/>
      <c r="BV34" s="178" t="n">
        <f aca="false">$S34/8</f>
        <v>47950.876875</v>
      </c>
      <c r="BW34" s="191"/>
      <c r="BX34" s="191"/>
      <c r="BY34" s="178" t="n">
        <f aca="false">SUM(BU34:BX34)</f>
        <v>47950.876875</v>
      </c>
      <c r="BZ34" s="191"/>
      <c r="CA34" s="191"/>
      <c r="CB34" s="191"/>
      <c r="CC34" s="191"/>
      <c r="CD34" s="178" t="n">
        <f aca="false">SUM(BZ34:CC34)</f>
        <v>0</v>
      </c>
      <c r="CE34" s="191"/>
      <c r="CF34" s="191"/>
      <c r="CG34" s="191"/>
      <c r="CH34" s="191"/>
      <c r="CI34" s="178" t="n">
        <f aca="false">SUM(CE34:CH34)</f>
        <v>0</v>
      </c>
      <c r="CJ34" s="191"/>
      <c r="CK34" s="191"/>
      <c r="CL34" s="191"/>
      <c r="CM34" s="191"/>
      <c r="CN34" s="178" t="n">
        <f aca="false">SUM(CJ34:CM34)</f>
        <v>0</v>
      </c>
      <c r="CO34" s="191" t="n">
        <f aca="false">+CN34+CI34+CD34+BY34+BT34+BO34+BJ34+BE34+AZ34+AU34+AP34+AK34</f>
        <v>383607.015</v>
      </c>
      <c r="CP34" s="191" t="n">
        <f aca="false">S34</f>
        <v>383607.015</v>
      </c>
      <c r="CQ34" s="192" t="n">
        <f aca="false">+CO34/CP34</f>
        <v>1</v>
      </c>
    </row>
    <row r="35" customFormat="false" ht="12.75" hidden="false" customHeight="false" outlineLevel="0" collapsed="false">
      <c r="A35" s="177" t="s">
        <v>198</v>
      </c>
      <c r="B35" s="177" t="s">
        <v>206</v>
      </c>
      <c r="C35" s="208" t="n">
        <v>2.12</v>
      </c>
      <c r="D35" s="180" t="s">
        <v>167</v>
      </c>
      <c r="E35" s="209"/>
      <c r="F35" s="181"/>
      <c r="G35" s="178"/>
      <c r="H35" s="181"/>
      <c r="I35" s="181"/>
      <c r="J35" s="193" t="n">
        <f aca="false">K35*J$8</f>
        <v>3819.816</v>
      </c>
      <c r="K35" s="193" t="n">
        <f aca="false">K$11*2.12*CMF</f>
        <v>3819.816</v>
      </c>
      <c r="L35" s="181" t="n">
        <f aca="false">+K35/K$11</f>
        <v>2.332</v>
      </c>
      <c r="M35" s="193" t="n">
        <f aca="false">N35*N$8</f>
        <v>170590.464</v>
      </c>
      <c r="N35" s="193" t="n">
        <f aca="false">N$11*2.12*CMF</f>
        <v>2369.312</v>
      </c>
      <c r="O35" s="181" t="n">
        <f aca="false">+N35/N$11</f>
        <v>2.332</v>
      </c>
      <c r="P35" s="193" t="n">
        <f aca="false">Q35*Q$8</f>
        <v>172551.676</v>
      </c>
      <c r="Q35" s="193" t="n">
        <f aca="false">Q$11*2.12*CMF</f>
        <v>2828.716</v>
      </c>
      <c r="R35" s="181" t="n">
        <f aca="false">+Q35/Q$11</f>
        <v>2.332</v>
      </c>
      <c r="S35" s="194" t="n">
        <f aca="false">+P35+M35</f>
        <v>343142.14</v>
      </c>
      <c r="T35" s="195" t="n">
        <f aca="false">+S35/S$8</f>
        <v>2580.01609022556</v>
      </c>
      <c r="U35" s="181" t="n">
        <f aca="false">+S35/U$8</f>
        <v>2.332</v>
      </c>
      <c r="V35" s="185" t="n">
        <f aca="false">+S35/TotalCost</f>
        <v>0.0269701625946296</v>
      </c>
      <c r="W35" s="186" t="n">
        <f aca="false">+$S35/TotalValue</f>
        <v>0.0221382032662153</v>
      </c>
      <c r="X35" s="187"/>
      <c r="Y35" s="188"/>
      <c r="Z35" s="186"/>
      <c r="AA35" s="186"/>
      <c r="AB35" s="196"/>
      <c r="AC35" s="126"/>
      <c r="AD35" s="186"/>
      <c r="AE35" s="127"/>
      <c r="AF35" s="203" t="s">
        <v>206</v>
      </c>
      <c r="AG35" s="178"/>
      <c r="AH35" s="178"/>
      <c r="AI35" s="178"/>
      <c r="AJ35" s="178"/>
      <c r="AK35" s="178" t="n">
        <f aca="false">SUM(AG35:AJ35)</f>
        <v>0</v>
      </c>
      <c r="AL35" s="178"/>
      <c r="AM35" s="178"/>
      <c r="AN35" s="178"/>
      <c r="AO35" s="178"/>
      <c r="AP35" s="178" t="n">
        <f aca="false">SUM(AL35:AO35)</f>
        <v>0</v>
      </c>
      <c r="AQ35" s="178"/>
      <c r="AR35" s="191"/>
      <c r="AS35" s="178"/>
      <c r="AT35" s="178" t="n">
        <f aca="false">$S35/8</f>
        <v>42892.7675</v>
      </c>
      <c r="AU35" s="178" t="n">
        <f aca="false">SUM(AQ35:AT35)</f>
        <v>42892.7675</v>
      </c>
      <c r="AV35" s="191"/>
      <c r="AW35" s="178"/>
      <c r="AX35" s="178" t="n">
        <f aca="false">$S35/8</f>
        <v>42892.7675</v>
      </c>
      <c r="AY35" s="191"/>
      <c r="AZ35" s="178" t="n">
        <f aca="false">SUM(AV35:AY35)</f>
        <v>42892.7675</v>
      </c>
      <c r="BA35" s="178"/>
      <c r="BB35" s="178" t="n">
        <f aca="false">$S35/8</f>
        <v>42892.7675</v>
      </c>
      <c r="BC35" s="191"/>
      <c r="BD35" s="178"/>
      <c r="BE35" s="178" t="n">
        <f aca="false">SUM(BA35:BD35)</f>
        <v>42892.7675</v>
      </c>
      <c r="BF35" s="178" t="n">
        <f aca="false">$S35/8</f>
        <v>42892.7675</v>
      </c>
      <c r="BG35" s="191"/>
      <c r="BH35" s="178"/>
      <c r="BI35" s="178" t="n">
        <f aca="false">$S35/8</f>
        <v>42892.7675</v>
      </c>
      <c r="BJ35" s="178" t="n">
        <f aca="false">SUM(BF35:BI35)</f>
        <v>85785.535</v>
      </c>
      <c r="BK35" s="191"/>
      <c r="BL35" s="178"/>
      <c r="BM35" s="178" t="n">
        <f aca="false">$S35/8</f>
        <v>42892.7675</v>
      </c>
      <c r="BN35" s="191"/>
      <c r="BO35" s="178" t="n">
        <f aca="false">SUM(BK35:BN35)</f>
        <v>42892.7675</v>
      </c>
      <c r="BP35" s="191"/>
      <c r="BQ35" s="178" t="n">
        <f aca="false">$S35/8</f>
        <v>42892.7675</v>
      </c>
      <c r="BR35" s="191"/>
      <c r="BS35" s="178"/>
      <c r="BT35" s="178" t="n">
        <f aca="false">SUM(BP35:BS35)</f>
        <v>42892.7675</v>
      </c>
      <c r="BU35" s="178" t="n">
        <f aca="false">$S35/8</f>
        <v>42892.7675</v>
      </c>
      <c r="BV35" s="191"/>
      <c r="BW35" s="191"/>
      <c r="BX35" s="191"/>
      <c r="BY35" s="178" t="n">
        <f aca="false">SUM(BU35:BX35)</f>
        <v>42892.7675</v>
      </c>
      <c r="BZ35" s="191"/>
      <c r="CA35" s="191"/>
      <c r="CB35" s="191"/>
      <c r="CC35" s="191"/>
      <c r="CD35" s="178" t="n">
        <f aca="false">SUM(BZ35:CC35)</f>
        <v>0</v>
      </c>
      <c r="CE35" s="191"/>
      <c r="CF35" s="191"/>
      <c r="CG35" s="191"/>
      <c r="CH35" s="191"/>
      <c r="CI35" s="178" t="n">
        <f aca="false">SUM(CE35:CH35)</f>
        <v>0</v>
      </c>
      <c r="CJ35" s="191"/>
      <c r="CK35" s="191"/>
      <c r="CL35" s="191"/>
      <c r="CM35" s="191"/>
      <c r="CN35" s="178" t="n">
        <f aca="false">SUM(CJ35:CM35)</f>
        <v>0</v>
      </c>
      <c r="CO35" s="191" t="n">
        <f aca="false">+CN35+CI35+CD35+BY35+BT35+BO35+BJ35+BE35+AZ35+AU35+AP35+AK35</f>
        <v>343142.14</v>
      </c>
      <c r="CP35" s="191" t="n">
        <f aca="false">S35</f>
        <v>343142.14</v>
      </c>
      <c r="CQ35" s="192" t="n">
        <f aca="false">+CO35/CP35</f>
        <v>1</v>
      </c>
    </row>
    <row r="36" customFormat="false" ht="12.75" hidden="false" customHeight="false" outlineLevel="0" collapsed="false">
      <c r="A36" s="177" t="s">
        <v>198</v>
      </c>
      <c r="B36" s="177" t="s">
        <v>207</v>
      </c>
      <c r="C36" s="198" t="n">
        <f aca="false">5.5*0.3</f>
        <v>1.65</v>
      </c>
      <c r="D36" s="180" t="s">
        <v>167</v>
      </c>
      <c r="E36" s="209"/>
      <c r="F36" s="181"/>
      <c r="G36" s="178"/>
      <c r="H36" s="181"/>
      <c r="I36" s="181"/>
      <c r="J36" s="193" t="n">
        <f aca="false">K36*J$8</f>
        <v>2972.97</v>
      </c>
      <c r="K36" s="193" t="n">
        <f aca="false">K$11*5.5*CMF*0.3</f>
        <v>2972.97</v>
      </c>
      <c r="L36" s="181" t="n">
        <f aca="false">+K36/K$11</f>
        <v>1.815</v>
      </c>
      <c r="M36" s="193" t="n">
        <f aca="false">N36*N$8</f>
        <v>132770.88</v>
      </c>
      <c r="N36" s="193" t="n">
        <f aca="false">N$11*5.5*CMF*0.3</f>
        <v>1844.04</v>
      </c>
      <c r="O36" s="181" t="n">
        <f aca="false">+N36/N$11</f>
        <v>1.815</v>
      </c>
      <c r="P36" s="193" t="n">
        <f aca="false">Q36*Q$8</f>
        <v>134297.295</v>
      </c>
      <c r="Q36" s="193" t="n">
        <f aca="false">Q$11*5.5*CMF*0.3</f>
        <v>2201.595</v>
      </c>
      <c r="R36" s="181" t="n">
        <f aca="false">+Q36/Q$11</f>
        <v>1.815</v>
      </c>
      <c r="S36" s="194" t="n">
        <f aca="false">+P36+M36</f>
        <v>267068.175</v>
      </c>
      <c r="T36" s="195" t="n">
        <f aca="false">+S36/S$8</f>
        <v>2008.03139097744</v>
      </c>
      <c r="U36" s="181" t="n">
        <f aca="false">+S36/U$8</f>
        <v>1.815</v>
      </c>
      <c r="V36" s="185" t="n">
        <f aca="false">+S36/TotalCost</f>
        <v>0.0209909284344994</v>
      </c>
      <c r="W36" s="186" t="n">
        <f aca="false">+$S36/TotalValue</f>
        <v>0.0172302053722902</v>
      </c>
      <c r="X36" s="187"/>
      <c r="Y36" s="188"/>
      <c r="Z36" s="186"/>
      <c r="AA36" s="186"/>
      <c r="AB36" s="196"/>
      <c r="AC36" s="126"/>
      <c r="AD36" s="186"/>
      <c r="AE36" s="127"/>
      <c r="AF36" s="203" t="s">
        <v>207</v>
      </c>
      <c r="AG36" s="178"/>
      <c r="AH36" s="178"/>
      <c r="AI36" s="178"/>
      <c r="AJ36" s="178"/>
      <c r="AK36" s="178" t="n">
        <f aca="false">SUM(AG36:AJ36)</f>
        <v>0</v>
      </c>
      <c r="AL36" s="178"/>
      <c r="AM36" s="178"/>
      <c r="AN36" s="178"/>
      <c r="AO36" s="178"/>
      <c r="AP36" s="178" t="n">
        <f aca="false">SUM(AL36:AO36)</f>
        <v>0</v>
      </c>
      <c r="AQ36" s="178"/>
      <c r="AR36" s="191"/>
      <c r="AS36" s="178" t="n">
        <f aca="false">$S36/8</f>
        <v>33383.521875</v>
      </c>
      <c r="AT36" s="191"/>
      <c r="AU36" s="178" t="n">
        <f aca="false">SUM(AQ36:AT36)</f>
        <v>33383.521875</v>
      </c>
      <c r="AV36" s="191"/>
      <c r="AW36" s="178" t="n">
        <f aca="false">$S36/8</f>
        <v>33383.521875</v>
      </c>
      <c r="AX36" s="191"/>
      <c r="AY36" s="191"/>
      <c r="AZ36" s="178" t="n">
        <f aca="false">SUM(AV36:AY36)</f>
        <v>33383.521875</v>
      </c>
      <c r="BA36" s="178" t="n">
        <f aca="false">$S36/8</f>
        <v>33383.521875</v>
      </c>
      <c r="BB36" s="191"/>
      <c r="BC36" s="191"/>
      <c r="BD36" s="178" t="n">
        <f aca="false">$S36/8</f>
        <v>33383.521875</v>
      </c>
      <c r="BE36" s="178" t="n">
        <f aca="false">SUM(BA36:BD36)</f>
        <v>66767.04375</v>
      </c>
      <c r="BF36" s="191"/>
      <c r="BG36" s="191"/>
      <c r="BH36" s="178" t="n">
        <f aca="false">$S36/8</f>
        <v>33383.521875</v>
      </c>
      <c r="BI36" s="191"/>
      <c r="BJ36" s="178" t="n">
        <f aca="false">SUM(BF36:BI36)</f>
        <v>33383.521875</v>
      </c>
      <c r="BK36" s="191"/>
      <c r="BL36" s="178" t="n">
        <f aca="false">$S36/8</f>
        <v>33383.521875</v>
      </c>
      <c r="BM36" s="191"/>
      <c r="BN36" s="191"/>
      <c r="BO36" s="178" t="n">
        <f aca="false">SUM(BK36:BN36)</f>
        <v>33383.521875</v>
      </c>
      <c r="BP36" s="178" t="n">
        <f aca="false">$S36/8</f>
        <v>33383.521875</v>
      </c>
      <c r="BQ36" s="191"/>
      <c r="BR36" s="191"/>
      <c r="BS36" s="178" t="n">
        <f aca="false">$S36/8</f>
        <v>33383.521875</v>
      </c>
      <c r="BT36" s="178" t="n">
        <f aca="false">SUM(BP36:BS36)</f>
        <v>66767.04375</v>
      </c>
      <c r="BU36" s="191"/>
      <c r="BV36" s="191"/>
      <c r="BW36" s="191"/>
      <c r="BX36" s="191"/>
      <c r="BY36" s="178" t="n">
        <f aca="false">SUM(BU36:BX36)</f>
        <v>0</v>
      </c>
      <c r="BZ36" s="191"/>
      <c r="CA36" s="191"/>
      <c r="CB36" s="191"/>
      <c r="CC36" s="191"/>
      <c r="CD36" s="178" t="n">
        <f aca="false">SUM(BZ36:CC36)</f>
        <v>0</v>
      </c>
      <c r="CE36" s="191"/>
      <c r="CF36" s="191"/>
      <c r="CG36" s="191"/>
      <c r="CH36" s="191"/>
      <c r="CI36" s="178" t="n">
        <f aca="false">SUM(CE36:CH36)</f>
        <v>0</v>
      </c>
      <c r="CJ36" s="191"/>
      <c r="CK36" s="191"/>
      <c r="CL36" s="191"/>
      <c r="CM36" s="191"/>
      <c r="CN36" s="178" t="n">
        <f aca="false">SUM(CJ36:CM36)</f>
        <v>0</v>
      </c>
      <c r="CO36" s="191" t="n">
        <f aca="false">+CN36+CI36+CD36+BY36+BT36+BO36+BJ36+BE36+AZ36+AU36+AP36+AK36</f>
        <v>267068.175</v>
      </c>
      <c r="CP36" s="191" t="n">
        <f aca="false">S36</f>
        <v>267068.175</v>
      </c>
      <c r="CQ36" s="192" t="n">
        <f aca="false">+CO36/CP36</f>
        <v>1</v>
      </c>
    </row>
    <row r="37" customFormat="false" ht="12.75" hidden="false" customHeight="false" outlineLevel="0" collapsed="false">
      <c r="A37" s="177" t="s">
        <v>198</v>
      </c>
      <c r="B37" s="177" t="s">
        <v>208</v>
      </c>
      <c r="C37" s="198" t="n">
        <f aca="false">5.5*0.3</f>
        <v>1.65</v>
      </c>
      <c r="D37" s="180" t="s">
        <v>167</v>
      </c>
      <c r="E37" s="209"/>
      <c r="F37" s="181"/>
      <c r="G37" s="178"/>
      <c r="H37" s="181"/>
      <c r="I37" s="181"/>
      <c r="J37" s="193" t="n">
        <f aca="false">K37*J$8</f>
        <v>2972.97</v>
      </c>
      <c r="K37" s="193" t="n">
        <f aca="false">K$11*5.5*CMF*0.3</f>
        <v>2972.97</v>
      </c>
      <c r="L37" s="181" t="n">
        <f aca="false">+K37/K$11</f>
        <v>1.815</v>
      </c>
      <c r="M37" s="193" t="n">
        <f aca="false">N37*N$8</f>
        <v>132770.88</v>
      </c>
      <c r="N37" s="193" t="n">
        <f aca="false">N$11*5.5*CMF*0.3</f>
        <v>1844.04</v>
      </c>
      <c r="O37" s="181" t="n">
        <f aca="false">+N37/N$11</f>
        <v>1.815</v>
      </c>
      <c r="P37" s="193" t="n">
        <f aca="false">Q37*Q$8</f>
        <v>134297.295</v>
      </c>
      <c r="Q37" s="193" t="n">
        <f aca="false">Q$11*5.5*CMF*0.3</f>
        <v>2201.595</v>
      </c>
      <c r="R37" s="181" t="n">
        <f aca="false">+Q37/Q$11</f>
        <v>1.815</v>
      </c>
      <c r="S37" s="194" t="n">
        <f aca="false">+P37+M37</f>
        <v>267068.175</v>
      </c>
      <c r="T37" s="195" t="n">
        <f aca="false">+S37/S$8</f>
        <v>2008.03139097744</v>
      </c>
      <c r="U37" s="181" t="n">
        <f aca="false">+S37/U$8</f>
        <v>1.815</v>
      </c>
      <c r="V37" s="185" t="n">
        <f aca="false">+S37/TotalCost</f>
        <v>0.0209909284344994</v>
      </c>
      <c r="W37" s="186" t="n">
        <f aca="false">+$S37/TotalValue</f>
        <v>0.0172302053722902</v>
      </c>
      <c r="X37" s="187"/>
      <c r="Y37" s="188"/>
      <c r="Z37" s="186"/>
      <c r="AA37" s="186"/>
      <c r="AB37" s="196"/>
      <c r="AC37" s="126"/>
      <c r="AD37" s="206"/>
      <c r="AE37" s="127"/>
      <c r="AF37" s="203" t="s">
        <v>208</v>
      </c>
      <c r="AG37" s="178"/>
      <c r="AH37" s="178"/>
      <c r="AI37" s="178"/>
      <c r="AJ37" s="178"/>
      <c r="AK37" s="178" t="n">
        <f aca="false">SUM(AG37:AJ37)</f>
        <v>0</v>
      </c>
      <c r="AL37" s="178"/>
      <c r="AM37" s="178"/>
      <c r="AN37" s="178"/>
      <c r="AO37" s="178"/>
      <c r="AP37" s="178" t="n">
        <f aca="false">SUM(AL37:AO37)</f>
        <v>0</v>
      </c>
      <c r="AQ37" s="178"/>
      <c r="AR37" s="191"/>
      <c r="AS37" s="191"/>
      <c r="AT37" s="178" t="n">
        <f aca="false">$S37/8</f>
        <v>33383.521875</v>
      </c>
      <c r="AU37" s="178" t="n">
        <f aca="false">SUM(AQ37:AT37)</f>
        <v>33383.521875</v>
      </c>
      <c r="AV37" s="191"/>
      <c r="AW37" s="191"/>
      <c r="AX37" s="178" t="n">
        <f aca="false">$S37/8</f>
        <v>33383.521875</v>
      </c>
      <c r="AY37" s="191"/>
      <c r="AZ37" s="178" t="n">
        <f aca="false">SUM(AV37:AY37)</f>
        <v>33383.521875</v>
      </c>
      <c r="BA37" s="191"/>
      <c r="BB37" s="178" t="n">
        <f aca="false">$S37/8</f>
        <v>33383.521875</v>
      </c>
      <c r="BC37" s="191"/>
      <c r="BD37" s="191"/>
      <c r="BE37" s="178" t="n">
        <f aca="false">SUM(BA37:BD37)</f>
        <v>33383.521875</v>
      </c>
      <c r="BF37" s="178" t="n">
        <f aca="false">$S37/8</f>
        <v>33383.521875</v>
      </c>
      <c r="BG37" s="191"/>
      <c r="BH37" s="191"/>
      <c r="BI37" s="178" t="n">
        <f aca="false">$S37/8</f>
        <v>33383.521875</v>
      </c>
      <c r="BJ37" s="178" t="n">
        <f aca="false">SUM(BF37:BI37)</f>
        <v>66767.04375</v>
      </c>
      <c r="BK37" s="191"/>
      <c r="BL37" s="191"/>
      <c r="BM37" s="178" t="n">
        <f aca="false">$S37/8</f>
        <v>33383.521875</v>
      </c>
      <c r="BN37" s="191"/>
      <c r="BO37" s="178" t="n">
        <f aca="false">SUM(BK37:BN37)</f>
        <v>33383.521875</v>
      </c>
      <c r="BP37" s="191"/>
      <c r="BQ37" s="178" t="n">
        <f aca="false">$S37/8</f>
        <v>33383.521875</v>
      </c>
      <c r="BR37" s="191"/>
      <c r="BS37" s="191"/>
      <c r="BT37" s="178" t="n">
        <f aca="false">SUM(BP37:BS37)</f>
        <v>33383.521875</v>
      </c>
      <c r="BU37" s="178" t="n">
        <f aca="false">$S37/8</f>
        <v>33383.521875</v>
      </c>
      <c r="BV37" s="191"/>
      <c r="BW37" s="191"/>
      <c r="BX37" s="191"/>
      <c r="BY37" s="178" t="n">
        <f aca="false">SUM(BU37:BX37)</f>
        <v>33383.521875</v>
      </c>
      <c r="BZ37" s="191"/>
      <c r="CA37" s="191"/>
      <c r="CB37" s="191"/>
      <c r="CC37" s="191"/>
      <c r="CD37" s="178" t="n">
        <f aca="false">SUM(BZ37:CC37)</f>
        <v>0</v>
      </c>
      <c r="CE37" s="191"/>
      <c r="CF37" s="191"/>
      <c r="CG37" s="191"/>
      <c r="CH37" s="191"/>
      <c r="CI37" s="178" t="n">
        <f aca="false">SUM(CE37:CH37)</f>
        <v>0</v>
      </c>
      <c r="CJ37" s="191"/>
      <c r="CK37" s="191"/>
      <c r="CL37" s="191"/>
      <c r="CM37" s="191"/>
      <c r="CN37" s="178" t="n">
        <f aca="false">SUM(CJ37:CM37)</f>
        <v>0</v>
      </c>
      <c r="CO37" s="191" t="n">
        <f aca="false">+CN37+CI37+CD37+BY37+BT37+BO37+BJ37+BE37+AZ37+AU37+AP37+AK37</f>
        <v>267068.175</v>
      </c>
      <c r="CP37" s="191" t="n">
        <f aca="false">S37</f>
        <v>267068.175</v>
      </c>
      <c r="CQ37" s="192" t="n">
        <f aca="false">+CO37/CP37</f>
        <v>1</v>
      </c>
    </row>
    <row r="38" customFormat="false" ht="12.75" hidden="false" customHeight="false" outlineLevel="0" collapsed="false">
      <c r="A38" s="177" t="s">
        <v>198</v>
      </c>
      <c r="B38" s="177" t="s">
        <v>209</v>
      </c>
      <c r="C38" s="198" t="n">
        <f aca="false">5.5*0.1</f>
        <v>0.55</v>
      </c>
      <c r="D38" s="180" t="s">
        <v>167</v>
      </c>
      <c r="E38" s="210"/>
      <c r="F38" s="181"/>
      <c r="G38" s="178"/>
      <c r="H38" s="181"/>
      <c r="I38" s="181"/>
      <c r="J38" s="193" t="n">
        <f aca="false">K38*J$8</f>
        <v>990.99</v>
      </c>
      <c r="K38" s="193" t="n">
        <f aca="false">K$11*5.5*CMF*0.1</f>
        <v>990.99</v>
      </c>
      <c r="L38" s="181" t="n">
        <f aca="false">+K38/K$11</f>
        <v>0.605</v>
      </c>
      <c r="M38" s="193" t="n">
        <f aca="false">N38*N$8</f>
        <v>44256.96</v>
      </c>
      <c r="N38" s="193" t="n">
        <f aca="false">N$11*5.5*CMF*0.1</f>
        <v>614.68</v>
      </c>
      <c r="O38" s="181" t="n">
        <f aca="false">+N38/N$11</f>
        <v>0.605</v>
      </c>
      <c r="P38" s="193" t="n">
        <f aca="false">Q38*Q$8</f>
        <v>44765.765</v>
      </c>
      <c r="Q38" s="193" t="n">
        <f aca="false">Q$11*5.5*CMF*0.1</f>
        <v>733.865</v>
      </c>
      <c r="R38" s="181" t="n">
        <f aca="false">+Q38/Q$11</f>
        <v>0.605</v>
      </c>
      <c r="S38" s="194" t="n">
        <f aca="false">+P38+M38</f>
        <v>89022.725</v>
      </c>
      <c r="T38" s="195" t="n">
        <f aca="false">+S38/S$8</f>
        <v>669.343796992481</v>
      </c>
      <c r="U38" s="181" t="n">
        <f aca="false">+S38/U$8</f>
        <v>0.605</v>
      </c>
      <c r="V38" s="185" t="n">
        <f aca="false">+S38/TotalCost</f>
        <v>0.00699697614483314</v>
      </c>
      <c r="W38" s="186" t="n">
        <f aca="false">+$S38/TotalValue</f>
        <v>0.00574340179076341</v>
      </c>
      <c r="X38" s="187"/>
      <c r="Y38" s="188"/>
      <c r="Z38" s="186"/>
      <c r="AA38" s="186"/>
      <c r="AB38" s="196"/>
      <c r="AC38" s="126"/>
      <c r="AD38" s="186"/>
      <c r="AE38" s="127"/>
      <c r="AF38" s="203" t="s">
        <v>209</v>
      </c>
      <c r="AG38" s="178"/>
      <c r="AH38" s="178"/>
      <c r="AI38" s="178"/>
      <c r="AJ38" s="178"/>
      <c r="AK38" s="178" t="n">
        <f aca="false">SUM(AG38:AJ38)</f>
        <v>0</v>
      </c>
      <c r="AL38" s="178"/>
      <c r="AM38" s="178"/>
      <c r="AN38" s="178"/>
      <c r="AO38" s="178"/>
      <c r="AP38" s="178" t="n">
        <f aca="false">SUM(AL38:AO38)</f>
        <v>0</v>
      </c>
      <c r="AQ38" s="178"/>
      <c r="AR38" s="191"/>
      <c r="AS38" s="191"/>
      <c r="AT38" s="191"/>
      <c r="AU38" s="178" t="n">
        <f aca="false">SUM(AQ38:AT38)</f>
        <v>0</v>
      </c>
      <c r="AV38" s="178" t="n">
        <f aca="false">$S38/8</f>
        <v>11127.840625</v>
      </c>
      <c r="AW38" s="191"/>
      <c r="AX38" s="191"/>
      <c r="AY38" s="178" t="n">
        <f aca="false">$S38/8</f>
        <v>11127.840625</v>
      </c>
      <c r="AZ38" s="178" t="n">
        <f aca="false">SUM(AV38:AY38)</f>
        <v>22255.68125</v>
      </c>
      <c r="BA38" s="191"/>
      <c r="BB38" s="191"/>
      <c r="BC38" s="178" t="n">
        <f aca="false">$S38/8</f>
        <v>11127.840625</v>
      </c>
      <c r="BD38" s="191"/>
      <c r="BE38" s="178" t="n">
        <f aca="false">SUM(BA38:BD38)</f>
        <v>11127.840625</v>
      </c>
      <c r="BF38" s="191"/>
      <c r="BG38" s="178" t="n">
        <f aca="false">$S38/8</f>
        <v>11127.840625</v>
      </c>
      <c r="BH38" s="191"/>
      <c r="BI38" s="191"/>
      <c r="BJ38" s="178" t="n">
        <f aca="false">SUM(BF38:BI38)</f>
        <v>11127.840625</v>
      </c>
      <c r="BK38" s="178" t="n">
        <f aca="false">$S38/8</f>
        <v>11127.840625</v>
      </c>
      <c r="BL38" s="191"/>
      <c r="BM38" s="191"/>
      <c r="BN38" s="178" t="n">
        <f aca="false">$S38/8</f>
        <v>11127.840625</v>
      </c>
      <c r="BO38" s="178" t="n">
        <f aca="false">SUM(BK38:BN38)</f>
        <v>22255.68125</v>
      </c>
      <c r="BP38" s="191"/>
      <c r="BQ38" s="191"/>
      <c r="BR38" s="178" t="n">
        <f aca="false">$S38/8</f>
        <v>11127.840625</v>
      </c>
      <c r="BS38" s="191"/>
      <c r="BT38" s="178" t="n">
        <f aca="false">SUM(BP38:BS38)</f>
        <v>11127.840625</v>
      </c>
      <c r="BU38" s="191"/>
      <c r="BV38" s="178" t="n">
        <f aca="false">$S38/8</f>
        <v>11127.840625</v>
      </c>
      <c r="BW38" s="191"/>
      <c r="BX38" s="191"/>
      <c r="BY38" s="178" t="n">
        <f aca="false">SUM(BU38:BX38)</f>
        <v>11127.840625</v>
      </c>
      <c r="BZ38" s="191"/>
      <c r="CA38" s="191"/>
      <c r="CB38" s="191"/>
      <c r="CC38" s="191"/>
      <c r="CD38" s="178" t="n">
        <f aca="false">SUM(BZ38:CC38)</f>
        <v>0</v>
      </c>
      <c r="CE38" s="191"/>
      <c r="CF38" s="191"/>
      <c r="CG38" s="191"/>
      <c r="CH38" s="191"/>
      <c r="CI38" s="178" t="n">
        <f aca="false">SUM(CE38:CH38)</f>
        <v>0</v>
      </c>
      <c r="CJ38" s="191"/>
      <c r="CK38" s="191"/>
      <c r="CL38" s="191"/>
      <c r="CM38" s="191"/>
      <c r="CN38" s="178" t="n">
        <f aca="false">SUM(CJ38:CM38)</f>
        <v>0</v>
      </c>
      <c r="CO38" s="191" t="n">
        <f aca="false">+CN38+CI38+CD38+BY38+BT38+BO38+BJ38+BE38+AZ38+AU38+AP38+AK38</f>
        <v>89022.725</v>
      </c>
      <c r="CP38" s="191" t="n">
        <f aca="false">S38</f>
        <v>89022.725</v>
      </c>
      <c r="CQ38" s="192" t="n">
        <f aca="false">+CO38/CP38</f>
        <v>1</v>
      </c>
    </row>
    <row r="39" customFormat="false" ht="12.75" hidden="false" customHeight="false" outlineLevel="0" collapsed="false">
      <c r="A39" s="177" t="s">
        <v>202</v>
      </c>
      <c r="B39" s="177" t="s">
        <v>210</v>
      </c>
      <c r="C39" s="198" t="n">
        <f aca="false">5.5*0.3</f>
        <v>1.65</v>
      </c>
      <c r="D39" s="180" t="s">
        <v>167</v>
      </c>
      <c r="E39" s="177"/>
      <c r="F39" s="181"/>
      <c r="G39" s="178"/>
      <c r="H39" s="181"/>
      <c r="I39" s="181"/>
      <c r="J39" s="193" t="n">
        <f aca="false">K39*J$8</f>
        <v>156.080925</v>
      </c>
      <c r="K39" s="193" t="n">
        <f aca="false">K$11*5.5*CMF*0.3*0.525*0.1</f>
        <v>156.080925</v>
      </c>
      <c r="L39" s="181" t="n">
        <f aca="false">+K39/K$11</f>
        <v>0.0952875</v>
      </c>
      <c r="M39" s="193" t="n">
        <f aca="false">N39*N$8</f>
        <v>6970.4712</v>
      </c>
      <c r="N39" s="193" t="n">
        <f aca="false">N$11*5.5*CMF*0.3*0.525*0.1</f>
        <v>96.8121</v>
      </c>
      <c r="O39" s="181" t="n">
        <f aca="false">+N39/N$11</f>
        <v>0.0952875</v>
      </c>
      <c r="P39" s="193" t="n">
        <f aca="false">Q39*Q$8</f>
        <v>7050.6079875</v>
      </c>
      <c r="Q39" s="193" t="n">
        <f aca="false">Q$11*5.5*CMF*0.3*0.525*0.1</f>
        <v>115.5837375</v>
      </c>
      <c r="R39" s="181" t="n">
        <f aca="false">+Q39/Q$11</f>
        <v>0.0952875</v>
      </c>
      <c r="S39" s="194" t="n">
        <f aca="false">+P39+M39</f>
        <v>14021.0791875</v>
      </c>
      <c r="T39" s="195" t="n">
        <f aca="false">+S39/S$8</f>
        <v>105.421648026316</v>
      </c>
      <c r="U39" s="181" t="n">
        <f aca="false">+S39/U$8</f>
        <v>0.0952875</v>
      </c>
      <c r="V39" s="185" t="n">
        <f aca="false">+S39/TotalCost</f>
        <v>0.00110202374281122</v>
      </c>
      <c r="W39" s="186" t="n">
        <f aca="false">+$S39/TotalValue</f>
        <v>0.000904585782045237</v>
      </c>
      <c r="X39" s="187"/>
      <c r="Y39" s="188"/>
      <c r="Z39" s="186"/>
      <c r="AA39" s="186"/>
      <c r="AB39" s="196"/>
      <c r="AC39" s="126"/>
      <c r="AD39" s="186"/>
      <c r="AE39" s="127"/>
      <c r="AF39" s="203" t="s">
        <v>210</v>
      </c>
      <c r="AG39" s="178"/>
      <c r="AH39" s="178"/>
      <c r="AI39" s="178"/>
      <c r="AJ39" s="178"/>
      <c r="AK39" s="178" t="n">
        <f aca="false">SUM(AG39:AJ39)</f>
        <v>0</v>
      </c>
      <c r="AL39" s="178"/>
      <c r="AM39" s="178"/>
      <c r="AN39" s="178"/>
      <c r="AO39" s="178"/>
      <c r="AP39" s="178" t="n">
        <f aca="false">SUM(AL39:AO39)</f>
        <v>0</v>
      </c>
      <c r="AQ39" s="178"/>
      <c r="AR39" s="191"/>
      <c r="AS39" s="191"/>
      <c r="AT39" s="191"/>
      <c r="AU39" s="178" t="n">
        <f aca="false">SUM(AQ39:AT39)</f>
        <v>0</v>
      </c>
      <c r="AV39" s="178" t="n">
        <f aca="false">$S39/8</f>
        <v>1752.6348984375</v>
      </c>
      <c r="AW39" s="191"/>
      <c r="AX39" s="191"/>
      <c r="AY39" s="178" t="n">
        <f aca="false">$S39/8</f>
        <v>1752.6348984375</v>
      </c>
      <c r="AZ39" s="178" t="n">
        <f aca="false">SUM(AV39:AY39)</f>
        <v>3505.269796875</v>
      </c>
      <c r="BA39" s="191"/>
      <c r="BB39" s="191"/>
      <c r="BC39" s="178" t="n">
        <f aca="false">$S39/8</f>
        <v>1752.6348984375</v>
      </c>
      <c r="BD39" s="191"/>
      <c r="BE39" s="178" t="n">
        <f aca="false">SUM(BA39:BD39)</f>
        <v>1752.6348984375</v>
      </c>
      <c r="BF39" s="191"/>
      <c r="BG39" s="178" t="n">
        <f aca="false">$S39/8</f>
        <v>1752.6348984375</v>
      </c>
      <c r="BH39" s="191"/>
      <c r="BI39" s="191"/>
      <c r="BJ39" s="178" t="n">
        <f aca="false">SUM(BF39:BI39)</f>
        <v>1752.6348984375</v>
      </c>
      <c r="BK39" s="178" t="n">
        <f aca="false">$S39/8</f>
        <v>1752.6348984375</v>
      </c>
      <c r="BL39" s="191"/>
      <c r="BM39" s="191"/>
      <c r="BN39" s="178" t="n">
        <f aca="false">$S39/8</f>
        <v>1752.6348984375</v>
      </c>
      <c r="BO39" s="178" t="n">
        <f aca="false">SUM(BK39:BN39)</f>
        <v>3505.269796875</v>
      </c>
      <c r="BP39" s="191"/>
      <c r="BQ39" s="191"/>
      <c r="BR39" s="178" t="n">
        <f aca="false">$S39/8</f>
        <v>1752.6348984375</v>
      </c>
      <c r="BS39" s="191"/>
      <c r="BT39" s="178" t="n">
        <f aca="false">SUM(BP39:BS39)</f>
        <v>1752.6348984375</v>
      </c>
      <c r="BU39" s="191"/>
      <c r="BV39" s="178" t="n">
        <f aca="false">$S39/8</f>
        <v>1752.6348984375</v>
      </c>
      <c r="BW39" s="191"/>
      <c r="BX39" s="191"/>
      <c r="BY39" s="178" t="n">
        <f aca="false">SUM(BU39:BX39)</f>
        <v>1752.6348984375</v>
      </c>
      <c r="BZ39" s="191"/>
      <c r="CA39" s="191"/>
      <c r="CB39" s="191"/>
      <c r="CC39" s="191"/>
      <c r="CD39" s="178" t="n">
        <f aca="false">SUM(BZ39:CC39)</f>
        <v>0</v>
      </c>
      <c r="CE39" s="191"/>
      <c r="CF39" s="191"/>
      <c r="CG39" s="191"/>
      <c r="CH39" s="191"/>
      <c r="CI39" s="178" t="n">
        <f aca="false">SUM(CE39:CH39)</f>
        <v>0</v>
      </c>
      <c r="CJ39" s="191"/>
      <c r="CK39" s="191"/>
      <c r="CL39" s="191"/>
      <c r="CM39" s="191"/>
      <c r="CN39" s="178" t="n">
        <f aca="false">SUM(CJ39:CM39)</f>
        <v>0</v>
      </c>
      <c r="CO39" s="191" t="n">
        <f aca="false">+CN39+CI39+CD39+BY39+BT39+BO39+BJ39+BE39+AZ39+AU39+AP39+AK39</f>
        <v>14021.0791875</v>
      </c>
      <c r="CP39" s="191" t="n">
        <f aca="false">S39</f>
        <v>14021.0791875</v>
      </c>
      <c r="CQ39" s="192" t="n">
        <f aca="false">+CO39/CP39</f>
        <v>1</v>
      </c>
    </row>
    <row r="40" customFormat="false" ht="12.75" hidden="false" customHeight="false" outlineLevel="0" collapsed="false">
      <c r="A40" s="177" t="s">
        <v>211</v>
      </c>
      <c r="B40" s="177" t="s">
        <v>212</v>
      </c>
      <c r="C40" s="193" t="n">
        <f aca="false">(120+80+70+40)</f>
        <v>310</v>
      </c>
      <c r="D40" s="180" t="s">
        <v>213</v>
      </c>
      <c r="E40" s="209"/>
      <c r="F40" s="181"/>
      <c r="G40" s="178"/>
      <c r="H40" s="181"/>
      <c r="I40" s="181"/>
      <c r="J40" s="193" t="n">
        <f aca="false">(120+4*80+70+4*40)*CMF</f>
        <v>737</v>
      </c>
      <c r="K40" s="193" t="n">
        <f aca="false">(120+80+70+40)*CMF</f>
        <v>341</v>
      </c>
      <c r="L40" s="181" t="n">
        <f aca="false">+K40/K$11</f>
        <v>0.208180708180708</v>
      </c>
      <c r="M40" s="193" t="n">
        <f aca="false">N40*N$8</f>
        <v>53064</v>
      </c>
      <c r="N40" s="193" t="n">
        <f aca="false">(120+4*80+70+4*40)*CMF</f>
        <v>737</v>
      </c>
      <c r="O40" s="181" t="n">
        <f aca="false">+N40/N$11</f>
        <v>0.725393700787402</v>
      </c>
      <c r="P40" s="193" t="n">
        <f aca="false">Q40*Q$8</f>
        <v>44957</v>
      </c>
      <c r="Q40" s="193" t="n">
        <f aca="false">(120+4*80+70+4*40)*CMF</f>
        <v>737</v>
      </c>
      <c r="R40" s="181" t="n">
        <f aca="false">+Q40/Q$11</f>
        <v>0.607584501236604</v>
      </c>
      <c r="S40" s="194" t="n">
        <f aca="false">+P40+M40</f>
        <v>98021</v>
      </c>
      <c r="T40" s="195" t="n">
        <f aca="false">+S40/S$8</f>
        <v>737</v>
      </c>
      <c r="U40" s="181" t="n">
        <f aca="false">+S40/U$8</f>
        <v>0.666152434673282</v>
      </c>
      <c r="V40" s="185" t="n">
        <f aca="false">+S40/TotalCost</f>
        <v>0.00770421932930822</v>
      </c>
      <c r="W40" s="186" t="n">
        <f aca="false">+$S40/TotalValue</f>
        <v>0.00632393567970898</v>
      </c>
      <c r="X40" s="187"/>
      <c r="Y40" s="188"/>
      <c r="Z40" s="186"/>
      <c r="AA40" s="186"/>
      <c r="AB40" s="196"/>
      <c r="AC40" s="126"/>
      <c r="AD40" s="186"/>
      <c r="AE40" s="127"/>
      <c r="AF40" s="203" t="s">
        <v>212</v>
      </c>
      <c r="AG40" s="178"/>
      <c r="AH40" s="178"/>
      <c r="AI40" s="178"/>
      <c r="AJ40" s="178"/>
      <c r="AK40" s="178" t="n">
        <f aca="false">SUM(AG40:AJ40)</f>
        <v>0</v>
      </c>
      <c r="AL40" s="178"/>
      <c r="AM40" s="178"/>
      <c r="AN40" s="178"/>
      <c r="AO40" s="178"/>
      <c r="AP40" s="178" t="n">
        <f aca="false">SUM(AL40:AO40)</f>
        <v>0</v>
      </c>
      <c r="AQ40" s="178"/>
      <c r="AR40" s="191"/>
      <c r="AS40" s="178" t="n">
        <f aca="false">$S40/8</f>
        <v>12252.625</v>
      </c>
      <c r="AT40" s="191"/>
      <c r="AU40" s="178" t="n">
        <f aca="false">SUM(AQ40:AT40)</f>
        <v>12252.625</v>
      </c>
      <c r="AV40" s="191"/>
      <c r="AW40" s="178" t="n">
        <f aca="false">$S40/8</f>
        <v>12252.625</v>
      </c>
      <c r="AX40" s="191"/>
      <c r="AY40" s="191"/>
      <c r="AZ40" s="178" t="n">
        <f aca="false">SUM(AV40:AY40)</f>
        <v>12252.625</v>
      </c>
      <c r="BA40" s="178" t="n">
        <f aca="false">$S40/8</f>
        <v>12252.625</v>
      </c>
      <c r="BB40" s="191"/>
      <c r="BC40" s="191"/>
      <c r="BD40" s="178" t="n">
        <f aca="false">$S40/8</f>
        <v>12252.625</v>
      </c>
      <c r="BE40" s="178" t="n">
        <f aca="false">SUM(BA40:BD40)</f>
        <v>24505.25</v>
      </c>
      <c r="BF40" s="191"/>
      <c r="BG40" s="191"/>
      <c r="BH40" s="178" t="n">
        <f aca="false">$S40/8</f>
        <v>12252.625</v>
      </c>
      <c r="BI40" s="191"/>
      <c r="BJ40" s="178" t="n">
        <f aca="false">SUM(BF40:BI40)</f>
        <v>12252.625</v>
      </c>
      <c r="BK40" s="191"/>
      <c r="BL40" s="178" t="n">
        <f aca="false">$S40/8</f>
        <v>12252.625</v>
      </c>
      <c r="BM40" s="191"/>
      <c r="BN40" s="191"/>
      <c r="BO40" s="178" t="n">
        <f aca="false">SUM(BK40:BN40)</f>
        <v>12252.625</v>
      </c>
      <c r="BP40" s="178" t="n">
        <f aca="false">$S40/8</f>
        <v>12252.625</v>
      </c>
      <c r="BQ40" s="191"/>
      <c r="BR40" s="191"/>
      <c r="BS40" s="178" t="n">
        <f aca="false">$S40/8</f>
        <v>12252.625</v>
      </c>
      <c r="BT40" s="178" t="n">
        <f aca="false">SUM(BP40:BS40)</f>
        <v>24505.25</v>
      </c>
      <c r="BU40" s="191"/>
      <c r="BV40" s="191"/>
      <c r="BW40" s="191"/>
      <c r="BX40" s="191"/>
      <c r="BY40" s="178" t="n">
        <f aca="false">SUM(BU40:BX40)</f>
        <v>0</v>
      </c>
      <c r="BZ40" s="191"/>
      <c r="CA40" s="191"/>
      <c r="CB40" s="191"/>
      <c r="CC40" s="191"/>
      <c r="CD40" s="178" t="n">
        <f aca="false">SUM(BZ40:CC40)</f>
        <v>0</v>
      </c>
      <c r="CE40" s="191"/>
      <c r="CF40" s="191"/>
      <c r="CG40" s="191"/>
      <c r="CH40" s="191"/>
      <c r="CI40" s="178" t="n">
        <f aca="false">SUM(CE40:CH40)</f>
        <v>0</v>
      </c>
      <c r="CJ40" s="191"/>
      <c r="CK40" s="191"/>
      <c r="CL40" s="191"/>
      <c r="CM40" s="191"/>
      <c r="CN40" s="178" t="n">
        <f aca="false">SUM(CJ40:CM40)</f>
        <v>0</v>
      </c>
      <c r="CO40" s="191" t="n">
        <f aca="false">+CN40+CI40+CD40+BY40+BT40+BO40+BJ40+BE40+AZ40+AU40+AP40+AK40</f>
        <v>98021</v>
      </c>
      <c r="CP40" s="191" t="n">
        <f aca="false">S40</f>
        <v>98021</v>
      </c>
      <c r="CQ40" s="192" t="n">
        <f aca="false">+CO40/CP40</f>
        <v>1</v>
      </c>
    </row>
    <row r="41" customFormat="false" ht="12.75" hidden="false" customHeight="false" outlineLevel="0" collapsed="false">
      <c r="A41" s="177" t="s">
        <v>198</v>
      </c>
      <c r="B41" s="177" t="s">
        <v>214</v>
      </c>
      <c r="C41" s="211" t="n">
        <f aca="false">((75+46+13)*2+180+70)</f>
        <v>518</v>
      </c>
      <c r="D41" s="180" t="s">
        <v>213</v>
      </c>
      <c r="E41" s="209"/>
      <c r="F41" s="181"/>
      <c r="G41" s="178"/>
      <c r="H41" s="181"/>
      <c r="I41" s="181"/>
      <c r="J41" s="193" t="n">
        <f aca="false">K41*J$8</f>
        <v>569.8</v>
      </c>
      <c r="K41" s="211" t="n">
        <f aca="false">((75+46+13)*2+180+70)*CMF</f>
        <v>569.8</v>
      </c>
      <c r="L41" s="181" t="n">
        <f aca="false">+K41/K$11</f>
        <v>0.347863247863248</v>
      </c>
      <c r="M41" s="193" t="n">
        <f aca="false">N41*N$8</f>
        <v>41025.6</v>
      </c>
      <c r="N41" s="211" t="n">
        <f aca="false">((75+46+13)*2+180+70)*CMF</f>
        <v>569.8</v>
      </c>
      <c r="O41" s="181" t="n">
        <f aca="false">+N41/N$11</f>
        <v>0.560826771653543</v>
      </c>
      <c r="P41" s="193" t="n">
        <f aca="false">Q41*Q$8</f>
        <v>34757.8</v>
      </c>
      <c r="Q41" s="211" t="n">
        <f aca="false">((75+46+13)*2+180+70)*CMF</f>
        <v>569.8</v>
      </c>
      <c r="R41" s="181" t="n">
        <f aca="false">+Q41/Q$11</f>
        <v>0.469744435284419</v>
      </c>
      <c r="S41" s="194" t="n">
        <f aca="false">+P41+M41</f>
        <v>75783.4</v>
      </c>
      <c r="T41" s="195" t="n">
        <f aca="false">+S41/S$8</f>
        <v>569.8</v>
      </c>
      <c r="U41" s="181" t="n">
        <f aca="false">+S41/U$8</f>
        <v>0.515025315165313</v>
      </c>
      <c r="V41" s="185" t="n">
        <f aca="false">+S41/TotalCost</f>
        <v>0.00595639643668904</v>
      </c>
      <c r="W41" s="186" t="n">
        <f aca="false">+$S41/TotalValue</f>
        <v>0.00488925176431231</v>
      </c>
      <c r="X41" s="187"/>
      <c r="Y41" s="188"/>
      <c r="Z41" s="186"/>
      <c r="AA41" s="186"/>
      <c r="AB41" s="196"/>
      <c r="AC41" s="126"/>
      <c r="AD41" s="186"/>
      <c r="AE41" s="127"/>
      <c r="AF41" s="203" t="s">
        <v>214</v>
      </c>
      <c r="AG41" s="178"/>
      <c r="AH41" s="178"/>
      <c r="AI41" s="178"/>
      <c r="AJ41" s="178"/>
      <c r="AK41" s="178" t="n">
        <f aca="false">SUM(AG41:AJ41)</f>
        <v>0</v>
      </c>
      <c r="AL41" s="178"/>
      <c r="AM41" s="178"/>
      <c r="AN41" s="178"/>
      <c r="AO41" s="178"/>
      <c r="AP41" s="178" t="n">
        <f aca="false">SUM(AL41:AO41)</f>
        <v>0</v>
      </c>
      <c r="AQ41" s="178"/>
      <c r="AR41" s="191"/>
      <c r="AS41" s="191"/>
      <c r="AT41" s="178" t="n">
        <f aca="false">$S41/8</f>
        <v>9472.925</v>
      </c>
      <c r="AU41" s="178" t="n">
        <f aca="false">SUM(AQ41:AT41)</f>
        <v>9472.925</v>
      </c>
      <c r="AV41" s="191"/>
      <c r="AW41" s="191"/>
      <c r="AX41" s="178" t="n">
        <f aca="false">$S41/8</f>
        <v>9472.925</v>
      </c>
      <c r="AY41" s="191"/>
      <c r="AZ41" s="178" t="n">
        <f aca="false">SUM(AV41:AY41)</f>
        <v>9472.925</v>
      </c>
      <c r="BA41" s="191"/>
      <c r="BB41" s="178" t="n">
        <f aca="false">$S41/8</f>
        <v>9472.925</v>
      </c>
      <c r="BC41" s="191"/>
      <c r="BD41" s="191"/>
      <c r="BE41" s="178" t="n">
        <f aca="false">SUM(BA41:BD41)</f>
        <v>9472.925</v>
      </c>
      <c r="BF41" s="178" t="n">
        <f aca="false">$S41/8</f>
        <v>9472.925</v>
      </c>
      <c r="BG41" s="191"/>
      <c r="BH41" s="191"/>
      <c r="BI41" s="178" t="n">
        <f aca="false">$S41/8</f>
        <v>9472.925</v>
      </c>
      <c r="BJ41" s="178" t="n">
        <f aca="false">SUM(BF41:BI41)</f>
        <v>18945.85</v>
      </c>
      <c r="BK41" s="191"/>
      <c r="BL41" s="191"/>
      <c r="BM41" s="178" t="n">
        <f aca="false">$S41/8</f>
        <v>9472.925</v>
      </c>
      <c r="BN41" s="191"/>
      <c r="BO41" s="178" t="n">
        <f aca="false">SUM(BK41:BN41)</f>
        <v>9472.925</v>
      </c>
      <c r="BP41" s="191"/>
      <c r="BQ41" s="178" t="n">
        <f aca="false">$S41/8</f>
        <v>9472.925</v>
      </c>
      <c r="BR41" s="191"/>
      <c r="BS41" s="191"/>
      <c r="BT41" s="178" t="n">
        <f aca="false">SUM(BP41:BS41)</f>
        <v>9472.925</v>
      </c>
      <c r="BU41" s="178" t="n">
        <f aca="false">$S41/8</f>
        <v>9472.925</v>
      </c>
      <c r="BV41" s="191"/>
      <c r="BW41" s="191"/>
      <c r="BX41" s="191"/>
      <c r="BY41" s="178" t="n">
        <f aca="false">SUM(BU41:BX41)</f>
        <v>9472.925</v>
      </c>
      <c r="BZ41" s="191"/>
      <c r="CA41" s="191"/>
      <c r="CB41" s="191"/>
      <c r="CC41" s="191"/>
      <c r="CD41" s="178" t="n">
        <f aca="false">SUM(BZ41:CC41)</f>
        <v>0</v>
      </c>
      <c r="CE41" s="191"/>
      <c r="CF41" s="191"/>
      <c r="CG41" s="191"/>
      <c r="CH41" s="191"/>
      <c r="CI41" s="178" t="n">
        <f aca="false">SUM(CE41:CH41)</f>
        <v>0</v>
      </c>
      <c r="CJ41" s="191"/>
      <c r="CK41" s="191"/>
      <c r="CL41" s="191"/>
      <c r="CM41" s="191"/>
      <c r="CN41" s="178" t="n">
        <f aca="false">SUM(CJ41:CM41)</f>
        <v>0</v>
      </c>
      <c r="CO41" s="191" t="n">
        <f aca="false">+CN41+CI41+CD41+BY41+BT41+BO41+BJ41+BE41+AZ41+AU41+AP41+AK41</f>
        <v>75783.4</v>
      </c>
      <c r="CP41" s="191" t="n">
        <f aca="false">S41</f>
        <v>75783.4</v>
      </c>
      <c r="CQ41" s="192" t="n">
        <f aca="false">+CO41/CP41</f>
        <v>1</v>
      </c>
    </row>
    <row r="42" customFormat="false" ht="12.75" hidden="false" customHeight="false" outlineLevel="0" collapsed="false">
      <c r="A42" s="177"/>
      <c r="B42" s="199" t="s">
        <v>215</v>
      </c>
      <c r="C42" s="198" t="s">
        <v>216</v>
      </c>
      <c r="D42" s="180"/>
      <c r="E42" s="180"/>
      <c r="F42" s="181"/>
      <c r="G42" s="178"/>
      <c r="H42" s="181"/>
      <c r="I42" s="181"/>
      <c r="J42" s="193"/>
      <c r="K42" s="207"/>
      <c r="L42" s="181"/>
      <c r="M42" s="193"/>
      <c r="N42" s="212"/>
      <c r="O42" s="181"/>
      <c r="P42" s="193"/>
      <c r="Q42" s="193"/>
      <c r="R42" s="181"/>
      <c r="S42" s="194" t="n">
        <f aca="false">+P42+M42</f>
        <v>0</v>
      </c>
      <c r="T42" s="195"/>
      <c r="U42" s="181" t="n">
        <f aca="false">+S42/U$8</f>
        <v>0</v>
      </c>
      <c r="V42" s="186"/>
      <c r="W42" s="186"/>
      <c r="X42" s="187"/>
      <c r="Y42" s="188"/>
      <c r="Z42" s="186"/>
      <c r="AA42" s="186"/>
      <c r="AB42" s="196"/>
      <c r="AC42" s="126"/>
      <c r="AD42" s="186"/>
      <c r="AE42" s="127"/>
      <c r="AF42" s="200" t="s">
        <v>215</v>
      </c>
      <c r="AG42" s="178"/>
      <c r="AH42" s="178"/>
      <c r="AI42" s="178"/>
      <c r="AJ42" s="178"/>
      <c r="AK42" s="178" t="n">
        <f aca="false">SUM(AG42:AJ42)</f>
        <v>0</v>
      </c>
      <c r="AL42" s="178"/>
      <c r="AM42" s="191"/>
      <c r="AN42" s="191"/>
      <c r="AO42" s="191"/>
      <c r="AP42" s="178" t="n">
        <f aca="false">SUM(AL42:AO42)</f>
        <v>0</v>
      </c>
      <c r="AQ42" s="191"/>
      <c r="AR42" s="191"/>
      <c r="AS42" s="191"/>
      <c r="AT42" s="191"/>
      <c r="AU42" s="178" t="n">
        <f aca="false">SUM(AQ42:AT42)</f>
        <v>0</v>
      </c>
      <c r="AV42" s="191"/>
      <c r="AW42" s="191"/>
      <c r="AX42" s="191"/>
      <c r="AY42" s="191"/>
      <c r="AZ42" s="178" t="n">
        <f aca="false">SUM(AV42:AY42)</f>
        <v>0</v>
      </c>
      <c r="BA42" s="191"/>
      <c r="BB42" s="191"/>
      <c r="BC42" s="191"/>
      <c r="BD42" s="191"/>
      <c r="BE42" s="178" t="n">
        <f aca="false">SUM(BA42:BD42)</f>
        <v>0</v>
      </c>
      <c r="BF42" s="191"/>
      <c r="BG42" s="191"/>
      <c r="BH42" s="191"/>
      <c r="BI42" s="191"/>
      <c r="BJ42" s="178" t="n">
        <f aca="false">SUM(BF42:BI42)</f>
        <v>0</v>
      </c>
      <c r="BK42" s="191"/>
      <c r="BL42" s="191"/>
      <c r="BM42" s="191"/>
      <c r="BN42" s="191"/>
      <c r="BO42" s="178" t="n">
        <f aca="false">SUM(BK42:BN42)</f>
        <v>0</v>
      </c>
      <c r="BP42" s="191"/>
      <c r="BQ42" s="191"/>
      <c r="BR42" s="191"/>
      <c r="BS42" s="191"/>
      <c r="BT42" s="178" t="n">
        <f aca="false">SUM(BP42:BS42)</f>
        <v>0</v>
      </c>
      <c r="BU42" s="191"/>
      <c r="BV42" s="191"/>
      <c r="BW42" s="191"/>
      <c r="BX42" s="191"/>
      <c r="BY42" s="178" t="n">
        <f aca="false">SUM(BU42:BX42)</f>
        <v>0</v>
      </c>
      <c r="BZ42" s="191"/>
      <c r="CA42" s="191"/>
      <c r="CB42" s="191"/>
      <c r="CC42" s="191"/>
      <c r="CD42" s="178" t="n">
        <f aca="false">SUM(BZ42:CC42)</f>
        <v>0</v>
      </c>
      <c r="CE42" s="191"/>
      <c r="CF42" s="191"/>
      <c r="CG42" s="191"/>
      <c r="CH42" s="191"/>
      <c r="CI42" s="178" t="n">
        <f aca="false">SUM(CE42:CH42)</f>
        <v>0</v>
      </c>
      <c r="CJ42" s="191"/>
      <c r="CK42" s="191"/>
      <c r="CL42" s="191"/>
      <c r="CM42" s="191"/>
      <c r="CN42" s="178" t="n">
        <f aca="false">SUM(CJ42:CM42)</f>
        <v>0</v>
      </c>
      <c r="CO42" s="191" t="n">
        <f aca="false">+CN42+CI42+CD42+BY42+BT42+BO42+BJ42+BE42+AZ42+AU42+AP42+AK42</f>
        <v>0</v>
      </c>
      <c r="CP42" s="191"/>
      <c r="CQ42" s="192"/>
    </row>
    <row r="43" customFormat="false" ht="12.75" hidden="false" customHeight="false" outlineLevel="0" collapsed="false">
      <c r="A43" s="177" t="s">
        <v>217</v>
      </c>
      <c r="B43" s="177" t="s">
        <v>218</v>
      </c>
      <c r="C43" s="198" t="n">
        <v>2</v>
      </c>
      <c r="D43" s="209" t="s">
        <v>167</v>
      </c>
      <c r="E43" s="209"/>
      <c r="F43" s="181"/>
      <c r="G43" s="177"/>
      <c r="H43" s="181"/>
      <c r="I43" s="181"/>
      <c r="J43" s="193" t="n">
        <f aca="false">K43*J$8</f>
        <v>900</v>
      </c>
      <c r="K43" s="193" t="n">
        <f aca="false">(26-8+15+26-14)*10*$C43</f>
        <v>900</v>
      </c>
      <c r="L43" s="181" t="n">
        <f aca="false">+K43/K$11</f>
        <v>0.54945054945055</v>
      </c>
      <c r="M43" s="193" t="n">
        <f aca="false">N43*N$8</f>
        <v>43200</v>
      </c>
      <c r="N43" s="193" t="n">
        <f aca="false">15*20*$C43</f>
        <v>600</v>
      </c>
      <c r="O43" s="181" t="n">
        <f aca="false">+N43/N$11</f>
        <v>0.590551181102362</v>
      </c>
      <c r="P43" s="193" t="n">
        <f aca="false">Q43*Q$8</f>
        <v>54900</v>
      </c>
      <c r="Q43" s="193" t="n">
        <f aca="false">(26-8+15+26-14)*10*$C43</f>
        <v>900</v>
      </c>
      <c r="R43" s="181" t="n">
        <f aca="false">+Q43/Q$11</f>
        <v>0.741962077493817</v>
      </c>
      <c r="S43" s="194" t="n">
        <f aca="false">+P43+M43</f>
        <v>98100</v>
      </c>
      <c r="T43" s="195" t="n">
        <f aca="false">+S43/S$8</f>
        <v>737.593984962406</v>
      </c>
      <c r="U43" s="181" t="n">
        <f aca="false">+S43/U$8</f>
        <v>0.666689320058446</v>
      </c>
      <c r="V43" s="185" t="n">
        <f aca="false">+S43/TotalCost</f>
        <v>0.00771042854291566</v>
      </c>
      <c r="W43" s="186" t="n">
        <f aca="false">+$S43/TotalValue</f>
        <v>0.00632903245406036</v>
      </c>
      <c r="X43" s="187"/>
      <c r="Y43" s="188"/>
      <c r="Z43" s="186"/>
      <c r="AA43" s="186"/>
      <c r="AB43" s="196"/>
      <c r="AC43" s="126"/>
      <c r="AD43" s="186"/>
      <c r="AE43" s="127"/>
      <c r="AF43" s="203" t="s">
        <v>218</v>
      </c>
      <c r="AG43" s="178"/>
      <c r="AH43" s="178"/>
      <c r="AI43" s="178"/>
      <c r="AJ43" s="178"/>
      <c r="AK43" s="178" t="n">
        <f aca="false">SUM(AG43:AJ43)</f>
        <v>0</v>
      </c>
      <c r="AL43" s="178"/>
      <c r="AM43" s="178"/>
      <c r="AN43" s="178"/>
      <c r="AO43" s="178"/>
      <c r="AP43" s="178" t="n">
        <f aca="false">SUM(AL43:AO43)</f>
        <v>0</v>
      </c>
      <c r="AQ43" s="178"/>
      <c r="AR43" s="178"/>
      <c r="AS43" s="178"/>
      <c r="AT43" s="191"/>
      <c r="AU43" s="178" t="n">
        <f aca="false">SUM(AQ43:AT43)</f>
        <v>0</v>
      </c>
      <c r="AV43" s="191"/>
      <c r="AW43" s="191"/>
      <c r="AX43" s="178" t="n">
        <f aca="false">$S43/8</f>
        <v>12262.5</v>
      </c>
      <c r="AY43" s="191"/>
      <c r="AZ43" s="178" t="n">
        <f aca="false">SUM(AV43:AY43)</f>
        <v>12262.5</v>
      </c>
      <c r="BA43" s="191"/>
      <c r="BB43" s="178" t="n">
        <f aca="false">$S43/8</f>
        <v>12262.5</v>
      </c>
      <c r="BC43" s="191"/>
      <c r="BD43" s="191"/>
      <c r="BE43" s="178" t="n">
        <f aca="false">SUM(BA43:BD43)</f>
        <v>12262.5</v>
      </c>
      <c r="BF43" s="178" t="n">
        <f aca="false">$S43/8</f>
        <v>12262.5</v>
      </c>
      <c r="BG43" s="191"/>
      <c r="BH43" s="191"/>
      <c r="BI43" s="178" t="n">
        <f aca="false">$S43/8</f>
        <v>12262.5</v>
      </c>
      <c r="BJ43" s="178" t="n">
        <f aca="false">SUM(BF43:BI43)</f>
        <v>24525</v>
      </c>
      <c r="BK43" s="191"/>
      <c r="BL43" s="191"/>
      <c r="BM43" s="178" t="n">
        <f aca="false">$S43/8</f>
        <v>12262.5</v>
      </c>
      <c r="BN43" s="191"/>
      <c r="BO43" s="178" t="n">
        <f aca="false">SUM(BK43:BN43)</f>
        <v>12262.5</v>
      </c>
      <c r="BP43" s="191"/>
      <c r="BQ43" s="178" t="n">
        <f aca="false">$S43/8</f>
        <v>12262.5</v>
      </c>
      <c r="BR43" s="191"/>
      <c r="BS43" s="191"/>
      <c r="BT43" s="178" t="n">
        <f aca="false">SUM(BP43:BS43)</f>
        <v>12262.5</v>
      </c>
      <c r="BU43" s="178" t="n">
        <f aca="false">$S43/8</f>
        <v>12262.5</v>
      </c>
      <c r="BV43" s="191"/>
      <c r="BW43" s="191"/>
      <c r="BX43" s="178" t="n">
        <f aca="false">$S43/8</f>
        <v>12262.5</v>
      </c>
      <c r="BY43" s="178" t="n">
        <f aca="false">SUM(BU43:BX43)</f>
        <v>24525</v>
      </c>
      <c r="BZ43" s="191"/>
      <c r="CA43" s="191"/>
      <c r="CB43" s="191"/>
      <c r="CC43" s="191"/>
      <c r="CD43" s="178" t="n">
        <f aca="false">SUM(BZ43:CC43)</f>
        <v>0</v>
      </c>
      <c r="CE43" s="191"/>
      <c r="CF43" s="191"/>
      <c r="CG43" s="191"/>
      <c r="CH43" s="191"/>
      <c r="CI43" s="178" t="n">
        <f aca="false">SUM(CE43:CH43)</f>
        <v>0</v>
      </c>
      <c r="CJ43" s="191"/>
      <c r="CK43" s="191"/>
      <c r="CL43" s="191"/>
      <c r="CM43" s="191"/>
      <c r="CN43" s="178" t="n">
        <f aca="false">SUM(CJ43:CM43)</f>
        <v>0</v>
      </c>
      <c r="CO43" s="191" t="n">
        <f aca="false">+CN43+CI43+CD43+BY43+BT43+BO43+BJ43+BE43+AZ43+AU43+AP43+AK43</f>
        <v>98100</v>
      </c>
      <c r="CP43" s="191" t="n">
        <f aca="false">S43</f>
        <v>98100</v>
      </c>
      <c r="CQ43" s="192" t="n">
        <f aca="false">+CO43/CP43</f>
        <v>1</v>
      </c>
    </row>
    <row r="44" customFormat="false" ht="12.75" hidden="false" customHeight="false" outlineLevel="0" collapsed="false">
      <c r="A44" s="177" t="s">
        <v>217</v>
      </c>
      <c r="B44" s="177" t="s">
        <v>219</v>
      </c>
      <c r="C44" s="198" t="n">
        <v>3.5</v>
      </c>
      <c r="D44" s="209" t="s">
        <v>167</v>
      </c>
      <c r="E44" s="209"/>
      <c r="F44" s="181"/>
      <c r="G44" s="177"/>
      <c r="H44" s="181"/>
      <c r="I44" s="181"/>
      <c r="J44" s="193" t="n">
        <f aca="false">K44*J$8</f>
        <v>1575</v>
      </c>
      <c r="K44" s="193" t="n">
        <f aca="false">(26-8+15+26-14)*10*$C44</f>
        <v>1575</v>
      </c>
      <c r="L44" s="181" t="n">
        <f aca="false">+K44/K$11</f>
        <v>0.961538461538462</v>
      </c>
      <c r="M44" s="193" t="n">
        <f aca="false">N44*N$8</f>
        <v>75600</v>
      </c>
      <c r="N44" s="193" t="n">
        <f aca="false">15*20*$C44</f>
        <v>1050</v>
      </c>
      <c r="O44" s="181" t="n">
        <f aca="false">+N44/N$11</f>
        <v>1.03346456692913</v>
      </c>
      <c r="P44" s="193" t="n">
        <f aca="false">Q44*Q$8</f>
        <v>96075</v>
      </c>
      <c r="Q44" s="193" t="n">
        <f aca="false">(26-8+15+26-14)*10*$C44</f>
        <v>1575</v>
      </c>
      <c r="R44" s="181" t="n">
        <f aca="false">+Q44/Q$11</f>
        <v>1.29843363561418</v>
      </c>
      <c r="S44" s="194" t="n">
        <f aca="false">+P44+M44</f>
        <v>171675</v>
      </c>
      <c r="T44" s="195" t="n">
        <f aca="false">+S44/S$8</f>
        <v>1290.78947368421</v>
      </c>
      <c r="U44" s="181" t="n">
        <f aca="false">+S44/U$8</f>
        <v>1.16670631010228</v>
      </c>
      <c r="V44" s="185" t="n">
        <f aca="false">+S44/TotalCost</f>
        <v>0.0134932499501024</v>
      </c>
      <c r="W44" s="186" t="n">
        <f aca="false">+$S44/TotalValue</f>
        <v>0.0110758067946056</v>
      </c>
      <c r="X44" s="187"/>
      <c r="Y44" s="188"/>
      <c r="Z44" s="186"/>
      <c r="AA44" s="186"/>
      <c r="AB44" s="196"/>
      <c r="AC44" s="126"/>
      <c r="AD44" s="186"/>
      <c r="AE44" s="127"/>
      <c r="AF44" s="203" t="s">
        <v>219</v>
      </c>
      <c r="AG44" s="178"/>
      <c r="AH44" s="178"/>
      <c r="AI44" s="178"/>
      <c r="AJ44" s="178"/>
      <c r="AK44" s="178" t="n">
        <f aca="false">SUM(AG44:AJ44)</f>
        <v>0</v>
      </c>
      <c r="AL44" s="178"/>
      <c r="AM44" s="178"/>
      <c r="AN44" s="178"/>
      <c r="AO44" s="178"/>
      <c r="AP44" s="178" t="n">
        <f aca="false">SUM(AL44:AO44)</f>
        <v>0</v>
      </c>
      <c r="AQ44" s="178"/>
      <c r="AR44" s="178"/>
      <c r="AS44" s="178"/>
      <c r="AT44" s="191"/>
      <c r="AU44" s="178" t="n">
        <f aca="false">SUM(AQ44:AT44)</f>
        <v>0</v>
      </c>
      <c r="AV44" s="191"/>
      <c r="AW44" s="191"/>
      <c r="AX44" s="178" t="n">
        <f aca="false">$S44/8</f>
        <v>21459.375</v>
      </c>
      <c r="AY44" s="191"/>
      <c r="AZ44" s="178" t="n">
        <f aca="false">SUM(AV44:AY44)</f>
        <v>21459.375</v>
      </c>
      <c r="BA44" s="191"/>
      <c r="BB44" s="178" t="n">
        <f aca="false">$S44/8</f>
        <v>21459.375</v>
      </c>
      <c r="BC44" s="191"/>
      <c r="BD44" s="191"/>
      <c r="BE44" s="178" t="n">
        <f aca="false">SUM(BA44:BD44)</f>
        <v>21459.375</v>
      </c>
      <c r="BF44" s="178" t="n">
        <f aca="false">$S44/8</f>
        <v>21459.375</v>
      </c>
      <c r="BG44" s="191"/>
      <c r="BH44" s="191"/>
      <c r="BI44" s="178" t="n">
        <f aca="false">$S44/8</f>
        <v>21459.375</v>
      </c>
      <c r="BJ44" s="178" t="n">
        <f aca="false">SUM(BF44:BI44)</f>
        <v>42918.75</v>
      </c>
      <c r="BK44" s="191"/>
      <c r="BL44" s="191"/>
      <c r="BM44" s="178" t="n">
        <f aca="false">$S44/8</f>
        <v>21459.375</v>
      </c>
      <c r="BN44" s="191"/>
      <c r="BO44" s="178" t="n">
        <f aca="false">SUM(BK44:BN44)</f>
        <v>21459.375</v>
      </c>
      <c r="BP44" s="191"/>
      <c r="BQ44" s="178" t="n">
        <f aca="false">$S44/8</f>
        <v>21459.375</v>
      </c>
      <c r="BR44" s="191"/>
      <c r="BS44" s="191"/>
      <c r="BT44" s="178" t="n">
        <f aca="false">SUM(BP44:BS44)</f>
        <v>21459.375</v>
      </c>
      <c r="BU44" s="178" t="n">
        <f aca="false">$S44/8</f>
        <v>21459.375</v>
      </c>
      <c r="BV44" s="191"/>
      <c r="BW44" s="191"/>
      <c r="BX44" s="178" t="n">
        <f aca="false">$S44/8</f>
        <v>21459.375</v>
      </c>
      <c r="BY44" s="178" t="n">
        <f aca="false">SUM(BU44:BX44)</f>
        <v>42918.75</v>
      </c>
      <c r="BZ44" s="191"/>
      <c r="CA44" s="191"/>
      <c r="CB44" s="191"/>
      <c r="CC44" s="191"/>
      <c r="CD44" s="178" t="n">
        <f aca="false">SUM(BZ44:CC44)</f>
        <v>0</v>
      </c>
      <c r="CE44" s="191"/>
      <c r="CF44" s="191"/>
      <c r="CG44" s="191"/>
      <c r="CH44" s="191"/>
      <c r="CI44" s="178" t="n">
        <f aca="false">SUM(CE44:CH44)</f>
        <v>0</v>
      </c>
      <c r="CJ44" s="191"/>
      <c r="CK44" s="191"/>
      <c r="CL44" s="191"/>
      <c r="CM44" s="191"/>
      <c r="CN44" s="178" t="n">
        <f aca="false">SUM(CJ44:CM44)</f>
        <v>0</v>
      </c>
      <c r="CO44" s="191" t="n">
        <f aca="false">+CN44+CI44+CD44+BY44+BT44+BO44+BJ44+BE44+AZ44+AU44+AP44+AK44</f>
        <v>171675</v>
      </c>
      <c r="CP44" s="191" t="n">
        <f aca="false">S44</f>
        <v>171675</v>
      </c>
      <c r="CQ44" s="192" t="n">
        <f aca="false">+CO44/CP44</f>
        <v>1</v>
      </c>
    </row>
    <row r="45" customFormat="false" ht="12.75" hidden="false" customHeight="false" outlineLevel="0" collapsed="false">
      <c r="A45" s="177"/>
      <c r="B45" s="213" t="s">
        <v>220</v>
      </c>
      <c r="C45" s="198"/>
      <c r="D45" s="180"/>
      <c r="E45" s="180"/>
      <c r="F45" s="181"/>
      <c r="G45" s="178"/>
      <c r="H45" s="181"/>
      <c r="I45" s="181"/>
      <c r="J45" s="193"/>
      <c r="K45" s="193"/>
      <c r="L45" s="181"/>
      <c r="M45" s="193"/>
      <c r="N45" s="193"/>
      <c r="O45" s="181"/>
      <c r="P45" s="193"/>
      <c r="Q45" s="193"/>
      <c r="R45" s="181"/>
      <c r="S45" s="194"/>
      <c r="T45" s="195"/>
      <c r="U45" s="181"/>
      <c r="V45" s="186"/>
      <c r="W45" s="186"/>
      <c r="X45" s="187"/>
      <c r="Y45" s="188"/>
      <c r="Z45" s="186"/>
      <c r="AA45" s="186"/>
      <c r="AB45" s="196"/>
      <c r="AC45" s="126"/>
      <c r="AD45" s="186"/>
      <c r="AE45" s="127"/>
      <c r="AF45" s="214" t="s">
        <v>220</v>
      </c>
      <c r="AG45" s="178"/>
      <c r="AH45" s="178"/>
      <c r="AI45" s="178"/>
      <c r="AJ45" s="178"/>
      <c r="AK45" s="178" t="n">
        <f aca="false">SUM(AG45:AJ45)</f>
        <v>0</v>
      </c>
      <c r="AL45" s="178"/>
      <c r="AM45" s="191"/>
      <c r="AN45" s="191"/>
      <c r="AO45" s="191"/>
      <c r="AP45" s="178" t="n">
        <f aca="false">SUM(AL45:AO45)</f>
        <v>0</v>
      </c>
      <c r="AQ45" s="191"/>
      <c r="AR45" s="191"/>
      <c r="AS45" s="191"/>
      <c r="AT45" s="191"/>
      <c r="AU45" s="178" t="n">
        <f aca="false">SUM(AQ45:AT45)</f>
        <v>0</v>
      </c>
      <c r="AV45" s="191"/>
      <c r="AW45" s="191"/>
      <c r="AX45" s="191"/>
      <c r="AY45" s="191"/>
      <c r="AZ45" s="178" t="n">
        <f aca="false">SUM(AV45:AY45)</f>
        <v>0</v>
      </c>
      <c r="BA45" s="191"/>
      <c r="BB45" s="191"/>
      <c r="BC45" s="191"/>
      <c r="BD45" s="191"/>
      <c r="BE45" s="178" t="n">
        <f aca="false">SUM(BA45:BD45)</f>
        <v>0</v>
      </c>
      <c r="BF45" s="191"/>
      <c r="BG45" s="191"/>
      <c r="BH45" s="191"/>
      <c r="BI45" s="191"/>
      <c r="BJ45" s="178" t="n">
        <f aca="false">SUM(BF45:BI45)</f>
        <v>0</v>
      </c>
      <c r="BK45" s="191"/>
      <c r="BL45" s="191"/>
      <c r="BM45" s="191"/>
      <c r="BN45" s="191"/>
      <c r="BO45" s="178" t="n">
        <f aca="false">SUM(BK45:BN45)</f>
        <v>0</v>
      </c>
      <c r="BP45" s="191"/>
      <c r="BQ45" s="191"/>
      <c r="BR45" s="191"/>
      <c r="BS45" s="191"/>
      <c r="BT45" s="178" t="n">
        <f aca="false">SUM(BP45:BS45)</f>
        <v>0</v>
      </c>
      <c r="BU45" s="191"/>
      <c r="BV45" s="191"/>
      <c r="BW45" s="191"/>
      <c r="BX45" s="191"/>
      <c r="BY45" s="178" t="n">
        <f aca="false">SUM(BU45:BX45)</f>
        <v>0</v>
      </c>
      <c r="BZ45" s="191"/>
      <c r="CA45" s="191"/>
      <c r="CB45" s="191"/>
      <c r="CC45" s="191"/>
      <c r="CD45" s="178" t="n">
        <f aca="false">SUM(BZ45:CC45)</f>
        <v>0</v>
      </c>
      <c r="CE45" s="191"/>
      <c r="CF45" s="191"/>
      <c r="CG45" s="191"/>
      <c r="CH45" s="191"/>
      <c r="CI45" s="178" t="n">
        <f aca="false">SUM(CE45:CH45)</f>
        <v>0</v>
      </c>
      <c r="CJ45" s="191"/>
      <c r="CK45" s="191"/>
      <c r="CL45" s="191"/>
      <c r="CM45" s="191"/>
      <c r="CN45" s="178" t="n">
        <f aca="false">SUM(CJ45:CM45)</f>
        <v>0</v>
      </c>
      <c r="CO45" s="191" t="n">
        <f aca="false">+CN45+CI45+CD45+BY45+BT45+BO45+BJ45+BE45+AZ45+AU45+AP45+AK45</f>
        <v>0</v>
      </c>
      <c r="CP45" s="191"/>
      <c r="CQ45" s="192"/>
    </row>
    <row r="46" customFormat="false" ht="14.45" hidden="false" customHeight="true" outlineLevel="0" collapsed="false">
      <c r="A46" s="177" t="s">
        <v>221</v>
      </c>
      <c r="B46" s="178" t="s">
        <v>218</v>
      </c>
      <c r="C46" s="198" t="n">
        <v>23.5</v>
      </c>
      <c r="D46" s="180" t="s">
        <v>222</v>
      </c>
      <c r="E46" s="180"/>
      <c r="F46" s="181"/>
      <c r="G46" s="178"/>
      <c r="H46" s="181"/>
      <c r="I46" s="181"/>
      <c r="J46" s="193" t="n">
        <f aca="false">K46*J$8</f>
        <v>689.5746</v>
      </c>
      <c r="K46" s="193" t="n">
        <f aca="false">((L$11*1.2)/100*23.5)*CMF</f>
        <v>689.5746</v>
      </c>
      <c r="L46" s="181" t="n">
        <f aca="false">+K46/K$11</f>
        <v>0.420985714285714</v>
      </c>
      <c r="M46" s="193" t="n">
        <f aca="false">N46*N$8</f>
        <v>22691.7504</v>
      </c>
      <c r="N46" s="193" t="n">
        <f aca="false">((O$11*1.2)/100*23.5)*CMF</f>
        <v>315.1632</v>
      </c>
      <c r="O46" s="181" t="n">
        <f aca="false">+N46/N$11</f>
        <v>0.3102</v>
      </c>
      <c r="P46" s="193" t="n">
        <f aca="false">Q46*Q$8</f>
        <v>28496.8332</v>
      </c>
      <c r="Q46" s="193" t="n">
        <f aca="false">((R$11*1.2)/100*23.5)*CMF</f>
        <v>467.1612</v>
      </c>
      <c r="R46" s="181" t="n">
        <f aca="false">+Q46/Q$11</f>
        <v>0.385128771640561</v>
      </c>
      <c r="S46" s="194" t="n">
        <f aca="false">+P46+M46</f>
        <v>51188.5836</v>
      </c>
      <c r="T46" s="195" t="n">
        <f aca="false">+S46/S$8</f>
        <v>384.876568421053</v>
      </c>
      <c r="U46" s="181" t="n">
        <f aca="false">+S46/U$8</f>
        <v>0.34787851167216</v>
      </c>
      <c r="V46" s="185" t="n">
        <f aca="false">+S46/TotalCost</f>
        <v>0.0040233018966449</v>
      </c>
      <c r="W46" s="186" t="n">
        <f aca="false">+$S46/TotalValue</f>
        <v>0.00330248936678677</v>
      </c>
      <c r="X46" s="187"/>
      <c r="Y46" s="188"/>
      <c r="Z46" s="186"/>
      <c r="AA46" s="186"/>
      <c r="AB46" s="196"/>
      <c r="AC46" s="126"/>
      <c r="AD46" s="186"/>
      <c r="AE46" s="127"/>
      <c r="AF46" s="190" t="s">
        <v>218</v>
      </c>
      <c r="AG46" s="178"/>
      <c r="AH46" s="178"/>
      <c r="AI46" s="178"/>
      <c r="AJ46" s="178"/>
      <c r="AK46" s="178" t="n">
        <f aca="false">SUM(AG46:AJ46)</f>
        <v>0</v>
      </c>
      <c r="AL46" s="178"/>
      <c r="AM46" s="178"/>
      <c r="AN46" s="178"/>
      <c r="AO46" s="178"/>
      <c r="AP46" s="178" t="n">
        <f aca="false">SUM(AL46:AO46)</f>
        <v>0</v>
      </c>
      <c r="AQ46" s="178"/>
      <c r="AR46" s="191"/>
      <c r="AS46" s="191"/>
      <c r="AT46" s="191"/>
      <c r="AU46" s="178" t="n">
        <f aca="false">SUM(AQ46:AT46)</f>
        <v>0</v>
      </c>
      <c r="AV46" s="191"/>
      <c r="AW46" s="191"/>
      <c r="AX46" s="178" t="n">
        <f aca="false">$S46/8</f>
        <v>6398.57295</v>
      </c>
      <c r="AY46" s="191"/>
      <c r="AZ46" s="178" t="n">
        <f aca="false">SUM(AV46:AY46)</f>
        <v>6398.57295</v>
      </c>
      <c r="BA46" s="191"/>
      <c r="BB46" s="178" t="n">
        <f aca="false">$S46/8</f>
        <v>6398.57295</v>
      </c>
      <c r="BC46" s="191"/>
      <c r="BD46" s="191"/>
      <c r="BE46" s="178" t="n">
        <f aca="false">SUM(BA46:BD46)</f>
        <v>6398.57295</v>
      </c>
      <c r="BF46" s="178" t="n">
        <f aca="false">$S46/8</f>
        <v>6398.57295</v>
      </c>
      <c r="BG46" s="191"/>
      <c r="BH46" s="191"/>
      <c r="BI46" s="178" t="n">
        <f aca="false">$S46/8</f>
        <v>6398.57295</v>
      </c>
      <c r="BJ46" s="178" t="n">
        <f aca="false">SUM(BF46:BI46)</f>
        <v>12797.1459</v>
      </c>
      <c r="BK46" s="191"/>
      <c r="BL46" s="191"/>
      <c r="BM46" s="178" t="n">
        <f aca="false">$S46/8</f>
        <v>6398.57295</v>
      </c>
      <c r="BN46" s="191"/>
      <c r="BO46" s="178" t="n">
        <f aca="false">SUM(BK46:BN46)</f>
        <v>6398.57295</v>
      </c>
      <c r="BP46" s="191"/>
      <c r="BQ46" s="178" t="n">
        <f aca="false">$S46/8</f>
        <v>6398.57295</v>
      </c>
      <c r="BR46" s="191"/>
      <c r="BS46" s="191"/>
      <c r="BT46" s="178" t="n">
        <f aca="false">SUM(BP46:BS46)</f>
        <v>6398.57295</v>
      </c>
      <c r="BU46" s="178" t="n">
        <f aca="false">$S46/8</f>
        <v>6398.57295</v>
      </c>
      <c r="BV46" s="191"/>
      <c r="BW46" s="191"/>
      <c r="BX46" s="178" t="n">
        <f aca="false">$S46/8</f>
        <v>6398.57295</v>
      </c>
      <c r="BY46" s="178" t="n">
        <f aca="false">SUM(BU46:BX46)</f>
        <v>12797.1459</v>
      </c>
      <c r="BZ46" s="191"/>
      <c r="CA46" s="191"/>
      <c r="CB46" s="191"/>
      <c r="CC46" s="191"/>
      <c r="CD46" s="178" t="n">
        <f aca="false">SUM(BZ46:CC46)</f>
        <v>0</v>
      </c>
      <c r="CE46" s="191"/>
      <c r="CF46" s="191"/>
      <c r="CG46" s="191"/>
      <c r="CH46" s="191"/>
      <c r="CI46" s="178" t="n">
        <f aca="false">SUM(CE46:CH46)</f>
        <v>0</v>
      </c>
      <c r="CJ46" s="191"/>
      <c r="CK46" s="191"/>
      <c r="CL46" s="191"/>
      <c r="CM46" s="191"/>
      <c r="CN46" s="178" t="n">
        <f aca="false">SUM(CJ46:CM46)</f>
        <v>0</v>
      </c>
      <c r="CO46" s="191" t="n">
        <f aca="false">+CN46+CI46+CD46+BY46+BT46+BO46+BJ46+BE46+AZ46+AU46+AP46+AK46</f>
        <v>51188.5836</v>
      </c>
      <c r="CP46" s="191" t="n">
        <f aca="false">S46</f>
        <v>51188.5836</v>
      </c>
      <c r="CQ46" s="192" t="n">
        <f aca="false">+CO46/CP46</f>
        <v>1</v>
      </c>
    </row>
    <row r="47" customFormat="false" ht="12.75" hidden="false" customHeight="false" outlineLevel="0" collapsed="false">
      <c r="A47" s="177" t="s">
        <v>221</v>
      </c>
      <c r="B47" s="178" t="s">
        <v>219</v>
      </c>
      <c r="C47" s="198" t="n">
        <v>21</v>
      </c>
      <c r="D47" s="180" t="s">
        <v>222</v>
      </c>
      <c r="E47" s="180"/>
      <c r="F47" s="181"/>
      <c r="G47" s="178"/>
      <c r="H47" s="181"/>
      <c r="I47" s="181"/>
      <c r="J47" s="193" t="n">
        <f aca="false">K47*J$8</f>
        <v>616.2156</v>
      </c>
      <c r="K47" s="193" t="n">
        <f aca="false">((L$11*1.2)/100*21)*CMF</f>
        <v>616.2156</v>
      </c>
      <c r="L47" s="181" t="n">
        <f aca="false">+K47/K$11</f>
        <v>0.3762</v>
      </c>
      <c r="M47" s="193" t="n">
        <f aca="false">N47*N$8</f>
        <v>20277.7344</v>
      </c>
      <c r="N47" s="193" t="n">
        <f aca="false">((O$11*1.2)/100*21)*CMF</f>
        <v>281.6352</v>
      </c>
      <c r="O47" s="181" t="n">
        <f aca="false">+N47/N$11</f>
        <v>0.2772</v>
      </c>
      <c r="P47" s="193" t="n">
        <f aca="false">Q47*Q$8</f>
        <v>25465.2552</v>
      </c>
      <c r="Q47" s="193" t="n">
        <f aca="false">((R$11*1.2)/100*21)*CMF</f>
        <v>417.4632</v>
      </c>
      <c r="R47" s="181" t="n">
        <f aca="false">+Q47/Q$11</f>
        <v>0.344157625721352</v>
      </c>
      <c r="S47" s="194" t="n">
        <f aca="false">+P47+M47</f>
        <v>45742.9896</v>
      </c>
      <c r="T47" s="195" t="n">
        <f aca="false">+S47/S$8</f>
        <v>343.932252631579</v>
      </c>
      <c r="U47" s="181" t="n">
        <f aca="false">+S47/U$8</f>
        <v>0.310870159366611</v>
      </c>
      <c r="V47" s="185" t="n">
        <f aca="false">+S47/TotalCost</f>
        <v>0.00359529105657629</v>
      </c>
      <c r="W47" s="186" t="n">
        <f aca="false">+$S47/TotalValue</f>
        <v>0.00295116071074562</v>
      </c>
      <c r="X47" s="187"/>
      <c r="Y47" s="188"/>
      <c r="Z47" s="186"/>
      <c r="AA47" s="186"/>
      <c r="AB47" s="196"/>
      <c r="AC47" s="126"/>
      <c r="AD47" s="186"/>
      <c r="AE47" s="127"/>
      <c r="AF47" s="190" t="s">
        <v>219</v>
      </c>
      <c r="AG47" s="178"/>
      <c r="AH47" s="178"/>
      <c r="AI47" s="178"/>
      <c r="AJ47" s="178"/>
      <c r="AK47" s="178" t="n">
        <f aca="false">SUM(AG47:AJ47)</f>
        <v>0</v>
      </c>
      <c r="AL47" s="178"/>
      <c r="AM47" s="178"/>
      <c r="AN47" s="178"/>
      <c r="AO47" s="178"/>
      <c r="AP47" s="178" t="n">
        <f aca="false">SUM(AL47:AO47)</f>
        <v>0</v>
      </c>
      <c r="AQ47" s="178"/>
      <c r="AR47" s="178"/>
      <c r="AS47" s="191"/>
      <c r="AT47" s="191"/>
      <c r="AU47" s="178" t="n">
        <f aca="false">SUM(AQ47:AT47)</f>
        <v>0</v>
      </c>
      <c r="AV47" s="191"/>
      <c r="AW47" s="191"/>
      <c r="AX47" s="178" t="n">
        <f aca="false">$S47/8</f>
        <v>5717.8737</v>
      </c>
      <c r="AY47" s="191"/>
      <c r="AZ47" s="178" t="n">
        <f aca="false">SUM(AV47:AY47)</f>
        <v>5717.8737</v>
      </c>
      <c r="BA47" s="191"/>
      <c r="BB47" s="178" t="n">
        <f aca="false">$S47/8</f>
        <v>5717.8737</v>
      </c>
      <c r="BC47" s="191"/>
      <c r="BD47" s="191"/>
      <c r="BE47" s="178" t="n">
        <f aca="false">SUM(BA47:BD47)</f>
        <v>5717.8737</v>
      </c>
      <c r="BF47" s="178" t="n">
        <f aca="false">$S47/8</f>
        <v>5717.8737</v>
      </c>
      <c r="BG47" s="191"/>
      <c r="BH47" s="191"/>
      <c r="BI47" s="178" t="n">
        <f aca="false">$S47/8</f>
        <v>5717.8737</v>
      </c>
      <c r="BJ47" s="178" t="n">
        <f aca="false">SUM(BF47:BI47)</f>
        <v>11435.7474</v>
      </c>
      <c r="BK47" s="191"/>
      <c r="BL47" s="191"/>
      <c r="BM47" s="178" t="n">
        <f aca="false">$S47/8</f>
        <v>5717.8737</v>
      </c>
      <c r="BN47" s="191"/>
      <c r="BO47" s="178" t="n">
        <f aca="false">SUM(BK47:BN47)</f>
        <v>5717.8737</v>
      </c>
      <c r="BP47" s="191"/>
      <c r="BQ47" s="178" t="n">
        <f aca="false">$S47/8</f>
        <v>5717.8737</v>
      </c>
      <c r="BR47" s="191"/>
      <c r="BS47" s="191"/>
      <c r="BT47" s="178" t="n">
        <f aca="false">SUM(BP47:BS47)</f>
        <v>5717.8737</v>
      </c>
      <c r="BU47" s="178" t="n">
        <f aca="false">$S47/8</f>
        <v>5717.8737</v>
      </c>
      <c r="BV47" s="191"/>
      <c r="BW47" s="191"/>
      <c r="BX47" s="178" t="n">
        <f aca="false">$S47/8</f>
        <v>5717.8737</v>
      </c>
      <c r="BY47" s="178" t="n">
        <f aca="false">SUM(BU47:BX47)</f>
        <v>11435.7474</v>
      </c>
      <c r="BZ47" s="191"/>
      <c r="CA47" s="191"/>
      <c r="CB47" s="191"/>
      <c r="CC47" s="191"/>
      <c r="CD47" s="178" t="n">
        <f aca="false">SUM(BZ47:CC47)</f>
        <v>0</v>
      </c>
      <c r="CE47" s="191"/>
      <c r="CF47" s="191"/>
      <c r="CG47" s="191"/>
      <c r="CH47" s="191"/>
      <c r="CI47" s="178" t="n">
        <f aca="false">SUM(CE47:CH47)</f>
        <v>0</v>
      </c>
      <c r="CJ47" s="191"/>
      <c r="CK47" s="191"/>
      <c r="CL47" s="191"/>
      <c r="CM47" s="191"/>
      <c r="CN47" s="178" t="n">
        <f aca="false">SUM(CJ47:CM47)</f>
        <v>0</v>
      </c>
      <c r="CO47" s="191" t="n">
        <f aca="false">+CN47+CI47+CD47+BY47+BT47+BO47+BJ47+BE47+AZ47+AU47+AP47+AK47</f>
        <v>45742.9896</v>
      </c>
      <c r="CP47" s="191" t="n">
        <f aca="false">S47</f>
        <v>45742.9896</v>
      </c>
      <c r="CQ47" s="192" t="n">
        <f aca="false">+CO47/CP47</f>
        <v>1</v>
      </c>
    </row>
    <row r="48" customFormat="false" ht="12.75" hidden="false" customHeight="false" outlineLevel="0" collapsed="false">
      <c r="A48" s="177"/>
      <c r="B48" s="213" t="s">
        <v>223</v>
      </c>
      <c r="C48" s="198" t="n">
        <v>2.25</v>
      </c>
      <c r="D48" s="180" t="s">
        <v>167</v>
      </c>
      <c r="E48" s="180"/>
      <c r="F48" s="181"/>
      <c r="G48" s="178"/>
      <c r="H48" s="181"/>
      <c r="I48" s="181"/>
      <c r="J48" s="193"/>
      <c r="K48" s="193"/>
      <c r="L48" s="181"/>
      <c r="M48" s="193"/>
      <c r="N48" s="193"/>
      <c r="O48" s="181"/>
      <c r="P48" s="193"/>
      <c r="Q48" s="193"/>
      <c r="R48" s="181"/>
      <c r="S48" s="194"/>
      <c r="T48" s="195"/>
      <c r="U48" s="181"/>
      <c r="V48" s="186"/>
      <c r="W48" s="186"/>
      <c r="X48" s="187"/>
      <c r="Y48" s="188"/>
      <c r="Z48" s="186"/>
      <c r="AA48" s="186"/>
      <c r="AB48" s="196"/>
      <c r="AC48" s="126"/>
      <c r="AD48" s="186"/>
      <c r="AE48" s="127"/>
      <c r="AF48" s="214" t="s">
        <v>223</v>
      </c>
      <c r="AG48" s="178"/>
      <c r="AH48" s="178"/>
      <c r="AI48" s="178"/>
      <c r="AJ48" s="178"/>
      <c r="AK48" s="178" t="n">
        <f aca="false">SUM(AG48:AJ48)</f>
        <v>0</v>
      </c>
      <c r="AL48" s="178"/>
      <c r="AM48" s="191"/>
      <c r="AN48" s="191"/>
      <c r="AO48" s="191"/>
      <c r="AP48" s="178" t="n">
        <f aca="false">SUM(AL48:AO48)</f>
        <v>0</v>
      </c>
      <c r="AQ48" s="191"/>
      <c r="AR48" s="191"/>
      <c r="AS48" s="191"/>
      <c r="AT48" s="191"/>
      <c r="AU48" s="178" t="n">
        <f aca="false">SUM(AQ48:AT48)</f>
        <v>0</v>
      </c>
      <c r="AV48" s="191"/>
      <c r="AW48" s="191"/>
      <c r="AX48" s="191"/>
      <c r="AY48" s="191"/>
      <c r="AZ48" s="178" t="n">
        <f aca="false">SUM(AV48:AY48)</f>
        <v>0</v>
      </c>
      <c r="BA48" s="191"/>
      <c r="BB48" s="191"/>
      <c r="BC48" s="191"/>
      <c r="BD48" s="191"/>
      <c r="BE48" s="178" t="n">
        <f aca="false">SUM(BA48:BD48)</f>
        <v>0</v>
      </c>
      <c r="BF48" s="191"/>
      <c r="BG48" s="191"/>
      <c r="BH48" s="191"/>
      <c r="BI48" s="191"/>
      <c r="BJ48" s="178" t="n">
        <f aca="false">SUM(BF48:BI48)</f>
        <v>0</v>
      </c>
      <c r="BK48" s="191"/>
      <c r="BL48" s="191"/>
      <c r="BM48" s="191"/>
      <c r="BN48" s="191"/>
      <c r="BO48" s="178" t="n">
        <f aca="false">SUM(BK48:BN48)</f>
        <v>0</v>
      </c>
      <c r="BP48" s="191"/>
      <c r="BQ48" s="191"/>
      <c r="BR48" s="191"/>
      <c r="BS48" s="191"/>
      <c r="BT48" s="178" t="n">
        <f aca="false">SUM(BP48:BS48)</f>
        <v>0</v>
      </c>
      <c r="BU48" s="191"/>
      <c r="BV48" s="191"/>
      <c r="BW48" s="191"/>
      <c r="BX48" s="191"/>
      <c r="BY48" s="178" t="n">
        <f aca="false">SUM(BU48:BX48)</f>
        <v>0</v>
      </c>
      <c r="BZ48" s="191"/>
      <c r="CA48" s="191"/>
      <c r="CB48" s="191"/>
      <c r="CC48" s="191"/>
      <c r="CD48" s="178" t="n">
        <f aca="false">SUM(BZ48:CC48)</f>
        <v>0</v>
      </c>
      <c r="CE48" s="191"/>
      <c r="CF48" s="191"/>
      <c r="CG48" s="191"/>
      <c r="CH48" s="191"/>
      <c r="CI48" s="178" t="n">
        <f aca="false">SUM(CE48:CH48)</f>
        <v>0</v>
      </c>
      <c r="CJ48" s="191"/>
      <c r="CK48" s="191"/>
      <c r="CL48" s="191"/>
      <c r="CM48" s="191"/>
      <c r="CN48" s="178" t="n">
        <f aca="false">SUM(CJ48:CM48)</f>
        <v>0</v>
      </c>
      <c r="CO48" s="191" t="n">
        <f aca="false">+CN48+CI48+CD48+BY48+BT48+BO48+BJ48+BE48+AZ48+AU48+AP48+AK48</f>
        <v>0</v>
      </c>
      <c r="CP48" s="191"/>
      <c r="CQ48" s="192"/>
    </row>
    <row r="49" customFormat="false" ht="12.75" hidden="false" customHeight="false" outlineLevel="0" collapsed="false">
      <c r="A49" s="177" t="s">
        <v>224</v>
      </c>
      <c r="B49" s="178" t="s">
        <v>225</v>
      </c>
      <c r="C49" s="215" t="n">
        <v>10000</v>
      </c>
      <c r="D49" s="180" t="s">
        <v>213</v>
      </c>
      <c r="E49" s="180"/>
      <c r="F49" s="181"/>
      <c r="G49" s="178"/>
      <c r="H49" s="181"/>
      <c r="I49" s="181"/>
      <c r="J49" s="193" t="n">
        <f aca="false">K49*J$8</f>
        <v>82.7067669172932</v>
      </c>
      <c r="K49" s="193" t="n">
        <f aca="false">10000/SM134Units*CMF</f>
        <v>82.7067669172932</v>
      </c>
      <c r="L49" s="181" t="n">
        <f aca="false">+K49/K$11</f>
        <v>0.0504925316955392</v>
      </c>
      <c r="M49" s="193" t="n">
        <f aca="false">N49*N$8</f>
        <v>5954.88721804511</v>
      </c>
      <c r="N49" s="193" t="n">
        <f aca="false">10000/SM134Units*CMF</f>
        <v>82.7067669172932</v>
      </c>
      <c r="O49" s="181" t="n">
        <f aca="false">+N49/N$11</f>
        <v>0.0814042981469422</v>
      </c>
      <c r="P49" s="193" t="n">
        <f aca="false">Q49*Q$8</f>
        <v>5045.11278195489</v>
      </c>
      <c r="Q49" s="193" t="n">
        <f aca="false">10000/SM134Units*CMF</f>
        <v>82.7067669172932</v>
      </c>
      <c r="R49" s="181" t="n">
        <f aca="false">+Q49/Q$11</f>
        <v>0.0681836495608353</v>
      </c>
      <c r="S49" s="194" t="n">
        <f aca="false">+P49+M49</f>
        <v>11000</v>
      </c>
      <c r="T49" s="195" t="n">
        <f aca="false">+S49/S$8</f>
        <v>82.7067669172932</v>
      </c>
      <c r="U49" s="181" t="n">
        <f aca="false">+S49/U$8</f>
        <v>0.0747561928709776</v>
      </c>
      <c r="V49" s="185" t="n">
        <f aca="false">+S49/TotalCost</f>
        <v>0.000864574046606241</v>
      </c>
      <c r="W49" s="186" t="n">
        <f aca="false">+$S49/TotalValue</f>
        <v>0.000709677441331947</v>
      </c>
      <c r="X49" s="187"/>
      <c r="Y49" s="188"/>
      <c r="Z49" s="186"/>
      <c r="AA49" s="186"/>
      <c r="AB49" s="196"/>
      <c r="AC49" s="126"/>
      <c r="AD49" s="186"/>
      <c r="AE49" s="127"/>
      <c r="AF49" s="190" t="s">
        <v>225</v>
      </c>
      <c r="AG49" s="178"/>
      <c r="AH49" s="178"/>
      <c r="AI49" s="178"/>
      <c r="AJ49" s="178"/>
      <c r="AK49" s="178" t="n">
        <f aca="false">SUM(AG49:AJ49)</f>
        <v>0</v>
      </c>
      <c r="AL49" s="178"/>
      <c r="AM49" s="178" t="n">
        <f aca="false">$S49</f>
        <v>11000</v>
      </c>
      <c r="AN49" s="191"/>
      <c r="AO49" s="191"/>
      <c r="AP49" s="178" t="n">
        <f aca="false">SUM(AL49:AO49)</f>
        <v>11000</v>
      </c>
      <c r="AQ49" s="191"/>
      <c r="AR49" s="191"/>
      <c r="AS49" s="191"/>
      <c r="AT49" s="191"/>
      <c r="AU49" s="178" t="n">
        <f aca="false">SUM(AQ49:AT49)</f>
        <v>0</v>
      </c>
      <c r="AV49" s="191"/>
      <c r="AW49" s="191"/>
      <c r="AX49" s="191"/>
      <c r="AY49" s="191"/>
      <c r="AZ49" s="178" t="n">
        <f aca="false">SUM(AV49:AY49)</f>
        <v>0</v>
      </c>
      <c r="BA49" s="191"/>
      <c r="BB49" s="191"/>
      <c r="BC49" s="191"/>
      <c r="BD49" s="191"/>
      <c r="BE49" s="178" t="n">
        <f aca="false">SUM(BA49:BD49)</f>
        <v>0</v>
      </c>
      <c r="BF49" s="191"/>
      <c r="BG49" s="191"/>
      <c r="BH49" s="191"/>
      <c r="BI49" s="191"/>
      <c r="BJ49" s="178" t="n">
        <f aca="false">SUM(BF49:BI49)</f>
        <v>0</v>
      </c>
      <c r="BK49" s="191"/>
      <c r="BL49" s="191"/>
      <c r="BM49" s="191"/>
      <c r="BN49" s="191"/>
      <c r="BO49" s="178" t="n">
        <f aca="false">SUM(BK49:BN49)</f>
        <v>0</v>
      </c>
      <c r="BP49" s="191"/>
      <c r="BQ49" s="191"/>
      <c r="BR49" s="191"/>
      <c r="BS49" s="191"/>
      <c r="BT49" s="178" t="n">
        <f aca="false">SUM(BP49:BS49)</f>
        <v>0</v>
      </c>
      <c r="BU49" s="191"/>
      <c r="BV49" s="191"/>
      <c r="BW49" s="191"/>
      <c r="BX49" s="191"/>
      <c r="BY49" s="178" t="n">
        <f aca="false">SUM(BU49:BX49)</f>
        <v>0</v>
      </c>
      <c r="BZ49" s="191"/>
      <c r="CA49" s="191"/>
      <c r="CB49" s="191"/>
      <c r="CC49" s="191"/>
      <c r="CD49" s="178" t="n">
        <f aca="false">SUM(BZ49:CC49)</f>
        <v>0</v>
      </c>
      <c r="CE49" s="191"/>
      <c r="CF49" s="191"/>
      <c r="CG49" s="191"/>
      <c r="CH49" s="191"/>
      <c r="CI49" s="178" t="n">
        <f aca="false">SUM(CE49:CH49)</f>
        <v>0</v>
      </c>
      <c r="CJ49" s="191"/>
      <c r="CK49" s="191"/>
      <c r="CL49" s="191"/>
      <c r="CM49" s="191"/>
      <c r="CN49" s="178" t="n">
        <f aca="false">SUM(CJ49:CM49)</f>
        <v>0</v>
      </c>
      <c r="CO49" s="191" t="n">
        <f aca="false">+CN49+CI49+CD49+BY49+BT49+BO49+BJ49+BE49+AZ49+AU49+AP49+AK49</f>
        <v>11000</v>
      </c>
      <c r="CP49" s="191" t="n">
        <f aca="false">S49</f>
        <v>11000</v>
      </c>
      <c r="CQ49" s="192" t="n">
        <f aca="false">+CO49/CP49</f>
        <v>1</v>
      </c>
    </row>
    <row r="50" customFormat="false" ht="12.75" hidden="false" customHeight="false" outlineLevel="0" collapsed="false">
      <c r="A50" s="177" t="s">
        <v>224</v>
      </c>
      <c r="B50" s="178" t="s">
        <v>193</v>
      </c>
      <c r="C50" s="216" t="n">
        <v>0.6</v>
      </c>
      <c r="D50" s="180"/>
      <c r="E50" s="180"/>
      <c r="F50" s="181"/>
      <c r="G50" s="178"/>
      <c r="H50" s="181"/>
      <c r="I50" s="181"/>
      <c r="J50" s="193" t="n">
        <f aca="false">K50*J$8</f>
        <v>2432.43</v>
      </c>
      <c r="K50" s="193" t="n">
        <f aca="false">2.25*CMF*60%*K$11</f>
        <v>2432.43</v>
      </c>
      <c r="L50" s="181" t="n">
        <f aca="false">+K50/K$11</f>
        <v>1.485</v>
      </c>
      <c r="M50" s="193" t="n">
        <f aca="false">N50*N$8</f>
        <v>108630.72</v>
      </c>
      <c r="N50" s="193" t="n">
        <f aca="false">2.25*CMF*60%*N$11</f>
        <v>1508.76</v>
      </c>
      <c r="O50" s="181" t="n">
        <f aca="false">+N50/N$11</f>
        <v>1.485</v>
      </c>
      <c r="P50" s="193" t="n">
        <f aca="false">Q50*Q$8</f>
        <v>109879.605</v>
      </c>
      <c r="Q50" s="193" t="n">
        <f aca="false">2.25*CMF*60%*Q$11</f>
        <v>1801.305</v>
      </c>
      <c r="R50" s="181" t="n">
        <f aca="false">+Q50/Q$11</f>
        <v>1.485</v>
      </c>
      <c r="S50" s="194" t="n">
        <f aca="false">+P50+M50</f>
        <v>218510.325</v>
      </c>
      <c r="T50" s="195" t="n">
        <f aca="false">+S50/S$8</f>
        <v>1642.93477443609</v>
      </c>
      <c r="U50" s="181" t="n">
        <f aca="false">+S50/U$8</f>
        <v>1.485</v>
      </c>
      <c r="V50" s="185" t="n">
        <f aca="false">+S50/TotalCost</f>
        <v>0.0171743959918632</v>
      </c>
      <c r="W50" s="186" t="n">
        <f aca="false">+$S50/TotalValue</f>
        <v>0.0140974407591466</v>
      </c>
      <c r="X50" s="187"/>
      <c r="Y50" s="188"/>
      <c r="Z50" s="186"/>
      <c r="AA50" s="186"/>
      <c r="AB50" s="196"/>
      <c r="AC50" s="126"/>
      <c r="AD50" s="186"/>
      <c r="AE50" s="127"/>
      <c r="AF50" s="190" t="s">
        <v>193</v>
      </c>
      <c r="AG50" s="178"/>
      <c r="AH50" s="178"/>
      <c r="AI50" s="178"/>
      <c r="AJ50" s="178"/>
      <c r="AK50" s="178" t="n">
        <f aca="false">SUM(AG50:AJ50)</f>
        <v>0</v>
      </c>
      <c r="AL50" s="178"/>
      <c r="AM50" s="178"/>
      <c r="AN50" s="178"/>
      <c r="AO50" s="178"/>
      <c r="AP50" s="178" t="n">
        <f aca="false">SUM(AL50:AO50)</f>
        <v>0</v>
      </c>
      <c r="AQ50" s="178"/>
      <c r="AR50" s="178"/>
      <c r="AS50" s="191"/>
      <c r="AT50" s="191"/>
      <c r="AU50" s="178" t="n">
        <f aca="false">SUM(AQ50:AT50)</f>
        <v>0</v>
      </c>
      <c r="AV50" s="191"/>
      <c r="AW50" s="191"/>
      <c r="AX50" s="191"/>
      <c r="AY50" s="178" t="n">
        <f aca="false">$S50/8</f>
        <v>27313.790625</v>
      </c>
      <c r="AZ50" s="178" t="n">
        <f aca="false">SUM(AV50:AY50)</f>
        <v>27313.790625</v>
      </c>
      <c r="BA50" s="191"/>
      <c r="BB50" s="191"/>
      <c r="BC50" s="178" t="n">
        <f aca="false">$S50/8</f>
        <v>27313.790625</v>
      </c>
      <c r="BD50" s="191"/>
      <c r="BE50" s="178" t="n">
        <f aca="false">SUM(BA50:BD50)</f>
        <v>27313.790625</v>
      </c>
      <c r="BF50" s="191"/>
      <c r="BG50" s="191"/>
      <c r="BH50" s="178" t="n">
        <f aca="false">$S50/8</f>
        <v>27313.790625</v>
      </c>
      <c r="BI50" s="191"/>
      <c r="BJ50" s="178" t="n">
        <f aca="false">SUM(BF50:BI50)</f>
        <v>27313.790625</v>
      </c>
      <c r="BK50" s="191"/>
      <c r="BL50" s="178" t="n">
        <f aca="false">$S50/8</f>
        <v>27313.790625</v>
      </c>
      <c r="BM50" s="191"/>
      <c r="BN50" s="191"/>
      <c r="BO50" s="178" t="n">
        <f aca="false">SUM(BK50:BN50)</f>
        <v>27313.790625</v>
      </c>
      <c r="BP50" s="178" t="n">
        <f aca="false">$S50/8</f>
        <v>27313.790625</v>
      </c>
      <c r="BQ50" s="191"/>
      <c r="BR50" s="191"/>
      <c r="BS50" s="178" t="n">
        <f aca="false">$S50/8</f>
        <v>27313.790625</v>
      </c>
      <c r="BT50" s="178" t="n">
        <f aca="false">SUM(BP50:BS50)</f>
        <v>54627.58125</v>
      </c>
      <c r="BU50" s="191"/>
      <c r="BV50" s="191"/>
      <c r="BW50" s="178" t="n">
        <f aca="false">$S50/8</f>
        <v>27313.790625</v>
      </c>
      <c r="BX50" s="191"/>
      <c r="BY50" s="178" t="n">
        <f aca="false">SUM(BU50:BX50)</f>
        <v>27313.790625</v>
      </c>
      <c r="BZ50" s="191"/>
      <c r="CA50" s="178" t="n">
        <f aca="false">$S50/8</f>
        <v>27313.790625</v>
      </c>
      <c r="CB50" s="191"/>
      <c r="CC50" s="191"/>
      <c r="CD50" s="178" t="n">
        <f aca="false">SUM(BZ50:CC50)</f>
        <v>27313.790625</v>
      </c>
      <c r="CE50" s="191"/>
      <c r="CF50" s="191"/>
      <c r="CG50" s="191"/>
      <c r="CH50" s="191"/>
      <c r="CI50" s="178" t="n">
        <f aca="false">SUM(CE50:CH50)</f>
        <v>0</v>
      </c>
      <c r="CJ50" s="191"/>
      <c r="CK50" s="191"/>
      <c r="CL50" s="191"/>
      <c r="CM50" s="191"/>
      <c r="CN50" s="178" t="n">
        <f aca="false">SUM(CJ50:CM50)</f>
        <v>0</v>
      </c>
      <c r="CO50" s="191" t="n">
        <f aca="false">+CN50+CI50+CD50+BY50+BT50+BO50+BJ50+BE50+AZ50+AU50+AP50+AK50</f>
        <v>218510.325</v>
      </c>
      <c r="CP50" s="191" t="n">
        <f aca="false">S50</f>
        <v>218510.325</v>
      </c>
      <c r="CQ50" s="192" t="n">
        <f aca="false">+CO50/CP50</f>
        <v>1</v>
      </c>
    </row>
    <row r="51" customFormat="false" ht="12.75" hidden="false" customHeight="false" outlineLevel="0" collapsed="false">
      <c r="A51" s="177" t="s">
        <v>226</v>
      </c>
      <c r="B51" s="217" t="s">
        <v>227</v>
      </c>
      <c r="C51" s="216" t="n">
        <v>0.4</v>
      </c>
      <c r="D51" s="180"/>
      <c r="E51" s="180"/>
      <c r="F51" s="181"/>
      <c r="G51" s="178"/>
      <c r="H51" s="181"/>
      <c r="I51" s="181"/>
      <c r="J51" s="193" t="n">
        <f aca="false">K51*J$8</f>
        <v>1621.62</v>
      </c>
      <c r="K51" s="193" t="n">
        <f aca="false">2.25*CMF*40%*K$11</f>
        <v>1621.62</v>
      </c>
      <c r="L51" s="181" t="n">
        <f aca="false">+K51/K$11</f>
        <v>0.99</v>
      </c>
      <c r="M51" s="193" t="n">
        <f aca="false">N51*N$8</f>
        <v>72420.48</v>
      </c>
      <c r="N51" s="193" t="n">
        <f aca="false">2.25*CMF*40%*N$11</f>
        <v>1005.84</v>
      </c>
      <c r="O51" s="181" t="n">
        <f aca="false">+N51/N$11</f>
        <v>0.99</v>
      </c>
      <c r="P51" s="193" t="n">
        <f aca="false">Q51*Q$8</f>
        <v>73253.07</v>
      </c>
      <c r="Q51" s="193" t="n">
        <f aca="false">2.25*CMF*40%*Q$11</f>
        <v>1200.87</v>
      </c>
      <c r="R51" s="181" t="n">
        <f aca="false">+Q51/Q$11</f>
        <v>0.99</v>
      </c>
      <c r="S51" s="194" t="n">
        <f aca="false">+P51+M51</f>
        <v>145673.55</v>
      </c>
      <c r="T51" s="195" t="n">
        <f aca="false">+S51/S$8</f>
        <v>1095.28984962406</v>
      </c>
      <c r="U51" s="181" t="n">
        <f aca="false">+S51/U$8</f>
        <v>0.99</v>
      </c>
      <c r="V51" s="185" t="n">
        <f aca="false">+S51/TotalCost</f>
        <v>0.0114495973279088</v>
      </c>
      <c r="W51" s="186" t="n">
        <f aca="false">+$S51/TotalValue</f>
        <v>0.00939829383943104</v>
      </c>
      <c r="X51" s="187"/>
      <c r="Y51" s="188"/>
      <c r="Z51" s="186"/>
      <c r="AA51" s="186"/>
      <c r="AB51" s="196"/>
      <c r="AC51" s="126"/>
      <c r="AD51" s="186"/>
      <c r="AE51" s="127"/>
      <c r="AF51" s="218" t="s">
        <v>227</v>
      </c>
      <c r="AG51" s="178"/>
      <c r="AH51" s="178"/>
      <c r="AI51" s="178"/>
      <c r="AJ51" s="178"/>
      <c r="AK51" s="178" t="n">
        <f aca="false">SUM(AG51:AJ51)</f>
        <v>0</v>
      </c>
      <c r="AL51" s="178"/>
      <c r="AM51" s="178"/>
      <c r="AN51" s="178"/>
      <c r="AO51" s="178"/>
      <c r="AP51" s="178" t="n">
        <f aca="false">SUM(AL51:AO51)</f>
        <v>0</v>
      </c>
      <c r="AQ51" s="178"/>
      <c r="AR51" s="178"/>
      <c r="AS51" s="178"/>
      <c r="AT51" s="178"/>
      <c r="AU51" s="178" t="n">
        <f aca="false">SUM(AQ51:AT51)</f>
        <v>0</v>
      </c>
      <c r="AV51" s="178"/>
      <c r="AW51" s="191"/>
      <c r="AX51" s="191"/>
      <c r="AY51" s="191"/>
      <c r="AZ51" s="178" t="n">
        <f aca="false">SUM(AV51:AY51)</f>
        <v>0</v>
      </c>
      <c r="BA51" s="191"/>
      <c r="BB51" s="191"/>
      <c r="BC51" s="191"/>
      <c r="BD51" s="191"/>
      <c r="BE51" s="178" t="n">
        <f aca="false">SUM(BA51:BD51)</f>
        <v>0</v>
      </c>
      <c r="BF51" s="177" t="n">
        <f aca="false">$S51/8</f>
        <v>18209.19375</v>
      </c>
      <c r="BG51" s="191"/>
      <c r="BH51" s="191"/>
      <c r="BI51" s="177" t="n">
        <f aca="false">$S51/8</f>
        <v>18209.19375</v>
      </c>
      <c r="BJ51" s="178" t="n">
        <f aca="false">SUM(BF51:BI51)</f>
        <v>36418.3875</v>
      </c>
      <c r="BK51" s="191"/>
      <c r="BL51" s="191"/>
      <c r="BM51" s="177" t="n">
        <f aca="false">$S51/8</f>
        <v>18209.19375</v>
      </c>
      <c r="BN51" s="191"/>
      <c r="BO51" s="178" t="n">
        <f aca="false">SUM(BK51:BN51)</f>
        <v>18209.19375</v>
      </c>
      <c r="BP51" s="191"/>
      <c r="BQ51" s="177" t="n">
        <f aca="false">$S51/8</f>
        <v>18209.19375</v>
      </c>
      <c r="BR51" s="191"/>
      <c r="BS51" s="191"/>
      <c r="BT51" s="178" t="n">
        <f aca="false">SUM(BP51:BS51)</f>
        <v>18209.19375</v>
      </c>
      <c r="BU51" s="177" t="n">
        <f aca="false">$S51/8</f>
        <v>18209.19375</v>
      </c>
      <c r="BV51" s="191"/>
      <c r="BW51" s="191"/>
      <c r="BX51" s="177" t="n">
        <f aca="false">$S51/8</f>
        <v>18209.19375</v>
      </c>
      <c r="BY51" s="178" t="n">
        <f aca="false">SUM(BU51:BX51)</f>
        <v>36418.3875</v>
      </c>
      <c r="BZ51" s="191"/>
      <c r="CA51" s="191"/>
      <c r="CB51" s="177" t="n">
        <f aca="false">$S51/8</f>
        <v>18209.19375</v>
      </c>
      <c r="CC51" s="191"/>
      <c r="CD51" s="178" t="n">
        <f aca="false">SUM(BZ51:CC51)</f>
        <v>18209.19375</v>
      </c>
      <c r="CE51" s="191"/>
      <c r="CF51" s="177" t="n">
        <f aca="false">$S51/8</f>
        <v>18209.19375</v>
      </c>
      <c r="CG51" s="191"/>
      <c r="CH51" s="191"/>
      <c r="CI51" s="178" t="n">
        <f aca="false">SUM(CE51:CH51)</f>
        <v>18209.19375</v>
      </c>
      <c r="CJ51" s="191"/>
      <c r="CK51" s="191"/>
      <c r="CL51" s="191"/>
      <c r="CM51" s="191"/>
      <c r="CN51" s="178" t="n">
        <f aca="false">SUM(CJ51:CM51)</f>
        <v>0</v>
      </c>
      <c r="CO51" s="191" t="n">
        <f aca="false">+CN51+CI51+CD51+BY51+BT51+BO51+BJ51+BE51+AZ51+AU51+AP51+AK51</f>
        <v>145673.55</v>
      </c>
      <c r="CP51" s="191" t="n">
        <f aca="false">S51</f>
        <v>145673.55</v>
      </c>
      <c r="CQ51" s="192" t="n">
        <f aca="false">+CO51/CP51</f>
        <v>1</v>
      </c>
    </row>
    <row r="52" customFormat="false" ht="12.75" hidden="false" customHeight="false" outlineLevel="0" collapsed="false">
      <c r="A52" s="177"/>
      <c r="B52" s="213" t="s">
        <v>228</v>
      </c>
      <c r="C52" s="198" t="n">
        <v>200</v>
      </c>
      <c r="D52" s="180" t="s">
        <v>176</v>
      </c>
      <c r="E52" s="178"/>
      <c r="F52" s="181"/>
      <c r="G52" s="178"/>
      <c r="H52" s="181"/>
      <c r="I52" s="181"/>
      <c r="J52" s="193" t="n">
        <f aca="false">K52*J$8</f>
        <v>220</v>
      </c>
      <c r="K52" s="193" t="n">
        <f aca="false">200*CMF</f>
        <v>220</v>
      </c>
      <c r="L52" s="181" t="n">
        <f aca="false">+K52/K$11</f>
        <v>0.134310134310134</v>
      </c>
      <c r="M52" s="193" t="n">
        <f aca="false">N52*N$8</f>
        <v>15840</v>
      </c>
      <c r="N52" s="193" t="n">
        <f aca="false">200*CMF</f>
        <v>220</v>
      </c>
      <c r="O52" s="181" t="n">
        <f aca="false">+N52/N$11</f>
        <v>0.216535433070866</v>
      </c>
      <c r="P52" s="193" t="n">
        <f aca="false">Q52*Q$8</f>
        <v>13420</v>
      </c>
      <c r="Q52" s="193" t="n">
        <f aca="false">200*CMF</f>
        <v>220</v>
      </c>
      <c r="R52" s="181" t="n">
        <f aca="false">+Q52/Q$11</f>
        <v>0.181368507831822</v>
      </c>
      <c r="S52" s="194" t="n">
        <f aca="false">+P52+M52</f>
        <v>29260</v>
      </c>
      <c r="T52" s="195" t="n">
        <f aca="false">+S52/S$8</f>
        <v>220</v>
      </c>
      <c r="U52" s="181" t="n">
        <f aca="false">+S52/U$8</f>
        <v>0.1988514730368</v>
      </c>
      <c r="V52" s="185" t="n">
        <f aca="false">+S52/TotalCost</f>
        <v>0.0022997669639726</v>
      </c>
      <c r="W52" s="186" t="n">
        <f aca="false">+$S52/TotalValue</f>
        <v>0.00188774199394298</v>
      </c>
      <c r="X52" s="187"/>
      <c r="Y52" s="188"/>
      <c r="Z52" s="186"/>
      <c r="AA52" s="186"/>
      <c r="AB52" s="196"/>
      <c r="AC52" s="126"/>
      <c r="AD52" s="186"/>
      <c r="AE52" s="127"/>
      <c r="AF52" s="214" t="s">
        <v>228</v>
      </c>
      <c r="AG52" s="178"/>
      <c r="AH52" s="178"/>
      <c r="AI52" s="178"/>
      <c r="AJ52" s="178"/>
      <c r="AK52" s="178" t="n">
        <f aca="false">SUM(AG52:AJ52)</f>
        <v>0</v>
      </c>
      <c r="AL52" s="178"/>
      <c r="AM52" s="178"/>
      <c r="AN52" s="178"/>
      <c r="AO52" s="178"/>
      <c r="AP52" s="178" t="n">
        <f aca="false">SUM(AL52:AO52)</f>
        <v>0</v>
      </c>
      <c r="AQ52" s="178"/>
      <c r="AR52" s="178"/>
      <c r="AS52" s="191"/>
      <c r="AT52" s="191"/>
      <c r="AU52" s="178" t="n">
        <f aca="false">SUM(AQ52:AT52)</f>
        <v>0</v>
      </c>
      <c r="AV52" s="191"/>
      <c r="AW52" s="191"/>
      <c r="AX52" s="191"/>
      <c r="AY52" s="178" t="n">
        <f aca="false">$S52/8</f>
        <v>3657.5</v>
      </c>
      <c r="AZ52" s="178" t="n">
        <f aca="false">SUM(AV52:AY52)</f>
        <v>3657.5</v>
      </c>
      <c r="BA52" s="191"/>
      <c r="BB52" s="191"/>
      <c r="BC52" s="178" t="n">
        <f aca="false">$S52/8</f>
        <v>3657.5</v>
      </c>
      <c r="BD52" s="191"/>
      <c r="BE52" s="178" t="n">
        <f aca="false">SUM(BA52:BD52)</f>
        <v>3657.5</v>
      </c>
      <c r="BF52" s="191"/>
      <c r="BG52" s="178" t="n">
        <f aca="false">$S52/8</f>
        <v>3657.5</v>
      </c>
      <c r="BH52" s="191"/>
      <c r="BI52" s="191"/>
      <c r="BJ52" s="178" t="n">
        <f aca="false">SUM(BF52:BI52)</f>
        <v>3657.5</v>
      </c>
      <c r="BK52" s="178" t="n">
        <f aca="false">$S52/8</f>
        <v>3657.5</v>
      </c>
      <c r="BL52" s="191"/>
      <c r="BM52" s="191"/>
      <c r="BN52" s="178" t="n">
        <f aca="false">$S52/8</f>
        <v>3657.5</v>
      </c>
      <c r="BO52" s="178" t="n">
        <f aca="false">SUM(BK52:BN52)</f>
        <v>7315</v>
      </c>
      <c r="BP52" s="191"/>
      <c r="BQ52" s="191"/>
      <c r="BR52" s="178" t="n">
        <f aca="false">$S52/8</f>
        <v>3657.5</v>
      </c>
      <c r="BS52" s="191"/>
      <c r="BT52" s="178" t="n">
        <f aca="false">SUM(BP52:BS52)</f>
        <v>3657.5</v>
      </c>
      <c r="BU52" s="191"/>
      <c r="BV52" s="178" t="n">
        <f aca="false">$S52/8</f>
        <v>3657.5</v>
      </c>
      <c r="BW52" s="191"/>
      <c r="BX52" s="191"/>
      <c r="BY52" s="178" t="n">
        <f aca="false">SUM(BU52:BX52)</f>
        <v>3657.5</v>
      </c>
      <c r="BZ52" s="178" t="n">
        <f aca="false">$S52/8</f>
        <v>3657.5</v>
      </c>
      <c r="CA52" s="191"/>
      <c r="CB52" s="191"/>
      <c r="CC52" s="191"/>
      <c r="CD52" s="178" t="n">
        <f aca="false">SUM(BZ52:CC52)</f>
        <v>3657.5</v>
      </c>
      <c r="CE52" s="191"/>
      <c r="CF52" s="191"/>
      <c r="CG52" s="191"/>
      <c r="CH52" s="191"/>
      <c r="CI52" s="178" t="n">
        <f aca="false">SUM(CE52:CH52)</f>
        <v>0</v>
      </c>
      <c r="CJ52" s="191"/>
      <c r="CK52" s="191"/>
      <c r="CL52" s="191"/>
      <c r="CM52" s="191"/>
      <c r="CN52" s="178" t="n">
        <f aca="false">SUM(CJ52:CM52)</f>
        <v>0</v>
      </c>
      <c r="CO52" s="191" t="n">
        <f aca="false">+CN52+CI52+CD52+BY52+BT52+BO52+BJ52+BE52+AZ52+AU52+AP52+AK52</f>
        <v>29260</v>
      </c>
      <c r="CP52" s="191" t="n">
        <f aca="false">S52</f>
        <v>29260</v>
      </c>
      <c r="CQ52" s="192" t="n">
        <f aca="false">+CO52/CP52</f>
        <v>1</v>
      </c>
    </row>
    <row r="53" customFormat="false" ht="12.75" hidden="false" customHeight="false" outlineLevel="0" collapsed="false">
      <c r="A53" s="177" t="s">
        <v>226</v>
      </c>
      <c r="B53" s="178" t="s">
        <v>193</v>
      </c>
      <c r="C53" s="198"/>
      <c r="D53" s="180"/>
      <c r="E53" s="180"/>
      <c r="F53" s="181"/>
      <c r="G53" s="178"/>
      <c r="H53" s="181"/>
      <c r="I53" s="181"/>
      <c r="J53" s="193"/>
      <c r="K53" s="193"/>
      <c r="L53" s="181"/>
      <c r="M53" s="193"/>
      <c r="N53" s="193"/>
      <c r="O53" s="181"/>
      <c r="P53" s="193"/>
      <c r="Q53" s="193"/>
      <c r="R53" s="181"/>
      <c r="S53" s="194"/>
      <c r="T53" s="195"/>
      <c r="U53" s="181"/>
      <c r="V53" s="186"/>
      <c r="W53" s="186"/>
      <c r="X53" s="187"/>
      <c r="Y53" s="188"/>
      <c r="Z53" s="186"/>
      <c r="AA53" s="186"/>
      <c r="AB53" s="196"/>
      <c r="AC53" s="126"/>
      <c r="AD53" s="186"/>
      <c r="AE53" s="127"/>
      <c r="AF53" s="190" t="s">
        <v>193</v>
      </c>
      <c r="AG53" s="178"/>
      <c r="AH53" s="178"/>
      <c r="AI53" s="178"/>
      <c r="AJ53" s="178"/>
      <c r="AK53" s="178" t="n">
        <f aca="false">SUM(AG53:AJ53)</f>
        <v>0</v>
      </c>
      <c r="AL53" s="178"/>
      <c r="AM53" s="191"/>
      <c r="AN53" s="191"/>
      <c r="AO53" s="191"/>
      <c r="AP53" s="178" t="n">
        <f aca="false">SUM(AL53:AO53)</f>
        <v>0</v>
      </c>
      <c r="AQ53" s="191"/>
      <c r="AR53" s="191"/>
      <c r="AS53" s="191"/>
      <c r="AT53" s="191"/>
      <c r="AU53" s="178" t="n">
        <f aca="false">SUM(AQ53:AT53)</f>
        <v>0</v>
      </c>
      <c r="AV53" s="191"/>
      <c r="AW53" s="191"/>
      <c r="AX53" s="191"/>
      <c r="AY53" s="191"/>
      <c r="AZ53" s="178" t="n">
        <f aca="false">SUM(AV53:AY53)</f>
        <v>0</v>
      </c>
      <c r="BA53" s="191"/>
      <c r="BB53" s="191"/>
      <c r="BC53" s="191"/>
      <c r="BD53" s="191"/>
      <c r="BE53" s="178" t="n">
        <f aca="false">SUM(BA53:BD53)</f>
        <v>0</v>
      </c>
      <c r="BF53" s="191"/>
      <c r="BG53" s="191"/>
      <c r="BH53" s="191"/>
      <c r="BI53" s="191"/>
      <c r="BJ53" s="178" t="n">
        <f aca="false">SUM(BF53:BI53)</f>
        <v>0</v>
      </c>
      <c r="BK53" s="191"/>
      <c r="BL53" s="191"/>
      <c r="BM53" s="191"/>
      <c r="BN53" s="191"/>
      <c r="BO53" s="178" t="n">
        <f aca="false">SUM(BK53:BN53)</f>
        <v>0</v>
      </c>
      <c r="BP53" s="191"/>
      <c r="BQ53" s="191"/>
      <c r="BR53" s="191"/>
      <c r="BS53" s="191"/>
      <c r="BT53" s="178" t="n">
        <f aca="false">SUM(BP53:BS53)</f>
        <v>0</v>
      </c>
      <c r="BU53" s="191"/>
      <c r="BV53" s="191"/>
      <c r="BW53" s="191"/>
      <c r="BX53" s="191"/>
      <c r="BY53" s="178" t="n">
        <f aca="false">SUM(BU53:BX53)</f>
        <v>0</v>
      </c>
      <c r="BZ53" s="191"/>
      <c r="CA53" s="191"/>
      <c r="CB53" s="191"/>
      <c r="CC53" s="191"/>
      <c r="CD53" s="178" t="n">
        <f aca="false">SUM(BZ53:CC53)</f>
        <v>0</v>
      </c>
      <c r="CE53" s="191"/>
      <c r="CF53" s="191"/>
      <c r="CG53" s="191"/>
      <c r="CH53" s="191"/>
      <c r="CI53" s="178" t="n">
        <f aca="false">SUM(CE53:CH53)</f>
        <v>0</v>
      </c>
      <c r="CJ53" s="191"/>
      <c r="CK53" s="191"/>
      <c r="CL53" s="191"/>
      <c r="CM53" s="191"/>
      <c r="CN53" s="178" t="n">
        <f aca="false">SUM(CJ53:CM53)</f>
        <v>0</v>
      </c>
      <c r="CO53" s="191" t="n">
        <f aca="false">+CN53+CI53+CD53+BY53+BT53+BO53+BJ53+BE53+AZ53+AU53+AP53+AK53</f>
        <v>0</v>
      </c>
      <c r="CP53" s="191"/>
      <c r="CQ53" s="192"/>
    </row>
    <row r="54" customFormat="false" ht="12.75" hidden="false" customHeight="false" outlineLevel="0" collapsed="false">
      <c r="A54" s="177" t="s">
        <v>226</v>
      </c>
      <c r="B54" s="178" t="s">
        <v>227</v>
      </c>
      <c r="C54" s="198"/>
      <c r="D54" s="180"/>
      <c r="E54" s="180"/>
      <c r="F54" s="181"/>
      <c r="G54" s="178"/>
      <c r="H54" s="181"/>
      <c r="I54" s="181"/>
      <c r="J54" s="193"/>
      <c r="K54" s="193"/>
      <c r="L54" s="181"/>
      <c r="M54" s="193"/>
      <c r="N54" s="193"/>
      <c r="O54" s="181"/>
      <c r="P54" s="193"/>
      <c r="Q54" s="193"/>
      <c r="R54" s="181"/>
      <c r="S54" s="194"/>
      <c r="T54" s="195"/>
      <c r="U54" s="181"/>
      <c r="V54" s="186"/>
      <c r="W54" s="186"/>
      <c r="X54" s="187"/>
      <c r="Y54" s="188"/>
      <c r="Z54" s="186"/>
      <c r="AA54" s="186"/>
      <c r="AB54" s="196"/>
      <c r="AC54" s="126"/>
      <c r="AD54" s="186"/>
      <c r="AE54" s="127"/>
      <c r="AF54" s="190" t="s">
        <v>227</v>
      </c>
      <c r="AG54" s="178"/>
      <c r="AH54" s="178"/>
      <c r="AI54" s="178"/>
      <c r="AJ54" s="178"/>
      <c r="AK54" s="178" t="n">
        <f aca="false">SUM(AG54:AJ54)</f>
        <v>0</v>
      </c>
      <c r="AL54" s="178"/>
      <c r="AM54" s="191"/>
      <c r="AN54" s="191"/>
      <c r="AO54" s="191"/>
      <c r="AP54" s="178" t="n">
        <f aca="false">SUM(AL54:AO54)</f>
        <v>0</v>
      </c>
      <c r="AQ54" s="191"/>
      <c r="AR54" s="191"/>
      <c r="AS54" s="191"/>
      <c r="AT54" s="191"/>
      <c r="AU54" s="178" t="n">
        <f aca="false">SUM(AQ54:AT54)</f>
        <v>0</v>
      </c>
      <c r="AV54" s="191"/>
      <c r="AW54" s="191"/>
      <c r="AX54" s="191"/>
      <c r="AY54" s="191"/>
      <c r="AZ54" s="178" t="n">
        <f aca="false">SUM(AV54:AY54)</f>
        <v>0</v>
      </c>
      <c r="BA54" s="191"/>
      <c r="BB54" s="191"/>
      <c r="BC54" s="191"/>
      <c r="BD54" s="191"/>
      <c r="BE54" s="178" t="n">
        <f aca="false">SUM(BA54:BD54)</f>
        <v>0</v>
      </c>
      <c r="BF54" s="191"/>
      <c r="BG54" s="191"/>
      <c r="BH54" s="191"/>
      <c r="BI54" s="191"/>
      <c r="BJ54" s="178" t="n">
        <f aca="false">SUM(BF54:BI54)</f>
        <v>0</v>
      </c>
      <c r="BK54" s="191"/>
      <c r="BL54" s="191"/>
      <c r="BM54" s="191"/>
      <c r="BN54" s="191"/>
      <c r="BO54" s="178" t="n">
        <f aca="false">SUM(BK54:BN54)</f>
        <v>0</v>
      </c>
      <c r="BP54" s="191"/>
      <c r="BQ54" s="191"/>
      <c r="BR54" s="191"/>
      <c r="BS54" s="191"/>
      <c r="BT54" s="178" t="n">
        <f aca="false">SUM(BP54:BS54)</f>
        <v>0</v>
      </c>
      <c r="BU54" s="191"/>
      <c r="BV54" s="191"/>
      <c r="BW54" s="191"/>
      <c r="BX54" s="191"/>
      <c r="BY54" s="178" t="n">
        <f aca="false">SUM(BU54:BX54)</f>
        <v>0</v>
      </c>
      <c r="BZ54" s="191"/>
      <c r="CA54" s="191"/>
      <c r="CB54" s="191"/>
      <c r="CC54" s="191"/>
      <c r="CD54" s="178" t="n">
        <f aca="false">SUM(BZ54:CC54)</f>
        <v>0</v>
      </c>
      <c r="CE54" s="191"/>
      <c r="CF54" s="191"/>
      <c r="CG54" s="191"/>
      <c r="CH54" s="191"/>
      <c r="CI54" s="178" t="n">
        <f aca="false">SUM(CE54:CH54)</f>
        <v>0</v>
      </c>
      <c r="CJ54" s="191"/>
      <c r="CK54" s="191"/>
      <c r="CL54" s="191"/>
      <c r="CM54" s="191"/>
      <c r="CN54" s="178" t="n">
        <f aca="false">SUM(CJ54:CM54)</f>
        <v>0</v>
      </c>
      <c r="CO54" s="191" t="n">
        <f aca="false">+CN54+CI54+CD54+BY54+BT54+BO54+BJ54+BE54+AZ54+AU54+AP54+AK54</f>
        <v>0</v>
      </c>
      <c r="CP54" s="191"/>
      <c r="CQ54" s="192"/>
    </row>
    <row r="55" customFormat="false" ht="12.75" hidden="false" customHeight="false" outlineLevel="0" collapsed="false">
      <c r="A55" s="177"/>
      <c r="B55" s="213" t="s">
        <v>229</v>
      </c>
      <c r="C55" s="198"/>
      <c r="D55" s="180"/>
      <c r="E55" s="180"/>
      <c r="F55" s="181"/>
      <c r="G55" s="178"/>
      <c r="H55" s="181"/>
      <c r="I55" s="181"/>
      <c r="J55" s="207"/>
      <c r="K55" s="207"/>
      <c r="L55" s="181"/>
      <c r="M55" s="193"/>
      <c r="N55" s="193"/>
      <c r="O55" s="181"/>
      <c r="P55" s="193"/>
      <c r="Q55" s="193"/>
      <c r="R55" s="181"/>
      <c r="S55" s="194"/>
      <c r="T55" s="195"/>
      <c r="U55" s="181"/>
      <c r="V55" s="186"/>
      <c r="W55" s="186"/>
      <c r="X55" s="187"/>
      <c r="Y55" s="188"/>
      <c r="Z55" s="186"/>
      <c r="AA55" s="186"/>
      <c r="AB55" s="196"/>
      <c r="AC55" s="126"/>
      <c r="AD55" s="186"/>
      <c r="AE55" s="127"/>
      <c r="AF55" s="214" t="s">
        <v>229</v>
      </c>
      <c r="AG55" s="178"/>
      <c r="AH55" s="178"/>
      <c r="AI55" s="178"/>
      <c r="AJ55" s="178"/>
      <c r="AK55" s="178" t="n">
        <f aca="false">SUM(AG55:AJ55)</f>
        <v>0</v>
      </c>
      <c r="AL55" s="178"/>
      <c r="AM55" s="191"/>
      <c r="AN55" s="191"/>
      <c r="AO55" s="191"/>
      <c r="AP55" s="178" t="n">
        <f aca="false">SUM(AL55:AO55)</f>
        <v>0</v>
      </c>
      <c r="AQ55" s="191"/>
      <c r="AR55" s="191"/>
      <c r="AS55" s="191"/>
      <c r="AT55" s="191"/>
      <c r="AU55" s="178" t="n">
        <f aca="false">SUM(AQ55:AT55)</f>
        <v>0</v>
      </c>
      <c r="AV55" s="191"/>
      <c r="AW55" s="191"/>
      <c r="AX55" s="191"/>
      <c r="AY55" s="191"/>
      <c r="AZ55" s="178" t="n">
        <f aca="false">SUM(AV55:AY55)</f>
        <v>0</v>
      </c>
      <c r="BA55" s="191"/>
      <c r="BB55" s="191"/>
      <c r="BC55" s="191"/>
      <c r="BD55" s="191"/>
      <c r="BE55" s="178" t="n">
        <f aca="false">SUM(BA55:BD55)</f>
        <v>0</v>
      </c>
      <c r="BF55" s="191"/>
      <c r="BG55" s="191"/>
      <c r="BH55" s="191"/>
      <c r="BI55" s="191"/>
      <c r="BJ55" s="178" t="n">
        <f aca="false">SUM(BF55:BI55)</f>
        <v>0</v>
      </c>
      <c r="BK55" s="191"/>
      <c r="BL55" s="191"/>
      <c r="BM55" s="191"/>
      <c r="BN55" s="191"/>
      <c r="BO55" s="178" t="n">
        <f aca="false">SUM(BK55:BN55)</f>
        <v>0</v>
      </c>
      <c r="BP55" s="191"/>
      <c r="BQ55" s="191"/>
      <c r="BR55" s="191"/>
      <c r="BS55" s="191"/>
      <c r="BT55" s="178" t="n">
        <f aca="false">SUM(BP55:BS55)</f>
        <v>0</v>
      </c>
      <c r="BU55" s="191"/>
      <c r="BV55" s="191"/>
      <c r="BW55" s="191"/>
      <c r="BX55" s="191"/>
      <c r="BY55" s="178" t="n">
        <f aca="false">SUM(BU55:BX55)</f>
        <v>0</v>
      </c>
      <c r="BZ55" s="191"/>
      <c r="CA55" s="191"/>
      <c r="CB55" s="191"/>
      <c r="CC55" s="191"/>
      <c r="CD55" s="178" t="n">
        <f aca="false">SUM(BZ55:CC55)</f>
        <v>0</v>
      </c>
      <c r="CE55" s="191"/>
      <c r="CF55" s="191"/>
      <c r="CG55" s="191"/>
      <c r="CH55" s="191"/>
      <c r="CI55" s="178" t="n">
        <f aca="false">SUM(CE55:CH55)</f>
        <v>0</v>
      </c>
      <c r="CJ55" s="191"/>
      <c r="CK55" s="191"/>
      <c r="CL55" s="191"/>
      <c r="CM55" s="191"/>
      <c r="CN55" s="178" t="n">
        <f aca="false">SUM(CJ55:CM55)</f>
        <v>0</v>
      </c>
      <c r="CO55" s="191" t="n">
        <f aca="false">+CN55+CI55+CD55+BY55+BT55+BO55+BJ55+BE55+AZ55+AU55+AP55+AK55</f>
        <v>0</v>
      </c>
      <c r="CP55" s="191"/>
      <c r="CQ55" s="192"/>
    </row>
    <row r="56" customFormat="false" ht="12.75" hidden="false" customHeight="false" outlineLevel="0" collapsed="false">
      <c r="A56" s="177" t="s">
        <v>230</v>
      </c>
      <c r="B56" s="178" t="s">
        <v>193</v>
      </c>
      <c r="C56" s="198" t="n">
        <v>1.17</v>
      </c>
      <c r="D56" s="180" t="s">
        <v>167</v>
      </c>
      <c r="E56" s="180"/>
      <c r="F56" s="181"/>
      <c r="G56" s="178"/>
      <c r="H56" s="181"/>
      <c r="I56" s="181"/>
      <c r="J56" s="193" t="n">
        <f aca="false">K56*J$8</f>
        <v>2108.106</v>
      </c>
      <c r="K56" s="193" t="n">
        <f aca="false">1.17*K$11*CMF</f>
        <v>2108.106</v>
      </c>
      <c r="L56" s="181" t="n">
        <f aca="false">+K56/K$11</f>
        <v>1.287</v>
      </c>
      <c r="M56" s="193" t="n">
        <f aca="false">N56*N$8</f>
        <v>94146.624</v>
      </c>
      <c r="N56" s="193" t="n">
        <f aca="false">1.17*N$11*CMF</f>
        <v>1307.592</v>
      </c>
      <c r="O56" s="181" t="n">
        <f aca="false">+N56/N$11</f>
        <v>1.287</v>
      </c>
      <c r="P56" s="193" t="n">
        <f aca="false">Q56*Q$8</f>
        <v>95228.991</v>
      </c>
      <c r="Q56" s="193" t="n">
        <f aca="false">1.17*Q$11*CMF</f>
        <v>1561.131</v>
      </c>
      <c r="R56" s="181" t="n">
        <f aca="false">+Q56/Q$11</f>
        <v>1.287</v>
      </c>
      <c r="S56" s="194" t="n">
        <f aca="false">+P56+M56</f>
        <v>189375.615</v>
      </c>
      <c r="T56" s="195" t="n">
        <f aca="false">+S56/S$8</f>
        <v>1423.87680451128</v>
      </c>
      <c r="U56" s="181" t="n">
        <f aca="false">+S56/U$8</f>
        <v>1.287</v>
      </c>
      <c r="V56" s="185" t="n">
        <f aca="false">+S56/TotalCost</f>
        <v>0.0148844765262814</v>
      </c>
      <c r="W56" s="186" t="n">
        <f aca="false">+$S56/TotalValue</f>
        <v>0.0122177819912603</v>
      </c>
      <c r="X56" s="187"/>
      <c r="Y56" s="188"/>
      <c r="Z56" s="186"/>
      <c r="AA56" s="186"/>
      <c r="AB56" s="196"/>
      <c r="AC56" s="126"/>
      <c r="AD56" s="186"/>
      <c r="AE56" s="127"/>
      <c r="AF56" s="190" t="s">
        <v>193</v>
      </c>
      <c r="AG56" s="178"/>
      <c r="AH56" s="178"/>
      <c r="AI56" s="178"/>
      <c r="AJ56" s="178"/>
      <c r="AK56" s="178" t="n">
        <f aca="false">SUM(AG56:AJ56)</f>
        <v>0</v>
      </c>
      <c r="AL56" s="178"/>
      <c r="AM56" s="178"/>
      <c r="AN56" s="178"/>
      <c r="AO56" s="178"/>
      <c r="AP56" s="178" t="n">
        <f aca="false">SUM(AL56:AO56)</f>
        <v>0</v>
      </c>
      <c r="AQ56" s="178"/>
      <c r="AR56" s="178"/>
      <c r="AS56" s="191"/>
      <c r="AT56" s="191"/>
      <c r="AU56" s="178" t="n">
        <f aca="false">SUM(AQ56:AT56)</f>
        <v>0</v>
      </c>
      <c r="AV56" s="191"/>
      <c r="AW56" s="191"/>
      <c r="AX56" s="191"/>
      <c r="AY56" s="178" t="n">
        <f aca="false">$S56/8</f>
        <v>23671.951875</v>
      </c>
      <c r="AZ56" s="178" t="n">
        <f aca="false">SUM(AV56:AY56)</f>
        <v>23671.951875</v>
      </c>
      <c r="BA56" s="191"/>
      <c r="BB56" s="191"/>
      <c r="BC56" s="178" t="n">
        <f aca="false">$S56/8</f>
        <v>23671.951875</v>
      </c>
      <c r="BD56" s="191"/>
      <c r="BE56" s="178" t="n">
        <f aca="false">SUM(BA56:BD56)</f>
        <v>23671.951875</v>
      </c>
      <c r="BF56" s="191"/>
      <c r="BG56" s="178" t="n">
        <f aca="false">$S56/8</f>
        <v>23671.951875</v>
      </c>
      <c r="BH56" s="191"/>
      <c r="BI56" s="191"/>
      <c r="BJ56" s="178" t="n">
        <f aca="false">SUM(BF56:BI56)</f>
        <v>23671.951875</v>
      </c>
      <c r="BK56" s="178" t="n">
        <f aca="false">$S56/8</f>
        <v>23671.951875</v>
      </c>
      <c r="BL56" s="191"/>
      <c r="BM56" s="191"/>
      <c r="BN56" s="178" t="n">
        <f aca="false">$S56/8</f>
        <v>23671.951875</v>
      </c>
      <c r="BO56" s="178" t="n">
        <f aca="false">SUM(BK56:BN56)</f>
        <v>47343.90375</v>
      </c>
      <c r="BP56" s="191"/>
      <c r="BQ56" s="191"/>
      <c r="BR56" s="178" t="n">
        <f aca="false">$S56/8</f>
        <v>23671.951875</v>
      </c>
      <c r="BS56" s="191"/>
      <c r="BT56" s="178" t="n">
        <f aca="false">SUM(BP56:BS56)</f>
        <v>23671.951875</v>
      </c>
      <c r="BU56" s="191"/>
      <c r="BV56" s="178" t="n">
        <f aca="false">$S56/8</f>
        <v>23671.951875</v>
      </c>
      <c r="BW56" s="191"/>
      <c r="BX56" s="191"/>
      <c r="BY56" s="178" t="n">
        <f aca="false">SUM(BU56:BX56)</f>
        <v>23671.951875</v>
      </c>
      <c r="BZ56" s="178" t="n">
        <f aca="false">$S56/8</f>
        <v>23671.951875</v>
      </c>
      <c r="CA56" s="191"/>
      <c r="CB56" s="191"/>
      <c r="CC56" s="191"/>
      <c r="CD56" s="178" t="n">
        <f aca="false">SUM(BZ56:CC56)</f>
        <v>23671.951875</v>
      </c>
      <c r="CE56" s="191"/>
      <c r="CF56" s="191"/>
      <c r="CG56" s="191"/>
      <c r="CH56" s="191"/>
      <c r="CI56" s="178" t="n">
        <f aca="false">SUM(CE56:CH56)</f>
        <v>0</v>
      </c>
      <c r="CJ56" s="191"/>
      <c r="CK56" s="191"/>
      <c r="CL56" s="191"/>
      <c r="CM56" s="191"/>
      <c r="CN56" s="178" t="n">
        <f aca="false">SUM(CJ56:CM56)</f>
        <v>0</v>
      </c>
      <c r="CO56" s="191" t="n">
        <f aca="false">+CN56+CI56+CD56+BY56+BT56+BO56+BJ56+BE56+AZ56+AU56+AP56+AK56</f>
        <v>189375.615</v>
      </c>
      <c r="CP56" s="191" t="n">
        <f aca="false">S56</f>
        <v>189375.615</v>
      </c>
      <c r="CQ56" s="192" t="n">
        <f aca="false">+CO56/CP56</f>
        <v>1</v>
      </c>
    </row>
    <row r="57" customFormat="false" ht="12.75" hidden="false" customHeight="false" outlineLevel="0" collapsed="false">
      <c r="A57" s="177" t="s">
        <v>231</v>
      </c>
      <c r="B57" s="178" t="s">
        <v>232</v>
      </c>
      <c r="C57" s="198" t="n">
        <v>1.17</v>
      </c>
      <c r="D57" s="180" t="s">
        <v>167</v>
      </c>
      <c r="E57" s="180"/>
      <c r="F57" s="181"/>
      <c r="G57" s="178"/>
      <c r="H57" s="181"/>
      <c r="I57" s="181"/>
      <c r="J57" s="193" t="n">
        <f aca="false">K57*J$8</f>
        <v>2108.106</v>
      </c>
      <c r="K57" s="193" t="n">
        <f aca="false">1.17*K$11*CMF</f>
        <v>2108.106</v>
      </c>
      <c r="L57" s="181" t="n">
        <f aca="false">+K57/K$11</f>
        <v>1.287</v>
      </c>
      <c r="M57" s="193" t="n">
        <f aca="false">N57*N$8</f>
        <v>94146.624</v>
      </c>
      <c r="N57" s="193" t="n">
        <f aca="false">1.17*N$11*CMF</f>
        <v>1307.592</v>
      </c>
      <c r="O57" s="181" t="n">
        <f aca="false">+N57/N$11</f>
        <v>1.287</v>
      </c>
      <c r="P57" s="193" t="n">
        <f aca="false">Q57*Q$8</f>
        <v>95228.991</v>
      </c>
      <c r="Q57" s="193" t="n">
        <f aca="false">1.17*Q$11*CMF</f>
        <v>1561.131</v>
      </c>
      <c r="R57" s="181" t="n">
        <f aca="false">+Q57/Q$11</f>
        <v>1.287</v>
      </c>
      <c r="S57" s="194" t="n">
        <f aca="false">+P57+M57</f>
        <v>189375.615</v>
      </c>
      <c r="T57" s="195" t="n">
        <f aca="false">+S57/S$8</f>
        <v>1423.87680451128</v>
      </c>
      <c r="U57" s="181" t="n">
        <f aca="false">+S57/U$8</f>
        <v>1.287</v>
      </c>
      <c r="V57" s="185" t="n">
        <f aca="false">+S57/TotalCost</f>
        <v>0.0148844765262814</v>
      </c>
      <c r="W57" s="186" t="n">
        <f aca="false">+$S57/TotalValue</f>
        <v>0.0122177819912603</v>
      </c>
      <c r="X57" s="187"/>
      <c r="Y57" s="188"/>
      <c r="Z57" s="186"/>
      <c r="AA57" s="186"/>
      <c r="AB57" s="196"/>
      <c r="AC57" s="126"/>
      <c r="AD57" s="186"/>
      <c r="AE57" s="127"/>
      <c r="AF57" s="190" t="s">
        <v>232</v>
      </c>
      <c r="AG57" s="178"/>
      <c r="AH57" s="178"/>
      <c r="AI57" s="178"/>
      <c r="AJ57" s="178"/>
      <c r="AK57" s="178" t="n">
        <f aca="false">SUM(AG57:AJ57)</f>
        <v>0</v>
      </c>
      <c r="AL57" s="178"/>
      <c r="AM57" s="178"/>
      <c r="AN57" s="178"/>
      <c r="AO57" s="178"/>
      <c r="AP57" s="178" t="n">
        <f aca="false">SUM(AL57:AO57)</f>
        <v>0</v>
      </c>
      <c r="AQ57" s="178"/>
      <c r="AR57" s="178"/>
      <c r="AS57" s="178"/>
      <c r="AT57" s="191"/>
      <c r="AU57" s="178" t="n">
        <f aca="false">SUM(AQ57:AT57)</f>
        <v>0</v>
      </c>
      <c r="AV57" s="191"/>
      <c r="AW57" s="191"/>
      <c r="AX57" s="191"/>
      <c r="AY57" s="191"/>
      <c r="AZ57" s="178" t="n">
        <f aca="false">SUM(AV57:AY57)</f>
        <v>0</v>
      </c>
      <c r="BA57" s="191"/>
      <c r="BB57" s="191"/>
      <c r="BC57" s="191"/>
      <c r="BD57" s="191"/>
      <c r="BE57" s="178" t="n">
        <f aca="false">SUM(BA57:BD57)</f>
        <v>0</v>
      </c>
      <c r="BF57" s="177" t="n">
        <f aca="false">$S57/8</f>
        <v>23671.951875</v>
      </c>
      <c r="BG57" s="191"/>
      <c r="BH57" s="191"/>
      <c r="BI57" s="177" t="n">
        <f aca="false">$S57/8</f>
        <v>23671.951875</v>
      </c>
      <c r="BJ57" s="178" t="n">
        <f aca="false">SUM(BF57:BI57)</f>
        <v>47343.90375</v>
      </c>
      <c r="BK57" s="191"/>
      <c r="BL57" s="191"/>
      <c r="BM57" s="177" t="n">
        <f aca="false">$S57/8</f>
        <v>23671.951875</v>
      </c>
      <c r="BN57" s="191"/>
      <c r="BO57" s="178" t="n">
        <f aca="false">SUM(BK57:BN57)</f>
        <v>23671.951875</v>
      </c>
      <c r="BP57" s="191"/>
      <c r="BQ57" s="177" t="n">
        <f aca="false">$S57/8</f>
        <v>23671.951875</v>
      </c>
      <c r="BR57" s="191"/>
      <c r="BS57" s="191"/>
      <c r="BT57" s="178" t="n">
        <f aca="false">SUM(BP57:BS57)</f>
        <v>23671.951875</v>
      </c>
      <c r="BU57" s="177" t="n">
        <f aca="false">$S57/8</f>
        <v>23671.951875</v>
      </c>
      <c r="BV57" s="191"/>
      <c r="BW57" s="191"/>
      <c r="BX57" s="177" t="n">
        <f aca="false">$S57/8</f>
        <v>23671.951875</v>
      </c>
      <c r="BY57" s="178" t="n">
        <f aca="false">SUM(BU57:BX57)</f>
        <v>47343.90375</v>
      </c>
      <c r="BZ57" s="191"/>
      <c r="CA57" s="191"/>
      <c r="CB57" s="177" t="n">
        <f aca="false">$S57/8</f>
        <v>23671.951875</v>
      </c>
      <c r="CC57" s="191"/>
      <c r="CD57" s="178" t="n">
        <f aca="false">SUM(BZ57:CC57)</f>
        <v>23671.951875</v>
      </c>
      <c r="CE57" s="191"/>
      <c r="CF57" s="177" t="n">
        <f aca="false">$S57/8</f>
        <v>23671.951875</v>
      </c>
      <c r="CG57" s="191"/>
      <c r="CH57" s="191"/>
      <c r="CI57" s="178" t="n">
        <f aca="false">SUM(CE57:CH57)</f>
        <v>23671.951875</v>
      </c>
      <c r="CJ57" s="191"/>
      <c r="CK57" s="191"/>
      <c r="CL57" s="191"/>
      <c r="CM57" s="191"/>
      <c r="CN57" s="178" t="n">
        <f aca="false">SUM(CJ57:CM57)</f>
        <v>0</v>
      </c>
      <c r="CO57" s="191" t="n">
        <f aca="false">+CN57+CI57+CD57+BY57+BT57+BO57+BJ57+BE57+AZ57+AU57+AP57+AK57</f>
        <v>189375.615</v>
      </c>
      <c r="CP57" s="191" t="n">
        <f aca="false">S57</f>
        <v>189375.615</v>
      </c>
      <c r="CQ57" s="192" t="n">
        <f aca="false">+CO57/CP57</f>
        <v>1</v>
      </c>
    </row>
    <row r="58" customFormat="false" ht="12.75" hidden="false" customHeight="false" outlineLevel="0" collapsed="false">
      <c r="A58" s="177" t="s">
        <v>233</v>
      </c>
      <c r="B58" s="213" t="s">
        <v>234</v>
      </c>
      <c r="C58" s="179" t="n">
        <v>0.85</v>
      </c>
      <c r="D58" s="180" t="s">
        <v>167</v>
      </c>
      <c r="E58" s="180"/>
      <c r="F58" s="181"/>
      <c r="G58" s="178"/>
      <c r="H58" s="181"/>
      <c r="I58" s="181"/>
      <c r="J58" s="193" t="n">
        <f aca="false">K58*J$8</f>
        <v>1531.53</v>
      </c>
      <c r="K58" s="193" t="n">
        <f aca="false">K$11*0.85*CMF</f>
        <v>1531.53</v>
      </c>
      <c r="L58" s="181" t="n">
        <f aca="false">+K58/K$11</f>
        <v>0.935</v>
      </c>
      <c r="M58" s="193" t="n">
        <f aca="false">N58*N$8</f>
        <v>68397.12</v>
      </c>
      <c r="N58" s="193" t="n">
        <f aca="false">N$11*0.85*CMF</f>
        <v>949.96</v>
      </c>
      <c r="O58" s="181" t="n">
        <f aca="false">+N58/N$11</f>
        <v>0.935</v>
      </c>
      <c r="P58" s="193" t="n">
        <f aca="false">Q58*Q$8</f>
        <v>69183.455</v>
      </c>
      <c r="Q58" s="193" t="n">
        <f aca="false">Q$11*0.85*CMF</f>
        <v>1134.155</v>
      </c>
      <c r="R58" s="181" t="n">
        <f aca="false">+Q58/Q$11</f>
        <v>0.935</v>
      </c>
      <c r="S58" s="194" t="n">
        <f aca="false">+P58+M58</f>
        <v>137580.575</v>
      </c>
      <c r="T58" s="195" t="n">
        <f aca="false">+S58/S$8</f>
        <v>1034.44041353383</v>
      </c>
      <c r="U58" s="181" t="n">
        <f aca="false">+S58/U$8</f>
        <v>0.935</v>
      </c>
      <c r="V58" s="185" t="n">
        <f aca="false">+S58/TotalCost</f>
        <v>0.0108135085874694</v>
      </c>
      <c r="W58" s="186" t="n">
        <f aca="false">+$S58/TotalValue</f>
        <v>0.00887616640390709</v>
      </c>
      <c r="X58" s="187"/>
      <c r="Y58" s="188"/>
      <c r="Z58" s="186"/>
      <c r="AA58" s="186"/>
      <c r="AB58" s="196"/>
      <c r="AC58" s="126"/>
      <c r="AD58" s="186"/>
      <c r="AE58" s="127"/>
      <c r="AF58" s="214" t="s">
        <v>234</v>
      </c>
      <c r="AG58" s="178"/>
      <c r="AH58" s="178"/>
      <c r="AI58" s="178"/>
      <c r="AJ58" s="178"/>
      <c r="AK58" s="178" t="n">
        <f aca="false">SUM(AG58:AJ58)</f>
        <v>0</v>
      </c>
      <c r="AL58" s="178"/>
      <c r="AM58" s="178"/>
      <c r="AN58" s="178"/>
      <c r="AO58" s="178"/>
      <c r="AP58" s="178" t="n">
        <f aca="false">SUM(AL58:AO58)</f>
        <v>0</v>
      </c>
      <c r="AQ58" s="178"/>
      <c r="AR58" s="178"/>
      <c r="AS58" s="191"/>
      <c r="AT58" s="191"/>
      <c r="AU58" s="178" t="n">
        <f aca="false">SUM(AQ58:AT58)</f>
        <v>0</v>
      </c>
      <c r="AV58" s="191"/>
      <c r="AW58" s="191"/>
      <c r="AX58" s="191"/>
      <c r="AY58" s="191"/>
      <c r="AZ58" s="178" t="n">
        <f aca="false">SUM(AV58:AY58)</f>
        <v>0</v>
      </c>
      <c r="BA58" s="178" t="n">
        <f aca="false">$S58/8</f>
        <v>17197.571875</v>
      </c>
      <c r="BB58" s="191"/>
      <c r="BC58" s="191"/>
      <c r="BD58" s="178" t="n">
        <f aca="false">$S58/8</f>
        <v>17197.571875</v>
      </c>
      <c r="BE58" s="178" t="n">
        <f aca="false">SUM(BA58:BD58)</f>
        <v>34395.14375</v>
      </c>
      <c r="BF58" s="191"/>
      <c r="BG58" s="191"/>
      <c r="BH58" s="178" t="n">
        <f aca="false">$S58/8</f>
        <v>17197.571875</v>
      </c>
      <c r="BI58" s="191"/>
      <c r="BJ58" s="178" t="n">
        <f aca="false">SUM(BF58:BI58)</f>
        <v>17197.571875</v>
      </c>
      <c r="BK58" s="191"/>
      <c r="BL58" s="178" t="n">
        <f aca="false">$S58/8</f>
        <v>17197.571875</v>
      </c>
      <c r="BM58" s="191"/>
      <c r="BN58" s="191"/>
      <c r="BO58" s="178" t="n">
        <f aca="false">SUM(BK58:BN58)</f>
        <v>17197.571875</v>
      </c>
      <c r="BP58" s="178" t="n">
        <f aca="false">$S58/8</f>
        <v>17197.571875</v>
      </c>
      <c r="BQ58" s="191"/>
      <c r="BR58" s="191"/>
      <c r="BS58" s="178" t="n">
        <f aca="false">$S58/8</f>
        <v>17197.571875</v>
      </c>
      <c r="BT58" s="178" t="n">
        <f aca="false">SUM(BP58:BS58)</f>
        <v>34395.14375</v>
      </c>
      <c r="BU58" s="191"/>
      <c r="BV58" s="191"/>
      <c r="BW58" s="178" t="n">
        <f aca="false">$S58/8</f>
        <v>17197.571875</v>
      </c>
      <c r="BX58" s="191"/>
      <c r="BY58" s="178" t="n">
        <f aca="false">SUM(BU58:BX58)</f>
        <v>17197.571875</v>
      </c>
      <c r="BZ58" s="191"/>
      <c r="CA58" s="178" t="n">
        <f aca="false">$S58/8</f>
        <v>17197.571875</v>
      </c>
      <c r="CB58" s="191"/>
      <c r="CC58" s="191"/>
      <c r="CD58" s="178" t="n">
        <f aca="false">SUM(BZ58:CC58)</f>
        <v>17197.571875</v>
      </c>
      <c r="CE58" s="191"/>
      <c r="CF58" s="191"/>
      <c r="CG58" s="191"/>
      <c r="CH58" s="191"/>
      <c r="CI58" s="178" t="n">
        <f aca="false">SUM(CE58:CH58)</f>
        <v>0</v>
      </c>
      <c r="CJ58" s="191"/>
      <c r="CK58" s="191"/>
      <c r="CL58" s="191"/>
      <c r="CM58" s="191"/>
      <c r="CN58" s="178" t="n">
        <f aca="false">SUM(CJ58:CM58)</f>
        <v>0</v>
      </c>
      <c r="CO58" s="191" t="n">
        <f aca="false">+CN58+CI58+CD58+BY58+BT58+BO58+BJ58+BE58+AZ58+AU58+AP58+AK58</f>
        <v>137580.575</v>
      </c>
      <c r="CP58" s="191" t="n">
        <f aca="false">S58</f>
        <v>137580.575</v>
      </c>
      <c r="CQ58" s="192" t="n">
        <f aca="false">+CO58/CP58</f>
        <v>1</v>
      </c>
    </row>
    <row r="59" customFormat="false" ht="12.75" hidden="false" customHeight="false" outlineLevel="0" collapsed="false">
      <c r="A59" s="177" t="s">
        <v>235</v>
      </c>
      <c r="B59" s="213" t="s">
        <v>236</v>
      </c>
      <c r="C59" s="179" t="n">
        <v>3</v>
      </c>
      <c r="D59" s="180" t="s">
        <v>167</v>
      </c>
      <c r="E59" s="180"/>
      <c r="F59" s="181"/>
      <c r="G59" s="178"/>
      <c r="H59" s="181"/>
      <c r="I59" s="181"/>
      <c r="J59" s="193"/>
      <c r="K59" s="207"/>
      <c r="L59" s="181"/>
      <c r="M59" s="193"/>
      <c r="N59" s="193"/>
      <c r="O59" s="181"/>
      <c r="P59" s="193"/>
      <c r="Q59" s="193"/>
      <c r="R59" s="181"/>
      <c r="S59" s="194"/>
      <c r="T59" s="195"/>
      <c r="U59" s="181"/>
      <c r="V59" s="186"/>
      <c r="W59" s="186"/>
      <c r="X59" s="187"/>
      <c r="Y59" s="188"/>
      <c r="Z59" s="186"/>
      <c r="AA59" s="186"/>
      <c r="AB59" s="196"/>
      <c r="AC59" s="126"/>
      <c r="AD59" s="219"/>
      <c r="AE59" s="127"/>
      <c r="AF59" s="214" t="s">
        <v>236</v>
      </c>
      <c r="AG59" s="178"/>
      <c r="AH59" s="178"/>
      <c r="AI59" s="178"/>
      <c r="AJ59" s="178"/>
      <c r="AK59" s="178" t="n">
        <f aca="false">SUM(AG59:AJ59)</f>
        <v>0</v>
      </c>
      <c r="AL59" s="178"/>
      <c r="AM59" s="191"/>
      <c r="AN59" s="191"/>
      <c r="AO59" s="191"/>
      <c r="AP59" s="178" t="n">
        <f aca="false">SUM(AL59:AO59)</f>
        <v>0</v>
      </c>
      <c r="AQ59" s="191"/>
      <c r="AR59" s="191"/>
      <c r="AS59" s="191"/>
      <c r="AT59" s="191"/>
      <c r="AU59" s="178" t="n">
        <f aca="false">SUM(AQ59:AT59)</f>
        <v>0</v>
      </c>
      <c r="AV59" s="191"/>
      <c r="AW59" s="191"/>
      <c r="AX59" s="191"/>
      <c r="AY59" s="191"/>
      <c r="AZ59" s="178" t="n">
        <f aca="false">SUM(AV59:AY59)</f>
        <v>0</v>
      </c>
      <c r="BA59" s="191"/>
      <c r="BB59" s="191"/>
      <c r="BC59" s="191"/>
      <c r="BD59" s="191"/>
      <c r="BE59" s="178" t="n">
        <f aca="false">SUM(BA59:BD59)</f>
        <v>0</v>
      </c>
      <c r="BF59" s="191"/>
      <c r="BG59" s="191"/>
      <c r="BH59" s="191"/>
      <c r="BI59" s="191"/>
      <c r="BJ59" s="178" t="n">
        <f aca="false">SUM(BF59:BI59)</f>
        <v>0</v>
      </c>
      <c r="BK59" s="191"/>
      <c r="BL59" s="191"/>
      <c r="BM59" s="191"/>
      <c r="BN59" s="191"/>
      <c r="BO59" s="178" t="n">
        <f aca="false">SUM(BK59:BN59)</f>
        <v>0</v>
      </c>
      <c r="BP59" s="191"/>
      <c r="BQ59" s="191"/>
      <c r="BR59" s="191"/>
      <c r="BS59" s="191"/>
      <c r="BT59" s="178" t="n">
        <f aca="false">SUM(BP59:BS59)</f>
        <v>0</v>
      </c>
      <c r="BU59" s="191"/>
      <c r="BV59" s="191"/>
      <c r="BW59" s="191"/>
      <c r="BX59" s="191"/>
      <c r="BY59" s="178" t="n">
        <f aca="false">SUM(BU59:BX59)</f>
        <v>0</v>
      </c>
      <c r="BZ59" s="191"/>
      <c r="CA59" s="191"/>
      <c r="CB59" s="178"/>
      <c r="CC59" s="191"/>
      <c r="CD59" s="178" t="n">
        <f aca="false">SUM(BZ59:CC59)</f>
        <v>0</v>
      </c>
      <c r="CE59" s="191"/>
      <c r="CF59" s="191"/>
      <c r="CG59" s="191"/>
      <c r="CH59" s="191"/>
      <c r="CI59" s="178" t="n">
        <f aca="false">SUM(CE59:CH59)</f>
        <v>0</v>
      </c>
      <c r="CJ59" s="191"/>
      <c r="CK59" s="191"/>
      <c r="CL59" s="191"/>
      <c r="CM59" s="191"/>
      <c r="CN59" s="178" t="n">
        <f aca="false">SUM(CJ59:CM59)</f>
        <v>0</v>
      </c>
      <c r="CO59" s="191" t="n">
        <f aca="false">+CN59+CI59+CD59+BY59+BT59+BO59+BJ59+BE59+AZ59+AU59+AP59+AK59</f>
        <v>0</v>
      </c>
      <c r="CP59" s="191"/>
      <c r="CQ59" s="192"/>
    </row>
    <row r="60" customFormat="false" ht="12.75" hidden="false" customHeight="true" outlineLevel="0" collapsed="false">
      <c r="A60" s="177" t="s">
        <v>235</v>
      </c>
      <c r="B60" s="178" t="s">
        <v>237</v>
      </c>
      <c r="C60" s="216" t="n">
        <v>0.33</v>
      </c>
      <c r="D60" s="180"/>
      <c r="E60" s="180"/>
      <c r="F60" s="181"/>
      <c r="G60" s="178"/>
      <c r="H60" s="181"/>
      <c r="I60" s="181"/>
      <c r="J60" s="193" t="n">
        <f aca="false">K60*J$8</f>
        <v>1783.782</v>
      </c>
      <c r="K60" s="193" t="n">
        <f aca="false">K$11*3*0.33*CMF</f>
        <v>1783.782</v>
      </c>
      <c r="L60" s="181" t="n">
        <f aca="false">+K60/K$11</f>
        <v>1.089</v>
      </c>
      <c r="M60" s="220" t="n">
        <f aca="false">N60*N$8</f>
        <v>79662.528</v>
      </c>
      <c r="N60" s="193" t="n">
        <f aca="false">N$11*3*0.33*CMF</f>
        <v>1106.424</v>
      </c>
      <c r="O60" s="181" t="n">
        <f aca="false">+N60/N$11</f>
        <v>1.089</v>
      </c>
      <c r="P60" s="193" t="n">
        <f aca="false">Q60*Q$8</f>
        <v>80578.377</v>
      </c>
      <c r="Q60" s="193" t="n">
        <f aca="false">Q$11*3*0.33*CMF</f>
        <v>1320.957</v>
      </c>
      <c r="R60" s="181" t="n">
        <f aca="false">+Q60/Q$11</f>
        <v>1.089</v>
      </c>
      <c r="S60" s="194" t="n">
        <f aca="false">+P60+M60</f>
        <v>160240.905</v>
      </c>
      <c r="T60" s="195" t="n">
        <f aca="false">+S60/S$8</f>
        <v>1204.81883458647</v>
      </c>
      <c r="U60" s="181" t="n">
        <f aca="false">+S60/U$8</f>
        <v>1.089</v>
      </c>
      <c r="V60" s="185" t="n">
        <f aca="false">+S60/TotalCost</f>
        <v>0.0125945570606997</v>
      </c>
      <c r="W60" s="186" t="n">
        <f aca="false">+$S60/TotalValue</f>
        <v>0.0103381232233741</v>
      </c>
      <c r="X60" s="187"/>
      <c r="Y60" s="188"/>
      <c r="Z60" s="186"/>
      <c r="AA60" s="186"/>
      <c r="AB60" s="196"/>
      <c r="AC60" s="126"/>
      <c r="AD60" s="219"/>
      <c r="AE60" s="127"/>
      <c r="AF60" s="190" t="s">
        <v>237</v>
      </c>
      <c r="AG60" s="178"/>
      <c r="AH60" s="178"/>
      <c r="AI60" s="178"/>
      <c r="AJ60" s="178"/>
      <c r="AK60" s="178" t="n">
        <f aca="false">SUM(AG60:AJ60)</f>
        <v>0</v>
      </c>
      <c r="AL60" s="178"/>
      <c r="AM60" s="178"/>
      <c r="AN60" s="178"/>
      <c r="AO60" s="178"/>
      <c r="AP60" s="178" t="n">
        <f aca="false">SUM(AL60:AO60)</f>
        <v>0</v>
      </c>
      <c r="AQ60" s="178"/>
      <c r="AR60" s="178"/>
      <c r="AS60" s="191"/>
      <c r="AT60" s="178" t="n">
        <f aca="false">$S60/8</f>
        <v>20030.113125</v>
      </c>
      <c r="AU60" s="178" t="n">
        <f aca="false">SUM(AQ60:AT60)</f>
        <v>20030.113125</v>
      </c>
      <c r="AV60" s="191"/>
      <c r="AW60" s="191"/>
      <c r="AX60" s="178" t="n">
        <f aca="false">$S60/8</f>
        <v>20030.113125</v>
      </c>
      <c r="AY60" s="191"/>
      <c r="AZ60" s="178" t="n">
        <f aca="false">SUM(AV60:AY60)</f>
        <v>20030.113125</v>
      </c>
      <c r="BA60" s="178"/>
      <c r="BB60" s="178" t="n">
        <f aca="false">$S60/8</f>
        <v>20030.113125</v>
      </c>
      <c r="BC60" s="191"/>
      <c r="BD60" s="191"/>
      <c r="BE60" s="178" t="n">
        <f aca="false">SUM(BA60:BD60)</f>
        <v>20030.113125</v>
      </c>
      <c r="BF60" s="178" t="n">
        <f aca="false">$S60/8</f>
        <v>20030.113125</v>
      </c>
      <c r="BG60" s="191"/>
      <c r="BH60" s="191"/>
      <c r="BI60" s="178" t="n">
        <f aca="false">$S60/8</f>
        <v>20030.113125</v>
      </c>
      <c r="BJ60" s="178" t="n">
        <f aca="false">SUM(BF60:BI60)</f>
        <v>40060.22625</v>
      </c>
      <c r="BK60" s="191"/>
      <c r="BL60" s="191"/>
      <c r="BM60" s="178" t="n">
        <f aca="false">$S60/8</f>
        <v>20030.113125</v>
      </c>
      <c r="BN60" s="191"/>
      <c r="BO60" s="178" t="n">
        <f aca="false">SUM(BK60:BN60)</f>
        <v>20030.113125</v>
      </c>
      <c r="BP60" s="178"/>
      <c r="BQ60" s="178" t="n">
        <f aca="false">$S60/8</f>
        <v>20030.113125</v>
      </c>
      <c r="BR60" s="191"/>
      <c r="BS60" s="191"/>
      <c r="BT60" s="178" t="n">
        <f aca="false">SUM(BP60:BS60)</f>
        <v>20030.113125</v>
      </c>
      <c r="BU60" s="178" t="n">
        <f aca="false">$S60/8</f>
        <v>20030.113125</v>
      </c>
      <c r="BV60" s="191"/>
      <c r="BW60" s="191"/>
      <c r="BX60" s="191"/>
      <c r="BY60" s="178" t="n">
        <f aca="false">SUM(BU60:BX60)</f>
        <v>20030.113125</v>
      </c>
      <c r="BZ60" s="191"/>
      <c r="CA60" s="191"/>
      <c r="CB60" s="191"/>
      <c r="CC60" s="191"/>
      <c r="CD60" s="178" t="n">
        <f aca="false">SUM(BZ60:CC60)</f>
        <v>0</v>
      </c>
      <c r="CE60" s="191"/>
      <c r="CF60" s="191"/>
      <c r="CG60" s="191"/>
      <c r="CH60" s="191"/>
      <c r="CI60" s="178" t="n">
        <f aca="false">SUM(CE60:CH60)</f>
        <v>0</v>
      </c>
      <c r="CJ60" s="191"/>
      <c r="CK60" s="191"/>
      <c r="CL60" s="191"/>
      <c r="CM60" s="191"/>
      <c r="CN60" s="178" t="n">
        <f aca="false">SUM(CJ60:CM60)</f>
        <v>0</v>
      </c>
      <c r="CO60" s="191" t="n">
        <f aca="false">+CN60+CI60+CD60+BY60+BT60+BO60+BJ60+BE60+AZ60+AU60+AP60+AK60</f>
        <v>160240.905</v>
      </c>
      <c r="CP60" s="191" t="n">
        <f aca="false">S60</f>
        <v>160240.905</v>
      </c>
      <c r="CQ60" s="192" t="n">
        <f aca="false">+CO60/CP60</f>
        <v>1</v>
      </c>
    </row>
    <row r="61" customFormat="false" ht="12.75" hidden="false" customHeight="false" outlineLevel="0" collapsed="false">
      <c r="A61" s="177" t="s">
        <v>235</v>
      </c>
      <c r="B61" s="178" t="s">
        <v>238</v>
      </c>
      <c r="C61" s="216" t="n">
        <v>0.67</v>
      </c>
      <c r="D61" s="180"/>
      <c r="E61" s="180"/>
      <c r="F61" s="181"/>
      <c r="G61" s="178"/>
      <c r="H61" s="181"/>
      <c r="I61" s="181"/>
      <c r="J61" s="193" t="n">
        <f aca="false">K61*J$8</f>
        <v>3621.618</v>
      </c>
      <c r="K61" s="193" t="n">
        <f aca="false">$K$11*3*0.67*CMF</f>
        <v>3621.618</v>
      </c>
      <c r="L61" s="181" t="n">
        <f aca="false">+K61/K$11</f>
        <v>2.211</v>
      </c>
      <c r="M61" s="193" t="n">
        <f aca="false">N61*N$8</f>
        <v>161739.072</v>
      </c>
      <c r="N61" s="193" t="n">
        <f aca="false">N$11*3*0.67*CMF</f>
        <v>2246.376</v>
      </c>
      <c r="O61" s="181" t="n">
        <f aca="false">+N61/N$11</f>
        <v>2.211</v>
      </c>
      <c r="P61" s="193" t="n">
        <f aca="false">Q61*Q$8</f>
        <v>163598.523</v>
      </c>
      <c r="Q61" s="193" t="n">
        <f aca="false">Q$11*3*0.67*CMF</f>
        <v>2681.943</v>
      </c>
      <c r="R61" s="181" t="n">
        <f aca="false">+Q61/Q$11</f>
        <v>2.211</v>
      </c>
      <c r="S61" s="194" t="n">
        <f aca="false">+P61+M61</f>
        <v>325337.595</v>
      </c>
      <c r="T61" s="195" t="n">
        <f aca="false">+S61/S$8</f>
        <v>2446.14733082707</v>
      </c>
      <c r="U61" s="181" t="n">
        <f aca="false">+S61/U$8</f>
        <v>2.211</v>
      </c>
      <c r="V61" s="185" t="n">
        <f aca="false">+S61/TotalCost</f>
        <v>0.0255707673656629</v>
      </c>
      <c r="W61" s="186" t="n">
        <f aca="false">+$S61/TotalValue</f>
        <v>0.0209895229080626</v>
      </c>
      <c r="X61" s="187"/>
      <c r="Y61" s="188"/>
      <c r="Z61" s="186"/>
      <c r="AA61" s="186"/>
      <c r="AB61" s="196"/>
      <c r="AC61" s="126"/>
      <c r="AD61" s="219"/>
      <c r="AE61" s="127"/>
      <c r="AF61" s="190" t="s">
        <v>238</v>
      </c>
      <c r="AG61" s="178"/>
      <c r="AH61" s="178"/>
      <c r="AI61" s="178"/>
      <c r="AJ61" s="178"/>
      <c r="AK61" s="178" t="n">
        <f aca="false">SUM(AG61:AJ61)</f>
        <v>0</v>
      </c>
      <c r="AL61" s="178"/>
      <c r="AM61" s="178"/>
      <c r="AN61" s="178"/>
      <c r="AO61" s="178"/>
      <c r="AP61" s="178" t="n">
        <f aca="false">SUM(AL61:AO61)</f>
        <v>0</v>
      </c>
      <c r="AQ61" s="178"/>
      <c r="AR61" s="178"/>
      <c r="AS61" s="191"/>
      <c r="AT61" s="191"/>
      <c r="AU61" s="178" t="n">
        <f aca="false">SUM(AQ61:AT61)</f>
        <v>0</v>
      </c>
      <c r="AV61" s="191"/>
      <c r="AW61" s="191"/>
      <c r="AX61" s="191"/>
      <c r="AY61" s="191"/>
      <c r="AZ61" s="178" t="n">
        <f aca="false">SUM(AV61:AY61)</f>
        <v>0</v>
      </c>
      <c r="BA61" s="178"/>
      <c r="BB61" s="178" t="n">
        <f aca="false">$S61/8</f>
        <v>40667.199375</v>
      </c>
      <c r="BC61" s="191"/>
      <c r="BD61" s="191"/>
      <c r="BE61" s="178" t="n">
        <f aca="false">SUM(BA61:BD61)</f>
        <v>40667.199375</v>
      </c>
      <c r="BF61" s="178" t="n">
        <f aca="false">$S61/8</f>
        <v>40667.199375</v>
      </c>
      <c r="BG61" s="191"/>
      <c r="BH61" s="191"/>
      <c r="BI61" s="178" t="n">
        <f aca="false">$S61/8</f>
        <v>40667.199375</v>
      </c>
      <c r="BJ61" s="178" t="n">
        <f aca="false">SUM(BF61:BI61)</f>
        <v>81334.39875</v>
      </c>
      <c r="BK61" s="191"/>
      <c r="BL61" s="191"/>
      <c r="BM61" s="178" t="n">
        <f aca="false">$S61/8</f>
        <v>40667.199375</v>
      </c>
      <c r="BN61" s="191"/>
      <c r="BO61" s="178" t="n">
        <f aca="false">SUM(BK61:BN61)</f>
        <v>40667.199375</v>
      </c>
      <c r="BP61" s="191"/>
      <c r="BQ61" s="178" t="n">
        <f aca="false">$S61/8</f>
        <v>40667.199375</v>
      </c>
      <c r="BR61" s="191"/>
      <c r="BS61" s="191"/>
      <c r="BT61" s="178" t="n">
        <f aca="false">SUM(BP61:BS61)</f>
        <v>40667.199375</v>
      </c>
      <c r="BU61" s="178" t="n">
        <f aca="false">$S61/8</f>
        <v>40667.199375</v>
      </c>
      <c r="BV61" s="191"/>
      <c r="BW61" s="191"/>
      <c r="BX61" s="178" t="n">
        <f aca="false">$S61/8</f>
        <v>40667.199375</v>
      </c>
      <c r="BY61" s="178" t="n">
        <f aca="false">SUM(BU61:BX61)</f>
        <v>81334.39875</v>
      </c>
      <c r="BZ61" s="191"/>
      <c r="CA61" s="191"/>
      <c r="CB61" s="178" t="n">
        <f aca="false">$S61/8</f>
        <v>40667.199375</v>
      </c>
      <c r="CC61" s="191"/>
      <c r="CD61" s="178" t="n">
        <f aca="false">SUM(BZ61:CC61)</f>
        <v>40667.199375</v>
      </c>
      <c r="CE61" s="191"/>
      <c r="CF61" s="191"/>
      <c r="CG61" s="191"/>
      <c r="CH61" s="191"/>
      <c r="CI61" s="178" t="n">
        <f aca="false">SUM(CE61:CH61)</f>
        <v>0</v>
      </c>
      <c r="CJ61" s="191"/>
      <c r="CK61" s="191"/>
      <c r="CL61" s="191"/>
      <c r="CM61" s="191"/>
      <c r="CN61" s="178" t="n">
        <f aca="false">SUM(CJ61:CM61)</f>
        <v>0</v>
      </c>
      <c r="CO61" s="191" t="n">
        <f aca="false">+CN61+CI61+CD61+BY61+BT61+BO61+BJ61+BE61+AZ61+AU61+AP61+AK61</f>
        <v>325337.595</v>
      </c>
      <c r="CP61" s="191" t="n">
        <f aca="false">S61</f>
        <v>325337.595</v>
      </c>
      <c r="CQ61" s="192" t="n">
        <f aca="false">+CO61/CP61</f>
        <v>1</v>
      </c>
    </row>
    <row r="62" customFormat="false" ht="12.75" hidden="false" customHeight="false" outlineLevel="0" collapsed="false">
      <c r="A62" s="177" t="s">
        <v>239</v>
      </c>
      <c r="B62" s="199" t="s">
        <v>240</v>
      </c>
      <c r="C62" s="178" t="n">
        <v>365</v>
      </c>
      <c r="D62" s="180" t="s">
        <v>241</v>
      </c>
      <c r="E62" s="198" t="s">
        <v>242</v>
      </c>
      <c r="F62" s="181"/>
      <c r="G62" s="178"/>
      <c r="H62" s="181"/>
      <c r="I62" s="181"/>
      <c r="J62" s="193" t="n">
        <f aca="false">K62*J$8</f>
        <v>730</v>
      </c>
      <c r="K62" s="193" t="n">
        <f aca="false">365*2</f>
        <v>730</v>
      </c>
      <c r="L62" s="181" t="n">
        <f aca="false">+K62/K$11</f>
        <v>0.445665445665446</v>
      </c>
      <c r="M62" s="193" t="n">
        <f aca="false">N62*N$8</f>
        <v>0</v>
      </c>
      <c r="N62" s="193" t="n">
        <v>0</v>
      </c>
      <c r="O62" s="181" t="n">
        <f aca="false">+N62/N$11</f>
        <v>0</v>
      </c>
      <c r="P62" s="193" t="n">
        <f aca="false">Q62*Q$8</f>
        <v>22265</v>
      </c>
      <c r="Q62" s="193" t="n">
        <v>365</v>
      </c>
      <c r="R62" s="181" t="n">
        <f aca="false">+Q62/Q$11</f>
        <v>0.300906842539159</v>
      </c>
      <c r="S62" s="194" t="n">
        <f aca="false">+P62+M62</f>
        <v>22265</v>
      </c>
      <c r="T62" s="195" t="n">
        <f aca="false">+S62/S$8</f>
        <v>167.406015037594</v>
      </c>
      <c r="U62" s="181" t="n">
        <f aca="false">+S62/U$8</f>
        <v>0.151313330388392</v>
      </c>
      <c r="V62" s="185" t="n">
        <f aca="false">+S62/TotalCost</f>
        <v>0.00174997646797163</v>
      </c>
      <c r="W62" s="186" t="n">
        <f aca="false">+$S62/TotalValue</f>
        <v>0.00143645165738689</v>
      </c>
      <c r="X62" s="187"/>
      <c r="Y62" s="188"/>
      <c r="Z62" s="186"/>
      <c r="AA62" s="186"/>
      <c r="AB62" s="196"/>
      <c r="AC62" s="126"/>
      <c r="AD62" s="186"/>
      <c r="AE62" s="127"/>
      <c r="AF62" s="200" t="s">
        <v>240</v>
      </c>
      <c r="AG62" s="178"/>
      <c r="AH62" s="178"/>
      <c r="AI62" s="178"/>
      <c r="AJ62" s="178"/>
      <c r="AK62" s="178" t="n">
        <f aca="false">SUM(AG62:AJ62)</f>
        <v>0</v>
      </c>
      <c r="AL62" s="178"/>
      <c r="AM62" s="178"/>
      <c r="AN62" s="178"/>
      <c r="AO62" s="178"/>
      <c r="AP62" s="178" t="n">
        <f aca="false">SUM(AL62:AO62)</f>
        <v>0</v>
      </c>
      <c r="AQ62" s="178"/>
      <c r="AR62" s="178"/>
      <c r="AS62" s="178"/>
      <c r="AT62" s="178"/>
      <c r="AU62" s="178" t="n">
        <f aca="false">SUM(AQ62:AT62)</f>
        <v>0</v>
      </c>
      <c r="AV62" s="191"/>
      <c r="AW62" s="191"/>
      <c r="AX62" s="191"/>
      <c r="AY62" s="191"/>
      <c r="AZ62" s="178" t="n">
        <f aca="false">SUM(AV62:AY62)</f>
        <v>0</v>
      </c>
      <c r="BA62" s="191"/>
      <c r="BB62" s="178"/>
      <c r="BC62" s="178" t="n">
        <f aca="false">$S62/8</f>
        <v>2783.125</v>
      </c>
      <c r="BD62" s="191"/>
      <c r="BE62" s="178" t="n">
        <f aca="false">SUM(BA62:BD62)</f>
        <v>2783.125</v>
      </c>
      <c r="BF62" s="191"/>
      <c r="BG62" s="178" t="n">
        <f aca="false">$S62/8</f>
        <v>2783.125</v>
      </c>
      <c r="BH62" s="191"/>
      <c r="BI62" s="191"/>
      <c r="BJ62" s="178" t="n">
        <f aca="false">SUM(BF62:BI62)</f>
        <v>2783.125</v>
      </c>
      <c r="BK62" s="178" t="n">
        <f aca="false">$S62/8</f>
        <v>2783.125</v>
      </c>
      <c r="BL62" s="191"/>
      <c r="BM62" s="191"/>
      <c r="BN62" s="178" t="n">
        <f aca="false">$S62/8</f>
        <v>2783.125</v>
      </c>
      <c r="BO62" s="178" t="n">
        <f aca="false">SUM(BK62:BN62)</f>
        <v>5566.25</v>
      </c>
      <c r="BP62" s="191"/>
      <c r="BQ62" s="191"/>
      <c r="BR62" s="178" t="n">
        <f aca="false">$S62/8</f>
        <v>2783.125</v>
      </c>
      <c r="BS62" s="191"/>
      <c r="BT62" s="178" t="n">
        <f aca="false">SUM(BP62:BS62)</f>
        <v>2783.125</v>
      </c>
      <c r="BU62" s="191"/>
      <c r="BV62" s="178" t="n">
        <f aca="false">$S62/8</f>
        <v>2783.125</v>
      </c>
      <c r="BW62" s="191"/>
      <c r="BX62" s="191"/>
      <c r="BY62" s="178" t="n">
        <f aca="false">SUM(BU62:BX62)</f>
        <v>2783.125</v>
      </c>
      <c r="BZ62" s="178" t="n">
        <f aca="false">$S62/8</f>
        <v>2783.125</v>
      </c>
      <c r="CA62" s="191"/>
      <c r="CB62" s="191"/>
      <c r="CC62" s="178" t="n">
        <f aca="false">$S62/8</f>
        <v>2783.125</v>
      </c>
      <c r="CD62" s="178" t="n">
        <f aca="false">SUM(BZ62:CC62)</f>
        <v>5566.25</v>
      </c>
      <c r="CE62" s="191"/>
      <c r="CF62" s="191"/>
      <c r="CG62" s="191"/>
      <c r="CH62" s="191"/>
      <c r="CI62" s="178" t="n">
        <f aca="false">SUM(CE62:CH62)</f>
        <v>0</v>
      </c>
      <c r="CJ62" s="191"/>
      <c r="CK62" s="191"/>
      <c r="CL62" s="191"/>
      <c r="CM62" s="191"/>
      <c r="CN62" s="178" t="n">
        <f aca="false">SUM(CJ62:CM62)</f>
        <v>0</v>
      </c>
      <c r="CO62" s="191" t="n">
        <f aca="false">+CN62+CI62+CD62+BY62+BT62+BO62+BJ62+BE62+AZ62+AU62+AP62+AK62</f>
        <v>22265</v>
      </c>
      <c r="CP62" s="191" t="n">
        <f aca="false">S62</f>
        <v>22265</v>
      </c>
      <c r="CQ62" s="192" t="n">
        <f aca="false">+CO62/CP62</f>
        <v>1</v>
      </c>
    </row>
    <row r="63" customFormat="false" ht="12.75" hidden="false" customHeight="false" outlineLevel="0" collapsed="false">
      <c r="A63" s="177"/>
      <c r="B63" s="199" t="s">
        <v>243</v>
      </c>
      <c r="C63" s="198" t="s">
        <v>244</v>
      </c>
      <c r="D63" s="180"/>
      <c r="E63" s="180"/>
      <c r="F63" s="181"/>
      <c r="G63" s="178"/>
      <c r="H63" s="181"/>
      <c r="I63" s="181"/>
      <c r="J63" s="193" t="n">
        <f aca="false">K63*J$8</f>
        <v>500</v>
      </c>
      <c r="K63" s="193" t="n">
        <v>500</v>
      </c>
      <c r="L63" s="181" t="n">
        <f aca="false">+K63/K$11</f>
        <v>0.305250305250305</v>
      </c>
      <c r="M63" s="193" t="n">
        <f aca="false">N63*N$8</f>
        <v>36000</v>
      </c>
      <c r="N63" s="193" t="n">
        <v>500</v>
      </c>
      <c r="O63" s="181" t="n">
        <f aca="false">+N63/N$11</f>
        <v>0.492125984251969</v>
      </c>
      <c r="P63" s="193" t="n">
        <f aca="false">Q63*Q$8</f>
        <v>0</v>
      </c>
      <c r="Q63" s="193"/>
      <c r="R63" s="181" t="n">
        <f aca="false">+Q63/Q$11</f>
        <v>0</v>
      </c>
      <c r="S63" s="194" t="n">
        <f aca="false">+P63+M63</f>
        <v>36000</v>
      </c>
      <c r="T63" s="195" t="n">
        <f aca="false">+S63/S$8</f>
        <v>270.676691729323</v>
      </c>
      <c r="U63" s="181" t="n">
        <f aca="false">+S63/U$8</f>
        <v>0.244656631214109</v>
      </c>
      <c r="V63" s="185" t="n">
        <f aca="false">+S63/TotalCost</f>
        <v>0.00282951506162043</v>
      </c>
      <c r="W63" s="186" t="n">
        <f aca="false">+$S63/TotalValue</f>
        <v>0.00232258071708637</v>
      </c>
      <c r="X63" s="187"/>
      <c r="Y63" s="188"/>
      <c r="Z63" s="186"/>
      <c r="AA63" s="186"/>
      <c r="AB63" s="196"/>
      <c r="AC63" s="126"/>
      <c r="AD63" s="186"/>
      <c r="AE63" s="127"/>
      <c r="AF63" s="200" t="s">
        <v>243</v>
      </c>
      <c r="AG63" s="178"/>
      <c r="AH63" s="178"/>
      <c r="AI63" s="178"/>
      <c r="AJ63" s="178"/>
      <c r="AK63" s="178" t="n">
        <f aca="false">SUM(AG63:AJ63)</f>
        <v>0</v>
      </c>
      <c r="AL63" s="178"/>
      <c r="AM63" s="178"/>
      <c r="AN63" s="178"/>
      <c r="AO63" s="178"/>
      <c r="AP63" s="178" t="n">
        <f aca="false">SUM(AL63:AO63)</f>
        <v>0</v>
      </c>
      <c r="AQ63" s="178"/>
      <c r="AR63" s="178"/>
      <c r="AS63" s="178"/>
      <c r="AT63" s="178"/>
      <c r="AU63" s="178" t="n">
        <f aca="false">SUM(AQ63:AT63)</f>
        <v>0</v>
      </c>
      <c r="AV63" s="191"/>
      <c r="AW63" s="191"/>
      <c r="AX63" s="191"/>
      <c r="AY63" s="191"/>
      <c r="AZ63" s="178" t="n">
        <f aca="false">SUM(AV63:AY63)</f>
        <v>0</v>
      </c>
      <c r="BA63" s="191"/>
      <c r="BB63" s="191"/>
      <c r="BC63" s="191"/>
      <c r="BD63" s="191"/>
      <c r="BE63" s="178" t="n">
        <f aca="false">SUM(BA63:BD63)</f>
        <v>0</v>
      </c>
      <c r="BF63" s="191"/>
      <c r="BG63" s="191"/>
      <c r="BH63" s="191"/>
      <c r="BI63" s="177" t="n">
        <f aca="false">$S63/8</f>
        <v>4500</v>
      </c>
      <c r="BJ63" s="178" t="n">
        <f aca="false">SUM(BF63:BI63)</f>
        <v>4500</v>
      </c>
      <c r="BK63" s="191"/>
      <c r="BL63" s="191"/>
      <c r="BM63" s="177" t="n">
        <f aca="false">$S63/8</f>
        <v>4500</v>
      </c>
      <c r="BN63" s="191"/>
      <c r="BO63" s="178" t="n">
        <f aca="false">SUM(BK63:BN63)</f>
        <v>4500</v>
      </c>
      <c r="BP63" s="191"/>
      <c r="BQ63" s="177" t="n">
        <f aca="false">$S63/8</f>
        <v>4500</v>
      </c>
      <c r="BR63" s="191"/>
      <c r="BS63" s="191"/>
      <c r="BT63" s="178" t="n">
        <f aca="false">SUM(BP63:BS63)</f>
        <v>4500</v>
      </c>
      <c r="BU63" s="177" t="n">
        <f aca="false">$S63/8</f>
        <v>4500</v>
      </c>
      <c r="BV63" s="191"/>
      <c r="BW63" s="191"/>
      <c r="BX63" s="177" t="n">
        <f aca="false">$S63/8</f>
        <v>4500</v>
      </c>
      <c r="BY63" s="178" t="n">
        <f aca="false">SUM(BU63:BX63)</f>
        <v>9000</v>
      </c>
      <c r="BZ63" s="191"/>
      <c r="CA63" s="191"/>
      <c r="CB63" s="177" t="n">
        <f aca="false">$S63/8</f>
        <v>4500</v>
      </c>
      <c r="CC63" s="191"/>
      <c r="CD63" s="178" t="n">
        <f aca="false">SUM(BZ63:CC63)</f>
        <v>4500</v>
      </c>
      <c r="CE63" s="191"/>
      <c r="CF63" s="177" t="n">
        <f aca="false">$S63/8</f>
        <v>4500</v>
      </c>
      <c r="CG63" s="191"/>
      <c r="CH63" s="191"/>
      <c r="CI63" s="178" t="n">
        <f aca="false">SUM(CE63:CH63)</f>
        <v>4500</v>
      </c>
      <c r="CJ63" s="177" t="n">
        <f aca="false">$S63/8</f>
        <v>4500</v>
      </c>
      <c r="CK63" s="191"/>
      <c r="CL63" s="191"/>
      <c r="CM63" s="191"/>
      <c r="CN63" s="178" t="n">
        <f aca="false">SUM(CJ63:CM63)</f>
        <v>4500</v>
      </c>
      <c r="CO63" s="191" t="n">
        <f aca="false">+CN63+CI63+CD63+BY63+BT63+BO63+BJ63+BE63+AZ63+AU63+AP63+AK63</f>
        <v>36000</v>
      </c>
      <c r="CP63" s="191" t="n">
        <f aca="false">S63</f>
        <v>36000</v>
      </c>
      <c r="CQ63" s="192" t="n">
        <f aca="false">+CO63/CP63</f>
        <v>1</v>
      </c>
    </row>
    <row r="64" customFormat="false" ht="12.75" hidden="false" customHeight="false" outlineLevel="0" collapsed="false">
      <c r="A64" s="177" t="s">
        <v>239</v>
      </c>
      <c r="B64" s="213" t="s">
        <v>245</v>
      </c>
      <c r="C64" s="198"/>
      <c r="D64" s="180"/>
      <c r="E64" s="209"/>
      <c r="F64" s="181"/>
      <c r="G64" s="178"/>
      <c r="H64" s="181"/>
      <c r="I64" s="181"/>
      <c r="J64" s="193"/>
      <c r="K64" s="193"/>
      <c r="L64" s="181"/>
      <c r="M64" s="193"/>
      <c r="N64" s="193"/>
      <c r="O64" s="181"/>
      <c r="P64" s="193"/>
      <c r="Q64" s="193"/>
      <c r="R64" s="181"/>
      <c r="S64" s="194"/>
      <c r="T64" s="195"/>
      <c r="U64" s="181"/>
      <c r="V64" s="186"/>
      <c r="W64" s="186"/>
      <c r="X64" s="187"/>
      <c r="Y64" s="188"/>
      <c r="Z64" s="186"/>
      <c r="AA64" s="186"/>
      <c r="AB64" s="196"/>
      <c r="AC64" s="126"/>
      <c r="AD64" s="186"/>
      <c r="AE64" s="127"/>
      <c r="AF64" s="214" t="s">
        <v>245</v>
      </c>
      <c r="AG64" s="178"/>
      <c r="AH64" s="178"/>
      <c r="AI64" s="178"/>
      <c r="AJ64" s="178"/>
      <c r="AK64" s="178" t="n">
        <f aca="false">SUM(AG64:AJ64)</f>
        <v>0</v>
      </c>
      <c r="AL64" s="178"/>
      <c r="AM64" s="191"/>
      <c r="AN64" s="191"/>
      <c r="AO64" s="191"/>
      <c r="AP64" s="178" t="n">
        <f aca="false">SUM(AL64:AO64)</f>
        <v>0</v>
      </c>
      <c r="AQ64" s="191"/>
      <c r="AR64" s="191"/>
      <c r="AS64" s="191"/>
      <c r="AT64" s="191"/>
      <c r="AU64" s="178" t="n">
        <f aca="false">SUM(AQ64:AT64)</f>
        <v>0</v>
      </c>
      <c r="AV64" s="191"/>
      <c r="AW64" s="191"/>
      <c r="AX64" s="191"/>
      <c r="AY64" s="191"/>
      <c r="AZ64" s="178" t="n">
        <f aca="false">SUM(AV64:AY64)</f>
        <v>0</v>
      </c>
      <c r="BA64" s="191"/>
      <c r="BB64" s="191"/>
      <c r="BC64" s="191"/>
      <c r="BD64" s="191"/>
      <c r="BE64" s="178" t="n">
        <f aca="false">SUM(BA64:BD64)</f>
        <v>0</v>
      </c>
      <c r="BF64" s="191"/>
      <c r="BG64" s="191"/>
      <c r="BH64" s="191"/>
      <c r="BI64" s="191"/>
      <c r="BJ64" s="178" t="n">
        <f aca="false">SUM(BF64:BI64)</f>
        <v>0</v>
      </c>
      <c r="BK64" s="191"/>
      <c r="BL64" s="191"/>
      <c r="BM64" s="191"/>
      <c r="BN64" s="191"/>
      <c r="BO64" s="178" t="n">
        <f aca="false">SUM(BK64:BN64)</f>
        <v>0</v>
      </c>
      <c r="BP64" s="191"/>
      <c r="BQ64" s="191"/>
      <c r="BR64" s="191"/>
      <c r="BS64" s="191"/>
      <c r="BT64" s="178" t="n">
        <f aca="false">SUM(BP64:BS64)</f>
        <v>0</v>
      </c>
      <c r="BU64" s="191"/>
      <c r="BV64" s="191"/>
      <c r="BW64" s="191"/>
      <c r="BX64" s="191"/>
      <c r="BY64" s="178" t="n">
        <f aca="false">SUM(BU64:BX64)</f>
        <v>0</v>
      </c>
      <c r="BZ64" s="191"/>
      <c r="CA64" s="191"/>
      <c r="CB64" s="191"/>
      <c r="CC64" s="191"/>
      <c r="CD64" s="178" t="n">
        <f aca="false">SUM(BZ64:CC64)</f>
        <v>0</v>
      </c>
      <c r="CE64" s="191"/>
      <c r="CF64" s="191"/>
      <c r="CG64" s="191"/>
      <c r="CH64" s="191"/>
      <c r="CI64" s="178" t="n">
        <f aca="false">SUM(CE64:CH64)</f>
        <v>0</v>
      </c>
      <c r="CJ64" s="191"/>
      <c r="CK64" s="191"/>
      <c r="CL64" s="191"/>
      <c r="CM64" s="191"/>
      <c r="CN64" s="178" t="n">
        <f aca="false">SUM(CJ64:CM64)</f>
        <v>0</v>
      </c>
      <c r="CO64" s="191" t="n">
        <f aca="false">+CN64+CI64+CD64+BY64+BT64+BO64+BJ64+BE64+AZ64+AU64+AP64+AK64</f>
        <v>0</v>
      </c>
      <c r="CP64" s="191"/>
      <c r="CQ64" s="192"/>
    </row>
    <row r="65" customFormat="false" ht="12.75" hidden="false" customHeight="false" outlineLevel="0" collapsed="false">
      <c r="A65" s="177" t="s">
        <v>239</v>
      </c>
      <c r="B65" s="177" t="s">
        <v>246</v>
      </c>
      <c r="C65" s="198" t="n">
        <v>75</v>
      </c>
      <c r="D65" s="180" t="s">
        <v>241</v>
      </c>
      <c r="E65" s="180"/>
      <c r="F65" s="181"/>
      <c r="G65" s="178"/>
      <c r="H65" s="181"/>
      <c r="I65" s="181"/>
      <c r="J65" s="193" t="n">
        <f aca="false">K65*J$8</f>
        <v>990</v>
      </c>
      <c r="K65" s="193" t="n">
        <f aca="false">12*75*CMF</f>
        <v>990</v>
      </c>
      <c r="L65" s="181" t="n">
        <f aca="false">+K65/K$11</f>
        <v>0.604395604395605</v>
      </c>
      <c r="M65" s="193" t="n">
        <f aca="false">N65*N$8</f>
        <v>71280</v>
      </c>
      <c r="N65" s="193" t="n">
        <f aca="false">12*75*CMF</f>
        <v>990</v>
      </c>
      <c r="O65" s="181" t="n">
        <f aca="false">+N65/N$11</f>
        <v>0.974409448818898</v>
      </c>
      <c r="P65" s="193" t="n">
        <f aca="false">Q65*Q$8</f>
        <v>60390</v>
      </c>
      <c r="Q65" s="193" t="n">
        <f aca="false">12*75*CMF</f>
        <v>990</v>
      </c>
      <c r="R65" s="181" t="n">
        <f aca="false">+Q65/Q$11</f>
        <v>0.816158285243199</v>
      </c>
      <c r="S65" s="194" t="n">
        <f aca="false">+P65+M65</f>
        <v>131670</v>
      </c>
      <c r="T65" s="195" t="n">
        <f aca="false">+S65/S$8</f>
        <v>990</v>
      </c>
      <c r="U65" s="181" t="n">
        <f aca="false">+S65/U$8</f>
        <v>0.894831628665602</v>
      </c>
      <c r="V65" s="185" t="n">
        <f aca="false">+S65/TotalCost</f>
        <v>0.0103489513378767</v>
      </c>
      <c r="W65" s="186" t="n">
        <f aca="false">+$S65/TotalValue</f>
        <v>0.0084948389727434</v>
      </c>
      <c r="X65" s="187"/>
      <c r="Y65" s="188"/>
      <c r="Z65" s="186"/>
      <c r="AA65" s="186"/>
      <c r="AB65" s="196"/>
      <c r="AC65" s="126"/>
      <c r="AD65" s="186"/>
      <c r="AE65" s="127"/>
      <c r="AF65" s="203" t="s">
        <v>246</v>
      </c>
      <c r="AG65" s="178"/>
      <c r="AH65" s="178"/>
      <c r="AI65" s="178"/>
      <c r="AJ65" s="178"/>
      <c r="AK65" s="178" t="n">
        <f aca="false">SUM(AG65:AJ65)</f>
        <v>0</v>
      </c>
      <c r="AL65" s="178"/>
      <c r="AM65" s="178"/>
      <c r="AN65" s="178"/>
      <c r="AO65" s="178"/>
      <c r="AP65" s="178" t="n">
        <f aca="false">SUM(AL65:AO65)</f>
        <v>0</v>
      </c>
      <c r="AQ65" s="178"/>
      <c r="AR65" s="178"/>
      <c r="AS65" s="191"/>
      <c r="AT65" s="191"/>
      <c r="AU65" s="178" t="n">
        <f aca="false">SUM(AQ65:AT65)</f>
        <v>0</v>
      </c>
      <c r="AV65" s="191"/>
      <c r="AW65" s="191"/>
      <c r="AX65" s="191"/>
      <c r="AY65" s="191"/>
      <c r="AZ65" s="178" t="n">
        <f aca="false">SUM(AV65:AY65)</f>
        <v>0</v>
      </c>
      <c r="BA65" s="191"/>
      <c r="BB65" s="191"/>
      <c r="BC65" s="178" t="n">
        <f aca="false">$S65/8</f>
        <v>16458.75</v>
      </c>
      <c r="BD65" s="191"/>
      <c r="BE65" s="178" t="n">
        <f aca="false">SUM(BA65:BD65)</f>
        <v>16458.75</v>
      </c>
      <c r="BF65" s="191"/>
      <c r="BG65" s="178" t="n">
        <f aca="false">$S65/8</f>
        <v>16458.75</v>
      </c>
      <c r="BH65" s="191"/>
      <c r="BI65" s="191"/>
      <c r="BJ65" s="178" t="n">
        <f aca="false">SUM(BF65:BI65)</f>
        <v>16458.75</v>
      </c>
      <c r="BK65" s="178" t="n">
        <f aca="false">$S65/8</f>
        <v>16458.75</v>
      </c>
      <c r="BL65" s="191"/>
      <c r="BM65" s="191"/>
      <c r="BN65" s="178" t="n">
        <f aca="false">$S65/8</f>
        <v>16458.75</v>
      </c>
      <c r="BO65" s="178" t="n">
        <f aca="false">SUM(BK65:BN65)</f>
        <v>32917.5</v>
      </c>
      <c r="BP65" s="191"/>
      <c r="BQ65" s="191"/>
      <c r="BR65" s="178" t="n">
        <f aca="false">$S65/8</f>
        <v>16458.75</v>
      </c>
      <c r="BS65" s="191"/>
      <c r="BT65" s="178" t="n">
        <f aca="false">SUM(BP65:BS65)</f>
        <v>16458.75</v>
      </c>
      <c r="BU65" s="191"/>
      <c r="BV65" s="178" t="n">
        <f aca="false">$S65/8</f>
        <v>16458.75</v>
      </c>
      <c r="BW65" s="191"/>
      <c r="BX65" s="191"/>
      <c r="BY65" s="178" t="n">
        <f aca="false">SUM(BU65:BX65)</f>
        <v>16458.75</v>
      </c>
      <c r="BZ65" s="178" t="n">
        <f aca="false">$S65/8</f>
        <v>16458.75</v>
      </c>
      <c r="CA65" s="191"/>
      <c r="CB65" s="191"/>
      <c r="CC65" s="178" t="n">
        <f aca="false">$S65/8</f>
        <v>16458.75</v>
      </c>
      <c r="CD65" s="178" t="n">
        <f aca="false">SUM(BZ65:CC65)</f>
        <v>32917.5</v>
      </c>
      <c r="CE65" s="191"/>
      <c r="CF65" s="191"/>
      <c r="CG65" s="191"/>
      <c r="CH65" s="191"/>
      <c r="CI65" s="178" t="n">
        <f aca="false">SUM(CE65:CH65)</f>
        <v>0</v>
      </c>
      <c r="CJ65" s="191"/>
      <c r="CK65" s="191"/>
      <c r="CL65" s="191"/>
      <c r="CM65" s="191"/>
      <c r="CN65" s="178" t="n">
        <f aca="false">SUM(CJ65:CM65)</f>
        <v>0</v>
      </c>
      <c r="CO65" s="191" t="n">
        <f aca="false">+CN65+CI65+CD65+BY65+BT65+BO65+BJ65+BE65+AZ65+AU65+AP65+AK65</f>
        <v>131670</v>
      </c>
      <c r="CP65" s="191" t="n">
        <f aca="false">S65</f>
        <v>131670</v>
      </c>
      <c r="CQ65" s="192" t="n">
        <f aca="false">+CO65/CP65</f>
        <v>1</v>
      </c>
    </row>
    <row r="66" customFormat="false" ht="12.75" hidden="false" customHeight="false" outlineLevel="0" collapsed="false">
      <c r="A66" s="177" t="s">
        <v>239</v>
      </c>
      <c r="B66" s="178" t="s">
        <v>247</v>
      </c>
      <c r="C66" s="198" t="n">
        <v>0.55</v>
      </c>
      <c r="D66" s="180" t="s">
        <v>167</v>
      </c>
      <c r="E66" s="180"/>
      <c r="F66" s="181"/>
      <c r="G66" s="178"/>
      <c r="H66" s="181"/>
      <c r="I66" s="181"/>
      <c r="J66" s="193" t="n">
        <f aca="false">K66*J$8</f>
        <v>990.99</v>
      </c>
      <c r="K66" s="193" t="n">
        <f aca="false">K$11*0.55*CMF</f>
        <v>990.99</v>
      </c>
      <c r="L66" s="181" t="n">
        <f aca="false">+K66/K$11</f>
        <v>0.605</v>
      </c>
      <c r="M66" s="193" t="n">
        <f aca="false">N66*N$8</f>
        <v>44256.96</v>
      </c>
      <c r="N66" s="193" t="n">
        <f aca="false">N$11*0.55*CMF</f>
        <v>614.68</v>
      </c>
      <c r="O66" s="181" t="n">
        <f aca="false">+N66/N$11</f>
        <v>0.605</v>
      </c>
      <c r="P66" s="193" t="n">
        <f aca="false">Q66*Q$8</f>
        <v>44765.765</v>
      </c>
      <c r="Q66" s="193" t="n">
        <f aca="false">Q$11*0.55*CMF</f>
        <v>733.865</v>
      </c>
      <c r="R66" s="181" t="n">
        <f aca="false">+Q66/Q$11</f>
        <v>0.605</v>
      </c>
      <c r="S66" s="194" t="n">
        <f aca="false">+P66+M66</f>
        <v>89022.725</v>
      </c>
      <c r="T66" s="195" t="n">
        <f aca="false">+S66/S$8</f>
        <v>669.343796992481</v>
      </c>
      <c r="U66" s="181" t="n">
        <f aca="false">+S66/U$8</f>
        <v>0.605</v>
      </c>
      <c r="V66" s="185" t="n">
        <f aca="false">+S66/TotalCost</f>
        <v>0.00699697614483315</v>
      </c>
      <c r="W66" s="186" t="n">
        <f aca="false">+$S66/TotalValue</f>
        <v>0.00574340179076341</v>
      </c>
      <c r="X66" s="187"/>
      <c r="Y66" s="188"/>
      <c r="Z66" s="186"/>
      <c r="AA66" s="186"/>
      <c r="AB66" s="196"/>
      <c r="AC66" s="126"/>
      <c r="AD66" s="186"/>
      <c r="AE66" s="127"/>
      <c r="AF66" s="190" t="s">
        <v>247</v>
      </c>
      <c r="AG66" s="178"/>
      <c r="AH66" s="178"/>
      <c r="AI66" s="178"/>
      <c r="AJ66" s="178"/>
      <c r="AK66" s="178" t="n">
        <f aca="false">SUM(AG66:AJ66)</f>
        <v>0</v>
      </c>
      <c r="AL66" s="178"/>
      <c r="AM66" s="178"/>
      <c r="AN66" s="178"/>
      <c r="AO66" s="178"/>
      <c r="AP66" s="178" t="n">
        <f aca="false">SUM(AL66:AO66)</f>
        <v>0</v>
      </c>
      <c r="AQ66" s="178"/>
      <c r="AR66" s="178"/>
      <c r="AS66" s="191"/>
      <c r="AT66" s="191"/>
      <c r="AU66" s="178" t="n">
        <f aca="false">SUM(AQ66:AT66)</f>
        <v>0</v>
      </c>
      <c r="AV66" s="191"/>
      <c r="AW66" s="191"/>
      <c r="AX66" s="191"/>
      <c r="AY66" s="191"/>
      <c r="AZ66" s="178" t="n">
        <f aca="false">SUM(AV66:AY66)</f>
        <v>0</v>
      </c>
      <c r="BA66" s="191"/>
      <c r="BB66" s="191"/>
      <c r="BC66" s="178" t="n">
        <f aca="false">$S66/8</f>
        <v>11127.840625</v>
      </c>
      <c r="BD66" s="191"/>
      <c r="BE66" s="178" t="n">
        <f aca="false">SUM(BA66:BD66)</f>
        <v>11127.840625</v>
      </c>
      <c r="BF66" s="191"/>
      <c r="BG66" s="178" t="n">
        <f aca="false">$S66/8</f>
        <v>11127.840625</v>
      </c>
      <c r="BH66" s="191"/>
      <c r="BI66" s="191"/>
      <c r="BJ66" s="178" t="n">
        <f aca="false">SUM(BF66:BI66)</f>
        <v>11127.840625</v>
      </c>
      <c r="BK66" s="178" t="n">
        <f aca="false">$S66/8</f>
        <v>11127.840625</v>
      </c>
      <c r="BL66" s="191"/>
      <c r="BM66" s="191"/>
      <c r="BN66" s="178" t="n">
        <f aca="false">$S66/8</f>
        <v>11127.840625</v>
      </c>
      <c r="BO66" s="178" t="n">
        <f aca="false">SUM(BK66:BN66)</f>
        <v>22255.68125</v>
      </c>
      <c r="BP66" s="191"/>
      <c r="BQ66" s="191"/>
      <c r="BR66" s="178" t="n">
        <f aca="false">$S66/8</f>
        <v>11127.840625</v>
      </c>
      <c r="BS66" s="191"/>
      <c r="BT66" s="178" t="n">
        <f aca="false">SUM(BP66:BS66)</f>
        <v>11127.840625</v>
      </c>
      <c r="BU66" s="191"/>
      <c r="BV66" s="178" t="n">
        <f aca="false">$S66/8</f>
        <v>11127.840625</v>
      </c>
      <c r="BW66" s="191"/>
      <c r="BX66" s="191"/>
      <c r="BY66" s="178" t="n">
        <f aca="false">SUM(BU66:BX66)</f>
        <v>11127.840625</v>
      </c>
      <c r="BZ66" s="178" t="n">
        <f aca="false">$S66/8</f>
        <v>11127.840625</v>
      </c>
      <c r="CA66" s="191"/>
      <c r="CB66" s="191"/>
      <c r="CC66" s="178" t="n">
        <f aca="false">$S66/8</f>
        <v>11127.840625</v>
      </c>
      <c r="CD66" s="178" t="n">
        <f aca="false">SUM(BZ66:CC66)</f>
        <v>22255.68125</v>
      </c>
      <c r="CE66" s="191"/>
      <c r="CF66" s="191"/>
      <c r="CG66" s="191"/>
      <c r="CH66" s="191"/>
      <c r="CI66" s="178" t="n">
        <f aca="false">SUM(CE66:CH66)</f>
        <v>0</v>
      </c>
      <c r="CJ66" s="191"/>
      <c r="CK66" s="191"/>
      <c r="CL66" s="191"/>
      <c r="CM66" s="191"/>
      <c r="CN66" s="178" t="n">
        <f aca="false">SUM(CJ66:CM66)</f>
        <v>0</v>
      </c>
      <c r="CO66" s="191" t="n">
        <f aca="false">+CN66+CI66+CD66+BY66+BT66+BO66+BJ66+BE66+AZ66+AU66+AP66+AK66</f>
        <v>89022.725</v>
      </c>
      <c r="CP66" s="191" t="n">
        <f aca="false">S66</f>
        <v>89022.725</v>
      </c>
      <c r="CQ66" s="192" t="n">
        <f aca="false">+CO66/CP66</f>
        <v>1</v>
      </c>
    </row>
    <row r="67" customFormat="false" ht="12.75" hidden="false" customHeight="false" outlineLevel="0" collapsed="false">
      <c r="A67" s="177" t="s">
        <v>239</v>
      </c>
      <c r="B67" s="178" t="s">
        <v>219</v>
      </c>
      <c r="C67" s="198" t="n">
        <v>0.6</v>
      </c>
      <c r="D67" s="180" t="s">
        <v>167</v>
      </c>
      <c r="E67" s="180"/>
      <c r="F67" s="181"/>
      <c r="G67" s="178"/>
      <c r="H67" s="181"/>
      <c r="I67" s="181"/>
      <c r="J67" s="193" t="n">
        <f aca="false">K67*J$8</f>
        <v>1081.08</v>
      </c>
      <c r="K67" s="193" t="n">
        <f aca="false">K$11*0.6*CMF</f>
        <v>1081.08</v>
      </c>
      <c r="L67" s="181" t="n">
        <f aca="false">+K67/K$11</f>
        <v>0.66</v>
      </c>
      <c r="M67" s="193" t="n">
        <f aca="false">N67*N$8</f>
        <v>48280.32</v>
      </c>
      <c r="N67" s="193" t="n">
        <f aca="false">N$11*0.6*CMF</f>
        <v>670.56</v>
      </c>
      <c r="O67" s="181" t="n">
        <f aca="false">+N67/N$11</f>
        <v>0.66</v>
      </c>
      <c r="P67" s="193" t="n">
        <f aca="false">Q67*Q$8</f>
        <v>48835.38</v>
      </c>
      <c r="Q67" s="193" t="n">
        <f aca="false">Q$11*0.6*CMF</f>
        <v>800.58</v>
      </c>
      <c r="R67" s="181" t="n">
        <f aca="false">+Q67/Q$11</f>
        <v>0.66</v>
      </c>
      <c r="S67" s="194" t="n">
        <f aca="false">+P67+M67</f>
        <v>97115.7</v>
      </c>
      <c r="T67" s="195" t="n">
        <f aca="false">+S67/S$8</f>
        <v>730.193233082707</v>
      </c>
      <c r="U67" s="181" t="n">
        <f aca="false">+S67/U$8</f>
        <v>0.66</v>
      </c>
      <c r="V67" s="185" t="n">
        <f aca="false">+S67/TotalCost</f>
        <v>0.00763306488527252</v>
      </c>
      <c r="W67" s="186" t="n">
        <f aca="false">+$S67/TotalValue</f>
        <v>0.00626552922628736</v>
      </c>
      <c r="X67" s="187"/>
      <c r="Y67" s="188"/>
      <c r="Z67" s="186"/>
      <c r="AA67" s="186"/>
      <c r="AB67" s="196"/>
      <c r="AC67" s="126"/>
      <c r="AD67" s="186"/>
      <c r="AE67" s="127"/>
      <c r="AF67" s="190" t="s">
        <v>219</v>
      </c>
      <c r="AG67" s="178"/>
      <c r="AH67" s="178"/>
      <c r="AI67" s="178"/>
      <c r="AJ67" s="178"/>
      <c r="AK67" s="178" t="n">
        <f aca="false">SUM(AG67:AJ67)</f>
        <v>0</v>
      </c>
      <c r="AL67" s="178"/>
      <c r="AM67" s="178"/>
      <c r="AN67" s="178"/>
      <c r="AO67" s="178"/>
      <c r="AP67" s="178" t="n">
        <f aca="false">SUM(AL67:AO67)</f>
        <v>0</v>
      </c>
      <c r="AQ67" s="178"/>
      <c r="AR67" s="178"/>
      <c r="AS67" s="178"/>
      <c r="AT67" s="191"/>
      <c r="AU67" s="178" t="n">
        <f aca="false">SUM(AQ67:AT67)</f>
        <v>0</v>
      </c>
      <c r="AV67" s="191"/>
      <c r="AW67" s="191"/>
      <c r="AX67" s="191"/>
      <c r="AY67" s="191"/>
      <c r="AZ67" s="178" t="n">
        <f aca="false">SUM(AV67:AY67)</f>
        <v>0</v>
      </c>
      <c r="BA67" s="191"/>
      <c r="BB67" s="191"/>
      <c r="BC67" s="178" t="n">
        <f aca="false">$S67/8</f>
        <v>12139.4625</v>
      </c>
      <c r="BD67" s="191"/>
      <c r="BE67" s="178" t="n">
        <f aca="false">SUM(BA67:BD67)</f>
        <v>12139.4625</v>
      </c>
      <c r="BF67" s="191"/>
      <c r="BG67" s="178" t="n">
        <f aca="false">$S67/8</f>
        <v>12139.4625</v>
      </c>
      <c r="BH67" s="191"/>
      <c r="BI67" s="191"/>
      <c r="BJ67" s="178" t="n">
        <f aca="false">SUM(BF67:BI67)</f>
        <v>12139.4625</v>
      </c>
      <c r="BK67" s="178" t="n">
        <f aca="false">$S67/8</f>
        <v>12139.4625</v>
      </c>
      <c r="BL67" s="191"/>
      <c r="BM67" s="191"/>
      <c r="BN67" s="178" t="n">
        <f aca="false">$S67/8</f>
        <v>12139.4625</v>
      </c>
      <c r="BO67" s="178" t="n">
        <f aca="false">SUM(BK67:BN67)</f>
        <v>24278.925</v>
      </c>
      <c r="BP67" s="191"/>
      <c r="BQ67" s="191"/>
      <c r="BR67" s="178" t="n">
        <f aca="false">$S67/8</f>
        <v>12139.4625</v>
      </c>
      <c r="BS67" s="191"/>
      <c r="BT67" s="178" t="n">
        <f aca="false">SUM(BP67:BS67)</f>
        <v>12139.4625</v>
      </c>
      <c r="BU67" s="191"/>
      <c r="BV67" s="178" t="n">
        <f aca="false">$S67/8</f>
        <v>12139.4625</v>
      </c>
      <c r="BW67" s="191"/>
      <c r="BX67" s="191"/>
      <c r="BY67" s="178" t="n">
        <f aca="false">SUM(BU67:BX67)</f>
        <v>12139.4625</v>
      </c>
      <c r="BZ67" s="178" t="n">
        <f aca="false">$S67/8</f>
        <v>12139.4625</v>
      </c>
      <c r="CA67" s="191"/>
      <c r="CB67" s="191"/>
      <c r="CC67" s="178" t="n">
        <f aca="false">$S67/8</f>
        <v>12139.4625</v>
      </c>
      <c r="CD67" s="178" t="n">
        <f aca="false">SUM(BZ67:CC67)</f>
        <v>24278.925</v>
      </c>
      <c r="CE67" s="191"/>
      <c r="CF67" s="191"/>
      <c r="CG67" s="191"/>
      <c r="CH67" s="191"/>
      <c r="CI67" s="178" t="n">
        <f aca="false">SUM(CE67:CH67)</f>
        <v>0</v>
      </c>
      <c r="CJ67" s="191"/>
      <c r="CK67" s="191"/>
      <c r="CL67" s="191"/>
      <c r="CM67" s="191"/>
      <c r="CN67" s="178" t="n">
        <f aca="false">SUM(CJ67:CM67)</f>
        <v>0</v>
      </c>
      <c r="CO67" s="191" t="n">
        <f aca="false">+CN67+CI67+CD67+BY67+BT67+BO67+BJ67+BE67+AZ67+AU67+AP67+AK67</f>
        <v>97115.7</v>
      </c>
      <c r="CP67" s="191" t="n">
        <f aca="false">S67</f>
        <v>97115.7</v>
      </c>
      <c r="CQ67" s="192" t="n">
        <f aca="false">+CO67/CP67</f>
        <v>1</v>
      </c>
    </row>
    <row r="68" customFormat="false" ht="12.75" hidden="false" customHeight="false" outlineLevel="0" collapsed="false">
      <c r="A68" s="177"/>
      <c r="B68" s="213" t="s">
        <v>248</v>
      </c>
      <c r="C68" s="198"/>
      <c r="D68" s="180"/>
      <c r="E68" s="180"/>
      <c r="F68" s="181"/>
      <c r="G68" s="178"/>
      <c r="H68" s="181"/>
      <c r="I68" s="181"/>
      <c r="J68" s="193"/>
      <c r="K68" s="193"/>
      <c r="L68" s="181"/>
      <c r="M68" s="193"/>
      <c r="N68" s="193"/>
      <c r="O68" s="181"/>
      <c r="P68" s="193"/>
      <c r="Q68" s="193"/>
      <c r="R68" s="181"/>
      <c r="S68" s="194"/>
      <c r="T68" s="195"/>
      <c r="U68" s="181"/>
      <c r="V68" s="186"/>
      <c r="W68" s="186"/>
      <c r="X68" s="187"/>
      <c r="Y68" s="188"/>
      <c r="Z68" s="186"/>
      <c r="AA68" s="186"/>
      <c r="AB68" s="196"/>
      <c r="AC68" s="126"/>
      <c r="AD68" s="186"/>
      <c r="AE68" s="127"/>
      <c r="AF68" s="214" t="s">
        <v>248</v>
      </c>
      <c r="AG68" s="221"/>
      <c r="AH68" s="178"/>
      <c r="AI68" s="178"/>
      <c r="AJ68" s="178"/>
      <c r="AK68" s="178" t="n">
        <f aca="false">SUM(AG68:AJ68)</f>
        <v>0</v>
      </c>
      <c r="AL68" s="178"/>
      <c r="AM68" s="178"/>
      <c r="AN68" s="178"/>
      <c r="AO68" s="178"/>
      <c r="AP68" s="178" t="n">
        <f aca="false">SUM(AL68:AO68)</f>
        <v>0</v>
      </c>
      <c r="AQ68" s="191"/>
      <c r="AR68" s="191"/>
      <c r="AS68" s="191"/>
      <c r="AT68" s="191"/>
      <c r="AU68" s="178" t="n">
        <f aca="false">SUM(AQ68:AT68)</f>
        <v>0</v>
      </c>
      <c r="AV68" s="191"/>
      <c r="AW68" s="191"/>
      <c r="AX68" s="191"/>
      <c r="AY68" s="191"/>
      <c r="AZ68" s="178" t="n">
        <f aca="false">SUM(AV68:AY68)</f>
        <v>0</v>
      </c>
      <c r="BA68" s="191"/>
      <c r="BB68" s="191"/>
      <c r="BC68" s="191"/>
      <c r="BD68" s="191"/>
      <c r="BE68" s="178" t="n">
        <f aca="false">SUM(BA68:BD68)</f>
        <v>0</v>
      </c>
      <c r="BF68" s="191"/>
      <c r="BG68" s="191"/>
      <c r="BH68" s="191"/>
      <c r="BI68" s="191"/>
      <c r="BJ68" s="178" t="n">
        <f aca="false">SUM(BF68:BI68)</f>
        <v>0</v>
      </c>
      <c r="BK68" s="191"/>
      <c r="BL68" s="191"/>
      <c r="BM68" s="191"/>
      <c r="BN68" s="191"/>
      <c r="BO68" s="178" t="n">
        <f aca="false">SUM(BK68:BN68)</f>
        <v>0</v>
      </c>
      <c r="BP68" s="191"/>
      <c r="BQ68" s="191"/>
      <c r="BR68" s="191"/>
      <c r="BS68" s="191"/>
      <c r="BT68" s="178" t="n">
        <f aca="false">SUM(BP68:BS68)</f>
        <v>0</v>
      </c>
      <c r="BU68" s="191"/>
      <c r="BV68" s="191"/>
      <c r="BW68" s="191"/>
      <c r="BX68" s="191"/>
      <c r="BY68" s="178" t="n">
        <f aca="false">SUM(BU68:BX68)</f>
        <v>0</v>
      </c>
      <c r="BZ68" s="191"/>
      <c r="CA68" s="191"/>
      <c r="CB68" s="191"/>
      <c r="CC68" s="191"/>
      <c r="CD68" s="178" t="n">
        <f aca="false">SUM(BZ68:CC68)</f>
        <v>0</v>
      </c>
      <c r="CE68" s="191"/>
      <c r="CF68" s="191"/>
      <c r="CG68" s="191"/>
      <c r="CH68" s="191"/>
      <c r="CI68" s="178" t="n">
        <f aca="false">SUM(CE68:CH68)</f>
        <v>0</v>
      </c>
      <c r="CJ68" s="191"/>
      <c r="CK68" s="191"/>
      <c r="CL68" s="191"/>
      <c r="CM68" s="191"/>
      <c r="CN68" s="178" t="n">
        <f aca="false">SUM(CJ68:CM68)</f>
        <v>0</v>
      </c>
      <c r="CO68" s="191" t="n">
        <f aca="false">+CN68+CI68+CD68+BY68+BT68+BO68+BJ68+BE68+AZ68+AU68+AP68+AK68</f>
        <v>0</v>
      </c>
      <c r="CP68" s="191"/>
      <c r="CQ68" s="192"/>
    </row>
    <row r="69" customFormat="false" ht="12.75" hidden="false" customHeight="false" outlineLevel="0" collapsed="false">
      <c r="A69" s="177" t="s">
        <v>249</v>
      </c>
      <c r="B69" s="178" t="s">
        <v>250</v>
      </c>
      <c r="C69" s="198" t="n">
        <v>0.66</v>
      </c>
      <c r="D69" s="180" t="s">
        <v>251</v>
      </c>
      <c r="E69" s="180"/>
      <c r="F69" s="181"/>
      <c r="G69" s="178"/>
      <c r="H69" s="181"/>
      <c r="I69" s="181"/>
      <c r="J69" s="193" t="n">
        <f aca="false">K69*J$8</f>
        <v>1613.898</v>
      </c>
      <c r="K69" s="193" t="n">
        <f aca="false">2*L$11*0.33*CMF</f>
        <v>1613.898</v>
      </c>
      <c r="L69" s="181" t="n">
        <f aca="false">+K69/K$11</f>
        <v>0.985285714285714</v>
      </c>
      <c r="M69" s="193" t="n">
        <f aca="false">N69*N$8</f>
        <v>53108.352</v>
      </c>
      <c r="N69" s="193" t="n">
        <f aca="false">2*O$11*0.33*CMF</f>
        <v>737.616</v>
      </c>
      <c r="O69" s="181" t="n">
        <f aca="false">+N69/N$11</f>
        <v>0.726</v>
      </c>
      <c r="P69" s="193" t="n">
        <f aca="false">Q69*Q$8</f>
        <v>66694.716</v>
      </c>
      <c r="Q69" s="193" t="n">
        <f aca="false">2*R$11*0.33*CMF</f>
        <v>1093.356</v>
      </c>
      <c r="R69" s="181" t="n">
        <f aca="false">+Q69/Q$11</f>
        <v>0.901365210222589</v>
      </c>
      <c r="S69" s="194" t="n">
        <f aca="false">+P69+M69</f>
        <v>119803.068</v>
      </c>
      <c r="T69" s="195" t="n">
        <f aca="false">+S69/S$8</f>
        <v>900.774947368421</v>
      </c>
      <c r="U69" s="181" t="n">
        <f aca="false">+S69/U$8</f>
        <v>0.814183750722077</v>
      </c>
      <c r="V69" s="185" t="n">
        <f aca="false">+S69/TotalCost</f>
        <v>0.00941623848150934</v>
      </c>
      <c r="W69" s="186" t="n">
        <f aca="false">+$S69/TotalValue</f>
        <v>0.0077292304329052</v>
      </c>
      <c r="X69" s="187"/>
      <c r="Y69" s="188"/>
      <c r="Z69" s="186"/>
      <c r="AA69" s="186"/>
      <c r="AB69" s="196"/>
      <c r="AC69" s="126"/>
      <c r="AD69" s="186"/>
      <c r="AE69" s="127"/>
      <c r="AF69" s="190" t="s">
        <v>250</v>
      </c>
      <c r="AG69" s="221"/>
      <c r="AH69" s="178"/>
      <c r="AI69" s="178"/>
      <c r="AJ69" s="178"/>
      <c r="AK69" s="178" t="n">
        <f aca="false">SUM(AG69:AJ69)</f>
        <v>0</v>
      </c>
      <c r="AL69" s="178"/>
      <c r="AM69" s="178"/>
      <c r="AN69" s="178"/>
      <c r="AO69" s="178"/>
      <c r="AP69" s="178" t="n">
        <f aca="false">SUM(AL69:AO69)</f>
        <v>0</v>
      </c>
      <c r="AQ69" s="178"/>
      <c r="AR69" s="178"/>
      <c r="AS69" s="191"/>
      <c r="AT69" s="191"/>
      <c r="AU69" s="178" t="n">
        <f aca="false">SUM(AQ69:AT69)</f>
        <v>0</v>
      </c>
      <c r="AV69" s="191"/>
      <c r="AW69" s="178" t="n">
        <f aca="false">$S69/8</f>
        <v>14975.3835</v>
      </c>
      <c r="AX69" s="191"/>
      <c r="AY69" s="191"/>
      <c r="AZ69" s="178" t="n">
        <f aca="false">SUM(AV69:AY69)</f>
        <v>14975.3835</v>
      </c>
      <c r="BA69" s="178" t="n">
        <f aca="false">$S69/8</f>
        <v>14975.3835</v>
      </c>
      <c r="BB69" s="191"/>
      <c r="BC69" s="191"/>
      <c r="BD69" s="178" t="n">
        <f aca="false">$S69/8</f>
        <v>14975.3835</v>
      </c>
      <c r="BE69" s="178" t="n">
        <f aca="false">SUM(BA69:BD69)</f>
        <v>29950.767</v>
      </c>
      <c r="BF69" s="191"/>
      <c r="BG69" s="191"/>
      <c r="BH69" s="178" t="n">
        <f aca="false">$S69/8</f>
        <v>14975.3835</v>
      </c>
      <c r="BI69" s="191"/>
      <c r="BJ69" s="178" t="n">
        <f aca="false">SUM(BF69:BI69)</f>
        <v>14975.3835</v>
      </c>
      <c r="BK69" s="191"/>
      <c r="BL69" s="178" t="n">
        <f aca="false">$S69/8</f>
        <v>14975.3835</v>
      </c>
      <c r="BM69" s="191"/>
      <c r="BN69" s="191"/>
      <c r="BO69" s="178" t="n">
        <f aca="false">SUM(BK69:BN69)</f>
        <v>14975.3835</v>
      </c>
      <c r="BP69" s="178" t="n">
        <f aca="false">$S69/8</f>
        <v>14975.3835</v>
      </c>
      <c r="BQ69" s="191"/>
      <c r="BR69" s="191"/>
      <c r="BS69" s="178" t="n">
        <f aca="false">$S69/8</f>
        <v>14975.3835</v>
      </c>
      <c r="BT69" s="178" t="n">
        <f aca="false">SUM(BP69:BS69)</f>
        <v>29950.767</v>
      </c>
      <c r="BU69" s="191"/>
      <c r="BV69" s="191"/>
      <c r="BW69" s="178" t="n">
        <f aca="false">$S69/8</f>
        <v>14975.3835</v>
      </c>
      <c r="BX69" s="191"/>
      <c r="BY69" s="178" t="n">
        <f aca="false">SUM(BU69:BX69)</f>
        <v>14975.3835</v>
      </c>
      <c r="BZ69" s="191"/>
      <c r="CA69" s="191"/>
      <c r="CB69" s="191"/>
      <c r="CC69" s="191"/>
      <c r="CD69" s="178" t="n">
        <f aca="false">SUM(BZ69:CC69)</f>
        <v>0</v>
      </c>
      <c r="CE69" s="191"/>
      <c r="CF69" s="191"/>
      <c r="CG69" s="191"/>
      <c r="CH69" s="191"/>
      <c r="CI69" s="178" t="n">
        <f aca="false">SUM(CE69:CH69)</f>
        <v>0</v>
      </c>
      <c r="CJ69" s="191"/>
      <c r="CK69" s="191"/>
      <c r="CL69" s="191"/>
      <c r="CM69" s="191"/>
      <c r="CN69" s="178" t="n">
        <f aca="false">SUM(CJ69:CM69)</f>
        <v>0</v>
      </c>
      <c r="CO69" s="191" t="n">
        <f aca="false">+CN69+CI69+CD69+BY69+BT69+BO69+BJ69+BE69+AZ69+AU69+AP69+AK69</f>
        <v>119803.068</v>
      </c>
      <c r="CP69" s="191" t="n">
        <f aca="false">S69</f>
        <v>119803.068</v>
      </c>
      <c r="CQ69" s="192" t="n">
        <f aca="false">+CO69/CP69</f>
        <v>1</v>
      </c>
    </row>
    <row r="70" customFormat="false" ht="12.75" hidden="false" customHeight="false" outlineLevel="0" collapsed="false">
      <c r="A70" s="177" t="s">
        <v>252</v>
      </c>
      <c r="B70" s="178" t="s">
        <v>253</v>
      </c>
      <c r="C70" s="198" t="n">
        <v>1.34</v>
      </c>
      <c r="D70" s="180" t="s">
        <v>251</v>
      </c>
      <c r="E70" s="180"/>
      <c r="F70" s="181"/>
      <c r="G70" s="178"/>
      <c r="H70" s="181"/>
      <c r="I70" s="181"/>
      <c r="J70" s="193" t="n">
        <f aca="false">K70*J$8</f>
        <v>3276.702</v>
      </c>
      <c r="K70" s="193" t="n">
        <f aca="false">2*L$11*0.67*CMF</f>
        <v>3276.702</v>
      </c>
      <c r="L70" s="181" t="n">
        <f aca="false">+K70/K$11</f>
        <v>2.00042857142857</v>
      </c>
      <c r="M70" s="193" t="n">
        <f aca="false">N70*N$8</f>
        <v>107826.048</v>
      </c>
      <c r="N70" s="193" t="n">
        <f aca="false">2*O$11*0.67*CMF</f>
        <v>1497.584</v>
      </c>
      <c r="O70" s="181" t="n">
        <f aca="false">+N70/N$11</f>
        <v>1.474</v>
      </c>
      <c r="P70" s="193" t="n">
        <f aca="false">Q70*Q$8</f>
        <v>135410.484</v>
      </c>
      <c r="Q70" s="193" t="n">
        <f aca="false">2*R$11*0.67*CMF</f>
        <v>2219.844</v>
      </c>
      <c r="R70" s="181" t="n">
        <f aca="false">+Q70/Q$11</f>
        <v>1.83004451772465</v>
      </c>
      <c r="S70" s="194" t="n">
        <f aca="false">+P70+M70</f>
        <v>243236.532</v>
      </c>
      <c r="T70" s="195" t="n">
        <f aca="false">+S70/S$8</f>
        <v>1828.84610526316</v>
      </c>
      <c r="U70" s="181" t="n">
        <f aca="false">+S70/U$8</f>
        <v>1.65303973631452</v>
      </c>
      <c r="V70" s="185" t="n">
        <f aca="false">+S70/TotalCost</f>
        <v>0.0191178175230644</v>
      </c>
      <c r="W70" s="186" t="n">
        <f aca="false">+$S70/TotalValue</f>
        <v>0.0156926799698378</v>
      </c>
      <c r="X70" s="187"/>
      <c r="Y70" s="188"/>
      <c r="Z70" s="186"/>
      <c r="AA70" s="186"/>
      <c r="AB70" s="196"/>
      <c r="AC70" s="126"/>
      <c r="AD70" s="186"/>
      <c r="AE70" s="127"/>
      <c r="AF70" s="190" t="s">
        <v>253</v>
      </c>
      <c r="AG70" s="221"/>
      <c r="AH70" s="178"/>
      <c r="AI70" s="178"/>
      <c r="AJ70" s="178"/>
      <c r="AK70" s="178" t="n">
        <f aca="false">SUM(AG70:AJ70)</f>
        <v>0</v>
      </c>
      <c r="AL70" s="178"/>
      <c r="AM70" s="178"/>
      <c r="AN70" s="178"/>
      <c r="AO70" s="178"/>
      <c r="AP70" s="178" t="n">
        <f aca="false">SUM(AL70:AO70)</f>
        <v>0</v>
      </c>
      <c r="AQ70" s="178"/>
      <c r="AR70" s="178"/>
      <c r="AS70" s="178"/>
      <c r="AT70" s="178"/>
      <c r="AU70" s="178" t="n">
        <f aca="false">SUM(AQ70:AT70)</f>
        <v>0</v>
      </c>
      <c r="AV70" s="191"/>
      <c r="AW70" s="191"/>
      <c r="AX70" s="191"/>
      <c r="AY70" s="191"/>
      <c r="AZ70" s="178" t="n">
        <f aca="false">SUM(AV70:AY70)</f>
        <v>0</v>
      </c>
      <c r="BA70" s="191"/>
      <c r="BB70" s="191"/>
      <c r="BC70" s="191"/>
      <c r="BD70" s="178" t="n">
        <f aca="false">$S70/8</f>
        <v>30404.5665</v>
      </c>
      <c r="BE70" s="178" t="n">
        <f aca="false">SUM(BA70:BD70)</f>
        <v>30404.5665</v>
      </c>
      <c r="BF70" s="191"/>
      <c r="BG70" s="191"/>
      <c r="BH70" s="178" t="n">
        <f aca="false">$S70/8</f>
        <v>30404.5665</v>
      </c>
      <c r="BI70" s="191"/>
      <c r="BJ70" s="178" t="n">
        <f aca="false">SUM(BF70:BI70)</f>
        <v>30404.5665</v>
      </c>
      <c r="BK70" s="191"/>
      <c r="BL70" s="178" t="n">
        <f aca="false">$S70/8</f>
        <v>30404.5665</v>
      </c>
      <c r="BM70" s="191"/>
      <c r="BN70" s="191"/>
      <c r="BO70" s="178" t="n">
        <f aca="false">SUM(BK70:BN70)</f>
        <v>30404.5665</v>
      </c>
      <c r="BP70" s="178" t="n">
        <f aca="false">$S70/8</f>
        <v>30404.5665</v>
      </c>
      <c r="BQ70" s="191"/>
      <c r="BR70" s="191"/>
      <c r="BS70" s="178" t="n">
        <f aca="false">$S70/8</f>
        <v>30404.5665</v>
      </c>
      <c r="BT70" s="178" t="n">
        <f aca="false">SUM(BP70:BS70)</f>
        <v>60809.133</v>
      </c>
      <c r="BU70" s="191"/>
      <c r="BV70" s="191"/>
      <c r="BW70" s="178" t="n">
        <f aca="false">$S70/8</f>
        <v>30404.5665</v>
      </c>
      <c r="BX70" s="191"/>
      <c r="BY70" s="178" t="n">
        <f aca="false">SUM(BU70:BX70)</f>
        <v>30404.5665</v>
      </c>
      <c r="BZ70" s="191"/>
      <c r="CA70" s="178" t="n">
        <f aca="false">$S70/8</f>
        <v>30404.5665</v>
      </c>
      <c r="CB70" s="191"/>
      <c r="CC70" s="191"/>
      <c r="CD70" s="178" t="n">
        <f aca="false">SUM(BZ70:CC70)</f>
        <v>30404.5665</v>
      </c>
      <c r="CE70" s="178" t="n">
        <f aca="false">$S70/8</f>
        <v>30404.5665</v>
      </c>
      <c r="CF70" s="191"/>
      <c r="CG70" s="191"/>
      <c r="CH70" s="191"/>
      <c r="CI70" s="178" t="n">
        <f aca="false">SUM(CE70:CH70)</f>
        <v>30404.5665</v>
      </c>
      <c r="CJ70" s="191"/>
      <c r="CK70" s="191"/>
      <c r="CL70" s="191"/>
      <c r="CM70" s="191"/>
      <c r="CN70" s="178" t="n">
        <f aca="false">SUM(CJ70:CM70)</f>
        <v>0</v>
      </c>
      <c r="CO70" s="191" t="n">
        <f aca="false">+CN70+CI70+CD70+BY70+BT70+BO70+BJ70+BE70+AZ70+AU70+AP70+AK70</f>
        <v>243236.532</v>
      </c>
      <c r="CP70" s="191" t="n">
        <f aca="false">S70</f>
        <v>243236.532</v>
      </c>
      <c r="CQ70" s="192" t="n">
        <f aca="false">+CO70/CP70</f>
        <v>1</v>
      </c>
    </row>
    <row r="71" customFormat="false" ht="12.75" hidden="false" customHeight="false" outlineLevel="0" collapsed="false">
      <c r="A71" s="177" t="s">
        <v>252</v>
      </c>
      <c r="B71" s="178" t="s">
        <v>254</v>
      </c>
      <c r="C71" s="198" t="n">
        <v>0.2</v>
      </c>
      <c r="D71" s="180" t="s">
        <v>251</v>
      </c>
      <c r="E71" s="180"/>
      <c r="F71" s="181"/>
      <c r="G71" s="178"/>
      <c r="H71" s="181"/>
      <c r="I71" s="181"/>
      <c r="J71" s="193" t="n">
        <f aca="false">K71*J$8</f>
        <v>360.36</v>
      </c>
      <c r="K71" s="193" t="n">
        <f aca="false">K$11*0.2*CMF</f>
        <v>360.36</v>
      </c>
      <c r="L71" s="181" t="n">
        <f aca="false">+K71/K$11</f>
        <v>0.22</v>
      </c>
      <c r="M71" s="193" t="n">
        <f aca="false">N71*N$8</f>
        <v>16093.44</v>
      </c>
      <c r="N71" s="193" t="n">
        <f aca="false">N$11*0.2*CMF</f>
        <v>223.52</v>
      </c>
      <c r="O71" s="181" t="n">
        <f aca="false">+N71/N$11</f>
        <v>0.22</v>
      </c>
      <c r="P71" s="193" t="n">
        <f aca="false">Q71*Q$8</f>
        <v>16278.46</v>
      </c>
      <c r="Q71" s="193" t="n">
        <f aca="false">Q$11*0.2*CMF</f>
        <v>266.86</v>
      </c>
      <c r="R71" s="181" t="n">
        <f aca="false">+Q71/Q$11</f>
        <v>0.22</v>
      </c>
      <c r="S71" s="194" t="n">
        <f aca="false">+P71+M71</f>
        <v>32371.9</v>
      </c>
      <c r="T71" s="195" t="n">
        <f aca="false">+S71/S$8</f>
        <v>243.397744360902</v>
      </c>
      <c r="U71" s="181" t="n">
        <f aca="false">+S71/U$8</f>
        <v>0.22</v>
      </c>
      <c r="V71" s="185" t="n">
        <f aca="false">+S71/TotalCost</f>
        <v>0.00254435496175751</v>
      </c>
      <c r="W71" s="186" t="n">
        <f aca="false">+$S71/TotalValue</f>
        <v>0.00208850974209579</v>
      </c>
      <c r="X71" s="187"/>
      <c r="Y71" s="188"/>
      <c r="Z71" s="186"/>
      <c r="AA71" s="186"/>
      <c r="AB71" s="196"/>
      <c r="AC71" s="126"/>
      <c r="AD71" s="186"/>
      <c r="AE71" s="127"/>
      <c r="AF71" s="190" t="s">
        <v>254</v>
      </c>
      <c r="AG71" s="190"/>
      <c r="AH71" s="178"/>
      <c r="AI71" s="178"/>
      <c r="AJ71" s="178"/>
      <c r="AK71" s="178" t="n">
        <f aca="false">SUM(AG71:AJ71)</f>
        <v>0</v>
      </c>
      <c r="AL71" s="178"/>
      <c r="AM71" s="178"/>
      <c r="AN71" s="178"/>
      <c r="AO71" s="178"/>
      <c r="AP71" s="178" t="n">
        <f aca="false">SUM(AL71:AO71)</f>
        <v>0</v>
      </c>
      <c r="AQ71" s="178"/>
      <c r="AR71" s="178"/>
      <c r="AS71" s="178"/>
      <c r="AT71" s="178"/>
      <c r="AU71" s="178" t="n">
        <f aca="false">SUM(AQ71:AT71)</f>
        <v>0</v>
      </c>
      <c r="AV71" s="178"/>
      <c r="AW71" s="178"/>
      <c r="AX71" s="191"/>
      <c r="AY71" s="191"/>
      <c r="AZ71" s="178" t="n">
        <f aca="false">SUM(AV71:AY71)</f>
        <v>0</v>
      </c>
      <c r="BA71" s="191"/>
      <c r="BB71" s="191"/>
      <c r="BC71" s="191"/>
      <c r="BD71" s="191"/>
      <c r="BE71" s="178" t="n">
        <f aca="false">SUM(BA71:BD71)</f>
        <v>0</v>
      </c>
      <c r="BF71" s="191"/>
      <c r="BG71" s="191"/>
      <c r="BH71" s="191"/>
      <c r="BI71" s="177" t="n">
        <f aca="false">$S71/8</f>
        <v>4046.4875</v>
      </c>
      <c r="BJ71" s="178" t="n">
        <f aca="false">SUM(BF71:BI71)</f>
        <v>4046.4875</v>
      </c>
      <c r="BK71" s="191"/>
      <c r="BL71" s="191"/>
      <c r="BM71" s="177" t="n">
        <f aca="false">$S71/8</f>
        <v>4046.4875</v>
      </c>
      <c r="BN71" s="191"/>
      <c r="BO71" s="178" t="n">
        <f aca="false">SUM(BK71:BN71)</f>
        <v>4046.4875</v>
      </c>
      <c r="BP71" s="191"/>
      <c r="BQ71" s="177" t="n">
        <f aca="false">$S71/8</f>
        <v>4046.4875</v>
      </c>
      <c r="BR71" s="191"/>
      <c r="BS71" s="191"/>
      <c r="BT71" s="178" t="n">
        <f aca="false">SUM(BP71:BS71)</f>
        <v>4046.4875</v>
      </c>
      <c r="BU71" s="177" t="n">
        <f aca="false">$S71/8</f>
        <v>4046.4875</v>
      </c>
      <c r="BV71" s="191"/>
      <c r="BW71" s="191"/>
      <c r="BX71" s="177" t="n">
        <f aca="false">$S71/8</f>
        <v>4046.4875</v>
      </c>
      <c r="BY71" s="178" t="n">
        <f aca="false">SUM(BU71:BX71)</f>
        <v>8092.975</v>
      </c>
      <c r="BZ71" s="191"/>
      <c r="CA71" s="191"/>
      <c r="CB71" s="177" t="n">
        <f aca="false">$S71/8</f>
        <v>4046.4875</v>
      </c>
      <c r="CC71" s="191"/>
      <c r="CD71" s="178" t="n">
        <f aca="false">SUM(BZ71:CC71)</f>
        <v>4046.4875</v>
      </c>
      <c r="CE71" s="191"/>
      <c r="CF71" s="177" t="n">
        <f aca="false">$S71/8</f>
        <v>4046.4875</v>
      </c>
      <c r="CG71" s="191"/>
      <c r="CH71" s="191"/>
      <c r="CI71" s="178" t="n">
        <f aca="false">SUM(CE71:CH71)</f>
        <v>4046.4875</v>
      </c>
      <c r="CJ71" s="177" t="n">
        <f aca="false">$S71/8</f>
        <v>4046.4875</v>
      </c>
      <c r="CK71" s="191"/>
      <c r="CL71" s="191"/>
      <c r="CM71" s="191"/>
      <c r="CN71" s="178" t="n">
        <f aca="false">SUM(CJ71:CM71)</f>
        <v>4046.4875</v>
      </c>
      <c r="CO71" s="191" t="n">
        <f aca="false">+CN71+CI71+CD71+BY71+BT71+BO71+BJ71+BE71+AZ71+AU71+AP71+AK71</f>
        <v>32371.9</v>
      </c>
      <c r="CP71" s="191" t="n">
        <f aca="false">S71</f>
        <v>32371.9</v>
      </c>
      <c r="CQ71" s="192" t="n">
        <f aca="false">+CO71/CP71</f>
        <v>1</v>
      </c>
    </row>
    <row r="72" customFormat="false" ht="12.75" hidden="false" customHeight="false" outlineLevel="0" collapsed="false">
      <c r="A72" s="177"/>
      <c r="B72" s="213" t="s">
        <v>255</v>
      </c>
      <c r="C72" s="198"/>
      <c r="D72" s="180"/>
      <c r="E72" s="180"/>
      <c r="F72" s="181"/>
      <c r="G72" s="178"/>
      <c r="H72" s="181"/>
      <c r="I72" s="181"/>
      <c r="J72" s="193"/>
      <c r="K72" s="207"/>
      <c r="L72" s="181"/>
      <c r="M72" s="193"/>
      <c r="N72" s="193"/>
      <c r="O72" s="181"/>
      <c r="P72" s="193"/>
      <c r="Q72" s="193"/>
      <c r="R72" s="181"/>
      <c r="S72" s="194"/>
      <c r="T72" s="195"/>
      <c r="U72" s="181"/>
      <c r="V72" s="186"/>
      <c r="W72" s="186"/>
      <c r="X72" s="187"/>
      <c r="Y72" s="188"/>
      <c r="Z72" s="186"/>
      <c r="AA72" s="186"/>
      <c r="AB72" s="196"/>
      <c r="AC72" s="126"/>
      <c r="AD72" s="186"/>
      <c r="AE72" s="127"/>
      <c r="AF72" s="214" t="s">
        <v>255</v>
      </c>
      <c r="AG72" s="190"/>
      <c r="AH72" s="178"/>
      <c r="AI72" s="178"/>
      <c r="AJ72" s="178"/>
      <c r="AK72" s="178" t="n">
        <f aca="false">SUM(AG72:AJ72)</f>
        <v>0</v>
      </c>
      <c r="AL72" s="178"/>
      <c r="AM72" s="178"/>
      <c r="AN72" s="178"/>
      <c r="AO72" s="178"/>
      <c r="AP72" s="178" t="n">
        <f aca="false">SUM(AL72:AO72)</f>
        <v>0</v>
      </c>
      <c r="AQ72" s="191"/>
      <c r="AR72" s="191"/>
      <c r="AS72" s="191"/>
      <c r="AT72" s="191"/>
      <c r="AU72" s="178" t="n">
        <f aca="false">SUM(AQ72:AT72)</f>
        <v>0</v>
      </c>
      <c r="AV72" s="191"/>
      <c r="AW72" s="191"/>
      <c r="AX72" s="191"/>
      <c r="AY72" s="191"/>
      <c r="AZ72" s="178" t="n">
        <f aca="false">SUM(AV72:AY72)</f>
        <v>0</v>
      </c>
      <c r="BA72" s="191"/>
      <c r="BB72" s="191"/>
      <c r="BC72" s="191"/>
      <c r="BD72" s="191"/>
      <c r="BE72" s="178" t="n">
        <f aca="false">SUM(BA72:BD72)</f>
        <v>0</v>
      </c>
      <c r="BF72" s="191"/>
      <c r="BG72" s="191"/>
      <c r="BH72" s="191"/>
      <c r="BI72" s="191"/>
      <c r="BJ72" s="178" t="n">
        <f aca="false">SUM(BF72:BI72)</f>
        <v>0</v>
      </c>
      <c r="BK72" s="191"/>
      <c r="BL72" s="191"/>
      <c r="BM72" s="191"/>
      <c r="BN72" s="191"/>
      <c r="BO72" s="178" t="n">
        <f aca="false">SUM(BK72:BN72)</f>
        <v>0</v>
      </c>
      <c r="BP72" s="191"/>
      <c r="BQ72" s="191"/>
      <c r="BR72" s="191"/>
      <c r="BS72" s="191"/>
      <c r="BT72" s="178" t="n">
        <f aca="false">SUM(BP72:BS72)</f>
        <v>0</v>
      </c>
      <c r="BU72" s="191"/>
      <c r="BV72" s="191"/>
      <c r="BW72" s="191"/>
      <c r="BX72" s="191"/>
      <c r="BY72" s="178" t="n">
        <f aca="false">SUM(BU72:BX72)</f>
        <v>0</v>
      </c>
      <c r="BZ72" s="191"/>
      <c r="CA72" s="191"/>
      <c r="CB72" s="191"/>
      <c r="CC72" s="191"/>
      <c r="CD72" s="178" t="n">
        <f aca="false">SUM(BZ72:CC72)</f>
        <v>0</v>
      </c>
      <c r="CE72" s="191"/>
      <c r="CF72" s="191"/>
      <c r="CG72" s="191"/>
      <c r="CH72" s="191"/>
      <c r="CI72" s="178" t="n">
        <f aca="false">SUM(CE72:CH72)</f>
        <v>0</v>
      </c>
      <c r="CJ72" s="191"/>
      <c r="CK72" s="191"/>
      <c r="CL72" s="191"/>
      <c r="CM72" s="191"/>
      <c r="CN72" s="178" t="n">
        <f aca="false">SUM(CJ72:CM72)</f>
        <v>0</v>
      </c>
      <c r="CO72" s="191" t="n">
        <f aca="false">+CN72+CI72+CD72+BY72+BT72+BO72+BJ72+BE72+AZ72+AU72+AP72+AK72</f>
        <v>0</v>
      </c>
      <c r="CP72" s="191"/>
      <c r="CQ72" s="192"/>
    </row>
    <row r="73" customFormat="false" ht="12.75" hidden="false" customHeight="false" outlineLevel="0" collapsed="false">
      <c r="A73" s="177" t="s">
        <v>256</v>
      </c>
      <c r="B73" s="178" t="s">
        <v>257</v>
      </c>
      <c r="C73" s="198" t="n">
        <v>1500</v>
      </c>
      <c r="D73" s="180" t="s">
        <v>176</v>
      </c>
      <c r="E73" s="180"/>
      <c r="F73" s="181"/>
      <c r="G73" s="178"/>
      <c r="H73" s="181"/>
      <c r="I73" s="181"/>
      <c r="J73" s="193" t="n">
        <f aca="false">K73*J$8</f>
        <v>1595</v>
      </c>
      <c r="K73" s="193" t="n">
        <f aca="false">1450*CMF</f>
        <v>1595</v>
      </c>
      <c r="L73" s="181" t="n">
        <f aca="false">+K73/K$11</f>
        <v>0.973748473748474</v>
      </c>
      <c r="M73" s="193" t="n">
        <f aca="false">N73*N$8</f>
        <v>114840</v>
      </c>
      <c r="N73" s="193" t="n">
        <f aca="false">1450*CMF</f>
        <v>1595</v>
      </c>
      <c r="O73" s="181" t="n">
        <f aca="false">+N73/N$11</f>
        <v>1.56988188976378</v>
      </c>
      <c r="P73" s="193" t="n">
        <f aca="false">Q73*Q$8</f>
        <v>97295</v>
      </c>
      <c r="Q73" s="193" t="n">
        <f aca="false">1450*CMF</f>
        <v>1595</v>
      </c>
      <c r="R73" s="181" t="n">
        <f aca="false">+Q73/Q$11</f>
        <v>1.31492168178071</v>
      </c>
      <c r="S73" s="194" t="n">
        <f aca="false">+P73+M73</f>
        <v>212135</v>
      </c>
      <c r="T73" s="195" t="n">
        <f aca="false">+S73/S$8</f>
        <v>1595</v>
      </c>
      <c r="U73" s="181" t="n">
        <f aca="false">+S73/U$8</f>
        <v>1.4416731795168</v>
      </c>
      <c r="V73" s="185" t="n">
        <f aca="false">+S73/TotalCost</f>
        <v>0.0166733104888014</v>
      </c>
      <c r="W73" s="186" t="n">
        <f aca="false">+$S73/TotalValue</f>
        <v>0.0136861294560866</v>
      </c>
      <c r="X73" s="187"/>
      <c r="Y73" s="188"/>
      <c r="Z73" s="186"/>
      <c r="AA73" s="186"/>
      <c r="AB73" s="196"/>
      <c r="AC73" s="126"/>
      <c r="AD73" s="186"/>
      <c r="AE73" s="127"/>
      <c r="AF73" s="190" t="s">
        <v>257</v>
      </c>
      <c r="AG73" s="190"/>
      <c r="AH73" s="178"/>
      <c r="AI73" s="178"/>
      <c r="AJ73" s="178"/>
      <c r="AK73" s="178" t="n">
        <f aca="false">SUM(AG73:AJ73)</f>
        <v>0</v>
      </c>
      <c r="AL73" s="178"/>
      <c r="AM73" s="178"/>
      <c r="AN73" s="178"/>
      <c r="AO73" s="178"/>
      <c r="AP73" s="178" t="n">
        <f aca="false">SUM(AL73:AO73)</f>
        <v>0</v>
      </c>
      <c r="AQ73" s="191"/>
      <c r="AR73" s="191"/>
      <c r="AS73" s="191"/>
      <c r="AT73" s="191"/>
      <c r="AU73" s="178" t="n">
        <f aca="false">SUM(AQ73:AT73)</f>
        <v>0</v>
      </c>
      <c r="AV73" s="191"/>
      <c r="AW73" s="191"/>
      <c r="AX73" s="191"/>
      <c r="AY73" s="191"/>
      <c r="AZ73" s="178" t="n">
        <f aca="false">SUM(AV73:AY73)</f>
        <v>0</v>
      </c>
      <c r="BA73" s="191"/>
      <c r="BB73" s="191"/>
      <c r="BC73" s="178" t="n">
        <f aca="false">$S73/8</f>
        <v>26516.875</v>
      </c>
      <c r="BD73" s="191"/>
      <c r="BE73" s="178" t="n">
        <f aca="false">SUM(BA73:BD73)</f>
        <v>26516.875</v>
      </c>
      <c r="BF73" s="191"/>
      <c r="BG73" s="178" t="n">
        <f aca="false">$S73/8</f>
        <v>26516.875</v>
      </c>
      <c r="BH73" s="191"/>
      <c r="BI73" s="191"/>
      <c r="BJ73" s="178" t="n">
        <f aca="false">SUM(BF73:BI73)</f>
        <v>26516.875</v>
      </c>
      <c r="BK73" s="178" t="n">
        <f aca="false">$S73/8</f>
        <v>26516.875</v>
      </c>
      <c r="BL73" s="191"/>
      <c r="BM73" s="191"/>
      <c r="BN73" s="178" t="n">
        <f aca="false">$S73/8</f>
        <v>26516.875</v>
      </c>
      <c r="BO73" s="178" t="n">
        <f aca="false">SUM(BK73:BN73)</f>
        <v>53033.75</v>
      </c>
      <c r="BP73" s="191"/>
      <c r="BQ73" s="191"/>
      <c r="BR73" s="178" t="n">
        <f aca="false">$S73/8</f>
        <v>26516.875</v>
      </c>
      <c r="BS73" s="191"/>
      <c r="BT73" s="178" t="n">
        <f aca="false">SUM(BP73:BS73)</f>
        <v>26516.875</v>
      </c>
      <c r="BU73" s="191"/>
      <c r="BV73" s="178" t="n">
        <f aca="false">$S73/8</f>
        <v>26516.875</v>
      </c>
      <c r="BW73" s="191"/>
      <c r="BX73" s="191"/>
      <c r="BY73" s="178" t="n">
        <f aca="false">SUM(BU73:BX73)</f>
        <v>26516.875</v>
      </c>
      <c r="BZ73" s="178" t="n">
        <f aca="false">$S73/8</f>
        <v>26516.875</v>
      </c>
      <c r="CA73" s="191"/>
      <c r="CB73" s="191"/>
      <c r="CC73" s="178" t="n">
        <f aca="false">$S73/8</f>
        <v>26516.875</v>
      </c>
      <c r="CD73" s="178" t="n">
        <f aca="false">SUM(BZ73:CC73)</f>
        <v>53033.75</v>
      </c>
      <c r="CE73" s="191"/>
      <c r="CF73" s="191"/>
      <c r="CG73" s="191"/>
      <c r="CH73" s="191"/>
      <c r="CI73" s="178" t="n">
        <f aca="false">SUM(CE73:CH73)</f>
        <v>0</v>
      </c>
      <c r="CJ73" s="191"/>
      <c r="CK73" s="191"/>
      <c r="CL73" s="191"/>
      <c r="CM73" s="191"/>
      <c r="CN73" s="178" t="n">
        <f aca="false">SUM(CJ73:CM73)</f>
        <v>0</v>
      </c>
      <c r="CO73" s="191" t="n">
        <f aca="false">+CN73+CI73+CD73+BY73+BT73+BO73+BJ73+BE73+AZ73+AU73+AP73+AK73</f>
        <v>212135</v>
      </c>
      <c r="CP73" s="191" t="n">
        <f aca="false">S73</f>
        <v>212135</v>
      </c>
      <c r="CQ73" s="192" t="n">
        <f aca="false">+CO73/CP73</f>
        <v>1</v>
      </c>
    </row>
    <row r="74" customFormat="false" ht="12.75" hidden="false" customHeight="false" outlineLevel="0" collapsed="false">
      <c r="A74" s="177" t="s">
        <v>256</v>
      </c>
      <c r="B74" s="177" t="s">
        <v>258</v>
      </c>
      <c r="C74" s="198" t="n">
        <v>600</v>
      </c>
      <c r="D74" s="180" t="s">
        <v>176</v>
      </c>
      <c r="E74" s="180"/>
      <c r="F74" s="181"/>
      <c r="G74" s="178"/>
      <c r="H74" s="181"/>
      <c r="I74" s="181"/>
      <c r="J74" s="193" t="n">
        <f aca="false">K74*J$8</f>
        <v>660</v>
      </c>
      <c r="K74" s="193" t="n">
        <f aca="false">600*CMF</f>
        <v>660</v>
      </c>
      <c r="L74" s="181" t="n">
        <f aca="false">+K74/K$11</f>
        <v>0.402930402930403</v>
      </c>
      <c r="M74" s="193" t="n">
        <f aca="false">N74*N$8</f>
        <v>47520</v>
      </c>
      <c r="N74" s="193" t="n">
        <f aca="false">600*CMF</f>
        <v>660</v>
      </c>
      <c r="O74" s="181" t="n">
        <f aca="false">+N74/N$11</f>
        <v>0.649606299212598</v>
      </c>
      <c r="P74" s="193" t="n">
        <f aca="false">Q74*Q$8</f>
        <v>40260</v>
      </c>
      <c r="Q74" s="193" t="n">
        <f aca="false">600*CMF</f>
        <v>660</v>
      </c>
      <c r="R74" s="181" t="n">
        <f aca="false">+Q74/Q$11</f>
        <v>0.544105523495466</v>
      </c>
      <c r="S74" s="194" t="n">
        <f aca="false">+P74+M74</f>
        <v>87780</v>
      </c>
      <c r="T74" s="195" t="n">
        <f aca="false">+S74/S$8</f>
        <v>660</v>
      </c>
      <c r="U74" s="181" t="n">
        <f aca="false">+S74/U$8</f>
        <v>0.596554419110401</v>
      </c>
      <c r="V74" s="185" t="n">
        <f aca="false">+S74/TotalCost</f>
        <v>0.0068993008919178</v>
      </c>
      <c r="W74" s="186" t="n">
        <f aca="false">+$S74/TotalValue</f>
        <v>0.00566322598182893</v>
      </c>
      <c r="X74" s="187"/>
      <c r="Y74" s="188"/>
      <c r="Z74" s="186"/>
      <c r="AA74" s="186"/>
      <c r="AB74" s="196"/>
      <c r="AC74" s="126"/>
      <c r="AD74" s="186"/>
      <c r="AE74" s="127"/>
      <c r="AF74" s="203" t="s">
        <v>258</v>
      </c>
      <c r="AG74" s="190"/>
      <c r="AH74" s="178"/>
      <c r="AI74" s="178"/>
      <c r="AJ74" s="178"/>
      <c r="AK74" s="178" t="n">
        <f aca="false">SUM(AG74:AJ74)</f>
        <v>0</v>
      </c>
      <c r="AL74" s="178"/>
      <c r="AM74" s="178"/>
      <c r="AN74" s="178"/>
      <c r="AO74" s="178"/>
      <c r="AP74" s="178" t="n">
        <f aca="false">SUM(AL74:AO74)</f>
        <v>0</v>
      </c>
      <c r="AQ74" s="178"/>
      <c r="AR74" s="178"/>
      <c r="AS74" s="178"/>
      <c r="AT74" s="178"/>
      <c r="AU74" s="178" t="n">
        <f aca="false">SUM(AQ74:AT74)</f>
        <v>0</v>
      </c>
      <c r="AV74" s="178"/>
      <c r="AW74" s="191"/>
      <c r="AX74" s="191"/>
      <c r="AY74" s="191"/>
      <c r="AZ74" s="178" t="n">
        <f aca="false">SUM(AV74:AY74)</f>
        <v>0</v>
      </c>
      <c r="BA74" s="191"/>
      <c r="BB74" s="191"/>
      <c r="BC74" s="178" t="n">
        <f aca="false">$S74/8</f>
        <v>10972.5</v>
      </c>
      <c r="BD74" s="191"/>
      <c r="BE74" s="178" t="n">
        <f aca="false">SUM(BA74:BD74)</f>
        <v>10972.5</v>
      </c>
      <c r="BF74" s="191"/>
      <c r="BG74" s="178" t="n">
        <f aca="false">$S74/8</f>
        <v>10972.5</v>
      </c>
      <c r="BH74" s="191"/>
      <c r="BI74" s="191"/>
      <c r="BJ74" s="178" t="n">
        <f aca="false">SUM(BF74:BI74)</f>
        <v>10972.5</v>
      </c>
      <c r="BK74" s="178" t="n">
        <f aca="false">$S74/8</f>
        <v>10972.5</v>
      </c>
      <c r="BL74" s="191"/>
      <c r="BM74" s="191"/>
      <c r="BN74" s="178" t="n">
        <f aca="false">$S74/8</f>
        <v>10972.5</v>
      </c>
      <c r="BO74" s="178" t="n">
        <f aca="false">SUM(BK74:BN74)</f>
        <v>21945</v>
      </c>
      <c r="BP74" s="191"/>
      <c r="BQ74" s="191"/>
      <c r="BR74" s="178" t="n">
        <f aca="false">$S74/8</f>
        <v>10972.5</v>
      </c>
      <c r="BS74" s="191"/>
      <c r="BT74" s="178" t="n">
        <f aca="false">SUM(BP74:BS74)</f>
        <v>10972.5</v>
      </c>
      <c r="BU74" s="191"/>
      <c r="BV74" s="178" t="n">
        <f aca="false">$S74/8</f>
        <v>10972.5</v>
      </c>
      <c r="BW74" s="191"/>
      <c r="BX74" s="191"/>
      <c r="BY74" s="178" t="n">
        <f aca="false">SUM(BU74:BX74)</f>
        <v>10972.5</v>
      </c>
      <c r="BZ74" s="178" t="n">
        <f aca="false">$S74/8</f>
        <v>10972.5</v>
      </c>
      <c r="CA74" s="191"/>
      <c r="CB74" s="191"/>
      <c r="CC74" s="178" t="n">
        <f aca="false">$S74/8</f>
        <v>10972.5</v>
      </c>
      <c r="CD74" s="178" t="n">
        <f aca="false">SUM(BZ74:CC74)</f>
        <v>21945</v>
      </c>
      <c r="CE74" s="191"/>
      <c r="CF74" s="191"/>
      <c r="CG74" s="191"/>
      <c r="CH74" s="191"/>
      <c r="CI74" s="178" t="n">
        <f aca="false">SUM(CE74:CH74)</f>
        <v>0</v>
      </c>
      <c r="CJ74" s="191"/>
      <c r="CK74" s="191"/>
      <c r="CL74" s="191"/>
      <c r="CM74" s="191"/>
      <c r="CN74" s="178" t="n">
        <f aca="false">SUM(CJ74:CM74)</f>
        <v>0</v>
      </c>
      <c r="CO74" s="191" t="n">
        <f aca="false">+CN74+CI74+CD74+BY74+BT74+BO74+BJ74+BE74+AZ74+AU74+AP74+AK74</f>
        <v>87780</v>
      </c>
      <c r="CP74" s="191" t="n">
        <f aca="false">S74</f>
        <v>87780</v>
      </c>
      <c r="CQ74" s="192" t="n">
        <f aca="false">+CO74/CP74</f>
        <v>1</v>
      </c>
    </row>
    <row r="75" customFormat="false" ht="12.75" hidden="false" customHeight="false" outlineLevel="0" collapsed="false">
      <c r="A75" s="177" t="s">
        <v>259</v>
      </c>
      <c r="B75" s="177" t="s">
        <v>260</v>
      </c>
      <c r="C75" s="178" t="s">
        <v>261</v>
      </c>
      <c r="D75" s="180"/>
      <c r="E75" s="180"/>
      <c r="F75" s="181"/>
      <c r="G75" s="178"/>
      <c r="H75" s="181"/>
      <c r="I75" s="181"/>
      <c r="J75" s="193" t="n">
        <f aca="false">K75*J$8</f>
        <v>850.63</v>
      </c>
      <c r="K75" s="193" t="n">
        <f aca="false">(K$11*0.35+200)*CMF</f>
        <v>850.63</v>
      </c>
      <c r="L75" s="181" t="n">
        <f aca="false">+K75/K$11</f>
        <v>0.519310134310134</v>
      </c>
      <c r="M75" s="193" t="n">
        <f aca="false">N75*N$8</f>
        <v>44003.52</v>
      </c>
      <c r="N75" s="193" t="n">
        <f aca="false">(N$11*0.35+200)*CMF</f>
        <v>611.16</v>
      </c>
      <c r="O75" s="181" t="n">
        <f aca="false">+N75/N$11</f>
        <v>0.601535433070866</v>
      </c>
      <c r="P75" s="193" t="n">
        <f aca="false">Q75*Q$8</f>
        <v>41907.305</v>
      </c>
      <c r="Q75" s="193" t="n">
        <f aca="false">(Q$11*0.35+200)*CMF</f>
        <v>687.005</v>
      </c>
      <c r="R75" s="181" t="n">
        <f aca="false">+Q75/Q$11</f>
        <v>0.566368507831822</v>
      </c>
      <c r="S75" s="194" t="n">
        <f aca="false">+P75+M75</f>
        <v>85910.825</v>
      </c>
      <c r="T75" s="195" t="n">
        <f aca="false">+S75/S$8</f>
        <v>645.946052631579</v>
      </c>
      <c r="U75" s="181" t="n">
        <f aca="false">+S75/U$8</f>
        <v>0.5838514730368</v>
      </c>
      <c r="V75" s="185" t="n">
        <f aca="false">+S75/TotalCost</f>
        <v>0.00675238814704824</v>
      </c>
      <c r="W75" s="186" t="n">
        <f aca="false">+$S75/TotalValue</f>
        <v>0.0055426340426106</v>
      </c>
      <c r="X75" s="187"/>
      <c r="Y75" s="188"/>
      <c r="Z75" s="186"/>
      <c r="AA75" s="186"/>
      <c r="AB75" s="196"/>
      <c r="AC75" s="126"/>
      <c r="AD75" s="186"/>
      <c r="AE75" s="127"/>
      <c r="AF75" s="203" t="s">
        <v>260</v>
      </c>
      <c r="AG75" s="221"/>
      <c r="AH75" s="178"/>
      <c r="AI75" s="178"/>
      <c r="AJ75" s="178"/>
      <c r="AK75" s="178" t="n">
        <f aca="false">SUM(AG75:AJ75)</f>
        <v>0</v>
      </c>
      <c r="AL75" s="178"/>
      <c r="AM75" s="178"/>
      <c r="AN75" s="178"/>
      <c r="AO75" s="178"/>
      <c r="AP75" s="178" t="n">
        <f aca="false">SUM(AL75:AO75)</f>
        <v>0</v>
      </c>
      <c r="AQ75" s="178"/>
      <c r="AR75" s="178"/>
      <c r="AS75" s="178"/>
      <c r="AT75" s="178"/>
      <c r="AU75" s="178" t="n">
        <f aca="false">SUM(AQ75:AT75)</f>
        <v>0</v>
      </c>
      <c r="AV75" s="178"/>
      <c r="AW75" s="191"/>
      <c r="AX75" s="191"/>
      <c r="AY75" s="191"/>
      <c r="AZ75" s="178" t="n">
        <f aca="false">SUM(AV75:AY75)</f>
        <v>0</v>
      </c>
      <c r="BA75" s="191"/>
      <c r="BB75" s="191"/>
      <c r="BC75" s="178" t="n">
        <f aca="false">$S75/8</f>
        <v>10738.853125</v>
      </c>
      <c r="BD75" s="191"/>
      <c r="BE75" s="178" t="n">
        <f aca="false">SUM(BA75:BD75)</f>
        <v>10738.853125</v>
      </c>
      <c r="BF75" s="191"/>
      <c r="BG75" s="178" t="n">
        <f aca="false">$S75/8</f>
        <v>10738.853125</v>
      </c>
      <c r="BH75" s="191"/>
      <c r="BI75" s="191"/>
      <c r="BJ75" s="178" t="n">
        <f aca="false">SUM(BF75:BI75)</f>
        <v>10738.853125</v>
      </c>
      <c r="BK75" s="178" t="n">
        <f aca="false">$S75/8</f>
        <v>10738.853125</v>
      </c>
      <c r="BL75" s="191"/>
      <c r="BM75" s="191"/>
      <c r="BN75" s="178" t="n">
        <f aca="false">$S75/8</f>
        <v>10738.853125</v>
      </c>
      <c r="BO75" s="178" t="n">
        <f aca="false">SUM(BK75:BN75)</f>
        <v>21477.70625</v>
      </c>
      <c r="BP75" s="191"/>
      <c r="BQ75" s="191"/>
      <c r="BR75" s="178" t="n">
        <f aca="false">$S75/8</f>
        <v>10738.853125</v>
      </c>
      <c r="BS75" s="191"/>
      <c r="BT75" s="178" t="n">
        <f aca="false">SUM(BP75:BS75)</f>
        <v>10738.853125</v>
      </c>
      <c r="BU75" s="191"/>
      <c r="BV75" s="178" t="n">
        <f aca="false">$S75/8</f>
        <v>10738.853125</v>
      </c>
      <c r="BW75" s="191"/>
      <c r="BX75" s="191"/>
      <c r="BY75" s="178" t="n">
        <f aca="false">SUM(BU75:BX75)</f>
        <v>10738.853125</v>
      </c>
      <c r="BZ75" s="178" t="n">
        <f aca="false">$S75/8</f>
        <v>10738.853125</v>
      </c>
      <c r="CA75" s="191"/>
      <c r="CB75" s="191"/>
      <c r="CC75" s="178" t="n">
        <f aca="false">$S75/8</f>
        <v>10738.853125</v>
      </c>
      <c r="CD75" s="178" t="n">
        <f aca="false">SUM(BZ75:CC75)</f>
        <v>21477.70625</v>
      </c>
      <c r="CE75" s="191"/>
      <c r="CF75" s="191"/>
      <c r="CG75" s="191"/>
      <c r="CH75" s="191"/>
      <c r="CI75" s="178" t="n">
        <f aca="false">SUM(CE75:CH75)</f>
        <v>0</v>
      </c>
      <c r="CJ75" s="191"/>
      <c r="CK75" s="191"/>
      <c r="CL75" s="191"/>
      <c r="CM75" s="191"/>
      <c r="CN75" s="178" t="n">
        <f aca="false">SUM(CJ75:CM75)</f>
        <v>0</v>
      </c>
      <c r="CO75" s="191" t="n">
        <f aca="false">+CN75+CI75+CD75+BY75+BT75+BO75+BJ75+BE75+AZ75+AU75+AP75+AK75</f>
        <v>85910.825</v>
      </c>
      <c r="CP75" s="191" t="n">
        <f aca="false">S75</f>
        <v>85910.825</v>
      </c>
      <c r="CQ75" s="192" t="n">
        <f aca="false">+CO75/CP75</f>
        <v>1</v>
      </c>
    </row>
    <row r="76" customFormat="false" ht="12.75" hidden="false" customHeight="false" outlineLevel="0" collapsed="false">
      <c r="A76" s="177" t="s">
        <v>226</v>
      </c>
      <c r="B76" s="177" t="s">
        <v>262</v>
      </c>
      <c r="C76" s="198" t="n">
        <v>0.29</v>
      </c>
      <c r="D76" s="180" t="s">
        <v>167</v>
      </c>
      <c r="E76" s="180"/>
      <c r="F76" s="181"/>
      <c r="G76" s="178"/>
      <c r="H76" s="181"/>
      <c r="I76" s="181"/>
      <c r="J76" s="193" t="n">
        <f aca="false">K76*J$8</f>
        <v>522.522</v>
      </c>
      <c r="K76" s="193" t="n">
        <f aca="false">K$11*0.29*CMF</f>
        <v>522.522</v>
      </c>
      <c r="L76" s="181" t="n">
        <f aca="false">+K76/K$11</f>
        <v>0.319</v>
      </c>
      <c r="M76" s="193" t="n">
        <f aca="false">N76*N$8</f>
        <v>23335.488</v>
      </c>
      <c r="N76" s="193" t="n">
        <f aca="false">N$11*0.29*CMF</f>
        <v>324.104</v>
      </c>
      <c r="O76" s="181" t="n">
        <f aca="false">+N76/N$11</f>
        <v>0.319</v>
      </c>
      <c r="P76" s="193" t="n">
        <f aca="false">Q76*Q$8</f>
        <v>23603.767</v>
      </c>
      <c r="Q76" s="193" t="n">
        <f aca="false">Q$11*0.29*CMF</f>
        <v>386.947</v>
      </c>
      <c r="R76" s="181" t="n">
        <f aca="false">+Q76/Q$11</f>
        <v>0.319</v>
      </c>
      <c r="S76" s="194" t="n">
        <f aca="false">+P76+M76</f>
        <v>46939.255</v>
      </c>
      <c r="T76" s="195" t="n">
        <f aca="false">+S76/S$8</f>
        <v>352.926729323308</v>
      </c>
      <c r="U76" s="181" t="n">
        <f aca="false">+S76/U$8</f>
        <v>0.319</v>
      </c>
      <c r="V76" s="185" t="n">
        <f aca="false">+S76/TotalCost</f>
        <v>0.00368931469454838</v>
      </c>
      <c r="W76" s="186" t="n">
        <f aca="false">+$S76/TotalValue</f>
        <v>0.00302833912603889</v>
      </c>
      <c r="X76" s="187"/>
      <c r="Y76" s="188"/>
      <c r="Z76" s="186"/>
      <c r="AA76" s="186"/>
      <c r="AB76" s="196"/>
      <c r="AC76" s="126"/>
      <c r="AD76" s="186"/>
      <c r="AE76" s="127"/>
      <c r="AF76" s="203" t="s">
        <v>262</v>
      </c>
      <c r="AG76" s="221"/>
      <c r="AH76" s="178"/>
      <c r="AI76" s="178"/>
      <c r="AJ76" s="178"/>
      <c r="AK76" s="178" t="n">
        <f aca="false">SUM(AG76:AJ76)</f>
        <v>0</v>
      </c>
      <c r="AL76" s="178"/>
      <c r="AM76" s="178"/>
      <c r="AN76" s="178"/>
      <c r="AO76" s="178"/>
      <c r="AP76" s="178" t="n">
        <f aca="false">SUM(AL76:AO76)</f>
        <v>0</v>
      </c>
      <c r="AQ76" s="178"/>
      <c r="AR76" s="178"/>
      <c r="AS76" s="178"/>
      <c r="AT76" s="178"/>
      <c r="AU76" s="178" t="n">
        <f aca="false">SUM(AQ76:AT76)</f>
        <v>0</v>
      </c>
      <c r="AV76" s="178"/>
      <c r="AW76" s="191"/>
      <c r="AX76" s="191"/>
      <c r="AY76" s="191"/>
      <c r="AZ76" s="178" t="n">
        <f aca="false">SUM(AV76:AY76)</f>
        <v>0</v>
      </c>
      <c r="BA76" s="191"/>
      <c r="BB76" s="191"/>
      <c r="BC76" s="191"/>
      <c r="BD76" s="191"/>
      <c r="BE76" s="178" t="n">
        <f aca="false">SUM(BA76:BD76)</f>
        <v>0</v>
      </c>
      <c r="BF76" s="178" t="n">
        <f aca="false">$S76/8</f>
        <v>5867.406875</v>
      </c>
      <c r="BG76" s="191"/>
      <c r="BH76" s="191"/>
      <c r="BI76" s="178" t="n">
        <f aca="false">$S76/8</f>
        <v>5867.406875</v>
      </c>
      <c r="BJ76" s="178" t="n">
        <f aca="false">SUM(BF76:BI76)</f>
        <v>11734.81375</v>
      </c>
      <c r="BK76" s="191"/>
      <c r="BL76" s="191"/>
      <c r="BM76" s="178" t="n">
        <f aca="false">$S76/8</f>
        <v>5867.406875</v>
      </c>
      <c r="BN76" s="191"/>
      <c r="BO76" s="178" t="n">
        <f aca="false">SUM(BK76:BN76)</f>
        <v>5867.406875</v>
      </c>
      <c r="BP76" s="191"/>
      <c r="BQ76" s="178" t="n">
        <f aca="false">$S76/8</f>
        <v>5867.406875</v>
      </c>
      <c r="BR76" s="191"/>
      <c r="BS76" s="191"/>
      <c r="BT76" s="178" t="n">
        <f aca="false">SUM(BP76:BS76)</f>
        <v>5867.406875</v>
      </c>
      <c r="BU76" s="178" t="n">
        <f aca="false">$S76/8</f>
        <v>5867.406875</v>
      </c>
      <c r="BV76" s="191"/>
      <c r="BW76" s="191"/>
      <c r="BX76" s="178" t="n">
        <f aca="false">$S76/8</f>
        <v>5867.406875</v>
      </c>
      <c r="BY76" s="178" t="n">
        <f aca="false">SUM(BU76:BX76)</f>
        <v>11734.81375</v>
      </c>
      <c r="BZ76" s="191"/>
      <c r="CA76" s="191"/>
      <c r="CB76" s="178" t="n">
        <f aca="false">$S76/8</f>
        <v>5867.406875</v>
      </c>
      <c r="CC76" s="191"/>
      <c r="CD76" s="178" t="n">
        <f aca="false">SUM(BZ76:CC76)</f>
        <v>5867.406875</v>
      </c>
      <c r="CE76" s="191"/>
      <c r="CF76" s="178" t="n">
        <f aca="false">$S76/8</f>
        <v>5867.406875</v>
      </c>
      <c r="CG76" s="191"/>
      <c r="CH76" s="191"/>
      <c r="CI76" s="178" t="n">
        <f aca="false">SUM(CE76:CH76)</f>
        <v>5867.406875</v>
      </c>
      <c r="CJ76" s="191"/>
      <c r="CK76" s="191"/>
      <c r="CL76" s="191"/>
      <c r="CM76" s="191"/>
      <c r="CN76" s="178" t="n">
        <f aca="false">SUM(CJ76:CM76)</f>
        <v>0</v>
      </c>
      <c r="CO76" s="191" t="n">
        <f aca="false">+CN76+CI76+CD76+BY76+BT76+BO76+BJ76+BE76+AZ76+AU76+AP76+AK76</f>
        <v>46939.255</v>
      </c>
      <c r="CP76" s="191" t="n">
        <f aca="false">S76</f>
        <v>46939.255</v>
      </c>
      <c r="CQ76" s="192" t="n">
        <f aca="false">+CO76/CP76</f>
        <v>1</v>
      </c>
    </row>
    <row r="77" customFormat="false" ht="12.75" hidden="false" customHeight="false" outlineLevel="0" collapsed="false">
      <c r="A77" s="177" t="s">
        <v>263</v>
      </c>
      <c r="B77" s="177" t="s">
        <v>264</v>
      </c>
      <c r="C77" s="181" t="n">
        <f aca="false">(250+300+250+100)</f>
        <v>900</v>
      </c>
      <c r="D77" s="180" t="s">
        <v>176</v>
      </c>
      <c r="E77" s="180"/>
      <c r="F77" s="181"/>
      <c r="G77" s="178"/>
      <c r="H77" s="181"/>
      <c r="I77" s="181"/>
      <c r="J77" s="193" t="n">
        <f aca="false">K77*J$8</f>
        <v>990</v>
      </c>
      <c r="K77" s="193" t="n">
        <f aca="false">(250+300+250+100)*CMF</f>
        <v>990</v>
      </c>
      <c r="L77" s="181" t="n">
        <f aca="false">+K77/K$11</f>
        <v>0.604395604395605</v>
      </c>
      <c r="M77" s="193" t="n">
        <f aca="false">N77*N$8</f>
        <v>71280</v>
      </c>
      <c r="N77" s="193" t="n">
        <f aca="false">(250+300+250+100)*CMF</f>
        <v>990</v>
      </c>
      <c r="O77" s="181" t="n">
        <f aca="false">+N77/N$11</f>
        <v>0.974409448818898</v>
      </c>
      <c r="P77" s="193" t="n">
        <f aca="false">Q77*Q$8</f>
        <v>60390</v>
      </c>
      <c r="Q77" s="193" t="n">
        <f aca="false">(250+300+250+100)*CMF</f>
        <v>990</v>
      </c>
      <c r="R77" s="181" t="n">
        <f aca="false">+Q77/Q$11</f>
        <v>0.816158285243199</v>
      </c>
      <c r="S77" s="194" t="n">
        <f aca="false">+P77+M77</f>
        <v>131670</v>
      </c>
      <c r="T77" s="195" t="n">
        <f aca="false">+S77/S$8</f>
        <v>990</v>
      </c>
      <c r="U77" s="181" t="n">
        <f aca="false">+S77/U$8</f>
        <v>0.894831628665602</v>
      </c>
      <c r="V77" s="185" t="n">
        <f aca="false">+S77/TotalCost</f>
        <v>0.0103489513378767</v>
      </c>
      <c r="W77" s="186" t="n">
        <f aca="false">+$S77/TotalValue</f>
        <v>0.0084948389727434</v>
      </c>
      <c r="X77" s="187"/>
      <c r="Y77" s="188"/>
      <c r="Z77" s="186"/>
      <c r="AA77" s="186"/>
      <c r="AB77" s="196"/>
      <c r="AC77" s="126"/>
      <c r="AD77" s="186"/>
      <c r="AE77" s="127"/>
      <c r="AF77" s="203" t="s">
        <v>264</v>
      </c>
      <c r="AG77" s="190"/>
      <c r="AH77" s="178"/>
      <c r="AI77" s="178"/>
      <c r="AJ77" s="178"/>
      <c r="AK77" s="178" t="n">
        <f aca="false">SUM(AG77:AJ77)</f>
        <v>0</v>
      </c>
      <c r="AL77" s="178"/>
      <c r="AM77" s="178"/>
      <c r="AN77" s="178"/>
      <c r="AO77" s="178"/>
      <c r="AP77" s="178" t="n">
        <f aca="false">SUM(AL77:AO77)</f>
        <v>0</v>
      </c>
      <c r="AQ77" s="178"/>
      <c r="AR77" s="178"/>
      <c r="AS77" s="178"/>
      <c r="AT77" s="178"/>
      <c r="AU77" s="178" t="n">
        <f aca="false">SUM(AQ77:AT77)</f>
        <v>0</v>
      </c>
      <c r="AV77" s="178"/>
      <c r="AW77" s="191"/>
      <c r="AX77" s="191"/>
      <c r="AY77" s="191"/>
      <c r="AZ77" s="178" t="n">
        <f aca="false">SUM(AV77:AY77)</f>
        <v>0</v>
      </c>
      <c r="BA77" s="191"/>
      <c r="BB77" s="191"/>
      <c r="BC77" s="191"/>
      <c r="BD77" s="191"/>
      <c r="BE77" s="178" t="n">
        <f aca="false">SUM(BA77:BD77)</f>
        <v>0</v>
      </c>
      <c r="BF77" s="178" t="n">
        <f aca="false">$S77/8</f>
        <v>16458.75</v>
      </c>
      <c r="BG77" s="191"/>
      <c r="BH77" s="191"/>
      <c r="BI77" s="178" t="n">
        <f aca="false">$S77/8</f>
        <v>16458.75</v>
      </c>
      <c r="BJ77" s="178" t="n">
        <f aca="false">SUM(BF77:BI77)</f>
        <v>32917.5</v>
      </c>
      <c r="BK77" s="191"/>
      <c r="BL77" s="191"/>
      <c r="BM77" s="178" t="n">
        <f aca="false">$S77/8</f>
        <v>16458.75</v>
      </c>
      <c r="BN77" s="191"/>
      <c r="BO77" s="178" t="n">
        <f aca="false">SUM(BK77:BN77)</f>
        <v>16458.75</v>
      </c>
      <c r="BP77" s="191"/>
      <c r="BQ77" s="178" t="n">
        <f aca="false">$S77/8</f>
        <v>16458.75</v>
      </c>
      <c r="BR77" s="191"/>
      <c r="BS77" s="191"/>
      <c r="BT77" s="178" t="n">
        <f aca="false">SUM(BP77:BS77)</f>
        <v>16458.75</v>
      </c>
      <c r="BU77" s="178" t="n">
        <f aca="false">$S77/8</f>
        <v>16458.75</v>
      </c>
      <c r="BV77" s="191"/>
      <c r="BW77" s="191"/>
      <c r="BX77" s="178" t="n">
        <f aca="false">$S77/8</f>
        <v>16458.75</v>
      </c>
      <c r="BY77" s="178" t="n">
        <f aca="false">SUM(BU77:BX77)</f>
        <v>32917.5</v>
      </c>
      <c r="BZ77" s="191"/>
      <c r="CA77" s="191"/>
      <c r="CB77" s="178" t="n">
        <f aca="false">$S77/8</f>
        <v>16458.75</v>
      </c>
      <c r="CC77" s="191"/>
      <c r="CD77" s="178" t="n">
        <f aca="false">SUM(BZ77:CC77)</f>
        <v>16458.75</v>
      </c>
      <c r="CE77" s="191"/>
      <c r="CF77" s="178" t="n">
        <f aca="false">$S77/8</f>
        <v>16458.75</v>
      </c>
      <c r="CG77" s="191"/>
      <c r="CH77" s="191"/>
      <c r="CI77" s="178" t="n">
        <f aca="false">SUM(CE77:CH77)</f>
        <v>16458.75</v>
      </c>
      <c r="CJ77" s="191"/>
      <c r="CK77" s="191"/>
      <c r="CL77" s="191"/>
      <c r="CM77" s="191"/>
      <c r="CN77" s="178" t="n">
        <f aca="false">SUM(CJ77:CM77)</f>
        <v>0</v>
      </c>
      <c r="CO77" s="191" t="n">
        <f aca="false">+CN77+CI77+CD77+BY77+BT77+BO77+BJ77+BE77+AZ77+AU77+AP77+AK77</f>
        <v>131670</v>
      </c>
      <c r="CP77" s="191" t="n">
        <f aca="false">S77</f>
        <v>131670</v>
      </c>
      <c r="CQ77" s="192" t="n">
        <f aca="false">+CO77/CP77</f>
        <v>1</v>
      </c>
    </row>
    <row r="78" customFormat="false" ht="12.75" hidden="false" customHeight="false" outlineLevel="0" collapsed="false">
      <c r="A78" s="177" t="s">
        <v>265</v>
      </c>
      <c r="B78" s="177" t="s">
        <v>266</v>
      </c>
      <c r="C78" s="198" t="n">
        <v>1.22</v>
      </c>
      <c r="D78" s="180" t="s">
        <v>167</v>
      </c>
      <c r="E78" s="180"/>
      <c r="F78" s="181"/>
      <c r="G78" s="178"/>
      <c r="H78" s="181"/>
      <c r="I78" s="181"/>
      <c r="J78" s="193" t="n">
        <f aca="false">K78*J$8</f>
        <v>2198.196</v>
      </c>
      <c r="K78" s="193" t="n">
        <f aca="false">1.22*K$11*CMF</f>
        <v>2198.196</v>
      </c>
      <c r="L78" s="181" t="n">
        <f aca="false">+K78/K$11</f>
        <v>1.342</v>
      </c>
      <c r="M78" s="193" t="n">
        <f aca="false">N78*N$8</f>
        <v>98169.984</v>
      </c>
      <c r="N78" s="193" t="n">
        <f aca="false">1.22*N$11*CMF</f>
        <v>1363.472</v>
      </c>
      <c r="O78" s="181" t="n">
        <f aca="false">+N78/N$11</f>
        <v>1.342</v>
      </c>
      <c r="P78" s="193" t="n">
        <f aca="false">Q78*Q$8</f>
        <v>99298.606</v>
      </c>
      <c r="Q78" s="193" t="n">
        <f aca="false">1.22*Q$11*CMF</f>
        <v>1627.846</v>
      </c>
      <c r="R78" s="181" t="n">
        <f aca="false">+Q78/Q$11</f>
        <v>1.342</v>
      </c>
      <c r="S78" s="194" t="n">
        <f aca="false">+P78+M78</f>
        <v>197468.59</v>
      </c>
      <c r="T78" s="195" t="n">
        <f aca="false">+S78/S$8</f>
        <v>1484.7262406015</v>
      </c>
      <c r="U78" s="181" t="n">
        <f aca="false">+S78/U$8</f>
        <v>1.342</v>
      </c>
      <c r="V78" s="185" t="n">
        <f aca="false">+S78/TotalCost</f>
        <v>0.0155205652667208</v>
      </c>
      <c r="W78" s="186" t="n">
        <f aca="false">+$S78/TotalValue</f>
        <v>0.0127399094267843</v>
      </c>
      <c r="X78" s="187"/>
      <c r="Y78" s="188"/>
      <c r="Z78" s="186"/>
      <c r="AA78" s="186"/>
      <c r="AB78" s="196"/>
      <c r="AC78" s="126"/>
      <c r="AD78" s="186"/>
      <c r="AE78" s="127"/>
      <c r="AF78" s="203" t="s">
        <v>266</v>
      </c>
      <c r="AG78" s="221"/>
      <c r="AH78" s="178"/>
      <c r="AI78" s="178"/>
      <c r="AJ78" s="178"/>
      <c r="AK78" s="178" t="n">
        <f aca="false">SUM(AG78:AJ78)</f>
        <v>0</v>
      </c>
      <c r="AL78" s="178"/>
      <c r="AM78" s="178"/>
      <c r="AN78" s="178"/>
      <c r="AO78" s="178"/>
      <c r="AP78" s="178" t="n">
        <f aca="false">SUM(AL78:AO78)</f>
        <v>0</v>
      </c>
      <c r="AQ78" s="178"/>
      <c r="AR78" s="178"/>
      <c r="AS78" s="178"/>
      <c r="AT78" s="178"/>
      <c r="AU78" s="178" t="n">
        <f aca="false">SUM(AQ78:AT78)</f>
        <v>0</v>
      </c>
      <c r="AV78" s="178"/>
      <c r="AW78" s="191"/>
      <c r="AX78" s="191"/>
      <c r="AY78" s="191"/>
      <c r="AZ78" s="178" t="n">
        <f aca="false">SUM(AV78:AY78)</f>
        <v>0</v>
      </c>
      <c r="BA78" s="191"/>
      <c r="BB78" s="191"/>
      <c r="BC78" s="191"/>
      <c r="BD78" s="191"/>
      <c r="BE78" s="178" t="n">
        <f aca="false">SUM(BA78:BD78)</f>
        <v>0</v>
      </c>
      <c r="BF78" s="191"/>
      <c r="BG78" s="191"/>
      <c r="BH78" s="177" t="n">
        <f aca="false">$S78/8</f>
        <v>24683.57375</v>
      </c>
      <c r="BI78" s="191"/>
      <c r="BJ78" s="178" t="n">
        <f aca="false">SUM(BF78:BI78)</f>
        <v>24683.57375</v>
      </c>
      <c r="BK78" s="191"/>
      <c r="BL78" s="177" t="n">
        <f aca="false">$S78/8</f>
        <v>24683.57375</v>
      </c>
      <c r="BM78" s="191"/>
      <c r="BN78" s="191"/>
      <c r="BO78" s="178" t="n">
        <f aca="false">SUM(BK78:BN78)</f>
        <v>24683.57375</v>
      </c>
      <c r="BP78" s="177" t="n">
        <f aca="false">$S78/8</f>
        <v>24683.57375</v>
      </c>
      <c r="BQ78" s="191"/>
      <c r="BR78" s="191"/>
      <c r="BS78" s="177" t="n">
        <f aca="false">$S78/8</f>
        <v>24683.57375</v>
      </c>
      <c r="BT78" s="178" t="n">
        <f aca="false">SUM(BP78:BS78)</f>
        <v>49367.1475</v>
      </c>
      <c r="BU78" s="191"/>
      <c r="BV78" s="191"/>
      <c r="BW78" s="177" t="n">
        <f aca="false">$S78/8</f>
        <v>24683.57375</v>
      </c>
      <c r="BX78" s="191"/>
      <c r="BY78" s="178" t="n">
        <f aca="false">SUM(BU78:BX78)</f>
        <v>24683.57375</v>
      </c>
      <c r="BZ78" s="191"/>
      <c r="CA78" s="177" t="n">
        <f aca="false">$S78/8</f>
        <v>24683.57375</v>
      </c>
      <c r="CB78" s="191"/>
      <c r="CC78" s="191"/>
      <c r="CD78" s="178" t="n">
        <f aca="false">SUM(BZ78:CC78)</f>
        <v>24683.57375</v>
      </c>
      <c r="CE78" s="177" t="n">
        <f aca="false">$S78/8</f>
        <v>24683.57375</v>
      </c>
      <c r="CF78" s="191"/>
      <c r="CG78" s="191"/>
      <c r="CH78" s="177" t="n">
        <f aca="false">$S78/8</f>
        <v>24683.57375</v>
      </c>
      <c r="CI78" s="178" t="n">
        <f aca="false">SUM(CE78:CH78)</f>
        <v>49367.1475</v>
      </c>
      <c r="CJ78" s="191"/>
      <c r="CK78" s="191"/>
      <c r="CL78" s="191"/>
      <c r="CM78" s="191"/>
      <c r="CN78" s="178" t="n">
        <f aca="false">SUM(CJ78:CM78)</f>
        <v>0</v>
      </c>
      <c r="CO78" s="191" t="n">
        <f aca="false">+CN78+CI78+CD78+BY78+BT78+BO78+BJ78+BE78+AZ78+AU78+AP78+AK78</f>
        <v>197468.59</v>
      </c>
      <c r="CP78" s="191" t="n">
        <f aca="false">S78</f>
        <v>197468.59</v>
      </c>
      <c r="CQ78" s="192" t="n">
        <f aca="false">+CO78/CP78</f>
        <v>1</v>
      </c>
    </row>
    <row r="79" customFormat="false" ht="12.75" hidden="false" customHeight="false" outlineLevel="0" collapsed="false">
      <c r="A79" s="177" t="s">
        <v>239</v>
      </c>
      <c r="B79" s="177" t="s">
        <v>267</v>
      </c>
      <c r="C79" s="198" t="n">
        <v>157</v>
      </c>
      <c r="D79" s="180" t="s">
        <v>176</v>
      </c>
      <c r="E79" s="180"/>
      <c r="F79" s="181"/>
      <c r="G79" s="178"/>
      <c r="H79" s="181"/>
      <c r="I79" s="181"/>
      <c r="J79" s="193" t="n">
        <f aca="false">K79*J$8</f>
        <v>172.7</v>
      </c>
      <c r="K79" s="193" t="n">
        <f aca="false">157*CMF</f>
        <v>172.7</v>
      </c>
      <c r="L79" s="181" t="n">
        <f aca="false">+K79/K$11</f>
        <v>0.105433455433455</v>
      </c>
      <c r="M79" s="193" t="n">
        <f aca="false">N79*N$8</f>
        <v>12434.4</v>
      </c>
      <c r="N79" s="193" t="n">
        <f aca="false">157*CMF</f>
        <v>172.7</v>
      </c>
      <c r="O79" s="181" t="n">
        <f aca="false">+N79/N$11</f>
        <v>0.16998031496063</v>
      </c>
      <c r="P79" s="193" t="n">
        <f aca="false">Q79*Q$8</f>
        <v>10534.7</v>
      </c>
      <c r="Q79" s="193" t="n">
        <f aca="false">157*CMF</f>
        <v>172.7</v>
      </c>
      <c r="R79" s="181" t="n">
        <f aca="false">+Q79/Q$11</f>
        <v>0.14237427864798</v>
      </c>
      <c r="S79" s="194" t="n">
        <f aca="false">+P79+M79</f>
        <v>22969.1</v>
      </c>
      <c r="T79" s="195" t="n">
        <f aca="false">+S79/S$8</f>
        <v>172.7</v>
      </c>
      <c r="U79" s="181" t="n">
        <f aca="false">+S79/U$8</f>
        <v>0.156098406333888</v>
      </c>
      <c r="V79" s="185" t="n">
        <f aca="false">+S79/TotalCost</f>
        <v>0.00180531706671849</v>
      </c>
      <c r="W79" s="186" t="n">
        <f aca="false">+$S79/TotalValue</f>
        <v>0.00148187746524524</v>
      </c>
      <c r="X79" s="187"/>
      <c r="Y79" s="188"/>
      <c r="Z79" s="186"/>
      <c r="AA79" s="186"/>
      <c r="AB79" s="196"/>
      <c r="AC79" s="126"/>
      <c r="AD79" s="186"/>
      <c r="AE79" s="127"/>
      <c r="AF79" s="203" t="s">
        <v>267</v>
      </c>
      <c r="AG79" s="221"/>
      <c r="AH79" s="178"/>
      <c r="AI79" s="178"/>
      <c r="AJ79" s="178"/>
      <c r="AK79" s="178" t="n">
        <f aca="false">SUM(AG79:AJ79)</f>
        <v>0</v>
      </c>
      <c r="AL79" s="178"/>
      <c r="AM79" s="178"/>
      <c r="AN79" s="178"/>
      <c r="AO79" s="178"/>
      <c r="AP79" s="178" t="n">
        <f aca="false">SUM(AL79:AO79)</f>
        <v>0</v>
      </c>
      <c r="AQ79" s="178"/>
      <c r="AR79" s="178"/>
      <c r="AS79" s="178"/>
      <c r="AT79" s="178"/>
      <c r="AU79" s="178" t="n">
        <f aca="false">SUM(AQ79:AT79)</f>
        <v>0</v>
      </c>
      <c r="AV79" s="178"/>
      <c r="AW79" s="191"/>
      <c r="AX79" s="191"/>
      <c r="AY79" s="191"/>
      <c r="AZ79" s="178" t="n">
        <f aca="false">SUM(AV79:AY79)</f>
        <v>0</v>
      </c>
      <c r="BA79" s="191"/>
      <c r="BB79" s="191"/>
      <c r="BC79" s="191"/>
      <c r="BD79" s="191"/>
      <c r="BE79" s="178" t="n">
        <f aca="false">SUM(BA79:BD79)</f>
        <v>0</v>
      </c>
      <c r="BF79" s="191"/>
      <c r="BG79" s="191"/>
      <c r="BH79" s="177" t="n">
        <f aca="false">$S79/8</f>
        <v>2871.1375</v>
      </c>
      <c r="BI79" s="191"/>
      <c r="BJ79" s="178" t="n">
        <f aca="false">SUM(BF79:BI79)</f>
        <v>2871.1375</v>
      </c>
      <c r="BK79" s="191"/>
      <c r="BL79" s="177" t="n">
        <f aca="false">$S79/8</f>
        <v>2871.1375</v>
      </c>
      <c r="BM79" s="191"/>
      <c r="BN79" s="191"/>
      <c r="BO79" s="178" t="n">
        <f aca="false">SUM(BK79:BN79)</f>
        <v>2871.1375</v>
      </c>
      <c r="BP79" s="177" t="n">
        <f aca="false">$S79/8</f>
        <v>2871.1375</v>
      </c>
      <c r="BQ79" s="191"/>
      <c r="BR79" s="191"/>
      <c r="BS79" s="177" t="n">
        <f aca="false">$S79/8</f>
        <v>2871.1375</v>
      </c>
      <c r="BT79" s="178" t="n">
        <f aca="false">SUM(BP79:BS79)</f>
        <v>5742.275</v>
      </c>
      <c r="BU79" s="191"/>
      <c r="BV79" s="191"/>
      <c r="BW79" s="177" t="n">
        <f aca="false">$S79/8</f>
        <v>2871.1375</v>
      </c>
      <c r="BX79" s="191"/>
      <c r="BY79" s="178" t="n">
        <f aca="false">SUM(BU79:BX79)</f>
        <v>2871.1375</v>
      </c>
      <c r="BZ79" s="191"/>
      <c r="CA79" s="177" t="n">
        <f aca="false">$S79/8</f>
        <v>2871.1375</v>
      </c>
      <c r="CB79" s="191"/>
      <c r="CC79" s="191"/>
      <c r="CD79" s="178" t="n">
        <f aca="false">SUM(BZ79:CC79)</f>
        <v>2871.1375</v>
      </c>
      <c r="CE79" s="177" t="n">
        <f aca="false">$S79/8</f>
        <v>2871.1375</v>
      </c>
      <c r="CF79" s="191"/>
      <c r="CG79" s="191"/>
      <c r="CH79" s="177" t="n">
        <f aca="false">$S79/8</f>
        <v>2871.1375</v>
      </c>
      <c r="CI79" s="178" t="n">
        <f aca="false">SUM(CE79:CH79)</f>
        <v>5742.275</v>
      </c>
      <c r="CJ79" s="191"/>
      <c r="CK79" s="191"/>
      <c r="CL79" s="191"/>
      <c r="CM79" s="191"/>
      <c r="CN79" s="178" t="n">
        <f aca="false">SUM(CJ79:CM79)</f>
        <v>0</v>
      </c>
      <c r="CO79" s="191" t="n">
        <f aca="false">+CN79+CI79+CD79+BY79+BT79+BO79+BJ79+BE79+AZ79+AU79+AP79+AK79</f>
        <v>22969.1</v>
      </c>
      <c r="CP79" s="191" t="n">
        <f aca="false">S79</f>
        <v>22969.1</v>
      </c>
      <c r="CQ79" s="192" t="n">
        <f aca="false">+CO79/CP79</f>
        <v>1</v>
      </c>
    </row>
    <row r="80" customFormat="false" ht="12.75" hidden="false" customHeight="false" outlineLevel="0" collapsed="false">
      <c r="A80" s="177" t="s">
        <v>268</v>
      </c>
      <c r="B80" s="199" t="s">
        <v>269</v>
      </c>
      <c r="C80" s="198" t="n">
        <v>2.25</v>
      </c>
      <c r="D80" s="180" t="s">
        <v>167</v>
      </c>
      <c r="E80" s="180"/>
      <c r="F80" s="181"/>
      <c r="G80" s="178"/>
      <c r="H80" s="181"/>
      <c r="I80" s="181"/>
      <c r="J80" s="193" t="n">
        <f aca="false">K80*J$8</f>
        <v>158.4</v>
      </c>
      <c r="K80" s="193" t="n">
        <f aca="false">8*8*2.25*CMF</f>
        <v>158.4</v>
      </c>
      <c r="L80" s="181" t="n">
        <f aca="false">+K80/K$11</f>
        <v>0.0967032967032967</v>
      </c>
      <c r="M80" s="193" t="n">
        <f aca="false">N80*N$8</f>
        <v>11404.8</v>
      </c>
      <c r="N80" s="193" t="n">
        <f aca="false">8*8*2.25*CMF</f>
        <v>158.4</v>
      </c>
      <c r="O80" s="181" t="n">
        <f aca="false">+N80/N$11</f>
        <v>0.155905511811024</v>
      </c>
      <c r="P80" s="193" t="n">
        <f aca="false">Q80*Q$8</f>
        <v>9662.4</v>
      </c>
      <c r="Q80" s="193" t="n">
        <f aca="false">8*8*2.25*CMF</f>
        <v>158.4</v>
      </c>
      <c r="R80" s="181" t="n">
        <f aca="false">+Q80/Q$11</f>
        <v>0.130585325638912</v>
      </c>
      <c r="S80" s="194" t="n">
        <f aca="false">+P80+M80</f>
        <v>21067.2</v>
      </c>
      <c r="T80" s="195" t="n">
        <f aca="false">+S80/S$8</f>
        <v>158.4</v>
      </c>
      <c r="U80" s="181" t="n">
        <f aca="false">+S80/U$8</f>
        <v>0.143173060586496</v>
      </c>
      <c r="V80" s="185" t="n">
        <f aca="false">+S80/TotalCost</f>
        <v>0.00165583221406027</v>
      </c>
      <c r="W80" s="186" t="n">
        <f aca="false">+$S80/TotalValue</f>
        <v>0.00135917423563894</v>
      </c>
      <c r="X80" s="187"/>
      <c r="Y80" s="188"/>
      <c r="Z80" s="186"/>
      <c r="AA80" s="186"/>
      <c r="AB80" s="196"/>
      <c r="AC80" s="126"/>
      <c r="AD80" s="186"/>
      <c r="AE80" s="127"/>
      <c r="AF80" s="200" t="s">
        <v>269</v>
      </c>
      <c r="AG80" s="221"/>
      <c r="AH80" s="178"/>
      <c r="AI80" s="178"/>
      <c r="AJ80" s="178"/>
      <c r="AK80" s="178" t="n">
        <f aca="false">SUM(AG80:AJ80)</f>
        <v>0</v>
      </c>
      <c r="AL80" s="178"/>
      <c r="AM80" s="178"/>
      <c r="AN80" s="178"/>
      <c r="AO80" s="178"/>
      <c r="AP80" s="178" t="n">
        <f aca="false">SUM(AL80:AO80)</f>
        <v>0</v>
      </c>
      <c r="AQ80" s="178"/>
      <c r="AR80" s="178"/>
      <c r="AS80" s="178"/>
      <c r="AT80" s="178"/>
      <c r="AU80" s="178" t="n">
        <f aca="false">SUM(AQ80:AT80)</f>
        <v>0</v>
      </c>
      <c r="AV80" s="178"/>
      <c r="AW80" s="191"/>
      <c r="AX80" s="191"/>
      <c r="AY80" s="191"/>
      <c r="AZ80" s="178" t="n">
        <f aca="false">SUM(AV80:AY80)</f>
        <v>0</v>
      </c>
      <c r="BA80" s="191"/>
      <c r="BB80" s="191"/>
      <c r="BC80" s="191"/>
      <c r="BD80" s="191"/>
      <c r="BE80" s="178" t="n">
        <f aca="false">SUM(BA80:BD80)</f>
        <v>0</v>
      </c>
      <c r="BF80" s="191"/>
      <c r="BG80" s="191"/>
      <c r="BH80" s="191"/>
      <c r="BI80" s="177" t="n">
        <f aca="false">$S80/8</f>
        <v>2633.4</v>
      </c>
      <c r="BJ80" s="178" t="n">
        <f aca="false">SUM(BF80:BI80)</f>
        <v>2633.4</v>
      </c>
      <c r="BK80" s="191"/>
      <c r="BL80" s="191"/>
      <c r="BM80" s="177" t="n">
        <f aca="false">$S80/8</f>
        <v>2633.4</v>
      </c>
      <c r="BN80" s="191"/>
      <c r="BO80" s="178" t="n">
        <f aca="false">SUM(BK80:BN80)</f>
        <v>2633.4</v>
      </c>
      <c r="BP80" s="191"/>
      <c r="BQ80" s="177" t="n">
        <f aca="false">$S80/8</f>
        <v>2633.4</v>
      </c>
      <c r="BR80" s="191"/>
      <c r="BS80" s="191"/>
      <c r="BT80" s="178" t="n">
        <f aca="false">SUM(BP80:BS80)</f>
        <v>2633.4</v>
      </c>
      <c r="BU80" s="177" t="n">
        <f aca="false">$S80/8</f>
        <v>2633.4</v>
      </c>
      <c r="BV80" s="191"/>
      <c r="BW80" s="191"/>
      <c r="BX80" s="177" t="n">
        <f aca="false">$S80/8</f>
        <v>2633.4</v>
      </c>
      <c r="BY80" s="178" t="n">
        <f aca="false">SUM(BU80:BX80)</f>
        <v>5266.8</v>
      </c>
      <c r="BZ80" s="191"/>
      <c r="CA80" s="191"/>
      <c r="CB80" s="177" t="n">
        <f aca="false">$S80/8</f>
        <v>2633.4</v>
      </c>
      <c r="CC80" s="191"/>
      <c r="CD80" s="178" t="n">
        <f aca="false">SUM(BZ80:CC80)</f>
        <v>2633.4</v>
      </c>
      <c r="CE80" s="191"/>
      <c r="CF80" s="177" t="n">
        <f aca="false">$S80/8</f>
        <v>2633.4</v>
      </c>
      <c r="CG80" s="191"/>
      <c r="CH80" s="191"/>
      <c r="CI80" s="178" t="n">
        <f aca="false">SUM(CE80:CH80)</f>
        <v>2633.4</v>
      </c>
      <c r="CJ80" s="177" t="n">
        <f aca="false">$S80/8</f>
        <v>2633.4</v>
      </c>
      <c r="CK80" s="191"/>
      <c r="CL80" s="191"/>
      <c r="CM80" s="191"/>
      <c r="CN80" s="178" t="n">
        <f aca="false">SUM(CJ80:CM80)</f>
        <v>2633.4</v>
      </c>
      <c r="CO80" s="191" t="n">
        <f aca="false">+CN80+CI80+CD80+BY80+BT80+BO80+BJ80+BE80+AZ80+AU80+AP80+AK80</f>
        <v>21067.2</v>
      </c>
      <c r="CP80" s="191" t="n">
        <f aca="false">S80</f>
        <v>21067.2</v>
      </c>
      <c r="CQ80" s="192" t="n">
        <f aca="false">+CO80/CP80</f>
        <v>1</v>
      </c>
    </row>
    <row r="81" customFormat="false" ht="12.75" hidden="false" customHeight="false" outlineLevel="0" collapsed="false">
      <c r="A81" s="177" t="s">
        <v>268</v>
      </c>
      <c r="B81" s="177" t="s">
        <v>270</v>
      </c>
      <c r="C81" s="178" t="s">
        <v>271</v>
      </c>
      <c r="D81" s="180"/>
      <c r="E81" s="180"/>
      <c r="F81" s="181"/>
      <c r="G81" s="178"/>
      <c r="H81" s="181"/>
      <c r="I81" s="181"/>
      <c r="J81" s="193"/>
      <c r="K81" s="193"/>
      <c r="L81" s="181"/>
      <c r="M81" s="193"/>
      <c r="N81" s="193"/>
      <c r="O81" s="181"/>
      <c r="P81" s="193"/>
      <c r="Q81" s="193"/>
      <c r="R81" s="181"/>
      <c r="S81" s="194"/>
      <c r="T81" s="195"/>
      <c r="U81" s="181"/>
      <c r="V81" s="186"/>
      <c r="W81" s="186"/>
      <c r="X81" s="187"/>
      <c r="Y81" s="188"/>
      <c r="Z81" s="186"/>
      <c r="AA81" s="186"/>
      <c r="AB81" s="196"/>
      <c r="AC81" s="126"/>
      <c r="AD81" s="186"/>
      <c r="AE81" s="127"/>
      <c r="AF81" s="203" t="s">
        <v>270</v>
      </c>
      <c r="AG81" s="221"/>
      <c r="AH81" s="178"/>
      <c r="AI81" s="178"/>
      <c r="AJ81" s="178"/>
      <c r="AK81" s="178" t="n">
        <f aca="false">SUM(AG81:AJ81)</f>
        <v>0</v>
      </c>
      <c r="AL81" s="178"/>
      <c r="AM81" s="178"/>
      <c r="AN81" s="178"/>
      <c r="AO81" s="178"/>
      <c r="AP81" s="178" t="n">
        <f aca="false">SUM(AL81:AO81)</f>
        <v>0</v>
      </c>
      <c r="AQ81" s="191"/>
      <c r="AR81" s="191"/>
      <c r="AS81" s="191"/>
      <c r="AT81" s="191"/>
      <c r="AU81" s="178" t="n">
        <f aca="false">SUM(AQ81:AT81)</f>
        <v>0</v>
      </c>
      <c r="AV81" s="191"/>
      <c r="AW81" s="191"/>
      <c r="AX81" s="191"/>
      <c r="AY81" s="191"/>
      <c r="AZ81" s="178" t="n">
        <f aca="false">SUM(AV81:AY81)</f>
        <v>0</v>
      </c>
      <c r="BA81" s="191"/>
      <c r="BB81" s="191"/>
      <c r="BC81" s="191"/>
      <c r="BD81" s="191"/>
      <c r="BE81" s="178" t="n">
        <f aca="false">SUM(BA81:BD81)</f>
        <v>0</v>
      </c>
      <c r="BF81" s="191"/>
      <c r="BG81" s="191"/>
      <c r="BH81" s="191"/>
      <c r="BI81" s="191"/>
      <c r="BJ81" s="178" t="n">
        <f aca="false">SUM(BF81:BI81)</f>
        <v>0</v>
      </c>
      <c r="BK81" s="191"/>
      <c r="BL81" s="191"/>
      <c r="BM81" s="191"/>
      <c r="BN81" s="191"/>
      <c r="BO81" s="178" t="n">
        <f aca="false">SUM(BK81:BN81)</f>
        <v>0</v>
      </c>
      <c r="BP81" s="191"/>
      <c r="BQ81" s="191"/>
      <c r="BR81" s="191"/>
      <c r="BS81" s="191"/>
      <c r="BT81" s="178" t="n">
        <f aca="false">SUM(BP81:BS81)</f>
        <v>0</v>
      </c>
      <c r="BU81" s="191"/>
      <c r="BV81" s="191"/>
      <c r="BW81" s="191"/>
      <c r="BX81" s="191"/>
      <c r="BY81" s="178" t="n">
        <f aca="false">SUM(BU81:BX81)</f>
        <v>0</v>
      </c>
      <c r="BZ81" s="191"/>
      <c r="CA81" s="191"/>
      <c r="CB81" s="191"/>
      <c r="CC81" s="191"/>
      <c r="CD81" s="178" t="n">
        <f aca="false">SUM(BZ81:CC81)</f>
        <v>0</v>
      </c>
      <c r="CE81" s="191"/>
      <c r="CF81" s="191"/>
      <c r="CG81" s="191"/>
      <c r="CH81" s="191"/>
      <c r="CI81" s="178" t="n">
        <f aca="false">SUM(CE81:CH81)</f>
        <v>0</v>
      </c>
      <c r="CJ81" s="191"/>
      <c r="CK81" s="191"/>
      <c r="CL81" s="191"/>
      <c r="CM81" s="191"/>
      <c r="CN81" s="178" t="n">
        <f aca="false">SUM(CJ81:CM81)</f>
        <v>0</v>
      </c>
      <c r="CO81" s="191" t="n">
        <f aca="false">+CN81+CI81+CD81+BY81+BT81+BO81+BJ81+BE81+AZ81+AU81+AP81+AK81</f>
        <v>0</v>
      </c>
      <c r="CP81" s="191"/>
      <c r="CQ81" s="192"/>
    </row>
    <row r="82" customFormat="false" ht="12.75" hidden="false" customHeight="false" outlineLevel="0" collapsed="false">
      <c r="A82" s="177" t="s">
        <v>268</v>
      </c>
      <c r="B82" s="177" t="s">
        <v>272</v>
      </c>
      <c r="C82" s="178" t="s">
        <v>271</v>
      </c>
      <c r="D82" s="180"/>
      <c r="E82" s="180"/>
      <c r="F82" s="181"/>
      <c r="G82" s="178"/>
      <c r="H82" s="181"/>
      <c r="I82" s="181"/>
      <c r="J82" s="193"/>
      <c r="K82" s="193"/>
      <c r="L82" s="181"/>
      <c r="M82" s="193"/>
      <c r="N82" s="193"/>
      <c r="O82" s="181"/>
      <c r="P82" s="193"/>
      <c r="Q82" s="193"/>
      <c r="R82" s="181"/>
      <c r="S82" s="194"/>
      <c r="T82" s="195"/>
      <c r="U82" s="181"/>
      <c r="V82" s="186"/>
      <c r="W82" s="186"/>
      <c r="X82" s="187"/>
      <c r="Y82" s="188"/>
      <c r="Z82" s="186"/>
      <c r="AA82" s="186"/>
      <c r="AB82" s="196"/>
      <c r="AC82" s="126"/>
      <c r="AD82" s="186"/>
      <c r="AE82" s="127"/>
      <c r="AF82" s="203" t="s">
        <v>272</v>
      </c>
      <c r="AG82" s="190"/>
      <c r="AH82" s="178"/>
      <c r="AI82" s="178"/>
      <c r="AJ82" s="178"/>
      <c r="AK82" s="178" t="n">
        <f aca="false">SUM(AG82:AJ82)</f>
        <v>0</v>
      </c>
      <c r="AL82" s="178"/>
      <c r="AM82" s="178"/>
      <c r="AN82" s="178"/>
      <c r="AO82" s="178"/>
      <c r="AP82" s="178" t="n">
        <f aca="false">SUM(AL82:AO82)</f>
        <v>0</v>
      </c>
      <c r="AQ82" s="191"/>
      <c r="AR82" s="191"/>
      <c r="AS82" s="191"/>
      <c r="AT82" s="191"/>
      <c r="AU82" s="178" t="n">
        <f aca="false">SUM(AQ82:AT82)</f>
        <v>0</v>
      </c>
      <c r="AV82" s="191"/>
      <c r="AW82" s="191"/>
      <c r="AX82" s="191"/>
      <c r="AY82" s="191"/>
      <c r="AZ82" s="178" t="n">
        <f aca="false">SUM(AV82:AY82)</f>
        <v>0</v>
      </c>
      <c r="BA82" s="191"/>
      <c r="BB82" s="191"/>
      <c r="BC82" s="191"/>
      <c r="BD82" s="191"/>
      <c r="BE82" s="178" t="n">
        <f aca="false">SUM(BA82:BD82)</f>
        <v>0</v>
      </c>
      <c r="BF82" s="191"/>
      <c r="BG82" s="191"/>
      <c r="BH82" s="191"/>
      <c r="BI82" s="191"/>
      <c r="BJ82" s="178" t="n">
        <f aca="false">SUM(BF82:BI82)</f>
        <v>0</v>
      </c>
      <c r="BK82" s="191"/>
      <c r="BL82" s="191"/>
      <c r="BM82" s="191"/>
      <c r="BN82" s="191"/>
      <c r="BO82" s="178" t="n">
        <f aca="false">SUM(BK82:BN82)</f>
        <v>0</v>
      </c>
      <c r="BP82" s="191"/>
      <c r="BQ82" s="191"/>
      <c r="BR82" s="191"/>
      <c r="BS82" s="191"/>
      <c r="BT82" s="178" t="n">
        <f aca="false">SUM(BP82:BS82)</f>
        <v>0</v>
      </c>
      <c r="BU82" s="191"/>
      <c r="BV82" s="191"/>
      <c r="BW82" s="191"/>
      <c r="BX82" s="191"/>
      <c r="BY82" s="178" t="n">
        <f aca="false">SUM(BU82:BX82)</f>
        <v>0</v>
      </c>
      <c r="BZ82" s="191"/>
      <c r="CA82" s="191"/>
      <c r="CB82" s="191"/>
      <c r="CC82" s="191"/>
      <c r="CD82" s="178" t="n">
        <f aca="false">SUM(BZ82:CC82)</f>
        <v>0</v>
      </c>
      <c r="CE82" s="191"/>
      <c r="CF82" s="191"/>
      <c r="CG82" s="191"/>
      <c r="CH82" s="191"/>
      <c r="CI82" s="178" t="n">
        <f aca="false">SUM(CE82:CH82)</f>
        <v>0</v>
      </c>
      <c r="CJ82" s="191"/>
      <c r="CK82" s="191"/>
      <c r="CL82" s="191"/>
      <c r="CM82" s="191"/>
      <c r="CN82" s="178" t="n">
        <f aca="false">SUM(CJ82:CM82)</f>
        <v>0</v>
      </c>
      <c r="CO82" s="191" t="n">
        <f aca="false">+CN82+CI82+CD82+BY82+BT82+BO82+BJ82+BE82+AZ82+AU82+AP82+AK82</f>
        <v>0</v>
      </c>
      <c r="CP82" s="191"/>
      <c r="CQ82" s="192"/>
    </row>
    <row r="83" customFormat="false" ht="12.75" hidden="false" customHeight="false" outlineLevel="0" collapsed="false">
      <c r="A83" s="177" t="s">
        <v>268</v>
      </c>
      <c r="B83" s="177" t="s">
        <v>273</v>
      </c>
      <c r="C83" s="178" t="s">
        <v>271</v>
      </c>
      <c r="D83" s="180"/>
      <c r="E83" s="180"/>
      <c r="F83" s="181"/>
      <c r="G83" s="178"/>
      <c r="H83" s="181"/>
      <c r="I83" s="181"/>
      <c r="J83" s="193"/>
      <c r="K83" s="193"/>
      <c r="L83" s="181"/>
      <c r="M83" s="193"/>
      <c r="N83" s="193"/>
      <c r="O83" s="181"/>
      <c r="P83" s="193"/>
      <c r="Q83" s="193"/>
      <c r="R83" s="181"/>
      <c r="S83" s="194"/>
      <c r="T83" s="195"/>
      <c r="U83" s="181"/>
      <c r="V83" s="186"/>
      <c r="W83" s="186"/>
      <c r="X83" s="187"/>
      <c r="Y83" s="188"/>
      <c r="Z83" s="186"/>
      <c r="AA83" s="186"/>
      <c r="AB83" s="196"/>
      <c r="AC83" s="126"/>
      <c r="AD83" s="186"/>
      <c r="AE83" s="127"/>
      <c r="AF83" s="203" t="s">
        <v>273</v>
      </c>
      <c r="AG83" s="221"/>
      <c r="AH83" s="178"/>
      <c r="AI83" s="178"/>
      <c r="AJ83" s="178"/>
      <c r="AK83" s="178" t="n">
        <f aca="false">SUM(AG83:AJ83)</f>
        <v>0</v>
      </c>
      <c r="AL83" s="178"/>
      <c r="AM83" s="178"/>
      <c r="AN83" s="178"/>
      <c r="AO83" s="178"/>
      <c r="AP83" s="178" t="n">
        <f aca="false">SUM(AL83:AO83)</f>
        <v>0</v>
      </c>
      <c r="AQ83" s="191"/>
      <c r="AR83" s="191"/>
      <c r="AS83" s="191"/>
      <c r="AT83" s="191"/>
      <c r="AU83" s="178" t="n">
        <f aca="false">SUM(AQ83:AT83)</f>
        <v>0</v>
      </c>
      <c r="AV83" s="191"/>
      <c r="AW83" s="191"/>
      <c r="AX83" s="191"/>
      <c r="AY83" s="191"/>
      <c r="AZ83" s="178" t="n">
        <f aca="false">SUM(AV83:AY83)</f>
        <v>0</v>
      </c>
      <c r="BA83" s="191"/>
      <c r="BB83" s="191"/>
      <c r="BC83" s="191"/>
      <c r="BD83" s="191"/>
      <c r="BE83" s="178" t="n">
        <f aca="false">SUM(BA83:BD83)</f>
        <v>0</v>
      </c>
      <c r="BF83" s="191"/>
      <c r="BG83" s="191"/>
      <c r="BH83" s="191"/>
      <c r="BI83" s="191"/>
      <c r="BJ83" s="178" t="n">
        <f aca="false">SUM(BF83:BI83)</f>
        <v>0</v>
      </c>
      <c r="BK83" s="191"/>
      <c r="BL83" s="191"/>
      <c r="BM83" s="191"/>
      <c r="BN83" s="191"/>
      <c r="BO83" s="178" t="n">
        <f aca="false">SUM(BK83:BN83)</f>
        <v>0</v>
      </c>
      <c r="BP83" s="191"/>
      <c r="BQ83" s="191"/>
      <c r="BR83" s="191"/>
      <c r="BS83" s="191"/>
      <c r="BT83" s="178" t="n">
        <f aca="false">SUM(BP83:BS83)</f>
        <v>0</v>
      </c>
      <c r="BU83" s="191"/>
      <c r="BV83" s="191"/>
      <c r="BW83" s="191"/>
      <c r="BX83" s="191"/>
      <c r="BY83" s="178" t="n">
        <f aca="false">SUM(BU83:BX83)</f>
        <v>0</v>
      </c>
      <c r="BZ83" s="191"/>
      <c r="CA83" s="191"/>
      <c r="CB83" s="191"/>
      <c r="CC83" s="191"/>
      <c r="CD83" s="178" t="n">
        <f aca="false">SUM(BZ83:CC83)</f>
        <v>0</v>
      </c>
      <c r="CE83" s="191"/>
      <c r="CF83" s="191"/>
      <c r="CG83" s="191"/>
      <c r="CH83" s="191"/>
      <c r="CI83" s="178" t="n">
        <f aca="false">SUM(CE83:CH83)</f>
        <v>0</v>
      </c>
      <c r="CJ83" s="191"/>
      <c r="CK83" s="191"/>
      <c r="CL83" s="191"/>
      <c r="CM83" s="191"/>
      <c r="CN83" s="178" t="n">
        <f aca="false">SUM(CJ83:CM83)</f>
        <v>0</v>
      </c>
      <c r="CO83" s="191" t="n">
        <f aca="false">+CN83+CI83+CD83+BY83+BT83+BO83+BJ83+BE83+AZ83+AU83+AP83+AK83</f>
        <v>0</v>
      </c>
      <c r="CP83" s="191"/>
      <c r="CQ83" s="192"/>
    </row>
    <row r="84" customFormat="false" ht="12.75" hidden="false" customHeight="false" outlineLevel="0" collapsed="false">
      <c r="A84" s="177" t="s">
        <v>274</v>
      </c>
      <c r="B84" s="199" t="s">
        <v>275</v>
      </c>
      <c r="C84" s="178" t="s">
        <v>276</v>
      </c>
      <c r="D84" s="180"/>
      <c r="E84" s="180"/>
      <c r="F84" s="181"/>
      <c r="G84" s="178"/>
      <c r="H84" s="181"/>
      <c r="I84" s="181"/>
      <c r="J84" s="193"/>
      <c r="K84" s="193"/>
      <c r="L84" s="181"/>
      <c r="M84" s="193"/>
      <c r="N84" s="193"/>
      <c r="O84" s="181"/>
      <c r="P84" s="193"/>
      <c r="Q84" s="193"/>
      <c r="R84" s="181"/>
      <c r="S84" s="194"/>
      <c r="T84" s="195"/>
      <c r="U84" s="181"/>
      <c r="V84" s="186"/>
      <c r="W84" s="186"/>
      <c r="X84" s="187"/>
      <c r="Y84" s="188"/>
      <c r="Z84" s="186"/>
      <c r="AA84" s="186"/>
      <c r="AB84" s="196"/>
      <c r="AC84" s="126"/>
      <c r="AD84" s="186"/>
      <c r="AE84" s="127"/>
      <c r="AF84" s="200" t="s">
        <v>275</v>
      </c>
      <c r="AG84" s="190"/>
      <c r="AH84" s="178"/>
      <c r="AI84" s="178"/>
      <c r="AJ84" s="178"/>
      <c r="AK84" s="178" t="n">
        <f aca="false">SUM(AG84:AJ84)</f>
        <v>0</v>
      </c>
      <c r="AL84" s="178"/>
      <c r="AM84" s="178"/>
      <c r="AN84" s="178"/>
      <c r="AO84" s="178"/>
      <c r="AP84" s="178" t="n">
        <f aca="false">SUM(AL84:AO84)</f>
        <v>0</v>
      </c>
      <c r="AQ84" s="191"/>
      <c r="AR84" s="191"/>
      <c r="AS84" s="191"/>
      <c r="AT84" s="191"/>
      <c r="AU84" s="178" t="n">
        <f aca="false">SUM(AQ84:AT84)</f>
        <v>0</v>
      </c>
      <c r="AV84" s="191"/>
      <c r="AW84" s="191"/>
      <c r="AX84" s="191"/>
      <c r="AY84" s="191"/>
      <c r="AZ84" s="178" t="n">
        <f aca="false">SUM(AV84:AY84)</f>
        <v>0</v>
      </c>
      <c r="BA84" s="191"/>
      <c r="BB84" s="191"/>
      <c r="BC84" s="191"/>
      <c r="BD84" s="191"/>
      <c r="BE84" s="178" t="n">
        <f aca="false">SUM(BA84:BD84)</f>
        <v>0</v>
      </c>
      <c r="BF84" s="191"/>
      <c r="BG84" s="191"/>
      <c r="BH84" s="191"/>
      <c r="BI84" s="191"/>
      <c r="BJ84" s="178" t="n">
        <f aca="false">SUM(BF84:BI84)</f>
        <v>0</v>
      </c>
      <c r="BK84" s="191"/>
      <c r="BL84" s="191"/>
      <c r="BM84" s="191"/>
      <c r="BN84" s="191"/>
      <c r="BO84" s="178" t="n">
        <f aca="false">SUM(BK84:BN84)</f>
        <v>0</v>
      </c>
      <c r="BP84" s="191"/>
      <c r="BQ84" s="191"/>
      <c r="BR84" s="191"/>
      <c r="BS84" s="191"/>
      <c r="BT84" s="178" t="n">
        <f aca="false">SUM(BP84:BS84)</f>
        <v>0</v>
      </c>
      <c r="BU84" s="191"/>
      <c r="BV84" s="191"/>
      <c r="BW84" s="191"/>
      <c r="BX84" s="191"/>
      <c r="BY84" s="178" t="n">
        <f aca="false">SUM(BU84:BX84)</f>
        <v>0</v>
      </c>
      <c r="BZ84" s="191"/>
      <c r="CA84" s="191"/>
      <c r="CB84" s="191"/>
      <c r="CC84" s="191"/>
      <c r="CD84" s="178" t="n">
        <f aca="false">SUM(BZ84:CC84)</f>
        <v>0</v>
      </c>
      <c r="CE84" s="191"/>
      <c r="CF84" s="191"/>
      <c r="CG84" s="191"/>
      <c r="CH84" s="191"/>
      <c r="CI84" s="178" t="n">
        <f aca="false">SUM(CE84:CH84)</f>
        <v>0</v>
      </c>
      <c r="CJ84" s="191"/>
      <c r="CK84" s="191"/>
      <c r="CL84" s="191"/>
      <c r="CM84" s="191"/>
      <c r="CN84" s="178" t="n">
        <f aca="false">SUM(CJ84:CM84)</f>
        <v>0</v>
      </c>
      <c r="CO84" s="191" t="n">
        <f aca="false">+CN84+CI84+CD84+BY84+BT84+BO84+BJ84+BE84+AZ84+AU84+AP84+AK84</f>
        <v>0</v>
      </c>
      <c r="CP84" s="191"/>
      <c r="CQ84" s="192"/>
    </row>
    <row r="85" customFormat="false" ht="12.75" hidden="false" customHeight="false" outlineLevel="0" collapsed="false">
      <c r="A85" s="177" t="s">
        <v>274</v>
      </c>
      <c r="B85" s="199" t="s">
        <v>277</v>
      </c>
      <c r="C85" s="178"/>
      <c r="D85" s="180"/>
      <c r="E85" s="180"/>
      <c r="F85" s="181"/>
      <c r="G85" s="178"/>
      <c r="H85" s="181"/>
      <c r="I85" s="181"/>
      <c r="J85" s="193"/>
      <c r="K85" s="178"/>
      <c r="L85" s="181"/>
      <c r="M85" s="193"/>
      <c r="N85" s="178"/>
      <c r="O85" s="181"/>
      <c r="P85" s="193"/>
      <c r="Q85" s="178"/>
      <c r="R85" s="181"/>
      <c r="S85" s="194"/>
      <c r="T85" s="195"/>
      <c r="U85" s="181"/>
      <c r="V85" s="186"/>
      <c r="W85" s="186"/>
      <c r="X85" s="187"/>
      <c r="Y85" s="188"/>
      <c r="Z85" s="186"/>
      <c r="AA85" s="186"/>
      <c r="AB85" s="196"/>
      <c r="AC85" s="126"/>
      <c r="AD85" s="186"/>
      <c r="AE85" s="127"/>
      <c r="AF85" s="200" t="s">
        <v>277</v>
      </c>
      <c r="AG85" s="221"/>
      <c r="AH85" s="178"/>
      <c r="AI85" s="178"/>
      <c r="AJ85" s="178"/>
      <c r="AK85" s="178" t="n">
        <f aca="false">SUM(AG85:AJ85)</f>
        <v>0</v>
      </c>
      <c r="AL85" s="178"/>
      <c r="AM85" s="178"/>
      <c r="AN85" s="178"/>
      <c r="AO85" s="178"/>
      <c r="AP85" s="178" t="n">
        <f aca="false">SUM(AL85:AO85)</f>
        <v>0</v>
      </c>
      <c r="AQ85" s="191"/>
      <c r="AR85" s="191"/>
      <c r="AS85" s="191"/>
      <c r="AT85" s="191"/>
      <c r="AU85" s="178" t="n">
        <f aca="false">SUM(AQ85:AT85)</f>
        <v>0</v>
      </c>
      <c r="AV85" s="191"/>
      <c r="AW85" s="191"/>
      <c r="AX85" s="191"/>
      <c r="AY85" s="191"/>
      <c r="AZ85" s="178" t="n">
        <f aca="false">SUM(AV85:AY85)</f>
        <v>0</v>
      </c>
      <c r="BA85" s="191"/>
      <c r="BB85" s="191"/>
      <c r="BC85" s="191"/>
      <c r="BD85" s="191"/>
      <c r="BE85" s="178" t="n">
        <f aca="false">SUM(BA85:BD85)</f>
        <v>0</v>
      </c>
      <c r="BF85" s="191"/>
      <c r="BG85" s="191"/>
      <c r="BH85" s="191"/>
      <c r="BI85" s="191"/>
      <c r="BJ85" s="178" t="n">
        <f aca="false">SUM(BF85:BI85)</f>
        <v>0</v>
      </c>
      <c r="BK85" s="191"/>
      <c r="BL85" s="191"/>
      <c r="BM85" s="191"/>
      <c r="BN85" s="191"/>
      <c r="BO85" s="178" t="n">
        <f aca="false">SUM(BK85:BN85)</f>
        <v>0</v>
      </c>
      <c r="BP85" s="191"/>
      <c r="BQ85" s="191"/>
      <c r="BR85" s="191"/>
      <c r="BS85" s="191"/>
      <c r="BT85" s="178" t="n">
        <f aca="false">SUM(BP85:BS85)</f>
        <v>0</v>
      </c>
      <c r="BU85" s="191"/>
      <c r="BV85" s="191"/>
      <c r="BW85" s="191"/>
      <c r="BX85" s="191"/>
      <c r="BY85" s="178" t="n">
        <f aca="false">SUM(BU85:BX85)</f>
        <v>0</v>
      </c>
      <c r="BZ85" s="191"/>
      <c r="CA85" s="191"/>
      <c r="CB85" s="191"/>
      <c r="CC85" s="191"/>
      <c r="CD85" s="178" t="n">
        <f aca="false">SUM(BZ85:CC85)</f>
        <v>0</v>
      </c>
      <c r="CE85" s="191"/>
      <c r="CF85" s="191"/>
      <c r="CG85" s="191"/>
      <c r="CH85" s="191"/>
      <c r="CI85" s="178" t="n">
        <f aca="false">SUM(CE85:CH85)</f>
        <v>0</v>
      </c>
      <c r="CJ85" s="191"/>
      <c r="CK85" s="191"/>
      <c r="CL85" s="191"/>
      <c r="CM85" s="191"/>
      <c r="CN85" s="178" t="n">
        <f aca="false">SUM(CJ85:CM85)</f>
        <v>0</v>
      </c>
      <c r="CO85" s="191" t="n">
        <f aca="false">+CN85+CI85+CD85+BY85+BT85+BO85+BJ85+BE85+AZ85+AU85+AP85+AK85</f>
        <v>0</v>
      </c>
      <c r="CP85" s="191"/>
      <c r="CQ85" s="192"/>
    </row>
    <row r="86" customFormat="false" ht="12.75" hidden="false" customHeight="false" outlineLevel="0" collapsed="false">
      <c r="A86" s="177" t="s">
        <v>274</v>
      </c>
      <c r="B86" s="178" t="s">
        <v>278</v>
      </c>
      <c r="C86" s="178" t="s">
        <v>276</v>
      </c>
      <c r="D86" s="180"/>
      <c r="E86" s="180"/>
      <c r="F86" s="181"/>
      <c r="G86" s="178"/>
      <c r="H86" s="181"/>
      <c r="I86" s="181"/>
      <c r="J86" s="193"/>
      <c r="K86" s="193"/>
      <c r="L86" s="181"/>
      <c r="M86" s="193"/>
      <c r="N86" s="193"/>
      <c r="O86" s="181"/>
      <c r="P86" s="193"/>
      <c r="Q86" s="193"/>
      <c r="R86" s="181"/>
      <c r="S86" s="194"/>
      <c r="T86" s="195"/>
      <c r="U86" s="181"/>
      <c r="V86" s="186"/>
      <c r="W86" s="186"/>
      <c r="X86" s="187"/>
      <c r="Y86" s="188"/>
      <c r="Z86" s="186"/>
      <c r="AA86" s="186"/>
      <c r="AB86" s="196"/>
      <c r="AC86" s="126"/>
      <c r="AD86" s="186"/>
      <c r="AE86" s="127"/>
      <c r="AF86" s="190" t="s">
        <v>278</v>
      </c>
      <c r="AG86" s="221"/>
      <c r="AH86" s="178"/>
      <c r="AI86" s="178"/>
      <c r="AJ86" s="178"/>
      <c r="AK86" s="178" t="n">
        <f aca="false">SUM(AG86:AJ86)</f>
        <v>0</v>
      </c>
      <c r="AL86" s="178"/>
      <c r="AM86" s="178"/>
      <c r="AN86" s="178"/>
      <c r="AO86" s="178"/>
      <c r="AP86" s="178" t="n">
        <f aca="false">SUM(AL86:AO86)</f>
        <v>0</v>
      </c>
      <c r="AQ86" s="191"/>
      <c r="AR86" s="191"/>
      <c r="AS86" s="191"/>
      <c r="AT86" s="191"/>
      <c r="AU86" s="178" t="n">
        <f aca="false">SUM(AQ86:AT86)</f>
        <v>0</v>
      </c>
      <c r="AV86" s="191"/>
      <c r="AW86" s="191"/>
      <c r="AX86" s="191"/>
      <c r="AY86" s="191"/>
      <c r="AZ86" s="178" t="n">
        <f aca="false">SUM(AV86:AY86)</f>
        <v>0</v>
      </c>
      <c r="BA86" s="191"/>
      <c r="BB86" s="191"/>
      <c r="BC86" s="191"/>
      <c r="BD86" s="191"/>
      <c r="BE86" s="178" t="n">
        <f aca="false">SUM(BA86:BD86)</f>
        <v>0</v>
      </c>
      <c r="BF86" s="191"/>
      <c r="BG86" s="191"/>
      <c r="BH86" s="191"/>
      <c r="BI86" s="191"/>
      <c r="BJ86" s="178" t="n">
        <f aca="false">SUM(BF86:BI86)</f>
        <v>0</v>
      </c>
      <c r="BK86" s="191"/>
      <c r="BL86" s="191"/>
      <c r="BM86" s="191"/>
      <c r="BN86" s="191"/>
      <c r="BO86" s="178" t="n">
        <f aca="false">SUM(BK86:BN86)</f>
        <v>0</v>
      </c>
      <c r="BP86" s="191"/>
      <c r="BQ86" s="191"/>
      <c r="BR86" s="191"/>
      <c r="BS86" s="191"/>
      <c r="BT86" s="178" t="n">
        <f aca="false">SUM(BP86:BS86)</f>
        <v>0</v>
      </c>
      <c r="BU86" s="191"/>
      <c r="BV86" s="191"/>
      <c r="BW86" s="191"/>
      <c r="BX86" s="191"/>
      <c r="BY86" s="178" t="n">
        <f aca="false">SUM(BU86:BX86)</f>
        <v>0</v>
      </c>
      <c r="BZ86" s="191"/>
      <c r="CA86" s="191"/>
      <c r="CB86" s="191"/>
      <c r="CC86" s="191"/>
      <c r="CD86" s="178" t="n">
        <f aca="false">SUM(BZ86:CC86)</f>
        <v>0</v>
      </c>
      <c r="CE86" s="191"/>
      <c r="CF86" s="191"/>
      <c r="CG86" s="191"/>
      <c r="CH86" s="191"/>
      <c r="CI86" s="178" t="n">
        <f aca="false">SUM(CE86:CH86)</f>
        <v>0</v>
      </c>
      <c r="CJ86" s="191"/>
      <c r="CK86" s="191"/>
      <c r="CL86" s="191"/>
      <c r="CM86" s="191"/>
      <c r="CN86" s="178" t="n">
        <f aca="false">SUM(CJ86:CM86)</f>
        <v>0</v>
      </c>
      <c r="CO86" s="191" t="n">
        <f aca="false">+CN86+CI86+CD86+BY86+BT86+BO86+BJ86+BE86+AZ86+AU86+AP86+AK86</f>
        <v>0</v>
      </c>
      <c r="CP86" s="191"/>
      <c r="CQ86" s="192"/>
    </row>
    <row r="87" customFormat="false" ht="12.75" hidden="false" customHeight="false" outlineLevel="0" collapsed="false">
      <c r="A87" s="177"/>
      <c r="B87" s="213" t="s">
        <v>279</v>
      </c>
      <c r="C87" s="178"/>
      <c r="D87" s="180"/>
      <c r="E87" s="180"/>
      <c r="F87" s="181"/>
      <c r="G87" s="178"/>
      <c r="H87" s="181"/>
      <c r="I87" s="181"/>
      <c r="J87" s="193"/>
      <c r="K87" s="193"/>
      <c r="L87" s="181"/>
      <c r="M87" s="193"/>
      <c r="N87" s="193"/>
      <c r="O87" s="181"/>
      <c r="P87" s="193"/>
      <c r="Q87" s="193"/>
      <c r="R87" s="181"/>
      <c r="S87" s="194"/>
      <c r="T87" s="195"/>
      <c r="U87" s="181"/>
      <c r="V87" s="186"/>
      <c r="W87" s="186"/>
      <c r="X87" s="187"/>
      <c r="Y87" s="188"/>
      <c r="Z87" s="186"/>
      <c r="AA87" s="186"/>
      <c r="AB87" s="196"/>
      <c r="AC87" s="126"/>
      <c r="AD87" s="186"/>
      <c r="AE87" s="127"/>
      <c r="AF87" s="214" t="s">
        <v>279</v>
      </c>
      <c r="AG87" s="221"/>
      <c r="AH87" s="178"/>
      <c r="AI87" s="178"/>
      <c r="AJ87" s="178"/>
      <c r="AK87" s="178" t="n">
        <f aca="false">SUM(AG87:AJ87)</f>
        <v>0</v>
      </c>
      <c r="AL87" s="178"/>
      <c r="AM87" s="178"/>
      <c r="AN87" s="178"/>
      <c r="AO87" s="178"/>
      <c r="AP87" s="178" t="n">
        <f aca="false">SUM(AL87:AO87)</f>
        <v>0</v>
      </c>
      <c r="AQ87" s="191"/>
      <c r="AR87" s="191"/>
      <c r="AS87" s="191"/>
      <c r="AT87" s="191"/>
      <c r="AU87" s="178" t="n">
        <f aca="false">SUM(AQ87:AT87)</f>
        <v>0</v>
      </c>
      <c r="AV87" s="191"/>
      <c r="AW87" s="191"/>
      <c r="AX87" s="191"/>
      <c r="AY87" s="191"/>
      <c r="AZ87" s="178" t="n">
        <f aca="false">SUM(AV87:AY87)</f>
        <v>0</v>
      </c>
      <c r="BA87" s="191"/>
      <c r="BB87" s="191"/>
      <c r="BC87" s="191"/>
      <c r="BD87" s="191"/>
      <c r="BE87" s="178" t="n">
        <f aca="false">SUM(BA87:BD87)</f>
        <v>0</v>
      </c>
      <c r="BF87" s="191"/>
      <c r="BG87" s="191"/>
      <c r="BH87" s="191"/>
      <c r="BI87" s="191"/>
      <c r="BJ87" s="178" t="n">
        <f aca="false">SUM(BF87:BI87)</f>
        <v>0</v>
      </c>
      <c r="BK87" s="191"/>
      <c r="BL87" s="191"/>
      <c r="BM87" s="191"/>
      <c r="BN87" s="191"/>
      <c r="BO87" s="178" t="n">
        <f aca="false">SUM(BK87:BN87)</f>
        <v>0</v>
      </c>
      <c r="BP87" s="191"/>
      <c r="BQ87" s="191"/>
      <c r="BR87" s="191"/>
      <c r="BS87" s="191"/>
      <c r="BT87" s="178" t="n">
        <f aca="false">SUM(BP87:BS87)</f>
        <v>0</v>
      </c>
      <c r="BU87" s="191"/>
      <c r="BV87" s="191"/>
      <c r="BW87" s="191"/>
      <c r="BX87" s="191"/>
      <c r="BY87" s="178" t="n">
        <f aca="false">SUM(BU87:BX87)</f>
        <v>0</v>
      </c>
      <c r="BZ87" s="191"/>
      <c r="CA87" s="191"/>
      <c r="CB87" s="191"/>
      <c r="CC87" s="191"/>
      <c r="CD87" s="178" t="n">
        <f aca="false">SUM(BZ87:CC87)</f>
        <v>0</v>
      </c>
      <c r="CE87" s="191"/>
      <c r="CF87" s="191"/>
      <c r="CG87" s="191"/>
      <c r="CH87" s="191"/>
      <c r="CI87" s="178" t="n">
        <f aca="false">SUM(CE87:CH87)</f>
        <v>0</v>
      </c>
      <c r="CJ87" s="191"/>
      <c r="CK87" s="191"/>
      <c r="CL87" s="191"/>
      <c r="CM87" s="191"/>
      <c r="CN87" s="178" t="n">
        <f aca="false">SUM(CJ87:CM87)</f>
        <v>0</v>
      </c>
      <c r="CO87" s="191" t="n">
        <f aca="false">+CN87+CI87+CD87+BY87+BT87+BO87+BJ87+BE87+AZ87+AU87+AP87+AK87</f>
        <v>0</v>
      </c>
      <c r="CP87" s="191"/>
      <c r="CQ87" s="192"/>
    </row>
    <row r="88" customFormat="false" ht="12.75" hidden="false" customHeight="false" outlineLevel="0" collapsed="false">
      <c r="A88" s="177" t="s">
        <v>280</v>
      </c>
      <c r="B88" s="178" t="s">
        <v>281</v>
      </c>
      <c r="C88" s="179" t="n">
        <f aca="false">2*8*40*4.33</f>
        <v>2771.2</v>
      </c>
      <c r="D88" s="180" t="s">
        <v>282</v>
      </c>
      <c r="E88" s="180"/>
      <c r="F88" s="181"/>
      <c r="G88" s="178"/>
      <c r="H88" s="181"/>
      <c r="I88" s="181"/>
      <c r="J88" s="193" t="n">
        <f aca="false">K88*J$8</f>
        <v>343.795488721805</v>
      </c>
      <c r="K88" s="193" t="n">
        <f aca="false">(((40*8*2)*4.33*15)*CMF)/SM134Units</f>
        <v>343.795488721805</v>
      </c>
      <c r="L88" s="181" t="n">
        <f aca="false">+K88/K$11</f>
        <v>0.209887355752017</v>
      </c>
      <c r="M88" s="193" t="n">
        <f aca="false">N88*N$8</f>
        <v>24753.2751879699</v>
      </c>
      <c r="N88" s="193" t="n">
        <f aca="false">(((40*8*2)*4.33*15)*CMF)/SM134Units</f>
        <v>343.795488721805</v>
      </c>
      <c r="O88" s="181" t="n">
        <f aca="false">+N88/N$11</f>
        <v>0.338381386537209</v>
      </c>
      <c r="P88" s="193" t="n">
        <f aca="false">Q88*Q$8</f>
        <v>20971.5248120301</v>
      </c>
      <c r="Q88" s="193" t="n">
        <f aca="false">(((40*8*2)*4.33*15)*CMF)/SM134Units</f>
        <v>343.795488721805</v>
      </c>
      <c r="R88" s="181" t="n">
        <f aca="false">+Q88/Q$11</f>
        <v>0.28342579449448</v>
      </c>
      <c r="S88" s="194" t="n">
        <f aca="false">+P88+M88</f>
        <v>45724.8</v>
      </c>
      <c r="T88" s="195" t="n">
        <f aca="false">+S88/S$8</f>
        <v>343.795488721805</v>
      </c>
      <c r="U88" s="181" t="n">
        <f aca="false">+S88/U$8</f>
        <v>0.31074654252608</v>
      </c>
      <c r="V88" s="185" t="n">
        <f aca="false">+S88/TotalCost</f>
        <v>0.00359386139693282</v>
      </c>
      <c r="W88" s="186" t="n">
        <f aca="false">+$S88/TotalValue</f>
        <v>0.00294998718812864</v>
      </c>
      <c r="X88" s="187"/>
      <c r="Y88" s="188"/>
      <c r="Z88" s="186"/>
      <c r="AA88" s="186"/>
      <c r="AB88" s="196"/>
      <c r="AC88" s="126"/>
      <c r="AD88" s="186"/>
      <c r="AE88" s="127"/>
      <c r="AF88" s="190" t="s">
        <v>281</v>
      </c>
      <c r="AG88" s="178" t="n">
        <f aca="false">$S88/12</f>
        <v>3810.4</v>
      </c>
      <c r="AH88" s="178"/>
      <c r="AI88" s="178"/>
      <c r="AJ88" s="178"/>
      <c r="AK88" s="178" t="n">
        <f aca="false">SUM(AG88:AJ88)</f>
        <v>3810.4</v>
      </c>
      <c r="AL88" s="178" t="n">
        <f aca="false">$S88/12</f>
        <v>3810.4</v>
      </c>
      <c r="AM88" s="178"/>
      <c r="AN88" s="178"/>
      <c r="AO88" s="178"/>
      <c r="AP88" s="178" t="n">
        <f aca="false">SUM(AL88:AO88)</f>
        <v>3810.4</v>
      </c>
      <c r="AQ88" s="178" t="n">
        <f aca="false">$S88/12</f>
        <v>3810.4</v>
      </c>
      <c r="AR88" s="178"/>
      <c r="AS88" s="191"/>
      <c r="AT88" s="191"/>
      <c r="AU88" s="178" t="n">
        <f aca="false">SUM(AQ88:AT88)</f>
        <v>3810.4</v>
      </c>
      <c r="AV88" s="178" t="n">
        <f aca="false">$S88/12</f>
        <v>3810.4</v>
      </c>
      <c r="AW88" s="178"/>
      <c r="AX88" s="178"/>
      <c r="AY88" s="178"/>
      <c r="AZ88" s="178" t="n">
        <f aca="false">SUM(AV88:AY88)</f>
        <v>3810.4</v>
      </c>
      <c r="BA88" s="178" t="n">
        <f aca="false">$S88/12</f>
        <v>3810.4</v>
      </c>
      <c r="BB88" s="191"/>
      <c r="BC88" s="191"/>
      <c r="BD88" s="191"/>
      <c r="BE88" s="178" t="n">
        <f aca="false">SUM(BA88:BD88)</f>
        <v>3810.4</v>
      </c>
      <c r="BF88" s="178" t="n">
        <f aca="false">$S88/12</f>
        <v>3810.4</v>
      </c>
      <c r="BG88" s="178"/>
      <c r="BH88" s="178"/>
      <c r="BI88" s="178"/>
      <c r="BJ88" s="178" t="n">
        <f aca="false">SUM(BF88:BI88)</f>
        <v>3810.4</v>
      </c>
      <c r="BK88" s="178" t="n">
        <f aca="false">$S88/12</f>
        <v>3810.4</v>
      </c>
      <c r="BL88" s="178"/>
      <c r="BM88" s="191"/>
      <c r="BN88" s="191"/>
      <c r="BO88" s="178" t="n">
        <f aca="false">SUM(BK88:BN88)</f>
        <v>3810.4</v>
      </c>
      <c r="BP88" s="178" t="n">
        <f aca="false">$S88/12</f>
        <v>3810.4</v>
      </c>
      <c r="BQ88" s="178"/>
      <c r="BR88" s="178"/>
      <c r="BS88" s="178"/>
      <c r="BT88" s="178" t="n">
        <f aca="false">SUM(BP88:BS88)</f>
        <v>3810.4</v>
      </c>
      <c r="BU88" s="178" t="n">
        <f aca="false">$S88/12</f>
        <v>3810.4</v>
      </c>
      <c r="BV88" s="191"/>
      <c r="BW88" s="191"/>
      <c r="BX88" s="191"/>
      <c r="BY88" s="178" t="n">
        <f aca="false">SUM(BU88:BX88)</f>
        <v>3810.4</v>
      </c>
      <c r="BZ88" s="178" t="n">
        <f aca="false">$S88/12</f>
        <v>3810.4</v>
      </c>
      <c r="CA88" s="191"/>
      <c r="CB88" s="191"/>
      <c r="CC88" s="191"/>
      <c r="CD88" s="178" t="n">
        <f aca="false">SUM(BZ88:CC88)</f>
        <v>3810.4</v>
      </c>
      <c r="CE88" s="178" t="n">
        <f aca="false">$S88/12</f>
        <v>3810.4</v>
      </c>
      <c r="CF88" s="191"/>
      <c r="CG88" s="191"/>
      <c r="CH88" s="191"/>
      <c r="CI88" s="178" t="n">
        <f aca="false">SUM(CE88:CH88)</f>
        <v>3810.4</v>
      </c>
      <c r="CJ88" s="178" t="n">
        <f aca="false">$S88/12</f>
        <v>3810.4</v>
      </c>
      <c r="CK88" s="191"/>
      <c r="CL88" s="191"/>
      <c r="CM88" s="191"/>
      <c r="CN88" s="178" t="n">
        <f aca="false">SUM(CJ88:CM88)</f>
        <v>3810.4</v>
      </c>
      <c r="CO88" s="191" t="n">
        <f aca="false">+CN88+CI88+CD88+BY88+BT88+BO88+BJ88+BE88+AZ88+AU88+AP88+AK88</f>
        <v>45724.8</v>
      </c>
      <c r="CP88" s="191" t="n">
        <f aca="false">S88</f>
        <v>45724.8</v>
      </c>
      <c r="CQ88" s="192" t="n">
        <f aca="false">+CO88/CP88</f>
        <v>1</v>
      </c>
    </row>
    <row r="89" customFormat="false" ht="12.75" hidden="false" customHeight="false" outlineLevel="0" collapsed="false">
      <c r="A89" s="177" t="s">
        <v>280</v>
      </c>
      <c r="B89" s="178" t="s">
        <v>283</v>
      </c>
      <c r="C89" s="179" t="n">
        <v>0.15</v>
      </c>
      <c r="D89" s="180" t="s">
        <v>167</v>
      </c>
      <c r="E89" s="180"/>
      <c r="F89" s="181"/>
      <c r="G89" s="178"/>
      <c r="H89" s="181"/>
      <c r="I89" s="181"/>
      <c r="J89" s="193" t="n">
        <f aca="false">K89*J$8</f>
        <v>270.27</v>
      </c>
      <c r="K89" s="193" t="n">
        <f aca="false">$C89*K$11*CMF</f>
        <v>270.27</v>
      </c>
      <c r="L89" s="181" t="n">
        <f aca="false">+K89/K$11</f>
        <v>0.165</v>
      </c>
      <c r="M89" s="193" t="n">
        <f aca="false">N89*N$8</f>
        <v>12070.08</v>
      </c>
      <c r="N89" s="193" t="n">
        <f aca="false">$C89*N$11*CMF</f>
        <v>167.64</v>
      </c>
      <c r="O89" s="181" t="n">
        <f aca="false">+N89/N$11</f>
        <v>0.165</v>
      </c>
      <c r="P89" s="193" t="n">
        <f aca="false">Q89*Q$8</f>
        <v>12208.845</v>
      </c>
      <c r="Q89" s="193" t="n">
        <f aca="false">$C89*Q$11*CMF</f>
        <v>200.145</v>
      </c>
      <c r="R89" s="181" t="n">
        <f aca="false">+Q89/Q$11</f>
        <v>0.165</v>
      </c>
      <c r="S89" s="194" t="n">
        <f aca="false">+P89+M89</f>
        <v>24278.925</v>
      </c>
      <c r="T89" s="195" t="n">
        <f aca="false">+S89/S$8</f>
        <v>182.548308270677</v>
      </c>
      <c r="U89" s="181" t="n">
        <f aca="false">+S89/U$8</f>
        <v>0.165</v>
      </c>
      <c r="V89" s="185" t="n">
        <f aca="false">+S89/TotalCost</f>
        <v>0.00190826622131813</v>
      </c>
      <c r="W89" s="186" t="n">
        <f aca="false">+$S89/TotalValue</f>
        <v>0.00156638230657184</v>
      </c>
      <c r="X89" s="187"/>
      <c r="Y89" s="188"/>
      <c r="Z89" s="186"/>
      <c r="AA89" s="186"/>
      <c r="AB89" s="196"/>
      <c r="AC89" s="126"/>
      <c r="AD89" s="186"/>
      <c r="AE89" s="127"/>
      <c r="AF89" s="190" t="s">
        <v>283</v>
      </c>
      <c r="AG89" s="221"/>
      <c r="AH89" s="178"/>
      <c r="AI89" s="178"/>
      <c r="AJ89" s="178"/>
      <c r="AK89" s="178" t="n">
        <f aca="false">SUM(AG89:AJ89)</f>
        <v>0</v>
      </c>
      <c r="AL89" s="178"/>
      <c r="AM89" s="178"/>
      <c r="AN89" s="178"/>
      <c r="AO89" s="178"/>
      <c r="AP89" s="178" t="n">
        <f aca="false">SUM(AL89:AO89)</f>
        <v>0</v>
      </c>
      <c r="AQ89" s="178"/>
      <c r="AR89" s="178"/>
      <c r="AS89" s="178"/>
      <c r="AT89" s="178"/>
      <c r="AU89" s="178" t="n">
        <f aca="false">SUM(AQ89:AT89)</f>
        <v>0</v>
      </c>
      <c r="AV89" s="178"/>
      <c r="AW89" s="191"/>
      <c r="AX89" s="191"/>
      <c r="AY89" s="191"/>
      <c r="AZ89" s="178" t="n">
        <f aca="false">SUM(AV89:AY89)</f>
        <v>0</v>
      </c>
      <c r="BA89" s="191"/>
      <c r="BB89" s="191"/>
      <c r="BC89" s="191"/>
      <c r="BD89" s="191"/>
      <c r="BE89" s="178" t="n">
        <f aca="false">SUM(BA89:BD89)</f>
        <v>0</v>
      </c>
      <c r="BF89" s="191"/>
      <c r="BG89" s="191"/>
      <c r="BH89" s="191"/>
      <c r="BI89" s="177" t="n">
        <f aca="false">$S89/8</f>
        <v>3034.865625</v>
      </c>
      <c r="BJ89" s="178" t="n">
        <f aca="false">SUM(BF89:BI89)</f>
        <v>3034.865625</v>
      </c>
      <c r="BK89" s="191"/>
      <c r="BL89" s="191"/>
      <c r="BM89" s="177" t="n">
        <f aca="false">$S89/8</f>
        <v>3034.865625</v>
      </c>
      <c r="BN89" s="191"/>
      <c r="BO89" s="178" t="n">
        <f aca="false">SUM(BK89:BN89)</f>
        <v>3034.865625</v>
      </c>
      <c r="BP89" s="191"/>
      <c r="BQ89" s="177" t="n">
        <f aca="false">$S89/8</f>
        <v>3034.865625</v>
      </c>
      <c r="BR89" s="191"/>
      <c r="BS89" s="191"/>
      <c r="BT89" s="178" t="n">
        <f aca="false">SUM(BP89:BS89)</f>
        <v>3034.865625</v>
      </c>
      <c r="BU89" s="177" t="n">
        <f aca="false">$S89/8</f>
        <v>3034.865625</v>
      </c>
      <c r="BV89" s="191"/>
      <c r="BW89" s="191"/>
      <c r="BX89" s="177" t="n">
        <f aca="false">$S89/8</f>
        <v>3034.865625</v>
      </c>
      <c r="BY89" s="178" t="n">
        <f aca="false">SUM(BU89:BX89)</f>
        <v>6069.73125</v>
      </c>
      <c r="BZ89" s="191"/>
      <c r="CA89" s="191"/>
      <c r="CB89" s="177" t="n">
        <f aca="false">$S89/8</f>
        <v>3034.865625</v>
      </c>
      <c r="CC89" s="191"/>
      <c r="CD89" s="178" t="n">
        <f aca="false">SUM(BZ89:CC89)</f>
        <v>3034.865625</v>
      </c>
      <c r="CE89" s="191"/>
      <c r="CF89" s="177" t="n">
        <f aca="false">$S89/8</f>
        <v>3034.865625</v>
      </c>
      <c r="CG89" s="191"/>
      <c r="CH89" s="191"/>
      <c r="CI89" s="178" t="n">
        <f aca="false">SUM(CE89:CH89)</f>
        <v>3034.865625</v>
      </c>
      <c r="CJ89" s="177" t="n">
        <f aca="false">$S89/8</f>
        <v>3034.865625</v>
      </c>
      <c r="CK89" s="191"/>
      <c r="CL89" s="191"/>
      <c r="CM89" s="191"/>
      <c r="CN89" s="178" t="n">
        <f aca="false">SUM(CJ89:CM89)</f>
        <v>3034.865625</v>
      </c>
      <c r="CO89" s="191" t="n">
        <f aca="false">+CN89+CI89+CD89+BY89+BT89+BO89+BJ89+BE89+AZ89+AU89+AP89+AK89</f>
        <v>24278.925</v>
      </c>
      <c r="CP89" s="191" t="n">
        <f aca="false">S89</f>
        <v>24278.925</v>
      </c>
      <c r="CQ89" s="192" t="n">
        <f aca="false">+CO89/CP89</f>
        <v>1</v>
      </c>
    </row>
    <row r="90" customFormat="false" ht="12.75" hidden="false" customHeight="false" outlineLevel="0" collapsed="false">
      <c r="A90" s="177" t="s">
        <v>280</v>
      </c>
      <c r="B90" s="178" t="s">
        <v>284</v>
      </c>
      <c r="C90" s="179" t="n">
        <v>350</v>
      </c>
      <c r="D90" s="180" t="s">
        <v>176</v>
      </c>
      <c r="E90" s="180"/>
      <c r="F90" s="181"/>
      <c r="G90" s="178"/>
      <c r="H90" s="181"/>
      <c r="I90" s="181"/>
      <c r="J90" s="193" t="n">
        <f aca="false">K90*J$8</f>
        <v>385</v>
      </c>
      <c r="K90" s="193" t="n">
        <f aca="false">$C90*CMF</f>
        <v>385</v>
      </c>
      <c r="L90" s="181" t="n">
        <f aca="false">+K90/K$11</f>
        <v>0.235042735042735</v>
      </c>
      <c r="M90" s="193" t="n">
        <f aca="false">N90*N$8</f>
        <v>27720</v>
      </c>
      <c r="N90" s="193" t="n">
        <f aca="false">$C90*CMF</f>
        <v>385</v>
      </c>
      <c r="O90" s="181" t="n">
        <f aca="false">+N90/N$11</f>
        <v>0.378937007874016</v>
      </c>
      <c r="P90" s="193" t="n">
        <f aca="false">Q90*Q$8</f>
        <v>23485</v>
      </c>
      <c r="Q90" s="193" t="n">
        <f aca="false">$C90*CMF</f>
        <v>385</v>
      </c>
      <c r="R90" s="181" t="n">
        <f aca="false">+Q90/Q$11</f>
        <v>0.317394888705688</v>
      </c>
      <c r="S90" s="194" t="n">
        <f aca="false">+P90+M90</f>
        <v>51205</v>
      </c>
      <c r="T90" s="195" t="n">
        <f aca="false">+S90/S$8</f>
        <v>385</v>
      </c>
      <c r="U90" s="181" t="n">
        <f aca="false">+S90/U$8</f>
        <v>0.347990077814401</v>
      </c>
      <c r="V90" s="185" t="n">
        <f aca="false">+S90/TotalCost</f>
        <v>0.00402459218695205</v>
      </c>
      <c r="W90" s="186" t="n">
        <f aca="false">+$S90/TotalValue</f>
        <v>0.00330354848940021</v>
      </c>
      <c r="X90" s="187"/>
      <c r="Y90" s="188"/>
      <c r="Z90" s="186"/>
      <c r="AA90" s="186"/>
      <c r="AB90" s="196"/>
      <c r="AC90" s="126"/>
      <c r="AD90" s="186"/>
      <c r="AE90" s="127"/>
      <c r="AF90" s="190" t="s">
        <v>284</v>
      </c>
      <c r="AG90" s="221"/>
      <c r="AH90" s="178"/>
      <c r="AI90" s="178"/>
      <c r="AJ90" s="178"/>
      <c r="AK90" s="178" t="n">
        <f aca="false">SUM(AG90:AJ90)</f>
        <v>0</v>
      </c>
      <c r="AL90" s="178"/>
      <c r="AM90" s="178"/>
      <c r="AN90" s="178"/>
      <c r="AO90" s="178"/>
      <c r="AP90" s="178" t="n">
        <f aca="false">SUM(AL90:AO90)</f>
        <v>0</v>
      </c>
      <c r="AQ90" s="178"/>
      <c r="AR90" s="178"/>
      <c r="AS90" s="178"/>
      <c r="AT90" s="178"/>
      <c r="AU90" s="178" t="n">
        <f aca="false">SUM(AQ90:AT90)</f>
        <v>0</v>
      </c>
      <c r="AV90" s="191"/>
      <c r="AW90" s="191"/>
      <c r="AX90" s="191"/>
      <c r="AY90" s="191"/>
      <c r="AZ90" s="178" t="n">
        <f aca="false">SUM(AV90:AY90)</f>
        <v>0</v>
      </c>
      <c r="BA90" s="191"/>
      <c r="BB90" s="191"/>
      <c r="BC90" s="191"/>
      <c r="BD90" s="191"/>
      <c r="BE90" s="178" t="n">
        <f aca="false">SUM(BA90:BD90)</f>
        <v>0</v>
      </c>
      <c r="BF90" s="191"/>
      <c r="BG90" s="191"/>
      <c r="BH90" s="191"/>
      <c r="BI90" s="191"/>
      <c r="BJ90" s="178" t="n">
        <f aca="false">SUM(BF90:BI90)</f>
        <v>0</v>
      </c>
      <c r="BK90" s="177" t="n">
        <f aca="false">$S90/8</f>
        <v>6400.625</v>
      </c>
      <c r="BL90" s="191"/>
      <c r="BM90" s="191"/>
      <c r="BN90" s="177" t="n">
        <f aca="false">$S90/8</f>
        <v>6400.625</v>
      </c>
      <c r="BO90" s="178" t="n">
        <f aca="false">SUM(BK90:BN90)</f>
        <v>12801.25</v>
      </c>
      <c r="BP90" s="191"/>
      <c r="BQ90" s="191"/>
      <c r="BR90" s="177" t="n">
        <f aca="false">$S90/8</f>
        <v>6400.625</v>
      </c>
      <c r="BS90" s="191"/>
      <c r="BT90" s="178" t="n">
        <f aca="false">SUM(BP90:BS90)</f>
        <v>6400.625</v>
      </c>
      <c r="BU90" s="191"/>
      <c r="BV90" s="177" t="n">
        <f aca="false">$S90/8</f>
        <v>6400.625</v>
      </c>
      <c r="BW90" s="191"/>
      <c r="BX90" s="191"/>
      <c r="BY90" s="178" t="n">
        <f aca="false">SUM(BU90:BX90)</f>
        <v>6400.625</v>
      </c>
      <c r="BZ90" s="177" t="n">
        <f aca="false">$S90/8</f>
        <v>6400.625</v>
      </c>
      <c r="CA90" s="191"/>
      <c r="CB90" s="191"/>
      <c r="CC90" s="177" t="n">
        <f aca="false">$S90/8</f>
        <v>6400.625</v>
      </c>
      <c r="CD90" s="178" t="n">
        <f aca="false">SUM(BZ90:CC90)</f>
        <v>12801.25</v>
      </c>
      <c r="CE90" s="191"/>
      <c r="CF90" s="191"/>
      <c r="CG90" s="177" t="n">
        <f aca="false">$S90/8</f>
        <v>6400.625</v>
      </c>
      <c r="CH90" s="191"/>
      <c r="CI90" s="178" t="n">
        <f aca="false">SUM(CE90:CH90)</f>
        <v>6400.625</v>
      </c>
      <c r="CJ90" s="191"/>
      <c r="CK90" s="177" t="n">
        <f aca="false">$S90/8</f>
        <v>6400.625</v>
      </c>
      <c r="CL90" s="191"/>
      <c r="CM90" s="191"/>
      <c r="CN90" s="178" t="n">
        <f aca="false">SUM(CJ90:CM90)</f>
        <v>6400.625</v>
      </c>
      <c r="CO90" s="191" t="n">
        <f aca="false">+CN90+CI90+CD90+BY90+BT90+BO90+BJ90+BE90+AZ90+AU90+AP90+AK90</f>
        <v>51205</v>
      </c>
      <c r="CP90" s="191" t="n">
        <f aca="false">S90</f>
        <v>51205</v>
      </c>
      <c r="CQ90" s="192" t="n">
        <f aca="false">+CO90/CP90</f>
        <v>1</v>
      </c>
    </row>
    <row r="91" customFormat="false" ht="12.75" hidden="false" customHeight="false" outlineLevel="0" collapsed="false">
      <c r="A91" s="177" t="s">
        <v>280</v>
      </c>
      <c r="B91" s="178" t="s">
        <v>285</v>
      </c>
      <c r="C91" s="179" t="n">
        <v>442</v>
      </c>
      <c r="D91" s="180" t="s">
        <v>176</v>
      </c>
      <c r="E91" s="180"/>
      <c r="F91" s="181"/>
      <c r="G91" s="178"/>
      <c r="H91" s="181"/>
      <c r="I91" s="181"/>
      <c r="J91" s="193" t="n">
        <f aca="false">K91*J$8</f>
        <v>486.2</v>
      </c>
      <c r="K91" s="193" t="n">
        <f aca="false">442*CMF</f>
        <v>486.2</v>
      </c>
      <c r="L91" s="181" t="n">
        <f aca="false">+K91/K$11</f>
        <v>0.296825396825397</v>
      </c>
      <c r="M91" s="193" t="n">
        <f aca="false">N91*N$8</f>
        <v>35006.4</v>
      </c>
      <c r="N91" s="193" t="n">
        <f aca="false">442*CMF</f>
        <v>486.2</v>
      </c>
      <c r="O91" s="181" t="n">
        <f aca="false">+N91/N$11</f>
        <v>0.478543307086614</v>
      </c>
      <c r="P91" s="193" t="n">
        <f aca="false">Q91*Q$8</f>
        <v>29658.2</v>
      </c>
      <c r="Q91" s="193" t="n">
        <f aca="false">442*CMF</f>
        <v>486.2</v>
      </c>
      <c r="R91" s="181" t="n">
        <f aca="false">+Q91/Q$11</f>
        <v>0.400824402308327</v>
      </c>
      <c r="S91" s="194" t="n">
        <f aca="false">+P91+M91</f>
        <v>64664.6</v>
      </c>
      <c r="T91" s="195" t="n">
        <f aca="false">+S91/S$8</f>
        <v>486.2</v>
      </c>
      <c r="U91" s="181" t="n">
        <f aca="false">+S91/U$8</f>
        <v>0.439461755411329</v>
      </c>
      <c r="V91" s="185" t="n">
        <f aca="false">+S91/TotalCost</f>
        <v>0.00508248499037945</v>
      </c>
      <c r="W91" s="186" t="n">
        <f aca="false">+$S91/TotalValue</f>
        <v>0.00417190980661398</v>
      </c>
      <c r="X91" s="187"/>
      <c r="Y91" s="188"/>
      <c r="Z91" s="186"/>
      <c r="AA91" s="186"/>
      <c r="AB91" s="196"/>
      <c r="AC91" s="126"/>
      <c r="AD91" s="186"/>
      <c r="AE91" s="127"/>
      <c r="AF91" s="190" t="s">
        <v>285</v>
      </c>
      <c r="AG91" s="190"/>
      <c r="AH91" s="178"/>
      <c r="AI91" s="178"/>
      <c r="AJ91" s="178"/>
      <c r="AK91" s="178" t="n">
        <f aca="false">SUM(AG91:AJ91)</f>
        <v>0</v>
      </c>
      <c r="AL91" s="178"/>
      <c r="AM91" s="178"/>
      <c r="AN91" s="178"/>
      <c r="AO91" s="178" t="n">
        <f aca="false">$S91/10</f>
        <v>6466.46</v>
      </c>
      <c r="AP91" s="178" t="n">
        <f aca="false">SUM(AL91:AO91)</f>
        <v>6466.46</v>
      </c>
      <c r="AQ91" s="178"/>
      <c r="AR91" s="178"/>
      <c r="AS91" s="178"/>
      <c r="AT91" s="178" t="n">
        <f aca="false">$S91/10</f>
        <v>6466.46</v>
      </c>
      <c r="AU91" s="178" t="n">
        <f aca="false">SUM(AQ91:AT91)</f>
        <v>6466.46</v>
      </c>
      <c r="AV91" s="178"/>
      <c r="AW91" s="191"/>
      <c r="AX91" s="191"/>
      <c r="AY91" s="178" t="n">
        <f aca="false">$S91/10</f>
        <v>6466.46</v>
      </c>
      <c r="AZ91" s="178" t="n">
        <f aca="false">SUM(AV91:AY91)</f>
        <v>6466.46</v>
      </c>
      <c r="BA91" s="178"/>
      <c r="BB91" s="178"/>
      <c r="BC91" s="178"/>
      <c r="BD91" s="178" t="n">
        <f aca="false">$S91/10</f>
        <v>6466.46</v>
      </c>
      <c r="BE91" s="178" t="n">
        <f aca="false">SUM(BA91:BD91)</f>
        <v>6466.46</v>
      </c>
      <c r="BF91" s="191"/>
      <c r="BG91" s="191"/>
      <c r="BH91" s="191"/>
      <c r="BI91" s="178" t="n">
        <f aca="false">$S91/10</f>
        <v>6466.46</v>
      </c>
      <c r="BJ91" s="178" t="n">
        <f aca="false">SUM(BF91:BI91)</f>
        <v>6466.46</v>
      </c>
      <c r="BK91" s="178"/>
      <c r="BL91" s="178"/>
      <c r="BM91" s="178"/>
      <c r="BN91" s="178" t="n">
        <f aca="false">$S91/10</f>
        <v>6466.46</v>
      </c>
      <c r="BO91" s="178" t="n">
        <f aca="false">SUM(BK91:BN91)</f>
        <v>6466.46</v>
      </c>
      <c r="BP91" s="178"/>
      <c r="BQ91" s="191"/>
      <c r="BR91" s="191"/>
      <c r="BS91" s="178" t="n">
        <f aca="false">$S91/10</f>
        <v>6466.46</v>
      </c>
      <c r="BT91" s="178" t="n">
        <f aca="false">SUM(BP91:BS91)</f>
        <v>6466.46</v>
      </c>
      <c r="BU91" s="178"/>
      <c r="BV91" s="178"/>
      <c r="BW91" s="178"/>
      <c r="BX91" s="178" t="n">
        <f aca="false">$S91/10</f>
        <v>6466.46</v>
      </c>
      <c r="BY91" s="178" t="n">
        <f aca="false">SUM(BU91:BX91)</f>
        <v>6466.46</v>
      </c>
      <c r="BZ91" s="191"/>
      <c r="CA91" s="191"/>
      <c r="CB91" s="191"/>
      <c r="CC91" s="178" t="n">
        <f aca="false">$S91/10</f>
        <v>6466.46</v>
      </c>
      <c r="CD91" s="178" t="n">
        <f aca="false">SUM(BZ91:CC91)</f>
        <v>6466.46</v>
      </c>
      <c r="CE91" s="191"/>
      <c r="CF91" s="191"/>
      <c r="CG91" s="191"/>
      <c r="CH91" s="178" t="n">
        <f aca="false">$S91/10</f>
        <v>6466.46</v>
      </c>
      <c r="CI91" s="178" t="n">
        <f aca="false">SUM(CE91:CH91)</f>
        <v>6466.46</v>
      </c>
      <c r="CJ91" s="191"/>
      <c r="CK91" s="191"/>
      <c r="CL91" s="191"/>
      <c r="CM91" s="191"/>
      <c r="CN91" s="178" t="n">
        <f aca="false">SUM(CJ91:CM91)</f>
        <v>0</v>
      </c>
      <c r="CO91" s="191" t="n">
        <f aca="false">+CN91+CI91+CD91+BY91+BT91+BO91+BJ91+BE91+AZ91+AU91+AP91+AK91</f>
        <v>64664.6</v>
      </c>
      <c r="CP91" s="191" t="n">
        <f aca="false">S91</f>
        <v>64664.6</v>
      </c>
      <c r="CQ91" s="192" t="n">
        <f aca="false">+CO91/CP91</f>
        <v>1</v>
      </c>
    </row>
    <row r="92" customFormat="false" ht="12.75" hidden="false" customHeight="false" outlineLevel="0" collapsed="false">
      <c r="A92" s="177" t="s">
        <v>280</v>
      </c>
      <c r="B92" s="178" t="s">
        <v>286</v>
      </c>
      <c r="C92" s="179" t="n">
        <v>70</v>
      </c>
      <c r="D92" s="180" t="s">
        <v>282</v>
      </c>
      <c r="E92" s="180"/>
      <c r="F92" s="181"/>
      <c r="G92" s="178"/>
      <c r="H92" s="181"/>
      <c r="I92" s="181"/>
      <c r="J92" s="193" t="n">
        <f aca="false">K92*J$8</f>
        <v>37.6026315789474</v>
      </c>
      <c r="K92" s="193" t="n">
        <f aca="false">((70*4.33*15)*CMF)/SM134Units</f>
        <v>37.6026315789474</v>
      </c>
      <c r="L92" s="181" t="n">
        <f aca="false">+K92/K$11</f>
        <v>0.0229564295353769</v>
      </c>
      <c r="M92" s="193" t="n">
        <f aca="false">N92*N$8</f>
        <v>4001.68421052632</v>
      </c>
      <c r="N92" s="193" t="n">
        <f aca="false">((70*8*12)*CMF)/SM134Units</f>
        <v>55.5789473684211</v>
      </c>
      <c r="O92" s="181" t="n">
        <f aca="false">+N92/N$11</f>
        <v>0.0547036883547451</v>
      </c>
      <c r="P92" s="193" t="n">
        <f aca="false">Q92*Q$8</f>
        <v>3390.31578947368</v>
      </c>
      <c r="Q92" s="193" t="n">
        <f aca="false">((70*8*12)*CMF)/SM134Units</f>
        <v>55.5789473684211</v>
      </c>
      <c r="R92" s="181" t="n">
        <f aca="false">+Q92/Q$11</f>
        <v>0.0458194125048813</v>
      </c>
      <c r="S92" s="194" t="n">
        <f aca="false">+P92+M92</f>
        <v>7392</v>
      </c>
      <c r="T92" s="195" t="n">
        <f aca="false">+S92/S$8</f>
        <v>55.5789473684211</v>
      </c>
      <c r="U92" s="181" t="n">
        <f aca="false">+S92/U$8</f>
        <v>0.050236161609297</v>
      </c>
      <c r="V92" s="185" t="n">
        <f aca="false">+S92/TotalCost</f>
        <v>0.000580993759319394</v>
      </c>
      <c r="W92" s="186" t="n">
        <f aca="false">+$S92/TotalValue</f>
        <v>0.000476903240575068</v>
      </c>
      <c r="X92" s="187"/>
      <c r="Y92" s="188"/>
      <c r="Z92" s="186"/>
      <c r="AA92" s="186"/>
      <c r="AB92" s="196"/>
      <c r="AC92" s="126"/>
      <c r="AD92" s="186"/>
      <c r="AE92" s="127"/>
      <c r="AF92" s="190" t="s">
        <v>286</v>
      </c>
      <c r="AG92" s="178" t="n">
        <f aca="false">$S92/12</f>
        <v>616</v>
      </c>
      <c r="AH92" s="178"/>
      <c r="AI92" s="178"/>
      <c r="AJ92" s="178"/>
      <c r="AK92" s="178" t="n">
        <f aca="false">SUM(AG92:AJ92)</f>
        <v>616</v>
      </c>
      <c r="AL92" s="178" t="n">
        <f aca="false">$S92/12</f>
        <v>616</v>
      </c>
      <c r="AM92" s="178"/>
      <c r="AN92" s="178"/>
      <c r="AO92" s="178"/>
      <c r="AP92" s="178" t="n">
        <f aca="false">SUM(AL92:AO92)</f>
        <v>616</v>
      </c>
      <c r="AQ92" s="178" t="n">
        <f aca="false">$S92/12</f>
        <v>616</v>
      </c>
      <c r="AR92" s="178"/>
      <c r="AS92" s="191"/>
      <c r="AT92" s="191"/>
      <c r="AU92" s="178" t="n">
        <f aca="false">SUM(AQ92:AT92)</f>
        <v>616</v>
      </c>
      <c r="AV92" s="178" t="n">
        <f aca="false">$S92/12</f>
        <v>616</v>
      </c>
      <c r="AW92" s="178"/>
      <c r="AX92" s="178"/>
      <c r="AY92" s="178"/>
      <c r="AZ92" s="178" t="n">
        <f aca="false">SUM(AV92:AY92)</f>
        <v>616</v>
      </c>
      <c r="BA92" s="178" t="n">
        <f aca="false">$S92/12</f>
        <v>616</v>
      </c>
      <c r="BB92" s="191"/>
      <c r="BC92" s="191"/>
      <c r="BD92" s="191"/>
      <c r="BE92" s="178" t="n">
        <f aca="false">SUM(BA92:BD92)</f>
        <v>616</v>
      </c>
      <c r="BF92" s="178" t="n">
        <f aca="false">$S92/12</f>
        <v>616</v>
      </c>
      <c r="BG92" s="178"/>
      <c r="BH92" s="178"/>
      <c r="BI92" s="178"/>
      <c r="BJ92" s="178" t="n">
        <f aca="false">SUM(BF92:BI92)</f>
        <v>616</v>
      </c>
      <c r="BK92" s="178" t="n">
        <f aca="false">$S92/12</f>
        <v>616</v>
      </c>
      <c r="BL92" s="178"/>
      <c r="BM92" s="191"/>
      <c r="BN92" s="191"/>
      <c r="BO92" s="178" t="n">
        <f aca="false">SUM(BK92:BN92)</f>
        <v>616</v>
      </c>
      <c r="BP92" s="178" t="n">
        <f aca="false">$S92/12</f>
        <v>616</v>
      </c>
      <c r="BQ92" s="178"/>
      <c r="BR92" s="178"/>
      <c r="BS92" s="178"/>
      <c r="BT92" s="178" t="n">
        <f aca="false">SUM(BP92:BS92)</f>
        <v>616</v>
      </c>
      <c r="BU92" s="178" t="n">
        <f aca="false">$S92/12</f>
        <v>616</v>
      </c>
      <c r="BV92" s="191"/>
      <c r="BW92" s="191"/>
      <c r="BX92" s="191"/>
      <c r="BY92" s="178" t="n">
        <f aca="false">SUM(BU92:BX92)</f>
        <v>616</v>
      </c>
      <c r="BZ92" s="178" t="n">
        <f aca="false">$S92/12</f>
        <v>616</v>
      </c>
      <c r="CA92" s="191"/>
      <c r="CB92" s="191"/>
      <c r="CC92" s="191"/>
      <c r="CD92" s="178" t="n">
        <f aca="false">SUM(BZ92:CC92)</f>
        <v>616</v>
      </c>
      <c r="CE92" s="178" t="n">
        <f aca="false">$S92/12</f>
        <v>616</v>
      </c>
      <c r="CF92" s="191"/>
      <c r="CG92" s="191"/>
      <c r="CH92" s="191"/>
      <c r="CI92" s="178" t="n">
        <f aca="false">SUM(CE92:CH92)</f>
        <v>616</v>
      </c>
      <c r="CJ92" s="178" t="n">
        <f aca="false">$S92/12</f>
        <v>616</v>
      </c>
      <c r="CK92" s="191"/>
      <c r="CL92" s="191"/>
      <c r="CM92" s="191"/>
      <c r="CN92" s="178" t="n">
        <f aca="false">SUM(CJ92:CM92)</f>
        <v>616</v>
      </c>
      <c r="CO92" s="191" t="n">
        <f aca="false">+CN92+CI92+CD92+BY92+BT92+BO92+BJ92+BE92+AZ92+AU92+AP92+AK92</f>
        <v>7392</v>
      </c>
      <c r="CP92" s="191" t="n">
        <f aca="false">S92</f>
        <v>7392</v>
      </c>
      <c r="CQ92" s="192" t="n">
        <f aca="false">+CO92/CP92</f>
        <v>1</v>
      </c>
    </row>
    <row r="93" customFormat="false" ht="12.75" hidden="false" customHeight="false" outlineLevel="0" collapsed="false">
      <c r="A93" s="177" t="s">
        <v>171</v>
      </c>
      <c r="B93" s="213" t="s">
        <v>287</v>
      </c>
      <c r="C93" s="179" t="n">
        <v>1000</v>
      </c>
      <c r="D93" s="180" t="s">
        <v>51</v>
      </c>
      <c r="E93" s="180"/>
      <c r="F93" s="181"/>
      <c r="G93" s="178"/>
      <c r="H93" s="181"/>
      <c r="I93" s="181"/>
      <c r="J93" s="193" t="n">
        <f aca="false">K93*J$8</f>
        <v>1100</v>
      </c>
      <c r="K93" s="193" t="n">
        <f aca="false">1000*CMF</f>
        <v>1100</v>
      </c>
      <c r="L93" s="181" t="n">
        <f aca="false">+K93/K$11</f>
        <v>0.671550671550672</v>
      </c>
      <c r="M93" s="193" t="n">
        <f aca="false">N93*N$8</f>
        <v>79200</v>
      </c>
      <c r="N93" s="193" t="n">
        <f aca="false">1000*CMF</f>
        <v>1100</v>
      </c>
      <c r="O93" s="181" t="n">
        <f aca="false">+N93/N$11</f>
        <v>1.08267716535433</v>
      </c>
      <c r="P93" s="193" t="n">
        <f aca="false">Q93*Q$8</f>
        <v>100650</v>
      </c>
      <c r="Q93" s="193" t="n">
        <f aca="false">1500*CMF</f>
        <v>1650</v>
      </c>
      <c r="R93" s="181" t="n">
        <f aca="false">+Q93/Q$11</f>
        <v>1.36026380873866</v>
      </c>
      <c r="S93" s="194" t="n">
        <f aca="false">+P93+M93</f>
        <v>179850</v>
      </c>
      <c r="T93" s="195" t="n">
        <f aca="false">+S93/S$8</f>
        <v>1352.25563909774</v>
      </c>
      <c r="U93" s="181" t="n">
        <f aca="false">+S93/U$8</f>
        <v>1.22226375344048</v>
      </c>
      <c r="V93" s="185" t="n">
        <f aca="false">+S93/TotalCost</f>
        <v>0.014135785662012</v>
      </c>
      <c r="W93" s="186" t="n">
        <f aca="false">+$S93/TotalValue</f>
        <v>0.0116032261657773</v>
      </c>
      <c r="X93" s="187"/>
      <c r="Y93" s="188"/>
      <c r="Z93" s="186"/>
      <c r="AA93" s="186"/>
      <c r="AB93" s="196"/>
      <c r="AC93" s="126"/>
      <c r="AD93" s="186"/>
      <c r="AE93" s="127"/>
      <c r="AF93" s="214" t="s">
        <v>287</v>
      </c>
      <c r="AG93" s="178" t="n">
        <f aca="false">$S93/12</f>
        <v>14987.5</v>
      </c>
      <c r="AH93" s="178"/>
      <c r="AI93" s="178"/>
      <c r="AJ93" s="178"/>
      <c r="AK93" s="178" t="n">
        <f aca="false">SUM(AG93:AJ93)</f>
        <v>14987.5</v>
      </c>
      <c r="AL93" s="178" t="n">
        <f aca="false">$S93/12</f>
        <v>14987.5</v>
      </c>
      <c r="AM93" s="178"/>
      <c r="AN93" s="178"/>
      <c r="AO93" s="178"/>
      <c r="AP93" s="178" t="n">
        <f aca="false">SUM(AL93:AO93)</f>
        <v>14987.5</v>
      </c>
      <c r="AQ93" s="178" t="n">
        <f aca="false">$S93/12</f>
        <v>14987.5</v>
      </c>
      <c r="AR93" s="178"/>
      <c r="AS93" s="191"/>
      <c r="AT93" s="191"/>
      <c r="AU93" s="178" t="n">
        <f aca="false">SUM(AQ93:AT93)</f>
        <v>14987.5</v>
      </c>
      <c r="AV93" s="178" t="n">
        <f aca="false">$S93/12</f>
        <v>14987.5</v>
      </c>
      <c r="AW93" s="178"/>
      <c r="AX93" s="178"/>
      <c r="AY93" s="178"/>
      <c r="AZ93" s="178" t="n">
        <f aca="false">SUM(AV93:AY93)</f>
        <v>14987.5</v>
      </c>
      <c r="BA93" s="178" t="n">
        <f aca="false">$S93/12</f>
        <v>14987.5</v>
      </c>
      <c r="BB93" s="191"/>
      <c r="BC93" s="191"/>
      <c r="BD93" s="191"/>
      <c r="BE93" s="178" t="n">
        <f aca="false">SUM(BA93:BD93)</f>
        <v>14987.5</v>
      </c>
      <c r="BF93" s="178" t="n">
        <f aca="false">$S93/12</f>
        <v>14987.5</v>
      </c>
      <c r="BG93" s="178"/>
      <c r="BH93" s="178"/>
      <c r="BI93" s="178"/>
      <c r="BJ93" s="178" t="n">
        <f aca="false">SUM(BF93:BI93)</f>
        <v>14987.5</v>
      </c>
      <c r="BK93" s="178" t="n">
        <f aca="false">$S93/12</f>
        <v>14987.5</v>
      </c>
      <c r="BL93" s="178"/>
      <c r="BM93" s="191"/>
      <c r="BN93" s="191"/>
      <c r="BO93" s="178" t="n">
        <f aca="false">SUM(BK93:BN93)</f>
        <v>14987.5</v>
      </c>
      <c r="BP93" s="178" t="n">
        <f aca="false">$S93/12</f>
        <v>14987.5</v>
      </c>
      <c r="BQ93" s="178"/>
      <c r="BR93" s="178"/>
      <c r="BS93" s="178"/>
      <c r="BT93" s="178" t="n">
        <f aca="false">SUM(BP93:BS93)</f>
        <v>14987.5</v>
      </c>
      <c r="BU93" s="178" t="n">
        <f aca="false">$S93/12</f>
        <v>14987.5</v>
      </c>
      <c r="BV93" s="191"/>
      <c r="BW93" s="191"/>
      <c r="BX93" s="191"/>
      <c r="BY93" s="178" t="n">
        <f aca="false">SUM(BU93:BX93)</f>
        <v>14987.5</v>
      </c>
      <c r="BZ93" s="178" t="n">
        <f aca="false">$S93/12</f>
        <v>14987.5</v>
      </c>
      <c r="CA93" s="191"/>
      <c r="CB93" s="191"/>
      <c r="CC93" s="191"/>
      <c r="CD93" s="178" t="n">
        <f aca="false">SUM(BZ93:CC93)</f>
        <v>14987.5</v>
      </c>
      <c r="CE93" s="178" t="n">
        <f aca="false">$S93/12</f>
        <v>14987.5</v>
      </c>
      <c r="CF93" s="191"/>
      <c r="CG93" s="191"/>
      <c r="CH93" s="191"/>
      <c r="CI93" s="178" t="n">
        <f aca="false">SUM(CE93:CH93)</f>
        <v>14987.5</v>
      </c>
      <c r="CJ93" s="178" t="n">
        <f aca="false">$S93/12</f>
        <v>14987.5</v>
      </c>
      <c r="CK93" s="191"/>
      <c r="CL93" s="191"/>
      <c r="CM93" s="191"/>
      <c r="CN93" s="178" t="n">
        <f aca="false">SUM(CJ93:CM93)</f>
        <v>14987.5</v>
      </c>
      <c r="CO93" s="191" t="n">
        <f aca="false">+CN93+CI93+CD93+BY93+BT93+BO93+BJ93+BE93+AZ93+AU93+AP93+AK93</f>
        <v>179850</v>
      </c>
      <c r="CP93" s="191" t="n">
        <f aca="false">S93</f>
        <v>179850</v>
      </c>
      <c r="CQ93" s="192" t="n">
        <f aca="false">+CO93/CP93</f>
        <v>1</v>
      </c>
    </row>
    <row r="94" customFormat="false" ht="12.75" hidden="false" customHeight="false" outlineLevel="0" collapsed="false">
      <c r="A94" s="177" t="s">
        <v>288</v>
      </c>
      <c r="B94" s="213" t="s">
        <v>289</v>
      </c>
      <c r="C94" s="193" t="n">
        <f aca="false">(1000+500+500+500)*4.33</f>
        <v>10825</v>
      </c>
      <c r="D94" s="180" t="s">
        <v>282</v>
      </c>
      <c r="E94" s="178"/>
      <c r="F94" s="178"/>
      <c r="G94" s="178"/>
      <c r="H94" s="178"/>
      <c r="I94" s="181"/>
      <c r="J94" s="193" t="n">
        <f aca="false">K94*J$8</f>
        <v>1342.95112781955</v>
      </c>
      <c r="K94" s="193" t="n">
        <f aca="false">(((1000+500+500+500)*4.33*15)*CMF)/SM134Units</f>
        <v>1342.95112781955</v>
      </c>
      <c r="L94" s="181" t="n">
        <f aca="false">+K94/K$11</f>
        <v>0.819872483406318</v>
      </c>
      <c r="M94" s="193" t="n">
        <f aca="false">N94*N$8</f>
        <v>96692.4812030075</v>
      </c>
      <c r="N94" s="193" t="n">
        <f aca="false">(((1000+500+500+500)*4.33*15)*CMF)/SM134Units</f>
        <v>1342.95112781955</v>
      </c>
      <c r="O94" s="181" t="n">
        <f aca="false">+N94/N$11</f>
        <v>1.32180229116097</v>
      </c>
      <c r="P94" s="193" t="n">
        <f aca="false">Q94*Q$8</f>
        <v>81920.0187969925</v>
      </c>
      <c r="Q94" s="193" t="n">
        <f aca="false">(((1000+500+500+500)*4.33*15)*CMF)/SM134Units</f>
        <v>1342.95112781955</v>
      </c>
      <c r="R94" s="181" t="n">
        <f aca="false">+Q94/Q$11</f>
        <v>1.10713200974406</v>
      </c>
      <c r="S94" s="222" t="n">
        <f aca="false">+P94+M94</f>
        <v>178612.5</v>
      </c>
      <c r="T94" s="195" t="n">
        <f aca="false">+S94/S$8</f>
        <v>1342.95112781955</v>
      </c>
      <c r="U94" s="181" t="n">
        <f aca="false">+S94/U$8</f>
        <v>1.2138536817425</v>
      </c>
      <c r="V94" s="223" t="n">
        <f aca="false">+S94/TotalCost</f>
        <v>0.0140385210817688</v>
      </c>
      <c r="W94" s="223" t="n">
        <f aca="false">+$S94/TotalValue</f>
        <v>0.0115233874536275</v>
      </c>
      <c r="X94" s="187"/>
      <c r="Y94" s="224"/>
      <c r="Z94" s="185"/>
      <c r="AA94" s="185"/>
      <c r="AB94" s="225"/>
      <c r="AC94" s="226"/>
      <c r="AD94" s="186"/>
      <c r="AE94" s="227"/>
      <c r="AF94" s="214" t="s">
        <v>289</v>
      </c>
      <c r="AG94" s="178" t="n">
        <f aca="false">$S94/12</f>
        <v>14884.375</v>
      </c>
      <c r="AH94" s="178"/>
      <c r="AI94" s="178"/>
      <c r="AJ94" s="178"/>
      <c r="AK94" s="178" t="n">
        <f aca="false">SUM(AG94:AJ94)</f>
        <v>14884.375</v>
      </c>
      <c r="AL94" s="178" t="n">
        <f aca="false">$S94/12</f>
        <v>14884.375</v>
      </c>
      <c r="AM94" s="178"/>
      <c r="AN94" s="178"/>
      <c r="AO94" s="178"/>
      <c r="AP94" s="178" t="n">
        <f aca="false">SUM(AL94:AO94)</f>
        <v>14884.375</v>
      </c>
      <c r="AQ94" s="178" t="n">
        <f aca="false">$S94/12</f>
        <v>14884.375</v>
      </c>
      <c r="AR94" s="178"/>
      <c r="AS94" s="191"/>
      <c r="AT94" s="191"/>
      <c r="AU94" s="178" t="n">
        <f aca="false">SUM(AQ94:AT94)</f>
        <v>14884.375</v>
      </c>
      <c r="AV94" s="178" t="n">
        <f aca="false">$S94/12</f>
        <v>14884.375</v>
      </c>
      <c r="AW94" s="178"/>
      <c r="AX94" s="178"/>
      <c r="AY94" s="178"/>
      <c r="AZ94" s="178" t="n">
        <f aca="false">SUM(AV94:AY94)</f>
        <v>14884.375</v>
      </c>
      <c r="BA94" s="178" t="n">
        <f aca="false">$S94/12</f>
        <v>14884.375</v>
      </c>
      <c r="BB94" s="191"/>
      <c r="BC94" s="191"/>
      <c r="BD94" s="191"/>
      <c r="BE94" s="178" t="n">
        <f aca="false">SUM(BA94:BD94)</f>
        <v>14884.375</v>
      </c>
      <c r="BF94" s="178" t="n">
        <f aca="false">$S94/12</f>
        <v>14884.375</v>
      </c>
      <c r="BG94" s="178"/>
      <c r="BH94" s="178"/>
      <c r="BI94" s="178"/>
      <c r="BJ94" s="178" t="n">
        <f aca="false">SUM(BF94:BI94)</f>
        <v>14884.375</v>
      </c>
      <c r="BK94" s="178" t="n">
        <f aca="false">$S94/12</f>
        <v>14884.375</v>
      </c>
      <c r="BL94" s="178"/>
      <c r="BM94" s="191"/>
      <c r="BN94" s="191"/>
      <c r="BO94" s="178" t="n">
        <f aca="false">SUM(BK94:BN94)</f>
        <v>14884.375</v>
      </c>
      <c r="BP94" s="178" t="n">
        <f aca="false">$S94/12</f>
        <v>14884.375</v>
      </c>
      <c r="BQ94" s="178"/>
      <c r="BR94" s="178"/>
      <c r="BS94" s="178"/>
      <c r="BT94" s="178" t="n">
        <f aca="false">SUM(BP94:BS94)</f>
        <v>14884.375</v>
      </c>
      <c r="BU94" s="178" t="n">
        <f aca="false">$S94/12</f>
        <v>14884.375</v>
      </c>
      <c r="BV94" s="191"/>
      <c r="BW94" s="191"/>
      <c r="BX94" s="191"/>
      <c r="BY94" s="178" t="n">
        <f aca="false">SUM(BU94:BX94)</f>
        <v>14884.375</v>
      </c>
      <c r="BZ94" s="178" t="n">
        <f aca="false">$S94/12</f>
        <v>14884.375</v>
      </c>
      <c r="CA94" s="191"/>
      <c r="CB94" s="191"/>
      <c r="CC94" s="191"/>
      <c r="CD94" s="178" t="n">
        <f aca="false">SUM(BZ94:CC94)</f>
        <v>14884.375</v>
      </c>
      <c r="CE94" s="178" t="n">
        <f aca="false">$S94/12</f>
        <v>14884.375</v>
      </c>
      <c r="CF94" s="191"/>
      <c r="CG94" s="191"/>
      <c r="CH94" s="191"/>
      <c r="CI94" s="178" t="n">
        <f aca="false">SUM(CE94:CH94)</f>
        <v>14884.375</v>
      </c>
      <c r="CJ94" s="178" t="n">
        <f aca="false">$S94/12</f>
        <v>14884.375</v>
      </c>
      <c r="CK94" s="191"/>
      <c r="CL94" s="191"/>
      <c r="CM94" s="191"/>
      <c r="CN94" s="178" t="n">
        <f aca="false">SUM(CJ94:CM94)</f>
        <v>14884.375</v>
      </c>
      <c r="CO94" s="191" t="n">
        <f aca="false">+CN94+CI94+CD94+BY94+BT94+BO94+BJ94+BE94+AZ94+AU94+AP94+AK94</f>
        <v>178612.5</v>
      </c>
      <c r="CP94" s="191" t="n">
        <f aca="false">S94</f>
        <v>178612.5</v>
      </c>
      <c r="CQ94" s="228" t="n">
        <f aca="false">+CO94/CP94</f>
        <v>1</v>
      </c>
    </row>
    <row r="95" customFormat="false" ht="13.5" hidden="false" customHeight="false" outlineLevel="0" collapsed="false">
      <c r="A95" s="229"/>
      <c r="B95" s="230" t="s">
        <v>290</v>
      </c>
      <c r="C95" s="178"/>
      <c r="D95" s="178"/>
      <c r="E95" s="178"/>
      <c r="F95" s="178"/>
      <c r="G95" s="178"/>
      <c r="H95" s="178"/>
      <c r="I95" s="231"/>
      <c r="J95" s="232" t="n">
        <f aca="false">K95*J$8</f>
        <v>83060.9133533378</v>
      </c>
      <c r="K95" s="232" t="n">
        <f aca="false">+SUM(K14:K94)</f>
        <v>83060.9133533378</v>
      </c>
      <c r="L95" s="233" t="n">
        <f aca="false">+K95/K$11</f>
        <v>50.708738310951</v>
      </c>
      <c r="M95" s="232" t="n">
        <f aca="false">N95*N$8</f>
        <v>3922192.83325716</v>
      </c>
      <c r="N95" s="232" t="n">
        <f aca="false">+SUM(N14:N94)</f>
        <v>54474.900461905</v>
      </c>
      <c r="O95" s="234" t="n">
        <f aca="false">+N95/N$11</f>
        <v>53.617028013686</v>
      </c>
      <c r="P95" s="232" t="n">
        <f aca="false">Q95*Q$8</f>
        <v>4007631.35937482</v>
      </c>
      <c r="Q95" s="232" t="n">
        <f aca="false">+SUM(Q14:Q94)</f>
        <v>65698.8747438495</v>
      </c>
      <c r="R95" s="234" t="n">
        <f aca="false">+Q95/Q$11</f>
        <v>54.1623039932807</v>
      </c>
      <c r="S95" s="194" t="n">
        <f aca="false">SUM(S14:S94)</f>
        <v>7929824.19263198</v>
      </c>
      <c r="T95" s="232" t="n">
        <f aca="false">+S95/S$8</f>
        <v>59622.738290466</v>
      </c>
      <c r="U95" s="234" t="n">
        <f aca="false">+S95/U$8</f>
        <v>53.8912242524855</v>
      </c>
      <c r="V95" s="235" t="n">
        <f aca="false">+S95/TotalCost</f>
        <v>0.623265471918173</v>
      </c>
      <c r="W95" s="236" t="n">
        <f aca="false">+$S95/TotalValue</f>
        <v>0.511601576658112</v>
      </c>
      <c r="X95" s="237"/>
      <c r="Y95" s="237"/>
      <c r="Z95" s="236"/>
      <c r="AA95" s="236"/>
      <c r="AB95" s="196"/>
      <c r="AC95" s="126"/>
      <c r="AD95" s="236"/>
      <c r="AE95" s="238"/>
      <c r="AF95" s="239" t="s">
        <v>290</v>
      </c>
      <c r="AG95" s="240" t="n">
        <f aca="false">+SUM(AG14:AG92)</f>
        <v>260679.944104478</v>
      </c>
      <c r="AH95" s="240" t="n">
        <f aca="false">+SUM(AH14:AH94)</f>
        <v>0</v>
      </c>
      <c r="AI95" s="240" t="n">
        <f aca="false">+SUM(AI14:AI94)</f>
        <v>0</v>
      </c>
      <c r="AJ95" s="240" t="n">
        <f aca="false">+SUM(AJ14:AJ94)</f>
        <v>0</v>
      </c>
      <c r="AK95" s="240" t="n">
        <f aca="false">+SUM(AK14:AK94)</f>
        <v>290551.819104478</v>
      </c>
      <c r="AL95" s="240" t="n">
        <f aca="false">+SUM(AL14:AL94)</f>
        <v>34298.275</v>
      </c>
      <c r="AM95" s="240" t="n">
        <f aca="false">+SUM(AM14:AM94)</f>
        <v>11000</v>
      </c>
      <c r="AN95" s="240" t="n">
        <f aca="false">+SUM(AN14:AN94)</f>
        <v>23810.325</v>
      </c>
      <c r="AO95" s="240" t="n">
        <f aca="false">+SUM(AO14:AO94)</f>
        <v>41136.4765625</v>
      </c>
      <c r="AP95" s="240" t="n">
        <f aca="false">+SUM(AP14:AP94)</f>
        <v>110245.0765625</v>
      </c>
      <c r="AQ95" s="240" t="n">
        <f aca="false">+SUM(AQ14:AQ94)</f>
        <v>34298.275</v>
      </c>
      <c r="AR95" s="240" t="n">
        <f aca="false">+SUM(AR14:AR94)</f>
        <v>97036.6890625</v>
      </c>
      <c r="AS95" s="240" t="n">
        <f aca="false">+SUM(AS14:AS94)</f>
        <v>98985.9014375</v>
      </c>
      <c r="AT95" s="240" t="n">
        <f aca="false">+SUM(AT14:AT94)</f>
        <v>133500.4055</v>
      </c>
      <c r="AU95" s="240" t="n">
        <f aca="false">+SUM(AU14:AU94)</f>
        <v>363821.271</v>
      </c>
      <c r="AV95" s="240" t="n">
        <f aca="false">+SUM(AV14:AV94)</f>
        <v>219718.753103438</v>
      </c>
      <c r="AW95" s="240" t="n">
        <f aca="false">+SUM(AW14:AW94)</f>
        <v>113961.2849375</v>
      </c>
      <c r="AX95" s="240" t="n">
        <f aca="false">+SUM(AX14:AX94)</f>
        <v>171584.82715</v>
      </c>
      <c r="AY95" s="240" t="n">
        <f aca="false">+SUM(AY14:AY94)</f>
        <v>287661.408103438</v>
      </c>
      <c r="AZ95" s="240" t="n">
        <f aca="false">+SUM(AZ14:AZ94)</f>
        <v>792926.273294375</v>
      </c>
      <c r="BA95" s="240" t="n">
        <f aca="false">+SUM(BA14:BA94)</f>
        <v>165457.1318125</v>
      </c>
      <c r="BB95" s="240" t="n">
        <f aca="false">+SUM(BB14:BB94)</f>
        <v>212252.026525</v>
      </c>
      <c r="BC95" s="240" t="n">
        <f aca="false">+SUM(BC14:BC94)</f>
        <v>370644.914353438</v>
      </c>
      <c r="BD95" s="240" t="n">
        <f aca="false">+SUM(BD14:BD94)</f>
        <v>169317.3233125</v>
      </c>
      <c r="BE95" s="240" t="n">
        <f aca="false">+SUM(BE14:BE94)</f>
        <v>917671.396003438</v>
      </c>
      <c r="BF95" s="240" t="n">
        <f aca="false">+SUM(BF14:BF94)</f>
        <v>350601.391525</v>
      </c>
      <c r="BG95" s="240" t="n">
        <f aca="false">+SUM(BG14:BG94)</f>
        <v>343331.123728438</v>
      </c>
      <c r="BH95" s="240" t="n">
        <f aca="false">+SUM(BH14:BH94)</f>
        <v>216431.9251875</v>
      </c>
      <c r="BI95" s="240" t="n">
        <f aca="false">+SUM(BI14:BI94)</f>
        <v>338271.76965</v>
      </c>
      <c r="BJ95" s="240" t="n">
        <f aca="false">+SUM(BJ14:BJ94)</f>
        <v>1248636.21009094</v>
      </c>
      <c r="BK95" s="240" t="n">
        <f aca="false">+SUM(BK14:BK94)</f>
        <v>384030.023728438</v>
      </c>
      <c r="BL95" s="240" t="n">
        <f aca="false">+SUM(BL14:BL94)</f>
        <v>216431.9251875</v>
      </c>
      <c r="BM95" s="240" t="n">
        <f aca="false">+SUM(BM14:BM94)</f>
        <v>330517.86965</v>
      </c>
      <c r="BN95" s="240" t="n">
        <f aca="false">+SUM(BN14:BN94)</f>
        <v>357485.648728438</v>
      </c>
      <c r="BO95" s="240" t="n">
        <f aca="false">+SUM(BO14:BO94)</f>
        <v>1288465.46729438</v>
      </c>
      <c r="BP95" s="240" t="n">
        <f aca="false">+SUM(BP14:BP94)</f>
        <v>250730.2001875</v>
      </c>
      <c r="BQ95" s="240" t="n">
        <f aca="false">+SUM(BQ14:BQ94)</f>
        <v>330517.86965</v>
      </c>
      <c r="BR95" s="240" t="n">
        <f aca="false">+SUM(BR14:BR94)</f>
        <v>325921.423728438</v>
      </c>
      <c r="BS95" s="240" t="n">
        <f aca="false">+SUM(BS14:BS94)</f>
        <v>190803.248625</v>
      </c>
      <c r="BT95" s="240" t="n">
        <f aca="false">+SUM(BT14:BT94)</f>
        <v>1097972.74219094</v>
      </c>
      <c r="BU95" s="240" t="n">
        <f aca="false">+SUM(BU14:BU94)</f>
        <v>364816.14465</v>
      </c>
      <c r="BV95" s="240" t="n">
        <f aca="false">+SUM(BV14:BV94)</f>
        <v>252695.059665938</v>
      </c>
      <c r="BW95" s="240" t="n">
        <f aca="false">+SUM(BW14:BW94)</f>
        <v>117446.02375</v>
      </c>
      <c r="BX95" s="240" t="n">
        <f aca="false">+SUM(BX14:BX94)</f>
        <v>212525.26415</v>
      </c>
      <c r="BY95" s="240" t="n">
        <f aca="false">+SUM(BY14:BY94)</f>
        <v>947482.492215938</v>
      </c>
      <c r="BZ95" s="240" t="n">
        <f aca="false">+SUM(BZ14:BZ94)</f>
        <v>198609.545625</v>
      </c>
      <c r="CA95" s="240" t="n">
        <f aca="false">+SUM(CA14:CA94)</f>
        <v>102470.64025</v>
      </c>
      <c r="CB95" s="240" t="n">
        <f aca="false">+SUM(CB14:CB94)</f>
        <v>158933.0425</v>
      </c>
      <c r="CC95" s="240" t="n">
        <f aca="false">+SUM(CC14:CC94)</f>
        <v>104891.93125</v>
      </c>
      <c r="CD95" s="240" t="n">
        <f aca="false">+SUM(CD14:CD94)</f>
        <v>564905.159625</v>
      </c>
      <c r="CE95" s="240" t="n">
        <f aca="false">+SUM(CE14:CE94)</f>
        <v>92257.55275</v>
      </c>
      <c r="CF95" s="240" t="n">
        <f aca="false">+SUM(CF14:CF94)</f>
        <v>118265.843125</v>
      </c>
      <c r="CG95" s="240" t="n">
        <f aca="false">+SUM(CG14:CG94)</f>
        <v>6400.625</v>
      </c>
      <c r="CH95" s="240" t="n">
        <f aca="false">+SUM(CH14:CH94)</f>
        <v>35308.61125</v>
      </c>
      <c r="CI95" s="240" t="n">
        <f aca="false">+SUM(CI14:CI94)</f>
        <v>252232.632125</v>
      </c>
      <c r="CJ95" s="240" t="n">
        <f aca="false">+SUM(CJ14:CJ94)</f>
        <v>48513.028125</v>
      </c>
      <c r="CK95" s="240" t="n">
        <f aca="false">+SUM(CK14:CK94)</f>
        <v>6400.625</v>
      </c>
      <c r="CL95" s="240" t="n">
        <f aca="false">+SUM(CL14:CL94)</f>
        <v>0</v>
      </c>
      <c r="CM95" s="240" t="n">
        <f aca="false">+SUM(CM14:CM94)</f>
        <v>0</v>
      </c>
      <c r="CN95" s="240" t="n">
        <f aca="false">+SUM(CN14:CN94)</f>
        <v>54913.653125</v>
      </c>
      <c r="CO95" s="240" t="n">
        <f aca="false">+SUM(CO14:CO94)</f>
        <v>7929824.19263198</v>
      </c>
      <c r="CP95" s="240" t="n">
        <f aca="false">+SUM(CP14:CP94)</f>
        <v>7929824.19263198</v>
      </c>
      <c r="CQ95" s="192" t="n">
        <f aca="false">+CO95/CP95</f>
        <v>1</v>
      </c>
    </row>
    <row r="96" customFormat="false" ht="13.5" hidden="false" customHeight="false" outlineLevel="0" collapsed="false">
      <c r="A96" s="177"/>
      <c r="B96" s="178"/>
      <c r="C96" s="241" t="s">
        <v>176</v>
      </c>
      <c r="D96" s="241" t="s">
        <v>291</v>
      </c>
      <c r="E96" s="241" t="s">
        <v>292</v>
      </c>
      <c r="F96" s="241" t="s">
        <v>58</v>
      </c>
      <c r="G96" s="241" t="s">
        <v>293</v>
      </c>
      <c r="H96" s="178"/>
      <c r="I96" s="178"/>
      <c r="J96" s="178"/>
      <c r="K96" s="178"/>
      <c r="L96" s="178"/>
      <c r="M96" s="178"/>
      <c r="N96" s="178"/>
      <c r="O96" s="242"/>
      <c r="P96" s="178"/>
      <c r="Q96" s="178"/>
      <c r="R96" s="178"/>
      <c r="S96" s="202"/>
      <c r="U96" s="178"/>
      <c r="V96" s="186"/>
      <c r="W96" s="186"/>
      <c r="X96" s="186"/>
      <c r="Y96" s="186"/>
      <c r="Z96" s="186"/>
      <c r="AA96" s="186"/>
      <c r="AB96" s="186"/>
      <c r="AC96" s="126"/>
      <c r="AD96" s="186"/>
      <c r="AE96" s="127"/>
      <c r="AF96" s="190"/>
      <c r="AG96" s="190"/>
      <c r="AH96" s="190"/>
      <c r="AI96" s="190"/>
      <c r="AJ96" s="243"/>
      <c r="AK96" s="178"/>
      <c r="AL96" s="190"/>
      <c r="AM96" s="191"/>
      <c r="AN96" s="191"/>
      <c r="AO96" s="191"/>
      <c r="AP96" s="178"/>
      <c r="AQ96" s="191"/>
      <c r="AR96" s="191"/>
      <c r="AS96" s="191"/>
      <c r="AT96" s="191"/>
      <c r="AU96" s="178"/>
      <c r="AV96" s="191"/>
      <c r="AW96" s="191"/>
      <c r="AX96" s="191"/>
      <c r="AY96" s="191"/>
      <c r="AZ96" s="178"/>
      <c r="BA96" s="191"/>
      <c r="BB96" s="191"/>
      <c r="BC96" s="191"/>
      <c r="BD96" s="191"/>
      <c r="BE96" s="178"/>
      <c r="BF96" s="191"/>
      <c r="BG96" s="191"/>
      <c r="BH96" s="191"/>
      <c r="BI96" s="191"/>
      <c r="BJ96" s="178"/>
      <c r="BK96" s="191"/>
      <c r="BL96" s="191"/>
      <c r="BM96" s="191"/>
      <c r="BN96" s="191"/>
      <c r="BO96" s="178"/>
      <c r="BP96" s="191"/>
      <c r="BQ96" s="191"/>
      <c r="BR96" s="191"/>
      <c r="BS96" s="191"/>
      <c r="BT96" s="178"/>
      <c r="BU96" s="191"/>
      <c r="BV96" s="191"/>
      <c r="BW96" s="191"/>
      <c r="BX96" s="191"/>
      <c r="BY96" s="178"/>
      <c r="BZ96" s="191"/>
      <c r="CA96" s="191"/>
      <c r="CB96" s="191"/>
      <c r="CC96" s="191"/>
      <c r="CD96" s="178"/>
      <c r="CE96" s="191"/>
      <c r="CF96" s="191"/>
      <c r="CG96" s="191"/>
      <c r="CH96" s="191"/>
      <c r="CI96" s="178"/>
      <c r="CJ96" s="191"/>
      <c r="CK96" s="191"/>
      <c r="CL96" s="191"/>
      <c r="CM96" s="191"/>
      <c r="CN96" s="178"/>
      <c r="CO96" s="191"/>
      <c r="CP96" s="191"/>
      <c r="CQ96" s="192"/>
    </row>
    <row r="97" customFormat="false" ht="12.75" hidden="false" customHeight="false" outlineLevel="0" collapsed="false">
      <c r="A97" s="177"/>
      <c r="B97" s="213" t="s">
        <v>294</v>
      </c>
      <c r="C97" s="178" t="s">
        <v>295</v>
      </c>
      <c r="D97" s="178"/>
      <c r="E97" s="178"/>
      <c r="F97" s="178" t="n">
        <f aca="false">10.3*43560*2.5</f>
        <v>1121670</v>
      </c>
      <c r="G97" s="178" t="n">
        <f aca="false">F97/10.3</f>
        <v>108900</v>
      </c>
      <c r="H97" s="178"/>
      <c r="I97" s="178"/>
      <c r="J97" s="220"/>
      <c r="K97" s="220"/>
      <c r="L97" s="183"/>
      <c r="M97" s="220" t="n">
        <f aca="false">N97*N$8</f>
        <v>607219.84962406</v>
      </c>
      <c r="N97" s="220" t="n">
        <f aca="false">+$F97/SM134Units</f>
        <v>8433.60902255639</v>
      </c>
      <c r="O97" s="244" t="n">
        <f aca="false">+N97/N$11</f>
        <v>8.30079628204369</v>
      </c>
      <c r="P97" s="220" t="n">
        <f aca="false">Q97*Q$8</f>
        <v>514450.15037594</v>
      </c>
      <c r="Q97" s="220" t="n">
        <f aca="false">+$F97/SM134Units</f>
        <v>8433.60902255639</v>
      </c>
      <c r="R97" s="183" t="n">
        <f aca="false">+Q97/Q$11</f>
        <v>6.95268674571838</v>
      </c>
      <c r="S97" s="245" t="n">
        <f aca="false">+P97+M97</f>
        <v>1121670</v>
      </c>
      <c r="T97" s="220" t="n">
        <f aca="false">+S97/S$8</f>
        <v>8433.60902255639</v>
      </c>
      <c r="U97" s="183" t="n">
        <f aca="false">+S97/U$8</f>
        <v>7.62288898705359</v>
      </c>
      <c r="V97" s="185" t="n">
        <f aca="false">+S97/TotalCost</f>
        <v>0.0881606155324384</v>
      </c>
      <c r="W97" s="186" t="n">
        <f aca="false">+$S97/TotalValue</f>
        <v>0.0723658086926186</v>
      </c>
      <c r="X97" s="187"/>
      <c r="Y97" s="188"/>
      <c r="Z97" s="186"/>
      <c r="AA97" s="186"/>
      <c r="AB97" s="196"/>
      <c r="AC97" s="126"/>
      <c r="AD97" s="186"/>
      <c r="AE97" s="127"/>
      <c r="AF97" s="214" t="s">
        <v>294</v>
      </c>
      <c r="AG97" s="190" t="n">
        <v>0</v>
      </c>
      <c r="AH97" s="190"/>
      <c r="AI97" s="190"/>
      <c r="AJ97" s="243"/>
      <c r="AK97" s="178" t="n">
        <f aca="false">SUM(AG97:AJ97)</f>
        <v>0</v>
      </c>
      <c r="AL97" s="190"/>
      <c r="AM97" s="191"/>
      <c r="AN97" s="191"/>
      <c r="AO97" s="191"/>
      <c r="AP97" s="178" t="n">
        <f aca="false">SUM(AL97:AO97)</f>
        <v>0</v>
      </c>
      <c r="AQ97" s="191"/>
      <c r="AR97" s="191"/>
      <c r="AS97" s="191"/>
      <c r="AT97" s="191"/>
      <c r="AU97" s="178" t="n">
        <f aca="false">SUM(AQ97:AT97)</f>
        <v>0</v>
      </c>
      <c r="AV97" s="191"/>
      <c r="AW97" s="191"/>
      <c r="AX97" s="191"/>
      <c r="AY97" s="191"/>
      <c r="AZ97" s="178" t="n">
        <f aca="false">SUM(AV97:AY97)</f>
        <v>0</v>
      </c>
      <c r="BA97" s="191"/>
      <c r="BB97" s="191"/>
      <c r="BC97" s="191"/>
      <c r="BD97" s="191"/>
      <c r="BE97" s="178" t="n">
        <f aca="false">SUM(BA97:BD97)</f>
        <v>0</v>
      </c>
      <c r="BF97" s="191"/>
      <c r="BG97" s="191"/>
      <c r="BH97" s="191"/>
      <c r="BI97" s="191"/>
      <c r="BJ97" s="178" t="n">
        <f aca="false">SUM(BF97:BI97)</f>
        <v>0</v>
      </c>
      <c r="BK97" s="191"/>
      <c r="BL97" s="191"/>
      <c r="BM97" s="191"/>
      <c r="BN97" s="191"/>
      <c r="BO97" s="178" t="n">
        <f aca="false">SUM(BK97:BN97)</f>
        <v>0</v>
      </c>
      <c r="BP97" s="191"/>
      <c r="BQ97" s="191"/>
      <c r="BR97" s="191"/>
      <c r="BS97" s="191"/>
      <c r="BT97" s="178" t="n">
        <f aca="false">SUM(BP97:BS97)</f>
        <v>0</v>
      </c>
      <c r="BU97" s="191"/>
      <c r="BV97" s="191"/>
      <c r="BW97" s="191"/>
      <c r="BX97" s="191"/>
      <c r="BY97" s="178" t="n">
        <f aca="false">SUM(BU97:BX97)</f>
        <v>0</v>
      </c>
      <c r="BZ97" s="191"/>
      <c r="CA97" s="191"/>
      <c r="CB97" s="191"/>
      <c r="CC97" s="191"/>
      <c r="CD97" s="178" t="n">
        <f aca="false">SUM(BZ97:CC97)</f>
        <v>0</v>
      </c>
      <c r="CE97" s="191"/>
      <c r="CF97" s="191"/>
      <c r="CG97" s="191"/>
      <c r="CH97" s="191"/>
      <c r="CI97" s="178" t="n">
        <f aca="false">SUM(CE97:CH97)</f>
        <v>0</v>
      </c>
      <c r="CJ97" s="191"/>
      <c r="CK97" s="191"/>
      <c r="CL97" s="191"/>
      <c r="CM97" s="191"/>
      <c r="CN97" s="178" t="n">
        <f aca="false">SUM(CJ97:CM97)</f>
        <v>0</v>
      </c>
      <c r="CO97" s="191" t="n">
        <f aca="false">+CN97+CI97+CD97+BY97+BT97+BO97+BJ97+BE97+AZ97+AU97+AP97+AK97</f>
        <v>0</v>
      </c>
      <c r="CP97" s="191" t="n">
        <f aca="false">S97</f>
        <v>1121670</v>
      </c>
      <c r="CQ97" s="192" t="n">
        <f aca="false">+CO97/CP97</f>
        <v>0</v>
      </c>
    </row>
    <row r="98" customFormat="false" ht="12.75" hidden="false" customHeight="false" outlineLevel="0" collapsed="false">
      <c r="A98" s="177"/>
      <c r="B98" s="246" t="s">
        <v>296</v>
      </c>
      <c r="C98" s="178"/>
      <c r="D98" s="178"/>
      <c r="E98" s="178"/>
      <c r="F98" s="178"/>
      <c r="G98" s="178"/>
      <c r="H98" s="178"/>
      <c r="I98" s="178"/>
      <c r="J98" s="193"/>
      <c r="K98" s="178"/>
      <c r="L98" s="181"/>
      <c r="M98" s="193"/>
      <c r="N98" s="178"/>
      <c r="O98" s="242"/>
      <c r="P98" s="193"/>
      <c r="Q98" s="178"/>
      <c r="R98" s="181"/>
      <c r="S98" s="202"/>
      <c r="T98" s="178"/>
      <c r="U98" s="178"/>
      <c r="V98" s="186"/>
      <c r="W98" s="186"/>
      <c r="X98" s="186"/>
      <c r="Y98" s="186"/>
      <c r="Z98" s="186"/>
      <c r="AA98" s="186"/>
      <c r="AB98" s="186"/>
      <c r="AC98" s="126"/>
      <c r="AD98" s="186"/>
      <c r="AE98" s="127"/>
      <c r="AF98" s="247" t="s">
        <v>296</v>
      </c>
      <c r="AG98" s="190"/>
      <c r="AH98" s="190"/>
      <c r="AI98" s="190"/>
      <c r="AJ98" s="243"/>
      <c r="AK98" s="178"/>
      <c r="AL98" s="190"/>
      <c r="AM98" s="191"/>
      <c r="AN98" s="191"/>
      <c r="AO98" s="191"/>
      <c r="AP98" s="178"/>
      <c r="AQ98" s="191"/>
      <c r="AR98" s="191"/>
      <c r="AS98" s="191"/>
      <c r="AT98" s="191"/>
      <c r="AU98" s="178"/>
      <c r="AV98" s="191"/>
      <c r="AW98" s="191"/>
      <c r="AX98" s="191"/>
      <c r="AY98" s="191"/>
      <c r="AZ98" s="178"/>
      <c r="BA98" s="191"/>
      <c r="BB98" s="191"/>
      <c r="BC98" s="191"/>
      <c r="BD98" s="191"/>
      <c r="BE98" s="178"/>
      <c r="BF98" s="191"/>
      <c r="BG98" s="191"/>
      <c r="BH98" s="191"/>
      <c r="BI98" s="191"/>
      <c r="BJ98" s="178"/>
      <c r="BK98" s="191"/>
      <c r="BL98" s="191"/>
      <c r="BM98" s="191"/>
      <c r="BN98" s="191"/>
      <c r="BO98" s="178"/>
      <c r="BP98" s="191"/>
      <c r="BQ98" s="191"/>
      <c r="BR98" s="191"/>
      <c r="BS98" s="191"/>
      <c r="BT98" s="178"/>
      <c r="BU98" s="191"/>
      <c r="BV98" s="191"/>
      <c r="BW98" s="191"/>
      <c r="BX98" s="191"/>
      <c r="BY98" s="178"/>
      <c r="BZ98" s="191"/>
      <c r="CA98" s="191"/>
      <c r="CB98" s="191"/>
      <c r="CC98" s="191"/>
      <c r="CD98" s="178"/>
      <c r="CE98" s="191"/>
      <c r="CF98" s="191"/>
      <c r="CG98" s="191"/>
      <c r="CH98" s="191"/>
      <c r="CI98" s="178"/>
      <c r="CJ98" s="191"/>
      <c r="CK98" s="191"/>
      <c r="CL98" s="191"/>
      <c r="CM98" s="191"/>
      <c r="CN98" s="178"/>
      <c r="CO98" s="191"/>
      <c r="CP98" s="191"/>
      <c r="CQ98" s="192"/>
    </row>
    <row r="99" customFormat="false" ht="12.75" hidden="false" customHeight="false" outlineLevel="0" collapsed="false">
      <c r="A99" s="177"/>
      <c r="B99" s="178" t="s">
        <v>297</v>
      </c>
      <c r="C99" s="178" t="s">
        <v>298</v>
      </c>
      <c r="D99" s="178" t="n">
        <v>1</v>
      </c>
      <c r="E99" s="178" t="n">
        <v>37800</v>
      </c>
      <c r="F99" s="178" t="n">
        <f aca="false">+E99*D99</f>
        <v>37800</v>
      </c>
      <c r="G99" s="178" t="n">
        <f aca="false">F99/10.3</f>
        <v>3669.90291262136</v>
      </c>
      <c r="H99" s="178"/>
      <c r="I99" s="178"/>
      <c r="J99" s="193"/>
      <c r="K99" s="181"/>
      <c r="L99" s="181"/>
      <c r="M99" s="220" t="n">
        <f aca="false">N99*N$8</f>
        <v>20310.447761194</v>
      </c>
      <c r="N99" s="220" t="n">
        <f aca="false">(37800)/134</f>
        <v>282.089552238806</v>
      </c>
      <c r="O99" s="248" t="n">
        <f aca="false">+N99/N$11</f>
        <v>0.277647197085439</v>
      </c>
      <c r="P99" s="220" t="n">
        <f aca="false">Q99*Q$8</f>
        <v>17207.4626865672</v>
      </c>
      <c r="Q99" s="220" t="n">
        <f aca="false">(37800)/134</f>
        <v>282.089552238806</v>
      </c>
      <c r="R99" s="181" t="n">
        <f aca="false">+Q99/Q$11</f>
        <v>0.23255527802045</v>
      </c>
      <c r="S99" s="245" t="n">
        <f aca="false">+P99+M99</f>
        <v>37517.9104477612</v>
      </c>
      <c r="T99" s="195" t="n">
        <f aca="false">+S99/S$8</f>
        <v>282.089552238806</v>
      </c>
      <c r="U99" s="183" t="n">
        <f aca="false">+S99/U$8</f>
        <v>0.254972377231718</v>
      </c>
      <c r="V99" s="185" t="n">
        <f aca="false">+S99/TotalCost</f>
        <v>0.00294881924145741</v>
      </c>
      <c r="W99" s="186" t="n">
        <f aca="false">+$S99/TotalValue</f>
        <v>0.00242051042642621</v>
      </c>
      <c r="X99" s="187"/>
      <c r="Y99" s="188"/>
      <c r="Z99" s="186"/>
      <c r="AA99" s="186"/>
      <c r="AB99" s="196"/>
      <c r="AC99" s="126"/>
      <c r="AD99" s="186"/>
      <c r="AE99" s="127"/>
      <c r="AF99" s="190" t="s">
        <v>297</v>
      </c>
      <c r="AG99" s="190" t="n">
        <f aca="false">+S99</f>
        <v>37517.9104477612</v>
      </c>
      <c r="AH99" s="190"/>
      <c r="AI99" s="190"/>
      <c r="AJ99" s="243"/>
      <c r="AK99" s="178" t="n">
        <f aca="false">SUM(AG99:AJ99)</f>
        <v>37517.9104477612</v>
      </c>
      <c r="AL99" s="190" t="n">
        <f aca="false">+W99</f>
        <v>0.00242051042642621</v>
      </c>
      <c r="AM99" s="191"/>
      <c r="AN99" s="191"/>
      <c r="AO99" s="191"/>
      <c r="AP99" s="178" t="n">
        <f aca="false">SUM(AL99:AO99)</f>
        <v>0.00242051042642621</v>
      </c>
      <c r="AQ99" s="190" t="n">
        <f aca="false">+AI99</f>
        <v>0</v>
      </c>
      <c r="AR99" s="191"/>
      <c r="AS99" s="191"/>
      <c r="AT99" s="191"/>
      <c r="AU99" s="178" t="n">
        <f aca="false">SUM(AQ99:AT99)</f>
        <v>0</v>
      </c>
      <c r="AV99" s="191"/>
      <c r="AW99" s="191"/>
      <c r="AX99" s="191"/>
      <c r="AY99" s="191"/>
      <c r="AZ99" s="178" t="n">
        <f aca="false">SUM(AV99:AY99)</f>
        <v>0</v>
      </c>
      <c r="BA99" s="191"/>
      <c r="BB99" s="191"/>
      <c r="BC99" s="191"/>
      <c r="BD99" s="191"/>
      <c r="BE99" s="178" t="n">
        <f aca="false">SUM(BA99:BD99)</f>
        <v>0</v>
      </c>
      <c r="BF99" s="191"/>
      <c r="BG99" s="191"/>
      <c r="BH99" s="191"/>
      <c r="BI99" s="191"/>
      <c r="BJ99" s="178" t="n">
        <f aca="false">SUM(BF99:BI99)</f>
        <v>0</v>
      </c>
      <c r="BK99" s="191"/>
      <c r="BL99" s="191"/>
      <c r="BM99" s="191"/>
      <c r="BN99" s="191"/>
      <c r="BO99" s="178" t="n">
        <f aca="false">SUM(BK99:BN99)</f>
        <v>0</v>
      </c>
      <c r="BP99" s="191"/>
      <c r="BQ99" s="191"/>
      <c r="BR99" s="191"/>
      <c r="BS99" s="191"/>
      <c r="BT99" s="178" t="n">
        <f aca="false">SUM(BP99:BS99)</f>
        <v>0</v>
      </c>
      <c r="BU99" s="191"/>
      <c r="BV99" s="191"/>
      <c r="BW99" s="191"/>
      <c r="BX99" s="191"/>
      <c r="BY99" s="178" t="n">
        <f aca="false">SUM(BU99:BX99)</f>
        <v>0</v>
      </c>
      <c r="BZ99" s="191"/>
      <c r="CA99" s="191"/>
      <c r="CB99" s="191"/>
      <c r="CC99" s="191"/>
      <c r="CD99" s="178" t="n">
        <f aca="false">SUM(BZ99:CC99)</f>
        <v>0</v>
      </c>
      <c r="CE99" s="191"/>
      <c r="CF99" s="191"/>
      <c r="CG99" s="191"/>
      <c r="CH99" s="191"/>
      <c r="CI99" s="178" t="n">
        <f aca="false">SUM(CE99:CH99)</f>
        <v>0</v>
      </c>
      <c r="CJ99" s="191"/>
      <c r="CK99" s="191"/>
      <c r="CL99" s="191"/>
      <c r="CM99" s="191"/>
      <c r="CN99" s="178" t="n">
        <f aca="false">SUM(CJ99:CM99)</f>
        <v>0</v>
      </c>
      <c r="CO99" s="191" t="n">
        <f aca="false">+CN99+CI99+CD99+BY99+BT99+BO99+BJ99+BE99+AZ99+AU99+AP99+AK99</f>
        <v>37517.9128682716</v>
      </c>
      <c r="CP99" s="191" t="n">
        <f aca="false">S99</f>
        <v>37517.9104477612</v>
      </c>
      <c r="CQ99" s="192" t="n">
        <f aca="false">+CO99/CP99</f>
        <v>1.00000006451613</v>
      </c>
    </row>
    <row r="100" customFormat="false" ht="12.75" hidden="false" customHeight="false" outlineLevel="0" collapsed="false">
      <c r="A100" s="177"/>
      <c r="B100" s="178" t="s">
        <v>299</v>
      </c>
      <c r="C100" s="178" t="s">
        <v>300</v>
      </c>
      <c r="D100" s="178" t="n">
        <v>13100</v>
      </c>
      <c r="E100" s="183" t="n">
        <v>5.75</v>
      </c>
      <c r="F100" s="178" t="n">
        <f aca="false">+E100*D100</f>
        <v>75325</v>
      </c>
      <c r="G100" s="178" t="n">
        <f aca="false">F100/10.3</f>
        <v>7313.1067961165</v>
      </c>
      <c r="H100" s="178"/>
      <c r="I100" s="178"/>
      <c r="J100" s="193"/>
      <c r="K100" s="178"/>
      <c r="L100" s="181"/>
      <c r="M100" s="193" t="n">
        <f aca="false">N100*N$8</f>
        <v>40777.4436090226</v>
      </c>
      <c r="N100" s="178" t="n">
        <f aca="false">+$F100/SM134Units</f>
        <v>566.353383458647</v>
      </c>
      <c r="O100" s="181" t="n">
        <f aca="false">+N100/N$11</f>
        <v>0.557434432538038</v>
      </c>
      <c r="P100" s="193" t="n">
        <f aca="false">Q100*Q$8</f>
        <v>34547.5563909774</v>
      </c>
      <c r="Q100" s="178" t="n">
        <f aca="false">+$F100/SM134Units</f>
        <v>566.353383458647</v>
      </c>
      <c r="R100" s="181" t="n">
        <f aca="false">+Q100/Q$11</f>
        <v>0.466903036651811</v>
      </c>
      <c r="S100" s="202" t="n">
        <f aca="false">+P100+M100</f>
        <v>75325</v>
      </c>
      <c r="T100" s="195" t="n">
        <f aca="false">+S100/S$8</f>
        <v>566.353383458647</v>
      </c>
      <c r="U100" s="181" t="n">
        <f aca="false">+S100/U$8</f>
        <v>0.511910020727854</v>
      </c>
      <c r="V100" s="185" t="n">
        <f aca="false">+S100/TotalCost</f>
        <v>0.00592036727823774</v>
      </c>
      <c r="W100" s="186" t="n">
        <f aca="false">+$S100/TotalValue</f>
        <v>0.00485967756984808</v>
      </c>
      <c r="X100" s="187"/>
      <c r="Y100" s="188"/>
      <c r="Z100" s="186"/>
      <c r="AA100" s="186"/>
      <c r="AB100" s="196"/>
      <c r="AC100" s="126"/>
      <c r="AD100" s="186"/>
      <c r="AE100" s="127"/>
      <c r="AF100" s="190" t="s">
        <v>299</v>
      </c>
      <c r="AG100" s="190" t="n">
        <f aca="false">$S100/6</f>
        <v>12554.1666666667</v>
      </c>
      <c r="AH100" s="190"/>
      <c r="AI100" s="190"/>
      <c r="AJ100" s="190"/>
      <c r="AK100" s="178" t="n">
        <f aca="false">SUM(AG100:AJ100)</f>
        <v>12554.1666666667</v>
      </c>
      <c r="AL100" s="190" t="n">
        <f aca="false">$S100/6</f>
        <v>12554.1666666667</v>
      </c>
      <c r="AM100" s="190"/>
      <c r="AN100" s="191"/>
      <c r="AO100" s="191"/>
      <c r="AP100" s="178" t="n">
        <f aca="false">SUM(AL100:AO100)</f>
        <v>12554.1666666667</v>
      </c>
      <c r="AQ100" s="190" t="n">
        <f aca="false">$S100/6</f>
        <v>12554.1666666667</v>
      </c>
      <c r="AR100" s="191"/>
      <c r="AS100" s="191"/>
      <c r="AT100" s="191"/>
      <c r="AU100" s="178" t="n">
        <f aca="false">SUM(AQ100:AT100)</f>
        <v>12554.1666666667</v>
      </c>
      <c r="AV100" s="190" t="n">
        <f aca="false">$S100/6</f>
        <v>12554.1666666667</v>
      </c>
      <c r="AW100" s="190"/>
      <c r="AX100" s="190"/>
      <c r="AY100" s="190"/>
      <c r="AZ100" s="178" t="n">
        <f aca="false">SUM(AV100:AY100)</f>
        <v>12554.1666666667</v>
      </c>
      <c r="BA100" s="190" t="n">
        <f aca="false">$S100/6</f>
        <v>12554.1666666667</v>
      </c>
      <c r="BB100" s="190"/>
      <c r="BC100" s="191"/>
      <c r="BD100" s="191"/>
      <c r="BE100" s="178" t="n">
        <f aca="false">SUM(BA100:BD100)</f>
        <v>12554.1666666667</v>
      </c>
      <c r="BF100" s="190" t="n">
        <f aca="false">$S100/6</f>
        <v>12554.1666666667</v>
      </c>
      <c r="BG100" s="191"/>
      <c r="BH100" s="191"/>
      <c r="BI100" s="191"/>
      <c r="BJ100" s="178" t="n">
        <f aca="false">SUM(BF100:BI100)</f>
        <v>12554.1666666667</v>
      </c>
      <c r="BK100" s="191"/>
      <c r="BL100" s="191"/>
      <c r="BM100" s="191"/>
      <c r="BN100" s="191"/>
      <c r="BO100" s="178" t="n">
        <f aca="false">SUM(BK100:BN100)</f>
        <v>0</v>
      </c>
      <c r="BP100" s="191"/>
      <c r="BQ100" s="191"/>
      <c r="BR100" s="191"/>
      <c r="BS100" s="191"/>
      <c r="BT100" s="178" t="n">
        <f aca="false">SUM(BP100:BS100)</f>
        <v>0</v>
      </c>
      <c r="BU100" s="191"/>
      <c r="BV100" s="191"/>
      <c r="BW100" s="191"/>
      <c r="BX100" s="191"/>
      <c r="BY100" s="178" t="n">
        <f aca="false">SUM(BU100:BX100)</f>
        <v>0</v>
      </c>
      <c r="BZ100" s="191"/>
      <c r="CA100" s="191"/>
      <c r="CB100" s="191"/>
      <c r="CC100" s="191"/>
      <c r="CD100" s="178" t="n">
        <f aca="false">SUM(BZ100:CC100)</f>
        <v>0</v>
      </c>
      <c r="CE100" s="191"/>
      <c r="CF100" s="191"/>
      <c r="CG100" s="191"/>
      <c r="CH100" s="191"/>
      <c r="CI100" s="178" t="n">
        <f aca="false">SUM(CE100:CH100)</f>
        <v>0</v>
      </c>
      <c r="CJ100" s="191"/>
      <c r="CK100" s="191"/>
      <c r="CL100" s="191"/>
      <c r="CM100" s="191"/>
      <c r="CN100" s="178" t="n">
        <f aca="false">SUM(CJ100:CM100)</f>
        <v>0</v>
      </c>
      <c r="CO100" s="191" t="n">
        <f aca="false">+CN100+CI100+CD100+BY100+BT100+BO100+BJ100+BE100+AZ100+AU100+AP100+AK100</f>
        <v>75325</v>
      </c>
      <c r="CP100" s="191" t="n">
        <f aca="false">S100</f>
        <v>75325</v>
      </c>
      <c r="CQ100" s="192" t="n">
        <f aca="false">+CO100/CP100</f>
        <v>1</v>
      </c>
    </row>
    <row r="101" customFormat="false" ht="12.75" hidden="false" customHeight="false" outlineLevel="0" collapsed="false">
      <c r="A101" s="177"/>
      <c r="B101" s="178" t="s">
        <v>301</v>
      </c>
      <c r="C101" s="178" t="s">
        <v>300</v>
      </c>
      <c r="D101" s="178" t="n">
        <v>13100</v>
      </c>
      <c r="E101" s="181" t="n">
        <v>3.75</v>
      </c>
      <c r="F101" s="178" t="n">
        <f aca="false">+E101*D101</f>
        <v>49125</v>
      </c>
      <c r="G101" s="178" t="n">
        <f aca="false">F101/10.3</f>
        <v>4769.41747572816</v>
      </c>
      <c r="H101" s="178"/>
      <c r="I101" s="178"/>
      <c r="J101" s="193"/>
      <c r="K101" s="178"/>
      <c r="L101" s="181"/>
      <c r="M101" s="193" t="n">
        <f aca="false">N101*N$8</f>
        <v>26593.984962406</v>
      </c>
      <c r="N101" s="178" t="n">
        <f aca="false">+$F101/SM134Units</f>
        <v>369.360902255639</v>
      </c>
      <c r="O101" s="181" t="n">
        <f aca="false">+N101/N$11</f>
        <v>0.363544195133503</v>
      </c>
      <c r="P101" s="193" t="n">
        <f aca="false">Q101*Q$8</f>
        <v>22531.015037594</v>
      </c>
      <c r="Q101" s="178" t="n">
        <f aca="false">+$F101/SM134Units</f>
        <v>369.360902255639</v>
      </c>
      <c r="R101" s="181" t="n">
        <f aca="false">+Q101/Q$11</f>
        <v>0.304501980425094</v>
      </c>
      <c r="S101" s="202" t="n">
        <f aca="false">+P101+M101</f>
        <v>49125</v>
      </c>
      <c r="T101" s="195" t="n">
        <f aca="false">+S101/S$8</f>
        <v>369.360902255639</v>
      </c>
      <c r="U101" s="181" t="n">
        <f aca="false">+S101/U$8</f>
        <v>0.333854361344252</v>
      </c>
      <c r="V101" s="185" t="n">
        <f aca="false">+S101/TotalCost</f>
        <v>0.00386110909450287</v>
      </c>
      <c r="W101" s="186" t="n">
        <f aca="false">+$S101/TotalValue</f>
        <v>0.00316935493685744</v>
      </c>
      <c r="X101" s="187"/>
      <c r="Y101" s="188"/>
      <c r="Z101" s="186"/>
      <c r="AA101" s="186"/>
      <c r="AB101" s="196"/>
      <c r="AC101" s="126"/>
      <c r="AD101" s="186"/>
      <c r="AE101" s="127"/>
      <c r="AF101" s="190" t="s">
        <v>301</v>
      </c>
      <c r="AG101" s="190" t="n">
        <f aca="false">$S101/6</f>
        <v>8187.5</v>
      </c>
      <c r="AH101" s="190"/>
      <c r="AI101" s="190"/>
      <c r="AJ101" s="190"/>
      <c r="AK101" s="178" t="n">
        <f aca="false">SUM(AG101:AJ101)</f>
        <v>8187.5</v>
      </c>
      <c r="AL101" s="190" t="n">
        <f aca="false">$S101/6</f>
        <v>8187.5</v>
      </c>
      <c r="AM101" s="190"/>
      <c r="AN101" s="191"/>
      <c r="AO101" s="191"/>
      <c r="AP101" s="178" t="n">
        <f aca="false">SUM(AL101:AO101)</f>
        <v>8187.5</v>
      </c>
      <c r="AQ101" s="190" t="n">
        <f aca="false">$S101/6</f>
        <v>8187.5</v>
      </c>
      <c r="AR101" s="191"/>
      <c r="AS101" s="191"/>
      <c r="AT101" s="191"/>
      <c r="AU101" s="178" t="n">
        <f aca="false">SUM(AQ101:AT101)</f>
        <v>8187.5</v>
      </c>
      <c r="AV101" s="190" t="n">
        <f aca="false">$S101/6</f>
        <v>8187.5</v>
      </c>
      <c r="AW101" s="190"/>
      <c r="AX101" s="190"/>
      <c r="AY101" s="190"/>
      <c r="AZ101" s="178" t="n">
        <f aca="false">SUM(AV101:AY101)</f>
        <v>8187.5</v>
      </c>
      <c r="BA101" s="190" t="n">
        <f aca="false">$S101/6</f>
        <v>8187.5</v>
      </c>
      <c r="BB101" s="190"/>
      <c r="BC101" s="191"/>
      <c r="BD101" s="191"/>
      <c r="BE101" s="178" t="n">
        <f aca="false">SUM(BA101:BD101)</f>
        <v>8187.5</v>
      </c>
      <c r="BF101" s="190" t="n">
        <f aca="false">$S101/6</f>
        <v>8187.5</v>
      </c>
      <c r="BG101" s="191"/>
      <c r="BH101" s="191"/>
      <c r="BI101" s="191"/>
      <c r="BJ101" s="178" t="n">
        <f aca="false">SUM(BF101:BI101)</f>
        <v>8187.5</v>
      </c>
      <c r="BK101" s="191"/>
      <c r="BL101" s="191"/>
      <c r="BM101" s="191"/>
      <c r="BN101" s="191"/>
      <c r="BO101" s="178" t="n">
        <f aca="false">SUM(BK101:BN101)</f>
        <v>0</v>
      </c>
      <c r="BP101" s="191"/>
      <c r="BQ101" s="191"/>
      <c r="BR101" s="191"/>
      <c r="BS101" s="191"/>
      <c r="BT101" s="178" t="n">
        <f aca="false">SUM(BP101:BS101)</f>
        <v>0</v>
      </c>
      <c r="BU101" s="191"/>
      <c r="BV101" s="191"/>
      <c r="BW101" s="191"/>
      <c r="BX101" s="191"/>
      <c r="BY101" s="178" t="n">
        <f aca="false">SUM(BU101:BX101)</f>
        <v>0</v>
      </c>
      <c r="BZ101" s="191"/>
      <c r="CA101" s="191"/>
      <c r="CB101" s="191"/>
      <c r="CC101" s="191"/>
      <c r="CD101" s="178" t="n">
        <f aca="false">SUM(BZ101:CC101)</f>
        <v>0</v>
      </c>
      <c r="CE101" s="191"/>
      <c r="CF101" s="191"/>
      <c r="CG101" s="191"/>
      <c r="CH101" s="191"/>
      <c r="CI101" s="178" t="n">
        <f aca="false">SUM(CE101:CH101)</f>
        <v>0</v>
      </c>
      <c r="CJ101" s="191"/>
      <c r="CK101" s="191"/>
      <c r="CL101" s="191"/>
      <c r="CM101" s="191"/>
      <c r="CN101" s="178" t="n">
        <f aca="false">SUM(CJ101:CM101)</f>
        <v>0</v>
      </c>
      <c r="CO101" s="191" t="n">
        <f aca="false">+CN101+CI101+CD101+BY101+BT101+BO101+BJ101+BE101+AZ101+AU101+AP101+AK101</f>
        <v>49125</v>
      </c>
      <c r="CP101" s="191" t="n">
        <f aca="false">S101</f>
        <v>49125</v>
      </c>
      <c r="CQ101" s="192" t="n">
        <f aca="false">+CO101/CP101</f>
        <v>1</v>
      </c>
    </row>
    <row r="102" customFormat="false" ht="12.75" hidden="false" customHeight="false" outlineLevel="0" collapsed="false">
      <c r="A102" s="177"/>
      <c r="B102" s="178" t="s">
        <v>302</v>
      </c>
      <c r="C102" s="178" t="s">
        <v>303</v>
      </c>
      <c r="D102" s="178" t="n">
        <v>10000</v>
      </c>
      <c r="E102" s="181" t="n">
        <v>3</v>
      </c>
      <c r="F102" s="178" t="n">
        <f aca="false">+E102*D102</f>
        <v>30000</v>
      </c>
      <c r="G102" s="178" t="n">
        <f aca="false">F102/10.3</f>
        <v>2912.6213592233</v>
      </c>
      <c r="H102" s="178"/>
      <c r="I102" s="178"/>
      <c r="J102" s="193"/>
      <c r="K102" s="178"/>
      <c r="L102" s="181"/>
      <c r="M102" s="193" t="n">
        <f aca="false">N102*N$8</f>
        <v>16240.6015037594</v>
      </c>
      <c r="N102" s="178" t="n">
        <f aca="false">+$F102/SM134Units</f>
        <v>225.563909774436</v>
      </c>
      <c r="O102" s="181" t="n">
        <f aca="false">+N102/N$11</f>
        <v>0.222011722218933</v>
      </c>
      <c r="P102" s="193" t="n">
        <f aca="false">Q102*Q$8</f>
        <v>13759.3984962406</v>
      </c>
      <c r="Q102" s="178" t="n">
        <f aca="false">+$F102/SM134Units</f>
        <v>225.563909774436</v>
      </c>
      <c r="R102" s="181" t="n">
        <f aca="false">+Q102/Q$11</f>
        <v>0.185955407893187</v>
      </c>
      <c r="S102" s="202" t="n">
        <f aca="false">+P102+M102</f>
        <v>30000</v>
      </c>
      <c r="T102" s="195" t="n">
        <f aca="false">+S102/S$8</f>
        <v>225.563909774436</v>
      </c>
      <c r="U102" s="181" t="n">
        <f aca="false">+S102/U$8</f>
        <v>0.203880526011757</v>
      </c>
      <c r="V102" s="185" t="n">
        <f aca="false">+S102/TotalCost</f>
        <v>0.00235792921801702</v>
      </c>
      <c r="W102" s="186" t="n">
        <f aca="false">+$S102/TotalValue</f>
        <v>0.00193548393090531</v>
      </c>
      <c r="X102" s="187"/>
      <c r="Y102" s="188"/>
      <c r="Z102" s="186"/>
      <c r="AA102" s="186"/>
      <c r="AB102" s="196"/>
      <c r="AC102" s="126"/>
      <c r="AD102" s="186"/>
      <c r="AE102" s="127"/>
      <c r="AF102" s="190" t="s">
        <v>302</v>
      </c>
      <c r="AG102" s="190" t="n">
        <f aca="false">$S102/6</f>
        <v>5000</v>
      </c>
      <c r="AH102" s="190"/>
      <c r="AI102" s="190"/>
      <c r="AJ102" s="190"/>
      <c r="AK102" s="178" t="n">
        <f aca="false">SUM(AG102:AJ102)</f>
        <v>5000</v>
      </c>
      <c r="AL102" s="190" t="n">
        <f aca="false">$S102/6</f>
        <v>5000</v>
      </c>
      <c r="AM102" s="190"/>
      <c r="AN102" s="191"/>
      <c r="AO102" s="191"/>
      <c r="AP102" s="178" t="n">
        <f aca="false">SUM(AL102:AO102)</f>
        <v>5000</v>
      </c>
      <c r="AQ102" s="190" t="n">
        <f aca="false">$S102/6</f>
        <v>5000</v>
      </c>
      <c r="AR102" s="191"/>
      <c r="AS102" s="191"/>
      <c r="AT102" s="191"/>
      <c r="AU102" s="178" t="n">
        <f aca="false">SUM(AQ102:AT102)</f>
        <v>5000</v>
      </c>
      <c r="AV102" s="190" t="n">
        <f aca="false">$S102/6</f>
        <v>5000</v>
      </c>
      <c r="AW102" s="190"/>
      <c r="AX102" s="190"/>
      <c r="AY102" s="190"/>
      <c r="AZ102" s="178" t="n">
        <f aca="false">SUM(AV102:AY102)</f>
        <v>5000</v>
      </c>
      <c r="BA102" s="190" t="n">
        <f aca="false">$S102/6</f>
        <v>5000</v>
      </c>
      <c r="BB102" s="190"/>
      <c r="BC102" s="191"/>
      <c r="BD102" s="191"/>
      <c r="BE102" s="178" t="n">
        <f aca="false">SUM(BA102:BD102)</f>
        <v>5000</v>
      </c>
      <c r="BF102" s="190" t="n">
        <f aca="false">$S102/6</f>
        <v>5000</v>
      </c>
      <c r="BG102" s="191"/>
      <c r="BH102" s="191"/>
      <c r="BI102" s="191"/>
      <c r="BJ102" s="178" t="n">
        <f aca="false">SUM(BF102:BI102)</f>
        <v>5000</v>
      </c>
      <c r="BK102" s="191"/>
      <c r="BL102" s="191"/>
      <c r="BM102" s="191"/>
      <c r="BN102" s="191"/>
      <c r="BO102" s="178" t="n">
        <f aca="false">SUM(BK102:BN102)</f>
        <v>0</v>
      </c>
      <c r="BP102" s="191"/>
      <c r="BQ102" s="191"/>
      <c r="BR102" s="191"/>
      <c r="BS102" s="191"/>
      <c r="BT102" s="178" t="n">
        <f aca="false">SUM(BP102:BS102)</f>
        <v>0</v>
      </c>
      <c r="BU102" s="191"/>
      <c r="BV102" s="191"/>
      <c r="BW102" s="191"/>
      <c r="BX102" s="191"/>
      <c r="BY102" s="178" t="n">
        <f aca="false">SUM(BU102:BX102)</f>
        <v>0</v>
      </c>
      <c r="BZ102" s="191"/>
      <c r="CA102" s="191"/>
      <c r="CB102" s="191"/>
      <c r="CC102" s="191"/>
      <c r="CD102" s="178" t="n">
        <f aca="false">SUM(BZ102:CC102)</f>
        <v>0</v>
      </c>
      <c r="CE102" s="191"/>
      <c r="CF102" s="191"/>
      <c r="CG102" s="191"/>
      <c r="CH102" s="191"/>
      <c r="CI102" s="178" t="n">
        <f aca="false">SUM(CE102:CH102)</f>
        <v>0</v>
      </c>
      <c r="CJ102" s="191"/>
      <c r="CK102" s="191"/>
      <c r="CL102" s="191"/>
      <c r="CM102" s="191"/>
      <c r="CN102" s="178" t="n">
        <f aca="false">SUM(CJ102:CM102)</f>
        <v>0</v>
      </c>
      <c r="CO102" s="191" t="n">
        <f aca="false">+CN102+CI102+CD102+BY102+BT102+BO102+BJ102+BE102+AZ102+AU102+AP102+AK102</f>
        <v>30000</v>
      </c>
      <c r="CP102" s="191" t="n">
        <f aca="false">S102</f>
        <v>30000</v>
      </c>
      <c r="CQ102" s="192" t="n">
        <f aca="false">+CO102/CP102</f>
        <v>1</v>
      </c>
    </row>
    <row r="103" customFormat="false" ht="12.75" hidden="false" customHeight="false" outlineLevel="0" collapsed="false">
      <c r="A103" s="177"/>
      <c r="B103" s="178" t="s">
        <v>304</v>
      </c>
      <c r="C103" s="178" t="s">
        <v>305</v>
      </c>
      <c r="D103" s="178" t="n">
        <v>5000</v>
      </c>
      <c r="E103" s="181" t="n">
        <v>6</v>
      </c>
      <c r="F103" s="178" t="n">
        <f aca="false">+E103*D103</f>
        <v>30000</v>
      </c>
      <c r="G103" s="178" t="n">
        <f aca="false">F103/10.3</f>
        <v>2912.6213592233</v>
      </c>
      <c r="H103" s="178"/>
      <c r="I103" s="178"/>
      <c r="J103" s="193"/>
      <c r="K103" s="178"/>
      <c r="L103" s="181"/>
      <c r="M103" s="193" t="n">
        <f aca="false">N103*N$8</f>
        <v>16240.6015037594</v>
      </c>
      <c r="N103" s="178" t="n">
        <f aca="false">+$F103/SM134Units</f>
        <v>225.563909774436</v>
      </c>
      <c r="O103" s="181" t="n">
        <f aca="false">+N103/N$11</f>
        <v>0.222011722218933</v>
      </c>
      <c r="P103" s="193" t="n">
        <f aca="false">Q103*Q$8</f>
        <v>13759.3984962406</v>
      </c>
      <c r="Q103" s="178" t="n">
        <f aca="false">+$F103/SM134Units</f>
        <v>225.563909774436</v>
      </c>
      <c r="R103" s="181" t="n">
        <f aca="false">+Q103/Q$11</f>
        <v>0.185955407893187</v>
      </c>
      <c r="S103" s="202" t="n">
        <f aca="false">+P103+M103</f>
        <v>30000</v>
      </c>
      <c r="T103" s="195" t="n">
        <f aca="false">+S103/S$8</f>
        <v>225.563909774436</v>
      </c>
      <c r="U103" s="181" t="n">
        <f aca="false">+S103/U$8</f>
        <v>0.203880526011757</v>
      </c>
      <c r="V103" s="185" t="n">
        <f aca="false">+S103/TotalCost</f>
        <v>0.00235792921801702</v>
      </c>
      <c r="W103" s="186" t="n">
        <f aca="false">+$S103/TotalValue</f>
        <v>0.00193548393090531</v>
      </c>
      <c r="X103" s="187"/>
      <c r="Y103" s="188"/>
      <c r="Z103" s="186"/>
      <c r="AA103" s="186"/>
      <c r="AB103" s="196"/>
      <c r="AC103" s="126"/>
      <c r="AD103" s="186"/>
      <c r="AE103" s="127"/>
      <c r="AF103" s="190" t="s">
        <v>304</v>
      </c>
      <c r="AG103" s="190" t="n">
        <f aca="false">$S103/6</f>
        <v>5000</v>
      </c>
      <c r="AH103" s="190"/>
      <c r="AI103" s="190"/>
      <c r="AJ103" s="190"/>
      <c r="AK103" s="178" t="n">
        <f aca="false">SUM(AG103:AJ103)</f>
        <v>5000</v>
      </c>
      <c r="AL103" s="190" t="n">
        <f aca="false">$S103/6</f>
        <v>5000</v>
      </c>
      <c r="AM103" s="190"/>
      <c r="AN103" s="191"/>
      <c r="AO103" s="191"/>
      <c r="AP103" s="178" t="n">
        <f aca="false">SUM(AL103:AO103)</f>
        <v>5000</v>
      </c>
      <c r="AQ103" s="190" t="n">
        <f aca="false">$S103/6</f>
        <v>5000</v>
      </c>
      <c r="AR103" s="191"/>
      <c r="AS103" s="191"/>
      <c r="AT103" s="191"/>
      <c r="AU103" s="178" t="n">
        <f aca="false">SUM(AQ103:AT103)</f>
        <v>5000</v>
      </c>
      <c r="AV103" s="190" t="n">
        <f aca="false">$S103/6</f>
        <v>5000</v>
      </c>
      <c r="AW103" s="190"/>
      <c r="AX103" s="190"/>
      <c r="AY103" s="190"/>
      <c r="AZ103" s="178" t="n">
        <f aca="false">SUM(AV103:AY103)</f>
        <v>5000</v>
      </c>
      <c r="BA103" s="190" t="n">
        <f aca="false">$S103/6</f>
        <v>5000</v>
      </c>
      <c r="BB103" s="190"/>
      <c r="BC103" s="191"/>
      <c r="BD103" s="191"/>
      <c r="BE103" s="178" t="n">
        <f aca="false">SUM(BA103:BD103)</f>
        <v>5000</v>
      </c>
      <c r="BF103" s="190" t="n">
        <f aca="false">$S103/6</f>
        <v>5000</v>
      </c>
      <c r="BG103" s="191"/>
      <c r="BH103" s="191"/>
      <c r="BI103" s="191"/>
      <c r="BJ103" s="178" t="n">
        <f aca="false">SUM(BF103:BI103)</f>
        <v>5000</v>
      </c>
      <c r="BK103" s="191"/>
      <c r="BL103" s="191"/>
      <c r="BM103" s="191"/>
      <c r="BN103" s="191"/>
      <c r="BO103" s="178" t="n">
        <f aca="false">SUM(BK103:BN103)</f>
        <v>0</v>
      </c>
      <c r="BP103" s="191"/>
      <c r="BQ103" s="191"/>
      <c r="BR103" s="191"/>
      <c r="BS103" s="191"/>
      <c r="BT103" s="178" t="n">
        <f aca="false">SUM(BP103:BS103)</f>
        <v>0</v>
      </c>
      <c r="BU103" s="191"/>
      <c r="BV103" s="191"/>
      <c r="BW103" s="191"/>
      <c r="BX103" s="191"/>
      <c r="BY103" s="178" t="n">
        <f aca="false">SUM(BU103:BX103)</f>
        <v>0</v>
      </c>
      <c r="BZ103" s="191"/>
      <c r="CA103" s="191"/>
      <c r="CB103" s="191"/>
      <c r="CC103" s="191"/>
      <c r="CD103" s="178" t="n">
        <f aca="false">SUM(BZ103:CC103)</f>
        <v>0</v>
      </c>
      <c r="CE103" s="191"/>
      <c r="CF103" s="191"/>
      <c r="CG103" s="191"/>
      <c r="CH103" s="191"/>
      <c r="CI103" s="178" t="n">
        <f aca="false">SUM(CE103:CH103)</f>
        <v>0</v>
      </c>
      <c r="CJ103" s="191"/>
      <c r="CK103" s="191"/>
      <c r="CL103" s="191"/>
      <c r="CM103" s="191"/>
      <c r="CN103" s="178" t="n">
        <f aca="false">SUM(CJ103:CM103)</f>
        <v>0</v>
      </c>
      <c r="CO103" s="191" t="n">
        <f aca="false">+CN103+CI103+CD103+BY103+BT103+BO103+BJ103+BE103+AZ103+AU103+AP103+AK103</f>
        <v>30000</v>
      </c>
      <c r="CP103" s="191" t="n">
        <f aca="false">S103</f>
        <v>30000</v>
      </c>
      <c r="CQ103" s="192" t="n">
        <f aca="false">+CO103/CP103</f>
        <v>1</v>
      </c>
    </row>
    <row r="104" customFormat="false" ht="12.75" hidden="false" customHeight="false" outlineLevel="0" collapsed="false">
      <c r="A104" s="177"/>
      <c r="B104" s="178" t="s">
        <v>306</v>
      </c>
      <c r="C104" s="178" t="s">
        <v>305</v>
      </c>
      <c r="D104" s="178" t="n">
        <v>2200</v>
      </c>
      <c r="E104" s="181" t="n">
        <v>25</v>
      </c>
      <c r="F104" s="178" t="n">
        <f aca="false">+E104*D104</f>
        <v>55000</v>
      </c>
      <c r="G104" s="178" t="n">
        <f aca="false">F104/10.3</f>
        <v>5339.80582524272</v>
      </c>
      <c r="H104" s="178"/>
      <c r="I104" s="178"/>
      <c r="J104" s="193"/>
      <c r="K104" s="178"/>
      <c r="L104" s="181"/>
      <c r="M104" s="193" t="n">
        <f aca="false">N104*N$8</f>
        <v>29774.4360902256</v>
      </c>
      <c r="N104" s="178" t="n">
        <f aca="false">+$F104/SM134Units</f>
        <v>413.533834586466</v>
      </c>
      <c r="O104" s="181" t="n">
        <f aca="false">+N104/N$11</f>
        <v>0.407021490734711</v>
      </c>
      <c r="P104" s="193" t="n">
        <f aca="false">Q104*Q$8</f>
        <v>25225.5639097744</v>
      </c>
      <c r="Q104" s="178" t="n">
        <f aca="false">+$F104/SM134Units</f>
        <v>413.533834586466</v>
      </c>
      <c r="R104" s="181" t="n">
        <f aca="false">+Q104/Q$11</f>
        <v>0.340918247804177</v>
      </c>
      <c r="S104" s="202" t="n">
        <f aca="false">+P104+M104</f>
        <v>55000</v>
      </c>
      <c r="T104" s="195" t="n">
        <f aca="false">+S104/S$8</f>
        <v>413.533834586466</v>
      </c>
      <c r="U104" s="181" t="n">
        <f aca="false">+S104/U$8</f>
        <v>0.373780964354888</v>
      </c>
      <c r="V104" s="185" t="n">
        <f aca="false">+S104/TotalCost</f>
        <v>0.00432287023303121</v>
      </c>
      <c r="W104" s="186" t="n">
        <f aca="false">+$S104/TotalValue</f>
        <v>0.00354838720665973</v>
      </c>
      <c r="X104" s="187"/>
      <c r="Y104" s="188"/>
      <c r="Z104" s="186"/>
      <c r="AA104" s="186"/>
      <c r="AB104" s="196"/>
      <c r="AC104" s="126"/>
      <c r="AD104" s="186"/>
      <c r="AE104" s="127"/>
      <c r="AF104" s="190" t="s">
        <v>306</v>
      </c>
      <c r="AG104" s="190" t="n">
        <f aca="false">$S104/6</f>
        <v>9166.66666666667</v>
      </c>
      <c r="AH104" s="190"/>
      <c r="AI104" s="190"/>
      <c r="AJ104" s="190"/>
      <c r="AK104" s="178" t="n">
        <f aca="false">SUM(AG104:AJ104)</f>
        <v>9166.66666666667</v>
      </c>
      <c r="AL104" s="190" t="n">
        <f aca="false">$S104/6</f>
        <v>9166.66666666667</v>
      </c>
      <c r="AM104" s="190"/>
      <c r="AN104" s="191"/>
      <c r="AO104" s="191"/>
      <c r="AP104" s="178" t="n">
        <f aca="false">SUM(AL104:AO104)</f>
        <v>9166.66666666667</v>
      </c>
      <c r="AQ104" s="190" t="n">
        <f aca="false">$S104/6</f>
        <v>9166.66666666667</v>
      </c>
      <c r="AR104" s="191"/>
      <c r="AS104" s="191"/>
      <c r="AT104" s="191"/>
      <c r="AU104" s="178" t="n">
        <f aca="false">SUM(AQ104:AT104)</f>
        <v>9166.66666666667</v>
      </c>
      <c r="AV104" s="190" t="n">
        <f aca="false">$S104/6</f>
        <v>9166.66666666667</v>
      </c>
      <c r="AW104" s="190"/>
      <c r="AX104" s="190"/>
      <c r="AY104" s="190"/>
      <c r="AZ104" s="178" t="n">
        <f aca="false">SUM(AV104:AY104)</f>
        <v>9166.66666666667</v>
      </c>
      <c r="BA104" s="190" t="n">
        <f aca="false">$S104/6</f>
        <v>9166.66666666667</v>
      </c>
      <c r="BB104" s="190"/>
      <c r="BC104" s="191"/>
      <c r="BD104" s="191"/>
      <c r="BE104" s="178" t="n">
        <f aca="false">SUM(BA104:BD104)</f>
        <v>9166.66666666667</v>
      </c>
      <c r="BF104" s="190" t="n">
        <f aca="false">$S104/6</f>
        <v>9166.66666666667</v>
      </c>
      <c r="BG104" s="191"/>
      <c r="BH104" s="191"/>
      <c r="BI104" s="191"/>
      <c r="BJ104" s="178" t="n">
        <f aca="false">SUM(BF104:BI104)</f>
        <v>9166.66666666667</v>
      </c>
      <c r="BK104" s="191"/>
      <c r="BL104" s="191"/>
      <c r="BM104" s="191"/>
      <c r="BN104" s="191"/>
      <c r="BO104" s="178" t="n">
        <f aca="false">SUM(BK104:BN104)</f>
        <v>0</v>
      </c>
      <c r="BP104" s="191"/>
      <c r="BQ104" s="191"/>
      <c r="BR104" s="191"/>
      <c r="BS104" s="191"/>
      <c r="BT104" s="178" t="n">
        <f aca="false">SUM(BP104:BS104)</f>
        <v>0</v>
      </c>
      <c r="BU104" s="191"/>
      <c r="BV104" s="191"/>
      <c r="BW104" s="191"/>
      <c r="BX104" s="191"/>
      <c r="BY104" s="178" t="n">
        <f aca="false">SUM(BU104:BX104)</f>
        <v>0</v>
      </c>
      <c r="BZ104" s="191"/>
      <c r="CA104" s="191"/>
      <c r="CB104" s="191"/>
      <c r="CC104" s="191"/>
      <c r="CD104" s="178" t="n">
        <f aca="false">SUM(BZ104:CC104)</f>
        <v>0</v>
      </c>
      <c r="CE104" s="191"/>
      <c r="CF104" s="191"/>
      <c r="CG104" s="191"/>
      <c r="CH104" s="191"/>
      <c r="CI104" s="178" t="n">
        <f aca="false">SUM(CE104:CH104)</f>
        <v>0</v>
      </c>
      <c r="CJ104" s="191"/>
      <c r="CK104" s="191"/>
      <c r="CL104" s="191"/>
      <c r="CM104" s="191"/>
      <c r="CN104" s="178" t="n">
        <f aca="false">SUM(CJ104:CM104)</f>
        <v>0</v>
      </c>
      <c r="CO104" s="191" t="n">
        <f aca="false">+CN104+CI104+CD104+BY104+BT104+BO104+BJ104+BE104+AZ104+AU104+AP104+AK104</f>
        <v>55000</v>
      </c>
      <c r="CP104" s="191" t="n">
        <f aca="false">S104</f>
        <v>55000</v>
      </c>
      <c r="CQ104" s="192" t="n">
        <f aca="false">+CO104/CP104</f>
        <v>1</v>
      </c>
    </row>
    <row r="105" customFormat="false" ht="12.75" hidden="false" customHeight="false" outlineLevel="0" collapsed="false">
      <c r="A105" s="177"/>
      <c r="B105" s="178" t="s">
        <v>307</v>
      </c>
      <c r="C105" s="178" t="s">
        <v>305</v>
      </c>
      <c r="D105" s="178" t="n">
        <v>210</v>
      </c>
      <c r="E105" s="181" t="n">
        <v>17</v>
      </c>
      <c r="F105" s="178" t="n">
        <f aca="false">+E105*D105</f>
        <v>3570</v>
      </c>
      <c r="G105" s="178" t="n">
        <f aca="false">F105/10.3</f>
        <v>346.601941747573</v>
      </c>
      <c r="H105" s="178"/>
      <c r="I105" s="178"/>
      <c r="J105" s="193"/>
      <c r="K105" s="178"/>
      <c r="L105" s="181"/>
      <c r="M105" s="193" t="n">
        <f aca="false">N105*N$8</f>
        <v>1932.63157894737</v>
      </c>
      <c r="N105" s="178" t="n">
        <f aca="false">+$F105/SM134Units</f>
        <v>26.8421052631579</v>
      </c>
      <c r="O105" s="181" t="n">
        <f aca="false">+N105/N$11</f>
        <v>0.026419394944053</v>
      </c>
      <c r="P105" s="193" t="n">
        <f aca="false">Q105*Q$8</f>
        <v>1637.36842105263</v>
      </c>
      <c r="Q105" s="178" t="n">
        <f aca="false">+$F105/SM134Units</f>
        <v>26.8421052631579</v>
      </c>
      <c r="R105" s="181" t="n">
        <f aca="false">+Q105/Q$11</f>
        <v>0.0221286935392893</v>
      </c>
      <c r="S105" s="202" t="n">
        <f aca="false">+P105+M105</f>
        <v>3570</v>
      </c>
      <c r="T105" s="195" t="n">
        <f aca="false">+S105/S$8</f>
        <v>26.8421052631579</v>
      </c>
      <c r="U105" s="181" t="n">
        <f aca="false">+S105/U$8</f>
        <v>0.0242617825953991</v>
      </c>
      <c r="V105" s="185" t="n">
        <f aca="false">+S105/TotalCost</f>
        <v>0.000280593576944026</v>
      </c>
      <c r="W105" s="186" t="n">
        <f aca="false">+$S105/TotalValue</f>
        <v>0.000230322587777732</v>
      </c>
      <c r="X105" s="187"/>
      <c r="Y105" s="188"/>
      <c r="Z105" s="186"/>
      <c r="AA105" s="186"/>
      <c r="AB105" s="196"/>
      <c r="AC105" s="126"/>
      <c r="AD105" s="186"/>
      <c r="AE105" s="127"/>
      <c r="AF105" s="190" t="s">
        <v>307</v>
      </c>
      <c r="AG105" s="190" t="n">
        <f aca="false">$S105/6</f>
        <v>595</v>
      </c>
      <c r="AH105" s="190"/>
      <c r="AI105" s="190"/>
      <c r="AJ105" s="190"/>
      <c r="AK105" s="178" t="n">
        <f aca="false">SUM(AG105:AJ105)</f>
        <v>595</v>
      </c>
      <c r="AL105" s="190" t="n">
        <f aca="false">$S105/6</f>
        <v>595</v>
      </c>
      <c r="AM105" s="190"/>
      <c r="AN105" s="191"/>
      <c r="AO105" s="191"/>
      <c r="AP105" s="178" t="n">
        <f aca="false">SUM(AL105:AO105)</f>
        <v>595</v>
      </c>
      <c r="AQ105" s="190" t="n">
        <f aca="false">$S105/6</f>
        <v>595</v>
      </c>
      <c r="AR105" s="191"/>
      <c r="AS105" s="191"/>
      <c r="AT105" s="191"/>
      <c r="AU105" s="178" t="n">
        <f aca="false">SUM(AQ105:AT105)</f>
        <v>595</v>
      </c>
      <c r="AV105" s="190" t="n">
        <f aca="false">$S105/6</f>
        <v>595</v>
      </c>
      <c r="AW105" s="190"/>
      <c r="AX105" s="190"/>
      <c r="AY105" s="190"/>
      <c r="AZ105" s="178" t="n">
        <f aca="false">SUM(AV105:AY105)</f>
        <v>595</v>
      </c>
      <c r="BA105" s="190" t="n">
        <f aca="false">$S105/6</f>
        <v>595</v>
      </c>
      <c r="BB105" s="190"/>
      <c r="BC105" s="191"/>
      <c r="BD105" s="191"/>
      <c r="BE105" s="178" t="n">
        <f aca="false">SUM(BA105:BD105)</f>
        <v>595</v>
      </c>
      <c r="BF105" s="190" t="n">
        <f aca="false">$S105/6</f>
        <v>595</v>
      </c>
      <c r="BG105" s="191"/>
      <c r="BH105" s="191"/>
      <c r="BI105" s="191"/>
      <c r="BJ105" s="178" t="n">
        <f aca="false">SUM(BF105:BI105)</f>
        <v>595</v>
      </c>
      <c r="BK105" s="191"/>
      <c r="BL105" s="191"/>
      <c r="BM105" s="191"/>
      <c r="BN105" s="191"/>
      <c r="BO105" s="178" t="n">
        <f aca="false">SUM(BK105:BN105)</f>
        <v>0</v>
      </c>
      <c r="BP105" s="191"/>
      <c r="BQ105" s="191"/>
      <c r="BR105" s="191"/>
      <c r="BS105" s="191"/>
      <c r="BT105" s="178" t="n">
        <f aca="false">SUM(BP105:BS105)</f>
        <v>0</v>
      </c>
      <c r="BU105" s="191"/>
      <c r="BV105" s="191"/>
      <c r="BW105" s="191"/>
      <c r="BX105" s="191"/>
      <c r="BY105" s="178" t="n">
        <f aca="false">SUM(BU105:BX105)</f>
        <v>0</v>
      </c>
      <c r="BZ105" s="191"/>
      <c r="CA105" s="191"/>
      <c r="CB105" s="191"/>
      <c r="CC105" s="191"/>
      <c r="CD105" s="178" t="n">
        <f aca="false">SUM(BZ105:CC105)</f>
        <v>0</v>
      </c>
      <c r="CE105" s="191"/>
      <c r="CF105" s="191"/>
      <c r="CG105" s="191"/>
      <c r="CH105" s="191"/>
      <c r="CI105" s="178" t="n">
        <f aca="false">SUM(CE105:CH105)</f>
        <v>0</v>
      </c>
      <c r="CJ105" s="191"/>
      <c r="CK105" s="191"/>
      <c r="CL105" s="191"/>
      <c r="CM105" s="191"/>
      <c r="CN105" s="178" t="n">
        <f aca="false">SUM(CJ105:CM105)</f>
        <v>0</v>
      </c>
      <c r="CO105" s="191" t="n">
        <f aca="false">+CN105+CI105+CD105+BY105+BT105+BO105+BJ105+BE105+AZ105+AU105+AP105+AK105</f>
        <v>3570</v>
      </c>
      <c r="CP105" s="191" t="n">
        <f aca="false">S105</f>
        <v>3570</v>
      </c>
      <c r="CQ105" s="192" t="n">
        <f aca="false">+CO105/CP105</f>
        <v>1</v>
      </c>
    </row>
    <row r="106" customFormat="false" ht="12.75" hidden="false" customHeight="false" outlineLevel="0" collapsed="false">
      <c r="A106" s="177"/>
      <c r="B106" s="178" t="s">
        <v>308</v>
      </c>
      <c r="C106" s="178" t="s">
        <v>309</v>
      </c>
      <c r="D106" s="178" t="n">
        <v>134</v>
      </c>
      <c r="E106" s="178" t="n">
        <v>600</v>
      </c>
      <c r="F106" s="178" t="n">
        <f aca="false">+E106*D106</f>
        <v>80400</v>
      </c>
      <c r="G106" s="178" t="n">
        <f aca="false">F106/10.3</f>
        <v>7805.82524271845</v>
      </c>
      <c r="H106" s="178"/>
      <c r="I106" s="178"/>
      <c r="J106" s="193"/>
      <c r="K106" s="178"/>
      <c r="L106" s="181"/>
      <c r="M106" s="193" t="n">
        <f aca="false">N106*N$8</f>
        <v>43524.8120300752</v>
      </c>
      <c r="N106" s="178" t="n">
        <f aca="false">+$F106/SM134Units</f>
        <v>604.511278195489</v>
      </c>
      <c r="O106" s="181" t="n">
        <f aca="false">+N106/N$11</f>
        <v>0.594991415546741</v>
      </c>
      <c r="P106" s="193" t="n">
        <f aca="false">Q106*Q$8</f>
        <v>36875.1879699248</v>
      </c>
      <c r="Q106" s="178" t="n">
        <f aca="false">+$F106/SM134Units</f>
        <v>604.511278195489</v>
      </c>
      <c r="R106" s="181" t="n">
        <f aca="false">+Q106/Q$11</f>
        <v>0.498360493153742</v>
      </c>
      <c r="S106" s="202" t="n">
        <f aca="false">+P106+M106</f>
        <v>80400</v>
      </c>
      <c r="T106" s="195" t="n">
        <f aca="false">+S106/S$8</f>
        <v>604.511278195489</v>
      </c>
      <c r="U106" s="181" t="n">
        <f aca="false">+S106/U$8</f>
        <v>0.546399809711509</v>
      </c>
      <c r="V106" s="185" t="n">
        <f aca="false">+S106/TotalCost</f>
        <v>0.00631925030428562</v>
      </c>
      <c r="W106" s="186" t="n">
        <f aca="false">+$S106/TotalValue</f>
        <v>0.00518709693482623</v>
      </c>
      <c r="X106" s="187"/>
      <c r="Y106" s="188"/>
      <c r="Z106" s="186"/>
      <c r="AA106" s="186"/>
      <c r="AB106" s="196"/>
      <c r="AC106" s="126"/>
      <c r="AD106" s="186"/>
      <c r="AE106" s="127"/>
      <c r="AF106" s="190" t="s">
        <v>308</v>
      </c>
      <c r="AG106" s="190" t="n">
        <f aca="false">$S106/6</f>
        <v>13400</v>
      </c>
      <c r="AH106" s="190"/>
      <c r="AI106" s="190"/>
      <c r="AJ106" s="190"/>
      <c r="AK106" s="178" t="n">
        <f aca="false">SUM(AG106:AJ106)</f>
        <v>13400</v>
      </c>
      <c r="AL106" s="190" t="n">
        <f aca="false">$S106/6</f>
        <v>13400</v>
      </c>
      <c r="AM106" s="190"/>
      <c r="AN106" s="191"/>
      <c r="AO106" s="191"/>
      <c r="AP106" s="178" t="n">
        <f aca="false">SUM(AL106:AO106)</f>
        <v>13400</v>
      </c>
      <c r="AQ106" s="190" t="n">
        <f aca="false">$S106/6</f>
        <v>13400</v>
      </c>
      <c r="AR106" s="191"/>
      <c r="AS106" s="191"/>
      <c r="AT106" s="191"/>
      <c r="AU106" s="178" t="n">
        <f aca="false">SUM(AQ106:AT106)</f>
        <v>13400</v>
      </c>
      <c r="AV106" s="190" t="n">
        <f aca="false">$S106/6</f>
        <v>13400</v>
      </c>
      <c r="AW106" s="190"/>
      <c r="AX106" s="190"/>
      <c r="AY106" s="190"/>
      <c r="AZ106" s="178" t="n">
        <f aca="false">SUM(AV106:AY106)</f>
        <v>13400</v>
      </c>
      <c r="BA106" s="190" t="n">
        <f aca="false">$S106/6</f>
        <v>13400</v>
      </c>
      <c r="BB106" s="190"/>
      <c r="BC106" s="191"/>
      <c r="BD106" s="191"/>
      <c r="BE106" s="178" t="n">
        <f aca="false">SUM(BA106:BD106)</f>
        <v>13400</v>
      </c>
      <c r="BF106" s="190" t="n">
        <f aca="false">$S106/6</f>
        <v>13400</v>
      </c>
      <c r="BG106" s="191"/>
      <c r="BH106" s="191"/>
      <c r="BI106" s="191"/>
      <c r="BJ106" s="178" t="n">
        <f aca="false">SUM(BF106:BI106)</f>
        <v>13400</v>
      </c>
      <c r="BK106" s="191"/>
      <c r="BL106" s="191"/>
      <c r="BM106" s="191"/>
      <c r="BN106" s="191"/>
      <c r="BO106" s="178" t="n">
        <f aca="false">SUM(BK106:BN106)</f>
        <v>0</v>
      </c>
      <c r="BP106" s="191"/>
      <c r="BQ106" s="191"/>
      <c r="BR106" s="191"/>
      <c r="BS106" s="191"/>
      <c r="BT106" s="178" t="n">
        <f aca="false">SUM(BP106:BS106)</f>
        <v>0</v>
      </c>
      <c r="BU106" s="191"/>
      <c r="BV106" s="191"/>
      <c r="BW106" s="191"/>
      <c r="BX106" s="191"/>
      <c r="BY106" s="178" t="n">
        <f aca="false">SUM(BU106:BX106)</f>
        <v>0</v>
      </c>
      <c r="BZ106" s="191"/>
      <c r="CA106" s="191"/>
      <c r="CB106" s="191"/>
      <c r="CC106" s="191"/>
      <c r="CD106" s="178" t="n">
        <f aca="false">SUM(BZ106:CC106)</f>
        <v>0</v>
      </c>
      <c r="CE106" s="191"/>
      <c r="CF106" s="191"/>
      <c r="CG106" s="191"/>
      <c r="CH106" s="191"/>
      <c r="CI106" s="178" t="n">
        <f aca="false">SUM(CE106:CH106)</f>
        <v>0</v>
      </c>
      <c r="CJ106" s="191"/>
      <c r="CK106" s="191"/>
      <c r="CL106" s="191"/>
      <c r="CM106" s="191"/>
      <c r="CN106" s="178" t="n">
        <f aca="false">SUM(CJ106:CM106)</f>
        <v>0</v>
      </c>
      <c r="CO106" s="191" t="n">
        <f aca="false">+CN106+CI106+CD106+BY106+BT106+BO106+BJ106+BE106+AZ106+AU106+AP106+AK106</f>
        <v>80400</v>
      </c>
      <c r="CP106" s="191" t="n">
        <f aca="false">S106</f>
        <v>80400</v>
      </c>
      <c r="CQ106" s="192" t="n">
        <f aca="false">+CO106/CP106</f>
        <v>1</v>
      </c>
    </row>
    <row r="107" customFormat="false" ht="12.75" hidden="false" customHeight="false" outlineLevel="0" collapsed="false">
      <c r="A107" s="177"/>
      <c r="B107" s="178" t="s">
        <v>310</v>
      </c>
      <c r="C107" s="178" t="s">
        <v>309</v>
      </c>
      <c r="D107" s="178" t="n">
        <v>2</v>
      </c>
      <c r="E107" s="178" t="n">
        <v>17500</v>
      </c>
      <c r="F107" s="178" t="n">
        <f aca="false">+E107*D107</f>
        <v>35000</v>
      </c>
      <c r="G107" s="178" t="n">
        <f aca="false">F107/10.3</f>
        <v>3398.05825242718</v>
      </c>
      <c r="H107" s="178"/>
      <c r="I107" s="178"/>
      <c r="J107" s="193"/>
      <c r="K107" s="178"/>
      <c r="L107" s="181"/>
      <c r="M107" s="193" t="n">
        <f aca="false">N107*N$8</f>
        <v>18947.3684210526</v>
      </c>
      <c r="N107" s="178" t="n">
        <f aca="false">+$F107/SM134Units</f>
        <v>263.157894736842</v>
      </c>
      <c r="O107" s="181" t="n">
        <f aca="false">+N107/N$11</f>
        <v>0.259013675922089</v>
      </c>
      <c r="P107" s="193" t="n">
        <f aca="false">Q107*Q$8</f>
        <v>16052.6315789474</v>
      </c>
      <c r="Q107" s="178" t="n">
        <f aca="false">+$F107/SM134Units</f>
        <v>263.157894736842</v>
      </c>
      <c r="R107" s="181" t="n">
        <f aca="false">+Q107/Q$11</f>
        <v>0.216947975875385</v>
      </c>
      <c r="S107" s="202" t="n">
        <f aca="false">+P107+M107</f>
        <v>35000</v>
      </c>
      <c r="T107" s="195" t="n">
        <f aca="false">+S107/S$8</f>
        <v>263.157894736842</v>
      </c>
      <c r="U107" s="181" t="n">
        <f aca="false">+S107/U$8</f>
        <v>0.237860613680383</v>
      </c>
      <c r="V107" s="185" t="n">
        <f aca="false">+S107/TotalCost</f>
        <v>0.00275091742101986</v>
      </c>
      <c r="W107" s="186" t="n">
        <f aca="false">+$S107/TotalValue</f>
        <v>0.00225806458605619</v>
      </c>
      <c r="X107" s="187"/>
      <c r="Y107" s="188"/>
      <c r="Z107" s="186"/>
      <c r="AA107" s="186"/>
      <c r="AB107" s="196"/>
      <c r="AC107" s="126"/>
      <c r="AD107" s="186"/>
      <c r="AE107" s="127"/>
      <c r="AF107" s="190" t="s">
        <v>310</v>
      </c>
      <c r="AG107" s="190" t="n">
        <f aca="false">$S107/6</f>
        <v>5833.33333333333</v>
      </c>
      <c r="AH107" s="190"/>
      <c r="AI107" s="190"/>
      <c r="AJ107" s="190"/>
      <c r="AK107" s="178" t="n">
        <f aca="false">SUM(AG107:AJ107)</f>
        <v>5833.33333333333</v>
      </c>
      <c r="AL107" s="190" t="n">
        <f aca="false">$S107/6</f>
        <v>5833.33333333333</v>
      </c>
      <c r="AM107" s="190"/>
      <c r="AN107" s="191"/>
      <c r="AO107" s="191"/>
      <c r="AP107" s="178" t="n">
        <f aca="false">SUM(AL107:AO107)</f>
        <v>5833.33333333333</v>
      </c>
      <c r="AQ107" s="190" t="n">
        <f aca="false">$S107/6</f>
        <v>5833.33333333333</v>
      </c>
      <c r="AR107" s="191"/>
      <c r="AS107" s="191"/>
      <c r="AT107" s="191"/>
      <c r="AU107" s="178" t="n">
        <f aca="false">SUM(AQ107:AT107)</f>
        <v>5833.33333333333</v>
      </c>
      <c r="AV107" s="190" t="n">
        <f aca="false">$S107/6</f>
        <v>5833.33333333333</v>
      </c>
      <c r="AW107" s="190"/>
      <c r="AX107" s="190"/>
      <c r="AY107" s="190"/>
      <c r="AZ107" s="178" t="n">
        <f aca="false">SUM(AV107:AY107)</f>
        <v>5833.33333333333</v>
      </c>
      <c r="BA107" s="190" t="n">
        <f aca="false">$S107/6</f>
        <v>5833.33333333333</v>
      </c>
      <c r="BB107" s="190"/>
      <c r="BC107" s="191"/>
      <c r="BD107" s="191"/>
      <c r="BE107" s="178" t="n">
        <f aca="false">SUM(BA107:BD107)</f>
        <v>5833.33333333333</v>
      </c>
      <c r="BF107" s="190" t="n">
        <f aca="false">$S107/6</f>
        <v>5833.33333333333</v>
      </c>
      <c r="BG107" s="191"/>
      <c r="BH107" s="191"/>
      <c r="BI107" s="191"/>
      <c r="BJ107" s="178" t="n">
        <f aca="false">SUM(BF107:BI107)</f>
        <v>5833.33333333333</v>
      </c>
      <c r="BK107" s="191"/>
      <c r="BL107" s="191"/>
      <c r="BM107" s="191"/>
      <c r="BN107" s="191"/>
      <c r="BO107" s="178" t="n">
        <f aca="false">SUM(BK107:BN107)</f>
        <v>0</v>
      </c>
      <c r="BP107" s="191"/>
      <c r="BQ107" s="191"/>
      <c r="BR107" s="191"/>
      <c r="BS107" s="191"/>
      <c r="BT107" s="178" t="n">
        <f aca="false">SUM(BP107:BS107)</f>
        <v>0</v>
      </c>
      <c r="BU107" s="191"/>
      <c r="BV107" s="191"/>
      <c r="BW107" s="191"/>
      <c r="BX107" s="191"/>
      <c r="BY107" s="178" t="n">
        <f aca="false">SUM(BU107:BX107)</f>
        <v>0</v>
      </c>
      <c r="BZ107" s="191"/>
      <c r="CA107" s="191"/>
      <c r="CB107" s="191"/>
      <c r="CC107" s="191"/>
      <c r="CD107" s="178" t="n">
        <f aca="false">SUM(BZ107:CC107)</f>
        <v>0</v>
      </c>
      <c r="CE107" s="191"/>
      <c r="CF107" s="191"/>
      <c r="CG107" s="191"/>
      <c r="CH107" s="191"/>
      <c r="CI107" s="178" t="n">
        <f aca="false">SUM(CE107:CH107)</f>
        <v>0</v>
      </c>
      <c r="CJ107" s="191"/>
      <c r="CK107" s="191"/>
      <c r="CL107" s="191"/>
      <c r="CM107" s="191"/>
      <c r="CN107" s="178" t="n">
        <f aca="false">SUM(CJ107:CM107)</f>
        <v>0</v>
      </c>
      <c r="CO107" s="191" t="n">
        <f aca="false">+CN107+CI107+CD107+BY107+BT107+BO107+BJ107+BE107+AZ107+AU107+AP107+AK107</f>
        <v>35000</v>
      </c>
      <c r="CP107" s="191" t="n">
        <f aca="false">S107</f>
        <v>35000</v>
      </c>
      <c r="CQ107" s="192" t="n">
        <f aca="false">+CO107/CP107</f>
        <v>1</v>
      </c>
    </row>
    <row r="108" customFormat="false" ht="12.75" hidden="false" customHeight="false" outlineLevel="0" collapsed="false">
      <c r="A108" s="177"/>
      <c r="B108" s="178" t="s">
        <v>311</v>
      </c>
      <c r="C108" s="178" t="s">
        <v>309</v>
      </c>
      <c r="D108" s="178" t="n">
        <v>9</v>
      </c>
      <c r="E108" s="178" t="n">
        <v>2000</v>
      </c>
      <c r="F108" s="178" t="n">
        <f aca="false">+E108*D108</f>
        <v>18000</v>
      </c>
      <c r="G108" s="178" t="n">
        <f aca="false">F108/10.3</f>
        <v>1747.57281553398</v>
      </c>
      <c r="H108" s="178"/>
      <c r="I108" s="178"/>
      <c r="J108" s="193"/>
      <c r="K108" s="178"/>
      <c r="L108" s="181"/>
      <c r="M108" s="193" t="n">
        <f aca="false">N108*N$8</f>
        <v>9744.36090225564</v>
      </c>
      <c r="N108" s="178" t="n">
        <f aca="false">+$F108/SM134Units</f>
        <v>135.338345864662</v>
      </c>
      <c r="O108" s="181" t="n">
        <f aca="false">+N108/N$11</f>
        <v>0.13320703333136</v>
      </c>
      <c r="P108" s="193" t="n">
        <f aca="false">Q108*Q$8</f>
        <v>8255.63909774436</v>
      </c>
      <c r="Q108" s="178" t="n">
        <f aca="false">+$F108/SM134Units</f>
        <v>135.338345864662</v>
      </c>
      <c r="R108" s="181" t="n">
        <f aca="false">+Q108/Q$11</f>
        <v>0.111573244735912</v>
      </c>
      <c r="S108" s="202" t="n">
        <f aca="false">+P108+M108</f>
        <v>18000</v>
      </c>
      <c r="T108" s="195" t="n">
        <f aca="false">+S108/S$8</f>
        <v>135.338345864662</v>
      </c>
      <c r="U108" s="181" t="n">
        <f aca="false">+S108/U$8</f>
        <v>0.122328315607054</v>
      </c>
      <c r="V108" s="185" t="n">
        <f aca="false">+S108/TotalCost</f>
        <v>0.00141475753081021</v>
      </c>
      <c r="W108" s="186" t="n">
        <f aca="false">+$S108/TotalValue</f>
        <v>0.00116129035854319</v>
      </c>
      <c r="X108" s="187"/>
      <c r="Y108" s="188"/>
      <c r="Z108" s="186"/>
      <c r="AA108" s="186"/>
      <c r="AB108" s="196"/>
      <c r="AC108" s="126"/>
      <c r="AD108" s="186"/>
      <c r="AE108" s="127"/>
      <c r="AF108" s="190" t="s">
        <v>311</v>
      </c>
      <c r="AG108" s="190" t="n">
        <f aca="false">$S108/6</f>
        <v>3000</v>
      </c>
      <c r="AH108" s="190"/>
      <c r="AI108" s="190"/>
      <c r="AJ108" s="190"/>
      <c r="AK108" s="178" t="n">
        <f aca="false">SUM(AG108:AJ108)</f>
        <v>3000</v>
      </c>
      <c r="AL108" s="190" t="n">
        <f aca="false">$S108/6</f>
        <v>3000</v>
      </c>
      <c r="AM108" s="190"/>
      <c r="AN108" s="191"/>
      <c r="AO108" s="191"/>
      <c r="AP108" s="178" t="n">
        <f aca="false">SUM(AL108:AO108)</f>
        <v>3000</v>
      </c>
      <c r="AQ108" s="190" t="n">
        <f aca="false">$S108/6</f>
        <v>3000</v>
      </c>
      <c r="AR108" s="191"/>
      <c r="AS108" s="191"/>
      <c r="AT108" s="191"/>
      <c r="AU108" s="178" t="n">
        <f aca="false">SUM(AQ108:AT108)</f>
        <v>3000</v>
      </c>
      <c r="AV108" s="190" t="n">
        <f aca="false">$S108/6</f>
        <v>3000</v>
      </c>
      <c r="AW108" s="190"/>
      <c r="AX108" s="190"/>
      <c r="AY108" s="190"/>
      <c r="AZ108" s="178" t="n">
        <f aca="false">SUM(AV108:AY108)</f>
        <v>3000</v>
      </c>
      <c r="BA108" s="190" t="n">
        <f aca="false">$S108/6</f>
        <v>3000</v>
      </c>
      <c r="BB108" s="190"/>
      <c r="BC108" s="191"/>
      <c r="BD108" s="191"/>
      <c r="BE108" s="178" t="n">
        <f aca="false">SUM(BA108:BD108)</f>
        <v>3000</v>
      </c>
      <c r="BF108" s="190" t="n">
        <f aca="false">$S108/6</f>
        <v>3000</v>
      </c>
      <c r="BG108" s="191"/>
      <c r="BH108" s="191"/>
      <c r="BI108" s="191"/>
      <c r="BJ108" s="178" t="n">
        <f aca="false">SUM(BF108:BI108)</f>
        <v>3000</v>
      </c>
      <c r="BK108" s="191"/>
      <c r="BL108" s="191"/>
      <c r="BM108" s="191"/>
      <c r="BN108" s="191"/>
      <c r="BO108" s="178" t="n">
        <f aca="false">SUM(BK108:BN108)</f>
        <v>0</v>
      </c>
      <c r="BP108" s="191"/>
      <c r="BQ108" s="191"/>
      <c r="BR108" s="191"/>
      <c r="BS108" s="191"/>
      <c r="BT108" s="178" t="n">
        <f aca="false">SUM(BP108:BS108)</f>
        <v>0</v>
      </c>
      <c r="BU108" s="191"/>
      <c r="BV108" s="191"/>
      <c r="BW108" s="191"/>
      <c r="BX108" s="191"/>
      <c r="BY108" s="178" t="n">
        <f aca="false">SUM(BU108:BX108)</f>
        <v>0</v>
      </c>
      <c r="BZ108" s="191"/>
      <c r="CA108" s="191"/>
      <c r="CB108" s="191"/>
      <c r="CC108" s="191"/>
      <c r="CD108" s="178" t="n">
        <f aca="false">SUM(BZ108:CC108)</f>
        <v>0</v>
      </c>
      <c r="CE108" s="191"/>
      <c r="CF108" s="191"/>
      <c r="CG108" s="191"/>
      <c r="CH108" s="191"/>
      <c r="CI108" s="178" t="n">
        <f aca="false">SUM(CE108:CH108)</f>
        <v>0</v>
      </c>
      <c r="CJ108" s="191"/>
      <c r="CK108" s="191"/>
      <c r="CL108" s="191"/>
      <c r="CM108" s="191"/>
      <c r="CN108" s="178" t="n">
        <f aca="false">SUM(CJ108:CM108)</f>
        <v>0</v>
      </c>
      <c r="CO108" s="191" t="n">
        <f aca="false">+CN108+CI108+CD108+BY108+BT108+BO108+BJ108+BE108+AZ108+AU108+AP108+AK108</f>
        <v>18000</v>
      </c>
      <c r="CP108" s="191" t="n">
        <f aca="false">S108</f>
        <v>18000</v>
      </c>
      <c r="CQ108" s="192" t="n">
        <f aca="false">+CO108/CP108</f>
        <v>1</v>
      </c>
    </row>
    <row r="109" customFormat="false" ht="12.75" hidden="false" customHeight="false" outlineLevel="0" collapsed="false">
      <c r="A109" s="177"/>
      <c r="B109" s="178" t="s">
        <v>312</v>
      </c>
      <c r="C109" s="178" t="s">
        <v>305</v>
      </c>
      <c r="D109" s="178" t="n">
        <v>1860</v>
      </c>
      <c r="E109" s="181" t="n">
        <v>25</v>
      </c>
      <c r="F109" s="178" t="n">
        <f aca="false">+E109*D109</f>
        <v>46500</v>
      </c>
      <c r="G109" s="178" t="n">
        <f aca="false">F109/10.3</f>
        <v>4514.56310679612</v>
      </c>
      <c r="H109" s="178"/>
      <c r="I109" s="178"/>
      <c r="J109" s="193"/>
      <c r="K109" s="178"/>
      <c r="L109" s="181"/>
      <c r="M109" s="193" t="n">
        <f aca="false">N109*N$8</f>
        <v>25172.9323308271</v>
      </c>
      <c r="N109" s="178" t="n">
        <f aca="false">+$F109/SM134Units</f>
        <v>349.624060150376</v>
      </c>
      <c r="O109" s="181" t="n">
        <f aca="false">+N109/N$11</f>
        <v>0.344118169439346</v>
      </c>
      <c r="P109" s="193" t="n">
        <f aca="false">Q109*Q$8</f>
        <v>21327.0676691729</v>
      </c>
      <c r="Q109" s="178" t="n">
        <f aca="false">+$F109/SM134Units</f>
        <v>349.624060150376</v>
      </c>
      <c r="R109" s="181" t="n">
        <f aca="false">+Q109/Q$11</f>
        <v>0.28823088223444</v>
      </c>
      <c r="S109" s="202" t="n">
        <f aca="false">+P109+M109</f>
        <v>46500</v>
      </c>
      <c r="T109" s="195" t="n">
        <f aca="false">+S109/S$8</f>
        <v>349.624060150376</v>
      </c>
      <c r="U109" s="181" t="n">
        <f aca="false">+S109/U$8</f>
        <v>0.316014815318224</v>
      </c>
      <c r="V109" s="185" t="n">
        <f aca="false">+S109/TotalCost</f>
        <v>0.00365479028792638</v>
      </c>
      <c r="W109" s="186" t="n">
        <f aca="false">+$S109/TotalValue</f>
        <v>0.00300000009290323</v>
      </c>
      <c r="X109" s="187"/>
      <c r="Y109" s="188"/>
      <c r="Z109" s="186"/>
      <c r="AA109" s="186"/>
      <c r="AB109" s="196"/>
      <c r="AC109" s="126"/>
      <c r="AD109" s="186"/>
      <c r="AE109" s="127"/>
      <c r="AF109" s="190" t="s">
        <v>312</v>
      </c>
      <c r="AG109" s="190" t="n">
        <f aca="false">$S109/6</f>
        <v>7750</v>
      </c>
      <c r="AH109" s="190"/>
      <c r="AI109" s="190"/>
      <c r="AJ109" s="190"/>
      <c r="AK109" s="178" t="n">
        <f aca="false">SUM(AG109:AJ109)</f>
        <v>7750</v>
      </c>
      <c r="AL109" s="190" t="n">
        <f aca="false">$S109/6</f>
        <v>7750</v>
      </c>
      <c r="AM109" s="190"/>
      <c r="AN109" s="191"/>
      <c r="AO109" s="191"/>
      <c r="AP109" s="178" t="n">
        <f aca="false">SUM(AL109:AO109)</f>
        <v>7750</v>
      </c>
      <c r="AQ109" s="190" t="n">
        <f aca="false">$S109/6</f>
        <v>7750</v>
      </c>
      <c r="AR109" s="191"/>
      <c r="AS109" s="191"/>
      <c r="AT109" s="191"/>
      <c r="AU109" s="178" t="n">
        <f aca="false">SUM(AQ109:AT109)</f>
        <v>7750</v>
      </c>
      <c r="AV109" s="190" t="n">
        <f aca="false">$S109/6</f>
        <v>7750</v>
      </c>
      <c r="AW109" s="190"/>
      <c r="AX109" s="190"/>
      <c r="AY109" s="190"/>
      <c r="AZ109" s="178" t="n">
        <f aca="false">SUM(AV109:AY109)</f>
        <v>7750</v>
      </c>
      <c r="BA109" s="190" t="n">
        <f aca="false">$S109/6</f>
        <v>7750</v>
      </c>
      <c r="BB109" s="190"/>
      <c r="BC109" s="191"/>
      <c r="BD109" s="191"/>
      <c r="BE109" s="178" t="n">
        <f aca="false">SUM(BA109:BD109)</f>
        <v>7750</v>
      </c>
      <c r="BF109" s="190" t="n">
        <f aca="false">$S109/6</f>
        <v>7750</v>
      </c>
      <c r="BG109" s="191"/>
      <c r="BH109" s="191"/>
      <c r="BI109" s="191"/>
      <c r="BJ109" s="178" t="n">
        <f aca="false">SUM(BF109:BI109)</f>
        <v>7750</v>
      </c>
      <c r="BK109" s="191"/>
      <c r="BL109" s="191"/>
      <c r="BM109" s="191"/>
      <c r="BN109" s="191"/>
      <c r="BO109" s="178" t="n">
        <f aca="false">SUM(BK109:BN109)</f>
        <v>0</v>
      </c>
      <c r="BP109" s="191"/>
      <c r="BQ109" s="191"/>
      <c r="BR109" s="191"/>
      <c r="BS109" s="191"/>
      <c r="BT109" s="178" t="n">
        <f aca="false">SUM(BP109:BS109)</f>
        <v>0</v>
      </c>
      <c r="BU109" s="191"/>
      <c r="BV109" s="191"/>
      <c r="BW109" s="191"/>
      <c r="BX109" s="191"/>
      <c r="BY109" s="178" t="n">
        <f aca="false">SUM(BU109:BX109)</f>
        <v>0</v>
      </c>
      <c r="BZ109" s="191"/>
      <c r="CA109" s="191"/>
      <c r="CB109" s="191"/>
      <c r="CC109" s="191"/>
      <c r="CD109" s="178" t="n">
        <f aca="false">SUM(BZ109:CC109)</f>
        <v>0</v>
      </c>
      <c r="CE109" s="191"/>
      <c r="CF109" s="191"/>
      <c r="CG109" s="191"/>
      <c r="CH109" s="191"/>
      <c r="CI109" s="178" t="n">
        <f aca="false">SUM(CE109:CH109)</f>
        <v>0</v>
      </c>
      <c r="CJ109" s="191"/>
      <c r="CK109" s="191"/>
      <c r="CL109" s="191"/>
      <c r="CM109" s="191"/>
      <c r="CN109" s="178" t="n">
        <f aca="false">SUM(CJ109:CM109)</f>
        <v>0</v>
      </c>
      <c r="CO109" s="191" t="n">
        <f aca="false">+CN109+CI109+CD109+BY109+BT109+BO109+BJ109+BE109+AZ109+AU109+AP109+AK109</f>
        <v>46500</v>
      </c>
      <c r="CP109" s="191" t="n">
        <f aca="false">S109</f>
        <v>46500</v>
      </c>
      <c r="CQ109" s="192" t="n">
        <f aca="false">+CO109/CP109</f>
        <v>1</v>
      </c>
    </row>
    <row r="110" customFormat="false" ht="12.75" hidden="false" customHeight="false" outlineLevel="0" collapsed="false">
      <c r="A110" s="177"/>
      <c r="B110" s="178" t="s">
        <v>313</v>
      </c>
      <c r="C110" s="178" t="s">
        <v>309</v>
      </c>
      <c r="D110" s="178" t="n">
        <v>12</v>
      </c>
      <c r="E110" s="178" t="n">
        <v>2000</v>
      </c>
      <c r="F110" s="178" t="n">
        <f aca="false">+E110*D110</f>
        <v>24000</v>
      </c>
      <c r="G110" s="178" t="n">
        <f aca="false">F110/10.3</f>
        <v>2330.09708737864</v>
      </c>
      <c r="H110" s="178"/>
      <c r="I110" s="178"/>
      <c r="J110" s="193"/>
      <c r="K110" s="178"/>
      <c r="L110" s="181"/>
      <c r="M110" s="193" t="n">
        <f aca="false">N110*N$8</f>
        <v>12992.4812030075</v>
      </c>
      <c r="N110" s="178" t="n">
        <f aca="false">+$F110/SM134Units</f>
        <v>180.451127819549</v>
      </c>
      <c r="O110" s="181" t="n">
        <f aca="false">+N110/N$11</f>
        <v>0.177609377775147</v>
      </c>
      <c r="P110" s="193" t="n">
        <f aca="false">Q110*Q$8</f>
        <v>11007.5187969925</v>
      </c>
      <c r="Q110" s="178" t="n">
        <f aca="false">+$F110/SM134Units</f>
        <v>180.451127819549</v>
      </c>
      <c r="R110" s="181" t="n">
        <f aca="false">+Q110/Q$11</f>
        <v>0.14876432631455</v>
      </c>
      <c r="S110" s="202" t="n">
        <f aca="false">+P110+M110</f>
        <v>24000</v>
      </c>
      <c r="T110" s="195" t="n">
        <f aca="false">+S110/S$8</f>
        <v>180.451127819549</v>
      </c>
      <c r="U110" s="181" t="n">
        <f aca="false">+S110/U$8</f>
        <v>0.163104420809406</v>
      </c>
      <c r="V110" s="185" t="n">
        <f aca="false">+S110/TotalCost</f>
        <v>0.00188634337441362</v>
      </c>
      <c r="W110" s="186" t="n">
        <f aca="false">+$S110/TotalValue</f>
        <v>0.00154838714472425</v>
      </c>
      <c r="X110" s="187"/>
      <c r="Y110" s="188"/>
      <c r="Z110" s="186"/>
      <c r="AA110" s="186"/>
      <c r="AB110" s="196"/>
      <c r="AC110" s="126"/>
      <c r="AD110" s="186"/>
      <c r="AE110" s="127"/>
      <c r="AF110" s="190" t="s">
        <v>313</v>
      </c>
      <c r="AG110" s="190" t="n">
        <f aca="false">$S110/6</f>
        <v>4000</v>
      </c>
      <c r="AH110" s="190"/>
      <c r="AI110" s="190"/>
      <c r="AJ110" s="190"/>
      <c r="AK110" s="178" t="n">
        <f aca="false">SUM(AG110:AJ110)</f>
        <v>4000</v>
      </c>
      <c r="AL110" s="190" t="n">
        <f aca="false">$S110/6</f>
        <v>4000</v>
      </c>
      <c r="AM110" s="190"/>
      <c r="AN110" s="191"/>
      <c r="AO110" s="191"/>
      <c r="AP110" s="178" t="n">
        <f aca="false">SUM(AL110:AO110)</f>
        <v>4000</v>
      </c>
      <c r="AQ110" s="190" t="n">
        <f aca="false">$S110/6</f>
        <v>4000</v>
      </c>
      <c r="AR110" s="191"/>
      <c r="AS110" s="191"/>
      <c r="AT110" s="191"/>
      <c r="AU110" s="178" t="n">
        <f aca="false">SUM(AQ110:AT110)</f>
        <v>4000</v>
      </c>
      <c r="AV110" s="190" t="n">
        <f aca="false">$S110/6</f>
        <v>4000</v>
      </c>
      <c r="AW110" s="190"/>
      <c r="AX110" s="190"/>
      <c r="AY110" s="190"/>
      <c r="AZ110" s="178" t="n">
        <f aca="false">SUM(AV110:AY110)</f>
        <v>4000</v>
      </c>
      <c r="BA110" s="190" t="n">
        <f aca="false">$S110/6</f>
        <v>4000</v>
      </c>
      <c r="BB110" s="190"/>
      <c r="BC110" s="191"/>
      <c r="BD110" s="191"/>
      <c r="BE110" s="178" t="n">
        <f aca="false">SUM(BA110:BD110)</f>
        <v>4000</v>
      </c>
      <c r="BF110" s="190" t="n">
        <f aca="false">$S110/6</f>
        <v>4000</v>
      </c>
      <c r="BG110" s="191"/>
      <c r="BH110" s="191"/>
      <c r="BI110" s="191"/>
      <c r="BJ110" s="178" t="n">
        <f aca="false">SUM(BF110:BI110)</f>
        <v>4000</v>
      </c>
      <c r="BK110" s="191"/>
      <c r="BL110" s="191"/>
      <c r="BM110" s="191"/>
      <c r="BN110" s="191"/>
      <c r="BO110" s="178" t="n">
        <f aca="false">SUM(BK110:BN110)</f>
        <v>0</v>
      </c>
      <c r="BP110" s="191"/>
      <c r="BQ110" s="191"/>
      <c r="BR110" s="191"/>
      <c r="BS110" s="191"/>
      <c r="BT110" s="178" t="n">
        <f aca="false">SUM(BP110:BS110)</f>
        <v>0</v>
      </c>
      <c r="BU110" s="191"/>
      <c r="BV110" s="191"/>
      <c r="BW110" s="191"/>
      <c r="BX110" s="191"/>
      <c r="BY110" s="178" t="n">
        <f aca="false">SUM(BU110:BX110)</f>
        <v>0</v>
      </c>
      <c r="BZ110" s="191"/>
      <c r="CA110" s="191"/>
      <c r="CB110" s="191"/>
      <c r="CC110" s="191"/>
      <c r="CD110" s="178" t="n">
        <f aca="false">SUM(BZ110:CC110)</f>
        <v>0</v>
      </c>
      <c r="CE110" s="191"/>
      <c r="CF110" s="191"/>
      <c r="CG110" s="191"/>
      <c r="CH110" s="191"/>
      <c r="CI110" s="178" t="n">
        <f aca="false">SUM(CE110:CH110)</f>
        <v>0</v>
      </c>
      <c r="CJ110" s="191"/>
      <c r="CK110" s="191"/>
      <c r="CL110" s="191"/>
      <c r="CM110" s="191"/>
      <c r="CN110" s="178" t="n">
        <f aca="false">SUM(CJ110:CM110)</f>
        <v>0</v>
      </c>
      <c r="CO110" s="191" t="n">
        <f aca="false">+CN110+CI110+CD110+BY110+BT110+BO110+BJ110+BE110+AZ110+AU110+AP110+AK110</f>
        <v>24000</v>
      </c>
      <c r="CP110" s="191" t="n">
        <f aca="false">S110</f>
        <v>24000</v>
      </c>
      <c r="CQ110" s="192" t="n">
        <f aca="false">+CO110/CP110</f>
        <v>1</v>
      </c>
    </row>
    <row r="111" customFormat="false" ht="12.75" hidden="false" customHeight="false" outlineLevel="0" collapsed="false">
      <c r="A111" s="177"/>
      <c r="B111" s="178" t="s">
        <v>314</v>
      </c>
      <c r="C111" s="178" t="s">
        <v>309</v>
      </c>
      <c r="D111" s="178" t="n">
        <v>2</v>
      </c>
      <c r="E111" s="178" t="n">
        <v>2000</v>
      </c>
      <c r="F111" s="178" t="n">
        <f aca="false">+E111*D111</f>
        <v>4000</v>
      </c>
      <c r="G111" s="178" t="n">
        <f aca="false">F111/10.3</f>
        <v>388.349514563107</v>
      </c>
      <c r="H111" s="178"/>
      <c r="I111" s="178"/>
      <c r="J111" s="193"/>
      <c r="K111" s="178"/>
      <c r="L111" s="181"/>
      <c r="M111" s="193" t="n">
        <f aca="false">N111*N$8</f>
        <v>2165.41353383459</v>
      </c>
      <c r="N111" s="178" t="n">
        <f aca="false">+$F111/SM134Units</f>
        <v>30.0751879699248</v>
      </c>
      <c r="O111" s="181" t="n">
        <f aca="false">+N111/N$11</f>
        <v>0.0296015629625244</v>
      </c>
      <c r="P111" s="193" t="n">
        <f aca="false">Q111*Q$8</f>
        <v>1834.58646616541</v>
      </c>
      <c r="Q111" s="178" t="n">
        <f aca="false">+$F111/SM134Units</f>
        <v>30.0751879699248</v>
      </c>
      <c r="R111" s="181" t="n">
        <f aca="false">+Q111/Q$11</f>
        <v>0.0247940543857583</v>
      </c>
      <c r="S111" s="202" t="n">
        <f aca="false">+P111+M111</f>
        <v>4000</v>
      </c>
      <c r="T111" s="195" t="n">
        <f aca="false">+S111/S$8</f>
        <v>30.0751879699248</v>
      </c>
      <c r="U111" s="181" t="n">
        <f aca="false">+S111/U$8</f>
        <v>0.027184070134901</v>
      </c>
      <c r="V111" s="185" t="n">
        <f aca="false">+S111/TotalCost</f>
        <v>0.000314390562402269</v>
      </c>
      <c r="W111" s="186" t="n">
        <f aca="false">+$S111/TotalValue</f>
        <v>0.000258064524120708</v>
      </c>
      <c r="X111" s="187"/>
      <c r="Y111" s="188"/>
      <c r="Z111" s="186"/>
      <c r="AA111" s="186"/>
      <c r="AB111" s="196"/>
      <c r="AC111" s="126"/>
      <c r="AD111" s="186"/>
      <c r="AE111" s="127"/>
      <c r="AF111" s="190" t="s">
        <v>314</v>
      </c>
      <c r="AG111" s="190" t="n">
        <f aca="false">$S111/6</f>
        <v>666.666666666667</v>
      </c>
      <c r="AH111" s="190"/>
      <c r="AI111" s="190"/>
      <c r="AJ111" s="190"/>
      <c r="AK111" s="178" t="n">
        <f aca="false">SUM(AG111:AJ111)</f>
        <v>666.666666666667</v>
      </c>
      <c r="AL111" s="190" t="n">
        <f aca="false">$S111/6</f>
        <v>666.666666666667</v>
      </c>
      <c r="AM111" s="190"/>
      <c r="AN111" s="191"/>
      <c r="AO111" s="191"/>
      <c r="AP111" s="178" t="n">
        <f aca="false">SUM(AL111:AO111)</f>
        <v>666.666666666667</v>
      </c>
      <c r="AQ111" s="190" t="n">
        <f aca="false">$S111/6</f>
        <v>666.666666666667</v>
      </c>
      <c r="AR111" s="191"/>
      <c r="AS111" s="191"/>
      <c r="AT111" s="191"/>
      <c r="AU111" s="178" t="n">
        <f aca="false">SUM(AQ111:AT111)</f>
        <v>666.666666666667</v>
      </c>
      <c r="AV111" s="190" t="n">
        <f aca="false">$S111/6</f>
        <v>666.666666666667</v>
      </c>
      <c r="AW111" s="190"/>
      <c r="AX111" s="190"/>
      <c r="AY111" s="190"/>
      <c r="AZ111" s="178" t="n">
        <f aca="false">SUM(AV111:AY111)</f>
        <v>666.666666666667</v>
      </c>
      <c r="BA111" s="190" t="n">
        <f aca="false">$S111/6</f>
        <v>666.666666666667</v>
      </c>
      <c r="BB111" s="190"/>
      <c r="BC111" s="191"/>
      <c r="BD111" s="191"/>
      <c r="BE111" s="178" t="n">
        <f aca="false">SUM(BA111:BD111)</f>
        <v>666.666666666667</v>
      </c>
      <c r="BF111" s="190" t="n">
        <f aca="false">$S111/6</f>
        <v>666.666666666667</v>
      </c>
      <c r="BG111" s="191"/>
      <c r="BH111" s="191"/>
      <c r="BI111" s="191"/>
      <c r="BJ111" s="178" t="n">
        <f aca="false">SUM(BF111:BI111)</f>
        <v>666.666666666667</v>
      </c>
      <c r="BK111" s="191"/>
      <c r="BL111" s="191"/>
      <c r="BM111" s="191"/>
      <c r="BN111" s="191"/>
      <c r="BO111" s="178" t="n">
        <f aca="false">SUM(BK111:BN111)</f>
        <v>0</v>
      </c>
      <c r="BP111" s="191"/>
      <c r="BQ111" s="191"/>
      <c r="BR111" s="191"/>
      <c r="BS111" s="191"/>
      <c r="BT111" s="178" t="n">
        <f aca="false">SUM(BP111:BS111)</f>
        <v>0</v>
      </c>
      <c r="BU111" s="191"/>
      <c r="BV111" s="191"/>
      <c r="BW111" s="191"/>
      <c r="BX111" s="191"/>
      <c r="BY111" s="178" t="n">
        <f aca="false">SUM(BU111:BX111)</f>
        <v>0</v>
      </c>
      <c r="BZ111" s="191"/>
      <c r="CA111" s="191"/>
      <c r="CB111" s="191"/>
      <c r="CC111" s="191"/>
      <c r="CD111" s="178" t="n">
        <f aca="false">SUM(BZ111:CC111)</f>
        <v>0</v>
      </c>
      <c r="CE111" s="191"/>
      <c r="CF111" s="191"/>
      <c r="CG111" s="191"/>
      <c r="CH111" s="191"/>
      <c r="CI111" s="178" t="n">
        <f aca="false">SUM(CE111:CH111)</f>
        <v>0</v>
      </c>
      <c r="CJ111" s="191"/>
      <c r="CK111" s="191"/>
      <c r="CL111" s="191"/>
      <c r="CM111" s="191"/>
      <c r="CN111" s="178" t="n">
        <f aca="false">SUM(CJ111:CM111)</f>
        <v>0</v>
      </c>
      <c r="CO111" s="191" t="n">
        <f aca="false">+CN111+CI111+CD111+BY111+BT111+BO111+BJ111+BE111+AZ111+AU111+AP111+AK111</f>
        <v>4000</v>
      </c>
      <c r="CP111" s="191" t="n">
        <f aca="false">S111</f>
        <v>4000</v>
      </c>
      <c r="CQ111" s="192" t="n">
        <f aca="false">+CO111/CP111</f>
        <v>1</v>
      </c>
    </row>
    <row r="112" customFormat="false" ht="12.75" hidden="false" customHeight="false" outlineLevel="0" collapsed="false">
      <c r="A112" s="177"/>
      <c r="B112" s="178" t="s">
        <v>315</v>
      </c>
      <c r="C112" s="178" t="s">
        <v>298</v>
      </c>
      <c r="D112" s="178" t="n">
        <v>1</v>
      </c>
      <c r="E112" s="178" t="n">
        <v>10000</v>
      </c>
      <c r="F112" s="178" t="n">
        <f aca="false">+E112*D112</f>
        <v>10000</v>
      </c>
      <c r="G112" s="178" t="n">
        <f aca="false">F112/10.3</f>
        <v>970.873786407767</v>
      </c>
      <c r="H112" s="178"/>
      <c r="I112" s="178"/>
      <c r="J112" s="193"/>
      <c r="K112" s="178"/>
      <c r="L112" s="181"/>
      <c r="M112" s="193" t="n">
        <f aca="false">N112*N$8</f>
        <v>5413.53383458647</v>
      </c>
      <c r="N112" s="178" t="n">
        <f aca="false">+$F112/SM134Units</f>
        <v>75.187969924812</v>
      </c>
      <c r="O112" s="181" t="n">
        <f aca="false">+N112/N$11</f>
        <v>0.0740039074063111</v>
      </c>
      <c r="P112" s="193" t="n">
        <f aca="false">Q112*Q$8</f>
        <v>4586.46616541353</v>
      </c>
      <c r="Q112" s="178" t="n">
        <f aca="false">+$F112/SM134Units</f>
        <v>75.187969924812</v>
      </c>
      <c r="R112" s="181" t="n">
        <f aca="false">+Q112/Q$11</f>
        <v>0.0619851359643957</v>
      </c>
      <c r="S112" s="202" t="n">
        <f aca="false">+P112+M112</f>
        <v>10000</v>
      </c>
      <c r="T112" s="195" t="n">
        <f aca="false">+S112/S$8</f>
        <v>75.187969924812</v>
      </c>
      <c r="U112" s="181" t="n">
        <f aca="false">+S112/U$8</f>
        <v>0.0679601753372524</v>
      </c>
      <c r="V112" s="185" t="n">
        <f aca="false">+S112/TotalCost</f>
        <v>0.000785976406005674</v>
      </c>
      <c r="W112" s="186" t="n">
        <f aca="false">+$S112/TotalValue</f>
        <v>0.00064516131030177</v>
      </c>
      <c r="X112" s="187"/>
      <c r="Y112" s="188"/>
      <c r="Z112" s="186"/>
      <c r="AA112" s="186"/>
      <c r="AB112" s="196"/>
      <c r="AC112" s="126"/>
      <c r="AD112" s="186"/>
      <c r="AE112" s="127"/>
      <c r="AF112" s="190" t="s">
        <v>315</v>
      </c>
      <c r="AG112" s="190" t="n">
        <f aca="false">$S112/6</f>
        <v>1666.66666666667</v>
      </c>
      <c r="AH112" s="190"/>
      <c r="AI112" s="190"/>
      <c r="AJ112" s="190"/>
      <c r="AK112" s="178" t="n">
        <f aca="false">SUM(AG112:AJ112)</f>
        <v>1666.66666666667</v>
      </c>
      <c r="AL112" s="190" t="n">
        <f aca="false">$S112/6</f>
        <v>1666.66666666667</v>
      </c>
      <c r="AM112" s="190"/>
      <c r="AN112" s="191"/>
      <c r="AO112" s="191"/>
      <c r="AP112" s="178" t="n">
        <f aca="false">SUM(AL112:AO112)</f>
        <v>1666.66666666667</v>
      </c>
      <c r="AQ112" s="190" t="n">
        <f aca="false">$S112/6</f>
        <v>1666.66666666667</v>
      </c>
      <c r="AR112" s="191"/>
      <c r="AS112" s="191"/>
      <c r="AT112" s="191"/>
      <c r="AU112" s="178" t="n">
        <f aca="false">SUM(AQ112:AT112)</f>
        <v>1666.66666666667</v>
      </c>
      <c r="AV112" s="190" t="n">
        <f aca="false">$S112/6</f>
        <v>1666.66666666667</v>
      </c>
      <c r="AW112" s="190"/>
      <c r="AX112" s="190"/>
      <c r="AY112" s="190"/>
      <c r="AZ112" s="178" t="n">
        <f aca="false">SUM(AV112:AY112)</f>
        <v>1666.66666666667</v>
      </c>
      <c r="BA112" s="190" t="n">
        <f aca="false">$S112/6</f>
        <v>1666.66666666667</v>
      </c>
      <c r="BB112" s="190"/>
      <c r="BC112" s="191"/>
      <c r="BD112" s="191"/>
      <c r="BE112" s="178" t="n">
        <f aca="false">SUM(BA112:BD112)</f>
        <v>1666.66666666667</v>
      </c>
      <c r="BF112" s="190" t="n">
        <f aca="false">$S112/6</f>
        <v>1666.66666666667</v>
      </c>
      <c r="BG112" s="191"/>
      <c r="BH112" s="191"/>
      <c r="BI112" s="191"/>
      <c r="BJ112" s="178" t="n">
        <f aca="false">SUM(BF112:BI112)</f>
        <v>1666.66666666667</v>
      </c>
      <c r="BK112" s="191"/>
      <c r="BL112" s="191"/>
      <c r="BM112" s="191"/>
      <c r="BN112" s="191"/>
      <c r="BO112" s="178" t="n">
        <f aca="false">SUM(BK112:BN112)</f>
        <v>0</v>
      </c>
      <c r="BP112" s="191"/>
      <c r="BQ112" s="191"/>
      <c r="BR112" s="191"/>
      <c r="BS112" s="191"/>
      <c r="BT112" s="178" t="n">
        <f aca="false">SUM(BP112:BS112)</f>
        <v>0</v>
      </c>
      <c r="BU112" s="191"/>
      <c r="BV112" s="191"/>
      <c r="BW112" s="191"/>
      <c r="BX112" s="191"/>
      <c r="BY112" s="178" t="n">
        <f aca="false">SUM(BU112:BX112)</f>
        <v>0</v>
      </c>
      <c r="BZ112" s="191"/>
      <c r="CA112" s="191"/>
      <c r="CB112" s="191"/>
      <c r="CC112" s="191"/>
      <c r="CD112" s="178" t="n">
        <f aca="false">SUM(BZ112:CC112)</f>
        <v>0</v>
      </c>
      <c r="CE112" s="191"/>
      <c r="CF112" s="191"/>
      <c r="CG112" s="191"/>
      <c r="CH112" s="191"/>
      <c r="CI112" s="178" t="n">
        <f aca="false">SUM(CE112:CH112)</f>
        <v>0</v>
      </c>
      <c r="CJ112" s="191"/>
      <c r="CK112" s="191"/>
      <c r="CL112" s="191"/>
      <c r="CM112" s="191"/>
      <c r="CN112" s="178" t="n">
        <f aca="false">SUM(CJ112:CM112)</f>
        <v>0</v>
      </c>
      <c r="CO112" s="191" t="n">
        <f aca="false">+CN112+CI112+CD112+BY112+BT112+BO112+BJ112+BE112+AZ112+AU112+AP112+AK112</f>
        <v>10000</v>
      </c>
      <c r="CP112" s="191" t="n">
        <f aca="false">S112</f>
        <v>10000</v>
      </c>
      <c r="CQ112" s="192" t="n">
        <f aca="false">+CO112/CP112</f>
        <v>1</v>
      </c>
    </row>
    <row r="113" customFormat="false" ht="12.75" hidden="false" customHeight="false" outlineLevel="0" collapsed="false">
      <c r="A113" s="177"/>
      <c r="B113" s="178" t="s">
        <v>316</v>
      </c>
      <c r="C113" s="178" t="s">
        <v>298</v>
      </c>
      <c r="D113" s="178" t="n">
        <v>1</v>
      </c>
      <c r="E113" s="178" t="n">
        <v>75000</v>
      </c>
      <c r="F113" s="178" t="n">
        <f aca="false">+E113*D113</f>
        <v>75000</v>
      </c>
      <c r="G113" s="178" t="n">
        <f aca="false">F113/10.3</f>
        <v>7281.55339805825</v>
      </c>
      <c r="H113" s="178"/>
      <c r="I113" s="178"/>
      <c r="J113" s="193"/>
      <c r="K113" s="178"/>
      <c r="L113" s="181"/>
      <c r="M113" s="193" t="n">
        <f aca="false">N113*N$8</f>
        <v>40601.5037593985</v>
      </c>
      <c r="N113" s="178" t="n">
        <f aca="false">+$F113/SM134Units</f>
        <v>563.90977443609</v>
      </c>
      <c r="O113" s="181" t="n">
        <f aca="false">+N113/N$11</f>
        <v>0.555029305547333</v>
      </c>
      <c r="P113" s="193" t="n">
        <f aca="false">Q113*Q$8</f>
        <v>34398.4962406015</v>
      </c>
      <c r="Q113" s="178" t="n">
        <f aca="false">+$F113/SM134Units</f>
        <v>563.90977443609</v>
      </c>
      <c r="R113" s="181" t="n">
        <f aca="false">+Q113/Q$11</f>
        <v>0.464888519732968</v>
      </c>
      <c r="S113" s="202" t="n">
        <f aca="false">+P113+M113</f>
        <v>75000</v>
      </c>
      <c r="T113" s="195" t="n">
        <f aca="false">+S113/S$8</f>
        <v>563.90977443609</v>
      </c>
      <c r="U113" s="181" t="n">
        <f aca="false">+S113/U$8</f>
        <v>0.509701315029393</v>
      </c>
      <c r="V113" s="185" t="n">
        <f aca="false">+S113/TotalCost</f>
        <v>0.00589482304504255</v>
      </c>
      <c r="W113" s="186" t="n">
        <f aca="false">+$S113/TotalValue</f>
        <v>0.00483870982726327</v>
      </c>
      <c r="X113" s="187"/>
      <c r="Y113" s="188"/>
      <c r="Z113" s="186"/>
      <c r="AA113" s="186"/>
      <c r="AB113" s="196"/>
      <c r="AC113" s="126"/>
      <c r="AD113" s="186"/>
      <c r="AE113" s="127"/>
      <c r="AF113" s="190" t="s">
        <v>316</v>
      </c>
      <c r="AG113" s="190" t="n">
        <f aca="false">$S113/6</f>
        <v>12500</v>
      </c>
      <c r="AH113" s="190"/>
      <c r="AI113" s="190"/>
      <c r="AJ113" s="190"/>
      <c r="AK113" s="178" t="n">
        <f aca="false">SUM(AG113:AJ113)</f>
        <v>12500</v>
      </c>
      <c r="AL113" s="190" t="n">
        <f aca="false">$S113/6</f>
        <v>12500</v>
      </c>
      <c r="AM113" s="190"/>
      <c r="AN113" s="191"/>
      <c r="AO113" s="191"/>
      <c r="AP113" s="178" t="n">
        <f aca="false">SUM(AL113:AO113)</f>
        <v>12500</v>
      </c>
      <c r="AQ113" s="190" t="n">
        <f aca="false">$S113/6</f>
        <v>12500</v>
      </c>
      <c r="AR113" s="191"/>
      <c r="AS113" s="191"/>
      <c r="AT113" s="191"/>
      <c r="AU113" s="178" t="n">
        <f aca="false">SUM(AQ113:AT113)</f>
        <v>12500</v>
      </c>
      <c r="AV113" s="190" t="n">
        <f aca="false">$S113/6</f>
        <v>12500</v>
      </c>
      <c r="AW113" s="190"/>
      <c r="AX113" s="190"/>
      <c r="AY113" s="190"/>
      <c r="AZ113" s="178" t="n">
        <f aca="false">SUM(AV113:AY113)</f>
        <v>12500</v>
      </c>
      <c r="BA113" s="190" t="n">
        <f aca="false">$S113/6</f>
        <v>12500</v>
      </c>
      <c r="BB113" s="190"/>
      <c r="BC113" s="191"/>
      <c r="BD113" s="191"/>
      <c r="BE113" s="178" t="n">
        <f aca="false">SUM(BA113:BD113)</f>
        <v>12500</v>
      </c>
      <c r="BF113" s="190" t="n">
        <f aca="false">$S113/6</f>
        <v>12500</v>
      </c>
      <c r="BG113" s="191"/>
      <c r="BH113" s="191"/>
      <c r="BI113" s="191"/>
      <c r="BJ113" s="178" t="n">
        <f aca="false">SUM(BF113:BI113)</f>
        <v>12500</v>
      </c>
      <c r="BK113" s="191"/>
      <c r="BL113" s="191"/>
      <c r="BM113" s="191"/>
      <c r="BN113" s="191"/>
      <c r="BO113" s="178" t="n">
        <f aca="false">SUM(BK113:BN113)</f>
        <v>0</v>
      </c>
      <c r="BP113" s="191"/>
      <c r="BQ113" s="191"/>
      <c r="BR113" s="191"/>
      <c r="BS113" s="191"/>
      <c r="BT113" s="178" t="n">
        <f aca="false">SUM(BP113:BS113)</f>
        <v>0</v>
      </c>
      <c r="BU113" s="191"/>
      <c r="BV113" s="191"/>
      <c r="BW113" s="191"/>
      <c r="BX113" s="191"/>
      <c r="BY113" s="178" t="n">
        <f aca="false">SUM(BU113:BX113)</f>
        <v>0</v>
      </c>
      <c r="BZ113" s="191"/>
      <c r="CA113" s="191"/>
      <c r="CB113" s="191"/>
      <c r="CC113" s="191"/>
      <c r="CD113" s="178" t="n">
        <f aca="false">SUM(BZ113:CC113)</f>
        <v>0</v>
      </c>
      <c r="CE113" s="191"/>
      <c r="CF113" s="191"/>
      <c r="CG113" s="191"/>
      <c r="CH113" s="191"/>
      <c r="CI113" s="178" t="n">
        <f aca="false">SUM(CE113:CH113)</f>
        <v>0</v>
      </c>
      <c r="CJ113" s="191"/>
      <c r="CK113" s="191"/>
      <c r="CL113" s="191"/>
      <c r="CM113" s="191"/>
      <c r="CN113" s="178" t="n">
        <f aca="false">SUM(CJ113:CM113)</f>
        <v>0</v>
      </c>
      <c r="CO113" s="191" t="n">
        <f aca="false">+CN113+CI113+CD113+BY113+BT113+BO113+BJ113+BE113+AZ113+AU113+AP113+AK113</f>
        <v>75000</v>
      </c>
      <c r="CP113" s="191" t="n">
        <f aca="false">S113</f>
        <v>75000</v>
      </c>
      <c r="CQ113" s="192" t="n">
        <f aca="false">+CO113/CP113</f>
        <v>1</v>
      </c>
    </row>
    <row r="114" customFormat="false" ht="12.75" hidden="false" customHeight="false" outlineLevel="0" collapsed="false">
      <c r="A114" s="177"/>
      <c r="B114" s="178" t="s">
        <v>317</v>
      </c>
      <c r="C114" s="249" t="s">
        <v>298</v>
      </c>
      <c r="D114" s="250" t="n">
        <v>1</v>
      </c>
      <c r="E114" s="249" t="n">
        <v>53592</v>
      </c>
      <c r="F114" s="251" t="n">
        <f aca="false">+E114*D114</f>
        <v>53592</v>
      </c>
      <c r="G114" s="178" t="n">
        <f aca="false">F114/10.3</f>
        <v>5203.1067961165</v>
      </c>
      <c r="H114" s="178"/>
      <c r="I114" s="178"/>
      <c r="J114" s="252"/>
      <c r="K114" s="251"/>
      <c r="L114" s="250"/>
      <c r="M114" s="252" t="n">
        <f aca="false">N114*N$8</f>
        <v>29012.2105263158</v>
      </c>
      <c r="N114" s="251" t="n">
        <f aca="false">+$F114/SM134Units</f>
        <v>402.947368421053</v>
      </c>
      <c r="O114" s="250" t="n">
        <f aca="false">+N114/N$11</f>
        <v>0.396601740571902</v>
      </c>
      <c r="P114" s="252" t="n">
        <f aca="false">Q114*Q$8</f>
        <v>24579.7894736842</v>
      </c>
      <c r="Q114" s="251" t="n">
        <f aca="false">+$F114/SM134Units</f>
        <v>402.947368421053</v>
      </c>
      <c r="R114" s="250" t="n">
        <f aca="false">+Q114/Q$11</f>
        <v>0.33219074066039</v>
      </c>
      <c r="S114" s="202" t="n">
        <f aca="false">+P114+M114</f>
        <v>53592</v>
      </c>
      <c r="T114" s="253" t="n">
        <f aca="false">+S114/S$8</f>
        <v>402.947368421053</v>
      </c>
      <c r="U114" s="181" t="n">
        <f aca="false">+S114/U$8</f>
        <v>0.364212171667403</v>
      </c>
      <c r="V114" s="223" t="n">
        <f aca="false">+S114/TotalCost</f>
        <v>0.00421220475506561</v>
      </c>
      <c r="W114" s="223" t="n">
        <f aca="false">+$S114/TotalValue</f>
        <v>0.00345754849416924</v>
      </c>
      <c r="X114" s="187"/>
      <c r="Y114" s="188"/>
      <c r="Z114" s="185"/>
      <c r="AA114" s="185"/>
      <c r="AB114" s="225"/>
      <c r="AC114" s="126"/>
      <c r="AD114" s="185"/>
      <c r="AE114" s="227"/>
      <c r="AF114" s="190" t="s">
        <v>317</v>
      </c>
      <c r="AG114" s="190" t="n">
        <f aca="false">$S114/6</f>
        <v>8932</v>
      </c>
      <c r="AH114" s="190"/>
      <c r="AI114" s="190"/>
      <c r="AJ114" s="190"/>
      <c r="AK114" s="178" t="n">
        <f aca="false">SUM(AG114:AJ114)</f>
        <v>8932</v>
      </c>
      <c r="AL114" s="190" t="n">
        <f aca="false">$S114/6</f>
        <v>8932</v>
      </c>
      <c r="AM114" s="190"/>
      <c r="AN114" s="191"/>
      <c r="AO114" s="191"/>
      <c r="AP114" s="178" t="n">
        <f aca="false">SUM(AL114:AO114)</f>
        <v>8932</v>
      </c>
      <c r="AQ114" s="190" t="n">
        <f aca="false">$S114/6</f>
        <v>8932</v>
      </c>
      <c r="AR114" s="191"/>
      <c r="AS114" s="191"/>
      <c r="AT114" s="191"/>
      <c r="AU114" s="178" t="n">
        <f aca="false">SUM(AQ114:AT114)</f>
        <v>8932</v>
      </c>
      <c r="AV114" s="190" t="n">
        <f aca="false">$S114/6</f>
        <v>8932</v>
      </c>
      <c r="AW114" s="190"/>
      <c r="AX114" s="190"/>
      <c r="AY114" s="190"/>
      <c r="AZ114" s="178" t="n">
        <f aca="false">SUM(AV114:AY114)</f>
        <v>8932</v>
      </c>
      <c r="BA114" s="190" t="n">
        <f aca="false">$S114/6</f>
        <v>8932</v>
      </c>
      <c r="BB114" s="190"/>
      <c r="BC114" s="191"/>
      <c r="BD114" s="191"/>
      <c r="BE114" s="178" t="n">
        <f aca="false">SUM(BA114:BD114)</f>
        <v>8932</v>
      </c>
      <c r="BF114" s="190" t="n">
        <f aca="false">$S114/6</f>
        <v>8932</v>
      </c>
      <c r="BG114" s="191"/>
      <c r="BH114" s="191"/>
      <c r="BI114" s="191"/>
      <c r="BJ114" s="178" t="n">
        <f aca="false">SUM(BF114:BI114)</f>
        <v>8932</v>
      </c>
      <c r="BK114" s="191"/>
      <c r="BL114" s="191"/>
      <c r="BM114" s="191"/>
      <c r="BN114" s="191"/>
      <c r="BO114" s="178" t="n">
        <f aca="false">SUM(BK114:BN114)</f>
        <v>0</v>
      </c>
      <c r="BP114" s="191"/>
      <c r="BQ114" s="191"/>
      <c r="BR114" s="191"/>
      <c r="BS114" s="191"/>
      <c r="BT114" s="178" t="n">
        <f aca="false">SUM(BP114:BS114)</f>
        <v>0</v>
      </c>
      <c r="BU114" s="191"/>
      <c r="BV114" s="191"/>
      <c r="BW114" s="191"/>
      <c r="BX114" s="191"/>
      <c r="BY114" s="178" t="n">
        <f aca="false">SUM(BU114:BX114)</f>
        <v>0</v>
      </c>
      <c r="BZ114" s="191"/>
      <c r="CA114" s="191"/>
      <c r="CB114" s="191"/>
      <c r="CC114" s="191"/>
      <c r="CD114" s="178" t="n">
        <f aca="false">SUM(BZ114:CC114)</f>
        <v>0</v>
      </c>
      <c r="CE114" s="191"/>
      <c r="CF114" s="191"/>
      <c r="CG114" s="191"/>
      <c r="CH114" s="191"/>
      <c r="CI114" s="178" t="n">
        <f aca="false">SUM(CE114:CH114)</f>
        <v>0</v>
      </c>
      <c r="CJ114" s="191"/>
      <c r="CK114" s="191"/>
      <c r="CL114" s="191"/>
      <c r="CM114" s="191"/>
      <c r="CN114" s="178" t="n">
        <f aca="false">SUM(CJ114:CM114)</f>
        <v>0</v>
      </c>
      <c r="CO114" s="191" t="n">
        <f aca="false">+CN114+CI114+CD114+BY114+BT114+BO114+BJ114+BE114+AZ114+AU114+AP114+AK114</f>
        <v>53592</v>
      </c>
      <c r="CP114" s="191" t="n">
        <f aca="false">S114</f>
        <v>53592</v>
      </c>
      <c r="CQ114" s="228" t="n">
        <f aca="false">+CO114/CP114</f>
        <v>1</v>
      </c>
    </row>
    <row r="115" customFormat="false" ht="12.75" hidden="false" customHeight="false" outlineLevel="0" collapsed="false">
      <c r="A115" s="177"/>
      <c r="B115" s="254" t="s">
        <v>318</v>
      </c>
      <c r="C115" s="178"/>
      <c r="D115" s="178"/>
      <c r="E115" s="178"/>
      <c r="F115" s="255" t="n">
        <f aca="false">SUM(F99:F114)</f>
        <v>627312</v>
      </c>
      <c r="G115" s="254" t="n">
        <f aca="false">SUM(G99:G114)</f>
        <v>60904.0776699029</v>
      </c>
      <c r="H115" s="178"/>
      <c r="I115" s="178"/>
      <c r="J115" s="256"/>
      <c r="K115" s="256"/>
      <c r="L115" s="257"/>
      <c r="M115" s="256" t="n">
        <f aca="false">SUM(M99:M114)</f>
        <v>339444.763550668</v>
      </c>
      <c r="N115" s="256" t="n">
        <f aca="false">SUM(N99:N114)</f>
        <v>4714.51060487039</v>
      </c>
      <c r="O115" s="257" t="n">
        <f aca="false">+N115/N$11</f>
        <v>4.64026634337636</v>
      </c>
      <c r="P115" s="256" t="n">
        <f aca="false">SUM(P99:P114)</f>
        <v>287585.146897094</v>
      </c>
      <c r="Q115" s="256" t="n">
        <f aca="false">SUM(Q99:Q114)</f>
        <v>4714.51060487039</v>
      </c>
      <c r="R115" s="257" t="n">
        <f aca="false">SUM(R99:R114)</f>
        <v>3.88665342528474</v>
      </c>
      <c r="S115" s="258" t="n">
        <f aca="false">SUM(S99:S114)</f>
        <v>627029.910447761</v>
      </c>
      <c r="T115" s="256" t="n">
        <f aca="false">+S115/S$8</f>
        <v>4714.51060487039</v>
      </c>
      <c r="U115" s="257" t="n">
        <f aca="false">+S115/U$8</f>
        <v>4.26130626557315</v>
      </c>
      <c r="V115" s="186" t="n">
        <f aca="false">+S115/TotalCost</f>
        <v>0.0492830715471791</v>
      </c>
      <c r="W115" s="186" t="n">
        <f aca="false">+$S115/TotalValue</f>
        <v>0.0404535438622879</v>
      </c>
      <c r="X115" s="259"/>
      <c r="Y115" s="237"/>
      <c r="Z115" s="186"/>
      <c r="AA115" s="186"/>
      <c r="AB115" s="196"/>
      <c r="AC115" s="126"/>
      <c r="AD115" s="186"/>
      <c r="AE115" s="127"/>
      <c r="AF115" s="260" t="s">
        <v>318</v>
      </c>
      <c r="AG115" s="240" t="n">
        <f aca="false">SUM(AG99:AG114)</f>
        <v>135769.910447761</v>
      </c>
      <c r="AH115" s="240" t="n">
        <f aca="false">SUM(AH99:AH114)</f>
        <v>0</v>
      </c>
      <c r="AI115" s="240" t="n">
        <f aca="false">SUM(AI99:AI114)</f>
        <v>0</v>
      </c>
      <c r="AJ115" s="240" t="n">
        <f aca="false">SUM(AJ99:AJ114)</f>
        <v>0</v>
      </c>
      <c r="AK115" s="240" t="n">
        <f aca="false">SUM(AK99:AK114)</f>
        <v>135769.910447761</v>
      </c>
      <c r="AL115" s="240" t="n">
        <f aca="false">SUM(AL99:AL114)</f>
        <v>98252.0024205104</v>
      </c>
      <c r="AM115" s="240" t="n">
        <f aca="false">SUM(AM99:AM114)</f>
        <v>0</v>
      </c>
      <c r="AN115" s="240" t="n">
        <f aca="false">SUM(AN99:AN114)</f>
        <v>0</v>
      </c>
      <c r="AO115" s="240" t="n">
        <f aca="false">SUM(AO99:AO114)</f>
        <v>0</v>
      </c>
      <c r="AP115" s="240" t="n">
        <f aca="false">SUM(AP99:AP114)</f>
        <v>98252.0024205104</v>
      </c>
      <c r="AQ115" s="240" t="n">
        <f aca="false">SUM(AQ99:AQ114)</f>
        <v>98252</v>
      </c>
      <c r="AR115" s="240" t="n">
        <f aca="false">SUM(AR99:AR114)</f>
        <v>0</v>
      </c>
      <c r="AS115" s="240" t="n">
        <f aca="false">SUM(AS99:AS114)</f>
        <v>0</v>
      </c>
      <c r="AT115" s="240" t="n">
        <f aca="false">SUM(AT99:AT114)</f>
        <v>0</v>
      </c>
      <c r="AU115" s="240" t="n">
        <f aca="false">SUM(AU99:AU114)</f>
        <v>98252</v>
      </c>
      <c r="AV115" s="240" t="n">
        <f aca="false">SUM(AV99:AV114)</f>
        <v>98252</v>
      </c>
      <c r="AW115" s="240" t="n">
        <f aca="false">SUM(AW99:AW114)</f>
        <v>0</v>
      </c>
      <c r="AX115" s="240" t="n">
        <f aca="false">SUM(AX99:AX114)</f>
        <v>0</v>
      </c>
      <c r="AY115" s="240" t="n">
        <f aca="false">SUM(AY99:AY114)</f>
        <v>0</v>
      </c>
      <c r="AZ115" s="240" t="n">
        <f aca="false">SUM(AZ99:AZ114)</f>
        <v>98252</v>
      </c>
      <c r="BA115" s="240" t="n">
        <f aca="false">SUM(BA99:BA114)</f>
        <v>98252</v>
      </c>
      <c r="BB115" s="240" t="n">
        <f aca="false">SUM(BB99:BB114)</f>
        <v>0</v>
      </c>
      <c r="BC115" s="240" t="n">
        <f aca="false">SUM(BC99:BC114)</f>
        <v>0</v>
      </c>
      <c r="BD115" s="240" t="n">
        <f aca="false">SUM(BD99:BD114)</f>
        <v>0</v>
      </c>
      <c r="BE115" s="240" t="n">
        <f aca="false">SUM(BE99:BE114)</f>
        <v>98252</v>
      </c>
      <c r="BF115" s="240" t="n">
        <f aca="false">SUM(BF99:BF114)</f>
        <v>98252</v>
      </c>
      <c r="BG115" s="240" t="n">
        <f aca="false">SUM(BG99:BG114)</f>
        <v>0</v>
      </c>
      <c r="BH115" s="240" t="n">
        <f aca="false">SUM(BH99:BH114)</f>
        <v>0</v>
      </c>
      <c r="BI115" s="240" t="n">
        <f aca="false">SUM(BI99:BI114)</f>
        <v>0</v>
      </c>
      <c r="BJ115" s="240" t="n">
        <f aca="false">SUM(BJ99:BJ114)</f>
        <v>98252</v>
      </c>
      <c r="BK115" s="240" t="n">
        <f aca="false">SUM(BK99:BK114)</f>
        <v>0</v>
      </c>
      <c r="BL115" s="240" t="n">
        <f aca="false">SUM(BL99:BL114)</f>
        <v>0</v>
      </c>
      <c r="BM115" s="240" t="n">
        <f aca="false">SUM(BM99:BM114)</f>
        <v>0</v>
      </c>
      <c r="BN115" s="240" t="n">
        <f aca="false">SUM(BN99:BN114)</f>
        <v>0</v>
      </c>
      <c r="BO115" s="240" t="n">
        <f aca="false">SUM(BO99:BO114)</f>
        <v>0</v>
      </c>
      <c r="BP115" s="240" t="n">
        <f aca="false">SUM(BP99:BP114)</f>
        <v>0</v>
      </c>
      <c r="BQ115" s="240" t="n">
        <f aca="false">SUM(BQ99:BQ114)</f>
        <v>0</v>
      </c>
      <c r="BR115" s="240" t="n">
        <f aca="false">SUM(BR99:BR114)</f>
        <v>0</v>
      </c>
      <c r="BS115" s="240" t="n">
        <f aca="false">SUM(BS99:BS114)</f>
        <v>0</v>
      </c>
      <c r="BT115" s="240" t="n">
        <f aca="false">SUM(BT99:BT114)</f>
        <v>0</v>
      </c>
      <c r="BU115" s="240" t="n">
        <f aca="false">SUM(BU99:BU114)</f>
        <v>0</v>
      </c>
      <c r="BV115" s="240" t="n">
        <f aca="false">SUM(BV99:BV114)</f>
        <v>0</v>
      </c>
      <c r="BW115" s="240" t="n">
        <f aca="false">SUM(BW99:BW114)</f>
        <v>0</v>
      </c>
      <c r="BX115" s="240" t="n">
        <f aca="false">SUM(BX99:BX114)</f>
        <v>0</v>
      </c>
      <c r="BY115" s="240" t="n">
        <f aca="false">SUM(BY99:BY114)</f>
        <v>0</v>
      </c>
      <c r="BZ115" s="240" t="n">
        <f aca="false">SUM(BZ99:BZ114)</f>
        <v>0</v>
      </c>
      <c r="CA115" s="240" t="n">
        <f aca="false">SUM(CA99:CA114)</f>
        <v>0</v>
      </c>
      <c r="CB115" s="240" t="n">
        <f aca="false">SUM(CB99:CB114)</f>
        <v>0</v>
      </c>
      <c r="CC115" s="240" t="n">
        <f aca="false">SUM(CC99:CC114)</f>
        <v>0</v>
      </c>
      <c r="CD115" s="240" t="n">
        <f aca="false">SUM(CD99:CD114)</f>
        <v>0</v>
      </c>
      <c r="CE115" s="240" t="n">
        <f aca="false">SUM(CE99:CE114)</f>
        <v>0</v>
      </c>
      <c r="CF115" s="240" t="n">
        <f aca="false">SUM(CF99:CF114)</f>
        <v>0</v>
      </c>
      <c r="CG115" s="240" t="n">
        <f aca="false">SUM(CG99:CG114)</f>
        <v>0</v>
      </c>
      <c r="CH115" s="240" t="n">
        <f aca="false">SUM(CH99:CH114)</f>
        <v>0</v>
      </c>
      <c r="CI115" s="240" t="n">
        <f aca="false">SUM(CI99:CI114)</f>
        <v>0</v>
      </c>
      <c r="CJ115" s="240" t="n">
        <f aca="false">SUM(CJ99:CJ114)</f>
        <v>0</v>
      </c>
      <c r="CK115" s="240" t="n">
        <f aca="false">SUM(CK99:CK114)</f>
        <v>0</v>
      </c>
      <c r="CL115" s="240" t="n">
        <f aca="false">SUM(CL99:CL114)</f>
        <v>0</v>
      </c>
      <c r="CM115" s="240" t="n">
        <f aca="false">SUM(CM99:CM114)</f>
        <v>0</v>
      </c>
      <c r="CN115" s="240" t="n">
        <f aca="false">SUM(CN99:CN114)</f>
        <v>0</v>
      </c>
      <c r="CO115" s="261" t="n">
        <f aca="false">SUM(CO99:CO114)</f>
        <v>627029.912868272</v>
      </c>
      <c r="CP115" s="261" t="n">
        <f aca="false">SUM(CP99:CP114)</f>
        <v>627029.910447761</v>
      </c>
      <c r="CQ115" s="192" t="n">
        <f aca="false">+CO115/CP115</f>
        <v>1.00000000386028</v>
      </c>
    </row>
    <row r="116" customFormat="false" ht="12.75" hidden="false" customHeight="false" outlineLevel="0" collapsed="false">
      <c r="A116" s="177"/>
      <c r="B116" s="246" t="s">
        <v>319</v>
      </c>
      <c r="C116" s="178"/>
      <c r="D116" s="178"/>
      <c r="E116" s="178"/>
      <c r="F116" s="178"/>
      <c r="G116" s="178"/>
      <c r="H116" s="178"/>
      <c r="I116" s="178"/>
      <c r="J116" s="193"/>
      <c r="K116" s="178"/>
      <c r="L116" s="181"/>
      <c r="M116" s="193"/>
      <c r="N116" s="178"/>
      <c r="O116" s="181" t="n">
        <f aca="false">+N116/N$11</f>
        <v>0</v>
      </c>
      <c r="P116" s="193"/>
      <c r="Q116" s="178"/>
      <c r="R116" s="181"/>
      <c r="S116" s="202"/>
      <c r="T116" s="178"/>
      <c r="U116" s="178"/>
      <c r="V116" s="186"/>
      <c r="W116" s="186"/>
      <c r="X116" s="186"/>
      <c r="Y116" s="186"/>
      <c r="Z116" s="186"/>
      <c r="AA116" s="186"/>
      <c r="AB116" s="186"/>
      <c r="AC116" s="126"/>
      <c r="AD116" s="186"/>
      <c r="AE116" s="127"/>
      <c r="AF116" s="247" t="s">
        <v>319</v>
      </c>
      <c r="AG116" s="190"/>
      <c r="AH116" s="190"/>
      <c r="AI116" s="190"/>
      <c r="AJ116" s="243"/>
      <c r="AK116" s="178"/>
      <c r="AL116" s="190"/>
      <c r="AM116" s="191"/>
      <c r="AN116" s="191"/>
      <c r="AO116" s="191"/>
      <c r="AP116" s="178"/>
      <c r="AQ116" s="191"/>
      <c r="AR116" s="191"/>
      <c r="AS116" s="191"/>
      <c r="AT116" s="191"/>
      <c r="AU116" s="178"/>
      <c r="AV116" s="191"/>
      <c r="AW116" s="191"/>
      <c r="AX116" s="191"/>
      <c r="AY116" s="191"/>
      <c r="AZ116" s="178"/>
      <c r="BA116" s="191"/>
      <c r="BB116" s="191"/>
      <c r="BC116" s="191"/>
      <c r="BD116" s="191"/>
      <c r="BE116" s="178"/>
      <c r="BF116" s="191"/>
      <c r="BG116" s="191"/>
      <c r="BH116" s="191"/>
      <c r="BI116" s="191"/>
      <c r="BJ116" s="178"/>
      <c r="BK116" s="191"/>
      <c r="BL116" s="191"/>
      <c r="BM116" s="191"/>
      <c r="BN116" s="191"/>
      <c r="BO116" s="178"/>
      <c r="BP116" s="191"/>
      <c r="BQ116" s="191"/>
      <c r="BR116" s="191"/>
      <c r="BS116" s="191"/>
      <c r="BT116" s="178"/>
      <c r="BU116" s="191"/>
      <c r="BV116" s="191"/>
      <c r="BW116" s="191"/>
      <c r="BX116" s="191"/>
      <c r="BY116" s="178"/>
      <c r="BZ116" s="191"/>
      <c r="CA116" s="191"/>
      <c r="CB116" s="191"/>
      <c r="CC116" s="191"/>
      <c r="CD116" s="178"/>
      <c r="CE116" s="191"/>
      <c r="CF116" s="191"/>
      <c r="CG116" s="191"/>
      <c r="CH116" s="191"/>
      <c r="CI116" s="178"/>
      <c r="CJ116" s="191"/>
      <c r="CK116" s="191"/>
      <c r="CL116" s="191"/>
      <c r="CM116" s="191"/>
      <c r="CN116" s="178"/>
      <c r="CO116" s="191"/>
      <c r="CP116" s="191"/>
      <c r="CQ116" s="191"/>
    </row>
    <row r="117" customFormat="false" ht="12.75" hidden="false" customHeight="false" outlineLevel="0" collapsed="false">
      <c r="A117" s="177"/>
      <c r="B117" s="178" t="s">
        <v>320</v>
      </c>
      <c r="C117" s="178" t="s">
        <v>305</v>
      </c>
      <c r="D117" s="178" t="n">
        <v>670</v>
      </c>
      <c r="E117" s="181" t="n">
        <v>55</v>
      </c>
      <c r="F117" s="178" t="n">
        <f aca="false">+E117*D117</f>
        <v>36850</v>
      </c>
      <c r="G117" s="178" t="n">
        <f aca="false">F117/10.3</f>
        <v>3577.66990291262</v>
      </c>
      <c r="H117" s="178"/>
      <c r="I117" s="178"/>
      <c r="J117" s="193"/>
      <c r="K117" s="178"/>
      <c r="L117" s="181"/>
      <c r="M117" s="220" t="n">
        <f aca="false">N117*N$8</f>
        <v>19948.8721804511</v>
      </c>
      <c r="N117" s="220" t="n">
        <f aca="false">+$F117/SM134Units</f>
        <v>277.067669172932</v>
      </c>
      <c r="O117" s="183" t="n">
        <f aca="false">+N117/N$11</f>
        <v>0.272704398792256</v>
      </c>
      <c r="P117" s="220" t="n">
        <f aca="false">Q117*Q$8</f>
        <v>16901.1278195489</v>
      </c>
      <c r="Q117" s="220" t="n">
        <f aca="false">+$F117/SM134Units</f>
        <v>277.067669172932</v>
      </c>
      <c r="R117" s="183" t="n">
        <f aca="false">+Q117/Q$11</f>
        <v>0.228415226028798</v>
      </c>
      <c r="S117" s="245" t="n">
        <f aca="false">+P117+M117</f>
        <v>36850</v>
      </c>
      <c r="T117" s="220" t="n">
        <f aca="false">+S117/S$8</f>
        <v>277.067669172932</v>
      </c>
      <c r="U117" s="183" t="n">
        <f aca="false">+S117/U$8</f>
        <v>0.250433246117775</v>
      </c>
      <c r="V117" s="186" t="n">
        <f aca="false">+S117/TotalCost</f>
        <v>0.00289632305613091</v>
      </c>
      <c r="W117" s="186" t="n">
        <f aca="false">+$S117/TotalValue</f>
        <v>0.00237741942846202</v>
      </c>
      <c r="X117" s="187"/>
      <c r="Y117" s="188"/>
      <c r="Z117" s="186"/>
      <c r="AA117" s="186"/>
      <c r="AB117" s="196"/>
      <c r="AC117" s="126"/>
      <c r="AD117" s="186"/>
      <c r="AE117" s="127"/>
      <c r="AF117" s="190" t="s">
        <v>320</v>
      </c>
      <c r="AG117" s="190"/>
      <c r="AH117" s="190"/>
      <c r="AI117" s="190"/>
      <c r="AJ117" s="243"/>
      <c r="AK117" s="178" t="n">
        <f aca="false">SUM(AG117:AJ117)</f>
        <v>0</v>
      </c>
      <c r="AL117" s="190"/>
      <c r="AM117" s="191"/>
      <c r="AN117" s="191"/>
      <c r="AO117" s="191"/>
      <c r="AP117" s="178" t="n">
        <f aca="false">SUM(AL117:AO117)</f>
        <v>0</v>
      </c>
      <c r="AQ117" s="191"/>
      <c r="AR117" s="191"/>
      <c r="AS117" s="191"/>
      <c r="AT117" s="191"/>
      <c r="AU117" s="178" t="n">
        <f aca="false">SUM(AQ117:AT117)</f>
        <v>0</v>
      </c>
      <c r="AV117" s="191"/>
      <c r="AW117" s="191"/>
      <c r="AX117" s="191"/>
      <c r="AY117" s="191"/>
      <c r="AZ117" s="178" t="n">
        <f aca="false">SUM(AV117:AY117)</f>
        <v>0</v>
      </c>
      <c r="BA117" s="191"/>
      <c r="BB117" s="191"/>
      <c r="BC117" s="191"/>
      <c r="BD117" s="191"/>
      <c r="BE117" s="178" t="n">
        <f aca="false">SUM(BA117:BD117)</f>
        <v>0</v>
      </c>
      <c r="BF117" s="191"/>
      <c r="BG117" s="191"/>
      <c r="BH117" s="191"/>
      <c r="BI117" s="191"/>
      <c r="BJ117" s="178" t="n">
        <f aca="false">SUM(BF117:BI117)</f>
        <v>0</v>
      </c>
      <c r="BK117" s="191"/>
      <c r="BL117" s="191"/>
      <c r="BM117" s="191"/>
      <c r="BN117" s="191"/>
      <c r="BO117" s="178" t="n">
        <f aca="false">SUM(BK117:BN117)</f>
        <v>0</v>
      </c>
      <c r="BP117" s="191"/>
      <c r="BQ117" s="191"/>
      <c r="BR117" s="191"/>
      <c r="BS117" s="191"/>
      <c r="BT117" s="178" t="n">
        <f aca="false">SUM(BP117:BS117)</f>
        <v>0</v>
      </c>
      <c r="BU117" s="191"/>
      <c r="BV117" s="191"/>
      <c r="BW117" s="191"/>
      <c r="BX117" s="191"/>
      <c r="BY117" s="178" t="n">
        <f aca="false">SUM(BU117:BX117)</f>
        <v>0</v>
      </c>
      <c r="BZ117" s="191"/>
      <c r="CA117" s="191"/>
      <c r="CB117" s="191"/>
      <c r="CC117" s="191"/>
      <c r="CD117" s="178" t="n">
        <f aca="false">SUM(BZ117:CC117)</f>
        <v>0</v>
      </c>
      <c r="CE117" s="191"/>
      <c r="CF117" s="191"/>
      <c r="CG117" s="191"/>
      <c r="CH117" s="191"/>
      <c r="CI117" s="178" t="n">
        <f aca="false">SUM(CE117:CH117)</f>
        <v>0</v>
      </c>
      <c r="CJ117" s="191"/>
      <c r="CK117" s="191"/>
      <c r="CL117" s="191" t="n">
        <f aca="false">S117</f>
        <v>36850</v>
      </c>
      <c r="CM117" s="191"/>
      <c r="CN117" s="178" t="n">
        <f aca="false">SUM(CJ117:CM117)</f>
        <v>36850</v>
      </c>
      <c r="CO117" s="191" t="n">
        <f aca="false">+CN117+CI117+CD117+BY117+BT117+BO117+BJ117+BE117+AZ117+AU117+AP117+AK117</f>
        <v>36850</v>
      </c>
      <c r="CP117" s="191" t="n">
        <f aca="false">S117</f>
        <v>36850</v>
      </c>
      <c r="CQ117" s="192" t="n">
        <f aca="false">+CO117/CP117</f>
        <v>1</v>
      </c>
    </row>
    <row r="118" customFormat="false" ht="12.75" hidden="false" customHeight="false" outlineLevel="0" collapsed="false">
      <c r="A118" s="177"/>
      <c r="B118" s="178" t="s">
        <v>321</v>
      </c>
      <c r="C118" s="178" t="s">
        <v>305</v>
      </c>
      <c r="D118" s="178" t="n">
        <f aca="false">670*3</f>
        <v>2010</v>
      </c>
      <c r="E118" s="181" t="n">
        <v>30</v>
      </c>
      <c r="F118" s="178" t="n">
        <f aca="false">+E118*D118</f>
        <v>60300</v>
      </c>
      <c r="G118" s="178" t="n">
        <f aca="false">F118/10.3</f>
        <v>5854.36893203884</v>
      </c>
      <c r="H118" s="178"/>
      <c r="I118" s="178"/>
      <c r="J118" s="193"/>
      <c r="K118" s="178"/>
      <c r="L118" s="181"/>
      <c r="M118" s="193" t="n">
        <f aca="false">N118*N$8</f>
        <v>32643.6090225564</v>
      </c>
      <c r="N118" s="178" t="n">
        <f aca="false">+$F118/SM134Units</f>
        <v>453.383458646617</v>
      </c>
      <c r="O118" s="181" t="n">
        <f aca="false">+N118/N$11</f>
        <v>0.446243561660056</v>
      </c>
      <c r="P118" s="193" t="n">
        <f aca="false">Q118*Q$8</f>
        <v>27656.3909774436</v>
      </c>
      <c r="Q118" s="178" t="n">
        <f aca="false">+$F118/SM134Units</f>
        <v>453.383458646617</v>
      </c>
      <c r="R118" s="181" t="n">
        <f aca="false">+Q118/Q$11</f>
        <v>0.373770369865306</v>
      </c>
      <c r="S118" s="202" t="n">
        <f aca="false">+P118+M118</f>
        <v>60300</v>
      </c>
      <c r="T118" s="195" t="n">
        <f aca="false">+S118/S$8</f>
        <v>453.383458646617</v>
      </c>
      <c r="U118" s="181" t="n">
        <f aca="false">+S118/U$8</f>
        <v>0.409799857283632</v>
      </c>
      <c r="V118" s="186" t="n">
        <f aca="false">+S118/TotalCost</f>
        <v>0.00473943772821421</v>
      </c>
      <c r="W118" s="186" t="n">
        <f aca="false">+$S118/TotalValue</f>
        <v>0.00389032270111967</v>
      </c>
      <c r="X118" s="187"/>
      <c r="Y118" s="188"/>
      <c r="Z118" s="186"/>
      <c r="AA118" s="186"/>
      <c r="AB118" s="196"/>
      <c r="AC118" s="126"/>
      <c r="AD118" s="186"/>
      <c r="AE118" s="127"/>
      <c r="AF118" s="190" t="s">
        <v>321</v>
      </c>
      <c r="AG118" s="190"/>
      <c r="AH118" s="190"/>
      <c r="AI118" s="190"/>
      <c r="AJ118" s="243"/>
      <c r="AK118" s="178" t="n">
        <f aca="false">SUM(AG118:AJ118)</f>
        <v>0</v>
      </c>
      <c r="AL118" s="190"/>
      <c r="AM118" s="191"/>
      <c r="AN118" s="191"/>
      <c r="AO118" s="191"/>
      <c r="AP118" s="178" t="n">
        <f aca="false">SUM(AL118:AO118)</f>
        <v>0</v>
      </c>
      <c r="AQ118" s="191"/>
      <c r="AR118" s="191"/>
      <c r="AS118" s="191"/>
      <c r="AT118" s="191"/>
      <c r="AU118" s="178" t="n">
        <f aca="false">SUM(AQ118:AT118)</f>
        <v>0</v>
      </c>
      <c r="AV118" s="191"/>
      <c r="AW118" s="191"/>
      <c r="AX118" s="191"/>
      <c r="AY118" s="191"/>
      <c r="AZ118" s="178" t="n">
        <f aca="false">SUM(AV118:AY118)</f>
        <v>0</v>
      </c>
      <c r="BA118" s="191"/>
      <c r="BB118" s="191"/>
      <c r="BC118" s="191"/>
      <c r="BD118" s="191"/>
      <c r="BE118" s="178" t="n">
        <f aca="false">SUM(BA118:BD118)</f>
        <v>0</v>
      </c>
      <c r="BF118" s="191"/>
      <c r="BG118" s="191"/>
      <c r="BH118" s="191"/>
      <c r="BI118" s="191"/>
      <c r="BJ118" s="178" t="n">
        <f aca="false">SUM(BF118:BI118)</f>
        <v>0</v>
      </c>
      <c r="BK118" s="191"/>
      <c r="BL118" s="191"/>
      <c r="BM118" s="191"/>
      <c r="BN118" s="191"/>
      <c r="BO118" s="178" t="n">
        <f aca="false">SUM(BK118:BN118)</f>
        <v>0</v>
      </c>
      <c r="BP118" s="191"/>
      <c r="BQ118" s="191"/>
      <c r="BR118" s="191"/>
      <c r="BS118" s="191"/>
      <c r="BT118" s="178" t="n">
        <f aca="false">SUM(BP118:BS118)</f>
        <v>0</v>
      </c>
      <c r="BU118" s="191"/>
      <c r="BV118" s="191"/>
      <c r="BW118" s="191"/>
      <c r="BX118" s="191"/>
      <c r="BY118" s="178" t="n">
        <f aca="false">SUM(BU118:BX118)</f>
        <v>0</v>
      </c>
      <c r="BZ118" s="191"/>
      <c r="CA118" s="191"/>
      <c r="CB118" s="191"/>
      <c r="CC118" s="191"/>
      <c r="CD118" s="178" t="n">
        <f aca="false">SUM(BZ118:CC118)</f>
        <v>0</v>
      </c>
      <c r="CE118" s="191"/>
      <c r="CF118" s="191"/>
      <c r="CG118" s="191"/>
      <c r="CH118" s="191"/>
      <c r="CI118" s="178" t="n">
        <f aca="false">SUM(CE118:CH118)</f>
        <v>0</v>
      </c>
      <c r="CJ118" s="191"/>
      <c r="CK118" s="191"/>
      <c r="CL118" s="191" t="n">
        <f aca="false">$S118</f>
        <v>60300</v>
      </c>
      <c r="CM118" s="191"/>
      <c r="CN118" s="178" t="n">
        <f aca="false">SUM(CJ118:CM118)</f>
        <v>60300</v>
      </c>
      <c r="CO118" s="191" t="n">
        <f aca="false">+CN118+CI118+CD118+BY118+BT118+BO118+BJ118+BE118+AZ118+AU118+AP118+AK118</f>
        <v>60300</v>
      </c>
      <c r="CP118" s="191" t="n">
        <f aca="false">S118</f>
        <v>60300</v>
      </c>
      <c r="CQ118" s="192" t="n">
        <f aca="false">+CO118/CP118</f>
        <v>1</v>
      </c>
    </row>
    <row r="119" customFormat="false" ht="12.75" hidden="false" customHeight="false" outlineLevel="0" collapsed="false">
      <c r="A119" s="177"/>
      <c r="B119" s="178" t="s">
        <v>322</v>
      </c>
      <c r="C119" s="178" t="s">
        <v>323</v>
      </c>
      <c r="D119" s="178" t="n">
        <f aca="false">LandscapeArea</f>
        <v>179968.684329609</v>
      </c>
      <c r="E119" s="181" t="n">
        <v>2</v>
      </c>
      <c r="F119" s="178" t="n">
        <f aca="false">+E119*D119</f>
        <v>359937.368659217</v>
      </c>
      <c r="G119" s="178" t="n">
        <f aca="false">F119/10.3</f>
        <v>34945.3755979823</v>
      </c>
      <c r="H119" s="178"/>
      <c r="I119" s="178"/>
      <c r="J119" s="193"/>
      <c r="K119" s="178"/>
      <c r="L119" s="181"/>
      <c r="M119" s="193" t="n">
        <f aca="false">N119*N$8</f>
        <v>194853.31235687</v>
      </c>
      <c r="N119" s="178" t="n">
        <f aca="false">+$F119/SM134Units</f>
        <v>2706.29600495652</v>
      </c>
      <c r="O119" s="181" t="n">
        <f aca="false">+N119/N$11</f>
        <v>2.6636771702328</v>
      </c>
      <c r="P119" s="193" t="n">
        <f aca="false">Q119*Q$8</f>
        <v>165084.056302348</v>
      </c>
      <c r="Q119" s="178" t="n">
        <f aca="false">+$F119/SM134Units</f>
        <v>2706.29600495652</v>
      </c>
      <c r="R119" s="181" t="n">
        <f aca="false">+Q119/Q$11</f>
        <v>2.23107667350084</v>
      </c>
      <c r="S119" s="202" t="n">
        <f aca="false">+P119+M119</f>
        <v>359937.368659217</v>
      </c>
      <c r="T119" s="195" t="n">
        <f aca="false">+S119/S$8</f>
        <v>2706.29600495652</v>
      </c>
      <c r="U119" s="181" t="n">
        <f aca="false">+S119/U$8</f>
        <v>2.44614066845097</v>
      </c>
      <c r="V119" s="186" t="n">
        <f aca="false">+S119/TotalCost</f>
        <v>0.0282902279405911</v>
      </c>
      <c r="W119" s="186" t="n">
        <f aca="false">+$S119/TotalValue</f>
        <v>0.0232217664390752</v>
      </c>
      <c r="X119" s="187"/>
      <c r="Y119" s="188"/>
      <c r="Z119" s="186"/>
      <c r="AA119" s="186"/>
      <c r="AB119" s="196"/>
      <c r="AC119" s="126"/>
      <c r="AD119" s="186"/>
      <c r="AE119" s="127"/>
      <c r="AF119" s="190" t="s">
        <v>322</v>
      </c>
      <c r="AG119" s="190"/>
      <c r="AH119" s="190"/>
      <c r="AI119" s="190"/>
      <c r="AJ119" s="243"/>
      <c r="AK119" s="178" t="n">
        <f aca="false">SUM(AG119:AJ119)</f>
        <v>0</v>
      </c>
      <c r="AL119" s="190"/>
      <c r="AM119" s="191"/>
      <c r="AN119" s="191"/>
      <c r="AO119" s="191"/>
      <c r="AP119" s="178" t="n">
        <f aca="false">SUM(AL119:AO119)</f>
        <v>0</v>
      </c>
      <c r="AQ119" s="191"/>
      <c r="AR119" s="191"/>
      <c r="AS119" s="191"/>
      <c r="AT119" s="191"/>
      <c r="AU119" s="178" t="n">
        <f aca="false">SUM(AQ119:AT119)</f>
        <v>0</v>
      </c>
      <c r="AV119" s="191"/>
      <c r="AW119" s="191"/>
      <c r="AX119" s="191"/>
      <c r="AY119" s="191"/>
      <c r="AZ119" s="178" t="n">
        <f aca="false">SUM(AV119:AY119)</f>
        <v>0</v>
      </c>
      <c r="BA119" s="191"/>
      <c r="BB119" s="191"/>
      <c r="BC119" s="191"/>
      <c r="BD119" s="191"/>
      <c r="BE119" s="178" t="n">
        <f aca="false">SUM(BA119:BD119)</f>
        <v>0</v>
      </c>
      <c r="BF119" s="191"/>
      <c r="BG119" s="191"/>
      <c r="BH119" s="191"/>
      <c r="BI119" s="191"/>
      <c r="BJ119" s="178" t="n">
        <f aca="false">SUM(BF119:BI119)</f>
        <v>0</v>
      </c>
      <c r="BK119" s="191"/>
      <c r="BL119" s="191"/>
      <c r="BM119" s="191"/>
      <c r="BN119" s="191"/>
      <c r="BO119" s="178" t="n">
        <f aca="false">SUM(BK119:BN119)</f>
        <v>0</v>
      </c>
      <c r="BP119" s="191"/>
      <c r="BQ119" s="191"/>
      <c r="BR119" s="191"/>
      <c r="BS119" s="191"/>
      <c r="BT119" s="178" t="n">
        <f aca="false">SUM(BP119:BS119)</f>
        <v>0</v>
      </c>
      <c r="BU119" s="191"/>
      <c r="BV119" s="191"/>
      <c r="BW119" s="191"/>
      <c r="BX119" s="191"/>
      <c r="BY119" s="178" t="n">
        <f aca="false">SUM(BU119:BX119)</f>
        <v>0</v>
      </c>
      <c r="BZ119" s="191"/>
      <c r="CA119" s="191"/>
      <c r="CB119" s="191"/>
      <c r="CC119" s="191"/>
      <c r="CD119" s="178" t="n">
        <f aca="false">SUM(BZ119:CC119)</f>
        <v>0</v>
      </c>
      <c r="CE119" s="191"/>
      <c r="CF119" s="191"/>
      <c r="CG119" s="191"/>
      <c r="CH119" s="191"/>
      <c r="CI119" s="178" t="n">
        <f aca="false">SUM(CE119:CH119)</f>
        <v>0</v>
      </c>
      <c r="CJ119" s="191"/>
      <c r="CK119" s="191"/>
      <c r="CL119" s="191"/>
      <c r="CM119" s="191" t="n">
        <f aca="false">$S119</f>
        <v>359937.368659217</v>
      </c>
      <c r="CN119" s="178" t="n">
        <f aca="false">SUM(CJ119:CM119)</f>
        <v>359937.368659217</v>
      </c>
      <c r="CO119" s="191" t="n">
        <f aca="false">+CN119+CI119+CD119+BY119+BT119+BO119+BJ119+BE119+AZ119+AU119+AP119+AK119</f>
        <v>359937.368659217</v>
      </c>
      <c r="CP119" s="191" t="n">
        <f aca="false">S119</f>
        <v>359937.368659217</v>
      </c>
      <c r="CQ119" s="192" t="n">
        <f aca="false">+CO119/CP119</f>
        <v>1</v>
      </c>
    </row>
    <row r="120" customFormat="false" ht="12.75" hidden="false" customHeight="false" outlineLevel="0" collapsed="false">
      <c r="A120" s="177"/>
      <c r="B120" s="178" t="s">
        <v>324</v>
      </c>
      <c r="C120" s="178" t="s">
        <v>309</v>
      </c>
      <c r="D120" s="178" t="n">
        <v>2</v>
      </c>
      <c r="E120" s="181" t="n">
        <v>4000</v>
      </c>
      <c r="F120" s="178" t="n">
        <f aca="false">+E120*D120</f>
        <v>8000</v>
      </c>
      <c r="G120" s="178" t="n">
        <f aca="false">F120/10.3</f>
        <v>776.699029126214</v>
      </c>
      <c r="H120" s="178"/>
      <c r="I120" s="178"/>
      <c r="J120" s="193"/>
      <c r="K120" s="178"/>
      <c r="L120" s="181"/>
      <c r="M120" s="193" t="n">
        <f aca="false">N120*N$8</f>
        <v>4330.82706766917</v>
      </c>
      <c r="N120" s="178" t="n">
        <f aca="false">+$F120/SM134Units</f>
        <v>60.1503759398496</v>
      </c>
      <c r="O120" s="181" t="n">
        <f aca="false">+N120/N$11</f>
        <v>0.0592031259250488</v>
      </c>
      <c r="P120" s="193" t="n">
        <f aca="false">Q120*Q$8</f>
        <v>3669.17293233083</v>
      </c>
      <c r="Q120" s="178" t="n">
        <f aca="false">+$F120/SM134Units</f>
        <v>60.1503759398496</v>
      </c>
      <c r="R120" s="181" t="n">
        <f aca="false">+Q120/Q$11</f>
        <v>0.0495881087715166</v>
      </c>
      <c r="S120" s="202" t="n">
        <f aca="false">+P120+M120</f>
        <v>8000</v>
      </c>
      <c r="T120" s="195" t="n">
        <f aca="false">+S120/S$8</f>
        <v>60.1503759398496</v>
      </c>
      <c r="U120" s="181" t="n">
        <f aca="false">+S120/U$8</f>
        <v>0.0543681402698019</v>
      </c>
      <c r="V120" s="186" t="n">
        <f aca="false">+S120/TotalCost</f>
        <v>0.000628781124804539</v>
      </c>
      <c r="W120" s="186" t="n">
        <f aca="false">+$S120/TotalValue</f>
        <v>0.000516129048241416</v>
      </c>
      <c r="X120" s="187"/>
      <c r="Y120" s="188"/>
      <c r="Z120" s="186"/>
      <c r="AA120" s="186"/>
      <c r="AB120" s="196"/>
      <c r="AC120" s="126"/>
      <c r="AD120" s="186"/>
      <c r="AE120" s="127"/>
      <c r="AF120" s="190" t="s">
        <v>324</v>
      </c>
      <c r="AG120" s="190"/>
      <c r="AH120" s="190"/>
      <c r="AI120" s="190"/>
      <c r="AJ120" s="243"/>
      <c r="AK120" s="178" t="n">
        <f aca="false">SUM(AG120:AJ120)</f>
        <v>0</v>
      </c>
      <c r="AL120" s="190"/>
      <c r="AM120" s="191"/>
      <c r="AN120" s="191"/>
      <c r="AO120" s="191"/>
      <c r="AP120" s="178" t="n">
        <f aca="false">SUM(AL120:AO120)</f>
        <v>0</v>
      </c>
      <c r="AQ120" s="191"/>
      <c r="AR120" s="191"/>
      <c r="AS120" s="191"/>
      <c r="AT120" s="191"/>
      <c r="AU120" s="178" t="n">
        <f aca="false">SUM(AQ120:AT120)</f>
        <v>0</v>
      </c>
      <c r="AV120" s="191"/>
      <c r="AW120" s="191"/>
      <c r="AX120" s="191"/>
      <c r="AY120" s="191"/>
      <c r="AZ120" s="178" t="n">
        <f aca="false">SUM(AV120:AY120)</f>
        <v>0</v>
      </c>
      <c r="BA120" s="191"/>
      <c r="BB120" s="191"/>
      <c r="BC120" s="191"/>
      <c r="BD120" s="191"/>
      <c r="BE120" s="178" t="n">
        <f aca="false">SUM(BA120:BD120)</f>
        <v>0</v>
      </c>
      <c r="BF120" s="191"/>
      <c r="BG120" s="191"/>
      <c r="BH120" s="191"/>
      <c r="BI120" s="191"/>
      <c r="BJ120" s="178" t="n">
        <f aca="false">SUM(BF120:BI120)</f>
        <v>0</v>
      </c>
      <c r="BK120" s="191"/>
      <c r="BL120" s="191"/>
      <c r="BM120" s="191"/>
      <c r="BN120" s="191"/>
      <c r="BO120" s="178" t="n">
        <f aca="false">SUM(BK120:BN120)</f>
        <v>0</v>
      </c>
      <c r="BP120" s="191"/>
      <c r="BQ120" s="191"/>
      <c r="BR120" s="191"/>
      <c r="BS120" s="191"/>
      <c r="BT120" s="178" t="n">
        <f aca="false">SUM(BP120:BS120)</f>
        <v>0</v>
      </c>
      <c r="BU120" s="191"/>
      <c r="BV120" s="191"/>
      <c r="BW120" s="191"/>
      <c r="BX120" s="191"/>
      <c r="BY120" s="178" t="n">
        <f aca="false">SUM(BU120:BX120)</f>
        <v>0</v>
      </c>
      <c r="BZ120" s="191"/>
      <c r="CA120" s="191"/>
      <c r="CB120" s="191"/>
      <c r="CC120" s="191"/>
      <c r="CD120" s="178" t="n">
        <f aca="false">SUM(BZ120:CC120)</f>
        <v>0</v>
      </c>
      <c r="CE120" s="191"/>
      <c r="CF120" s="191"/>
      <c r="CG120" s="191"/>
      <c r="CH120" s="191"/>
      <c r="CI120" s="178" t="n">
        <f aca="false">SUM(CE120:CH120)</f>
        <v>0</v>
      </c>
      <c r="CJ120" s="191"/>
      <c r="CK120" s="191"/>
      <c r="CL120" s="191"/>
      <c r="CM120" s="191" t="n">
        <f aca="false">$S120</f>
        <v>8000</v>
      </c>
      <c r="CN120" s="178" t="n">
        <f aca="false">SUM(CJ120:CM120)</f>
        <v>8000</v>
      </c>
      <c r="CO120" s="191" t="n">
        <f aca="false">+CN120+CI120+CD120+BY120+BT120+BO120+BJ120+BE120+AZ120+AU120+AP120+AK120</f>
        <v>8000</v>
      </c>
      <c r="CP120" s="191" t="n">
        <f aca="false">S120</f>
        <v>8000</v>
      </c>
      <c r="CQ120" s="192" t="n">
        <f aca="false">+CO120/CP120</f>
        <v>1</v>
      </c>
    </row>
    <row r="121" customFormat="false" ht="22.5" hidden="false" customHeight="false" outlineLevel="0" collapsed="false">
      <c r="A121" s="177"/>
      <c r="B121" s="262" t="s">
        <v>325</v>
      </c>
      <c r="C121" s="220" t="s">
        <v>298</v>
      </c>
      <c r="D121" s="181" t="n">
        <v>1</v>
      </c>
      <c r="E121" s="220" t="n">
        <f aca="false">+K95</f>
        <v>83060.9133533378</v>
      </c>
      <c r="F121" s="178" t="n">
        <f aca="false">+E121*D121</f>
        <v>83060.9133533378</v>
      </c>
      <c r="G121" s="178" t="n">
        <f aca="false">F121/10.3</f>
        <v>8064.16634498425</v>
      </c>
      <c r="H121" s="178"/>
      <c r="I121" s="178"/>
      <c r="J121" s="193"/>
      <c r="K121" s="178"/>
      <c r="L121" s="181"/>
      <c r="M121" s="193" t="n">
        <f aca="false">N121*N$8</f>
        <v>44965.3064769949</v>
      </c>
      <c r="N121" s="263" t="n">
        <f aca="false">+$K$95/SM134Units</f>
        <v>624.518145513818</v>
      </c>
      <c r="O121" s="181" t="n">
        <f aca="false">+N121/N$11</f>
        <v>0.614683214088403</v>
      </c>
      <c r="P121" s="193" t="n">
        <f aca="false">Q121*Q$8</f>
        <v>38095.6068763429</v>
      </c>
      <c r="Q121" s="263" t="n">
        <f aca="false">+$K$95/SM134Units</f>
        <v>624.518145513818</v>
      </c>
      <c r="R121" s="181" t="n">
        <f aca="false">+Q121/Q$11</f>
        <v>0.514854200753354</v>
      </c>
      <c r="S121" s="264" t="n">
        <f aca="false">+P121+M121</f>
        <v>83060.9133533378</v>
      </c>
      <c r="T121" s="195" t="n">
        <f aca="false">+S121/S$8</f>
        <v>624.518145513818</v>
      </c>
      <c r="U121" s="181" t="n">
        <f aca="false">+S121/U$8</f>
        <v>0.564483423516516</v>
      </c>
      <c r="V121" s="265" t="n">
        <f aca="false">+S121/TotalCost</f>
        <v>0.00652839181570051</v>
      </c>
      <c r="W121" s="265" t="n">
        <f aca="false">+$S121/TotalValue</f>
        <v>0.00535876876939011</v>
      </c>
      <c r="X121" s="187"/>
      <c r="Y121" s="188"/>
      <c r="Z121" s="265"/>
      <c r="AA121" s="265"/>
      <c r="AB121" s="196"/>
      <c r="AC121" s="126"/>
      <c r="AD121" s="265"/>
      <c r="AE121" s="266"/>
      <c r="AF121" s="267" t="s">
        <v>325</v>
      </c>
      <c r="AG121" s="190"/>
      <c r="AH121" s="190"/>
      <c r="AI121" s="191"/>
      <c r="AJ121" s="191"/>
      <c r="AK121" s="178" t="n">
        <f aca="false">SUM(AG121:AJ121)</f>
        <v>0</v>
      </c>
      <c r="AL121" s="191"/>
      <c r="AM121" s="191"/>
      <c r="AN121" s="191" t="n">
        <f aca="false">$S121/6</f>
        <v>13843.4855588896</v>
      </c>
      <c r="AO121" s="191"/>
      <c r="AP121" s="178" t="n">
        <f aca="false">SUM(AL121:AO121)</f>
        <v>13843.4855588896</v>
      </c>
      <c r="AQ121" s="191"/>
      <c r="AR121" s="191"/>
      <c r="AS121" s="191" t="n">
        <f aca="false">$S121/6</f>
        <v>13843.4855588896</v>
      </c>
      <c r="AT121" s="191"/>
      <c r="AU121" s="178" t="n">
        <f aca="false">SUM(AQ121:AT121)</f>
        <v>13843.4855588896</v>
      </c>
      <c r="AV121" s="191"/>
      <c r="AW121" s="191"/>
      <c r="AX121" s="191" t="n">
        <f aca="false">$S121/6</f>
        <v>13843.4855588896</v>
      </c>
      <c r="AY121" s="191"/>
      <c r="AZ121" s="178" t="n">
        <f aca="false">SUM(AV121:AY121)</f>
        <v>13843.4855588896</v>
      </c>
      <c r="BA121" s="191"/>
      <c r="BB121" s="191"/>
      <c r="BC121" s="191" t="n">
        <f aca="false">$S121/6</f>
        <v>13843.4855588896</v>
      </c>
      <c r="BD121" s="191"/>
      <c r="BE121" s="178" t="n">
        <f aca="false">SUM(BA121:BD121)</f>
        <v>13843.4855588896</v>
      </c>
      <c r="BF121" s="191"/>
      <c r="BG121" s="191"/>
      <c r="BH121" s="191" t="n">
        <f aca="false">$S121/6</f>
        <v>13843.4855588896</v>
      </c>
      <c r="BI121" s="191"/>
      <c r="BJ121" s="178" t="n">
        <f aca="false">SUM(BF121:BI121)</f>
        <v>13843.4855588896</v>
      </c>
      <c r="BK121" s="191"/>
      <c r="BL121" s="191"/>
      <c r="BM121" s="191" t="n">
        <f aca="false">$S121/6</f>
        <v>13843.4855588896</v>
      </c>
      <c r="BN121" s="191"/>
      <c r="BO121" s="178" t="n">
        <f aca="false">SUM(BK121:BN121)</f>
        <v>13843.4855588896</v>
      </c>
      <c r="BP121" s="191"/>
      <c r="BQ121" s="191"/>
      <c r="BR121" s="191"/>
      <c r="BS121" s="191"/>
      <c r="BT121" s="178" t="n">
        <f aca="false">SUM(BP121:BS121)</f>
        <v>0</v>
      </c>
      <c r="BU121" s="191"/>
      <c r="BV121" s="191"/>
      <c r="BW121" s="191"/>
      <c r="BX121" s="191"/>
      <c r="BY121" s="178" t="n">
        <f aca="false">SUM(BU121:BX121)</f>
        <v>0</v>
      </c>
      <c r="BZ121" s="191"/>
      <c r="CA121" s="191"/>
      <c r="CB121" s="191"/>
      <c r="CC121" s="191"/>
      <c r="CD121" s="178" t="n">
        <f aca="false">SUM(BZ121:CC121)</f>
        <v>0</v>
      </c>
      <c r="CE121" s="191"/>
      <c r="CF121" s="191"/>
      <c r="CG121" s="191"/>
      <c r="CH121" s="191"/>
      <c r="CI121" s="178" t="n">
        <f aca="false">SUM(CE121:CH121)</f>
        <v>0</v>
      </c>
      <c r="CJ121" s="191"/>
      <c r="CK121" s="191"/>
      <c r="CL121" s="191"/>
      <c r="CM121" s="191"/>
      <c r="CN121" s="178" t="n">
        <f aca="false">SUM(CJ121:CM121)</f>
        <v>0</v>
      </c>
      <c r="CO121" s="191" t="n">
        <f aca="false">+CN121+CI121+CD121+BY121+BT121+BO121+BJ121+BE121+AZ121+AU121+AP121+AK121</f>
        <v>83060.9133533378</v>
      </c>
      <c r="CP121" s="191" t="n">
        <f aca="false">S121</f>
        <v>83060.9133533378</v>
      </c>
      <c r="CQ121" s="192" t="n">
        <f aca="false">+CO121/CP121</f>
        <v>1</v>
      </c>
    </row>
    <row r="122" customFormat="false" ht="12.75" hidden="false" customHeight="false" outlineLevel="0" collapsed="false">
      <c r="A122" s="177"/>
      <c r="B122" s="178" t="s">
        <v>326</v>
      </c>
      <c r="C122" s="220" t="s">
        <v>298</v>
      </c>
      <c r="D122" s="181" t="n">
        <v>3</v>
      </c>
      <c r="E122" s="220" t="n">
        <v>7500</v>
      </c>
      <c r="F122" s="178" t="n">
        <f aca="false">+E122*D122</f>
        <v>22500</v>
      </c>
      <c r="G122" s="178" t="n">
        <f aca="false">F122/10.3</f>
        <v>2184.46601941748</v>
      </c>
      <c r="H122" s="178"/>
      <c r="I122" s="178"/>
      <c r="J122" s="193"/>
      <c r="K122" s="178"/>
      <c r="L122" s="181"/>
      <c r="M122" s="193" t="n">
        <f aca="false">N122*N$8</f>
        <v>12180.4511278196</v>
      </c>
      <c r="N122" s="178" t="n">
        <f aca="false">+$F122/SM134Units</f>
        <v>169.172932330827</v>
      </c>
      <c r="O122" s="181" t="n">
        <f aca="false">+N122/N$11</f>
        <v>0.1665087916642</v>
      </c>
      <c r="P122" s="193" t="n">
        <f aca="false">Q122*Q$8</f>
        <v>10319.5488721805</v>
      </c>
      <c r="Q122" s="178" t="n">
        <f aca="false">+$F122/SM134Units</f>
        <v>169.172932330827</v>
      </c>
      <c r="R122" s="181" t="n">
        <f aca="false">+Q122/Q$11</f>
        <v>0.13946655591989</v>
      </c>
      <c r="S122" s="202" t="n">
        <f aca="false">+P122+M122</f>
        <v>22500</v>
      </c>
      <c r="T122" s="195" t="n">
        <f aca="false">+S122/S$8</f>
        <v>169.172932330827</v>
      </c>
      <c r="U122" s="181" t="n">
        <f aca="false">+S122/U$8</f>
        <v>0.152910394508818</v>
      </c>
      <c r="V122" s="186" t="n">
        <f aca="false">+S122/TotalCost</f>
        <v>0.00176844691351277</v>
      </c>
      <c r="W122" s="186" t="n">
        <f aca="false">+$S122/TotalValue</f>
        <v>0.00145161294817898</v>
      </c>
      <c r="X122" s="187"/>
      <c r="Y122" s="188"/>
      <c r="Z122" s="186"/>
      <c r="AA122" s="186"/>
      <c r="AB122" s="196"/>
      <c r="AC122" s="126"/>
      <c r="AD122" s="186"/>
      <c r="AE122" s="127"/>
      <c r="AF122" s="190" t="s">
        <v>326</v>
      </c>
      <c r="AG122" s="190"/>
      <c r="AH122" s="190"/>
      <c r="AI122" s="190"/>
      <c r="AJ122" s="243"/>
      <c r="AK122" s="178" t="n">
        <f aca="false">SUM(AG122:AJ122)</f>
        <v>0</v>
      </c>
      <c r="AL122" s="190"/>
      <c r="AM122" s="191"/>
      <c r="AN122" s="191"/>
      <c r="AO122" s="191"/>
      <c r="AP122" s="178" t="n">
        <f aca="false">SUM(AL122:AO122)</f>
        <v>0</v>
      </c>
      <c r="AQ122" s="191"/>
      <c r="AR122" s="191"/>
      <c r="AS122" s="191"/>
      <c r="AT122" s="191"/>
      <c r="AU122" s="178" t="n">
        <f aca="false">SUM(AQ122:AT122)</f>
        <v>0</v>
      </c>
      <c r="AV122" s="191"/>
      <c r="AW122" s="191"/>
      <c r="AX122" s="191"/>
      <c r="AY122" s="191"/>
      <c r="AZ122" s="178" t="n">
        <f aca="false">SUM(AV122:AY122)</f>
        <v>0</v>
      </c>
      <c r="BA122" s="191"/>
      <c r="BB122" s="191"/>
      <c r="BC122" s="191"/>
      <c r="BD122" s="191"/>
      <c r="BE122" s="178" t="n">
        <f aca="false">SUM(BA122:BD122)</f>
        <v>0</v>
      </c>
      <c r="BF122" s="191"/>
      <c r="BG122" s="191"/>
      <c r="BH122" s="191"/>
      <c r="BI122" s="191"/>
      <c r="BJ122" s="178" t="n">
        <f aca="false">SUM(BF122:BI122)</f>
        <v>0</v>
      </c>
      <c r="BK122" s="191"/>
      <c r="BL122" s="191"/>
      <c r="BM122" s="191" t="n">
        <f aca="false">S122</f>
        <v>22500</v>
      </c>
      <c r="BN122" s="191"/>
      <c r="BO122" s="178" t="n">
        <f aca="false">SUM(BK122:BN122)</f>
        <v>22500</v>
      </c>
      <c r="BP122" s="191"/>
      <c r="BQ122" s="191"/>
      <c r="BR122" s="191"/>
      <c r="BS122" s="191"/>
      <c r="BT122" s="178" t="n">
        <f aca="false">SUM(BP122:BS122)</f>
        <v>0</v>
      </c>
      <c r="BU122" s="191"/>
      <c r="BV122" s="191"/>
      <c r="BW122" s="191"/>
      <c r="BX122" s="191"/>
      <c r="BY122" s="178" t="n">
        <f aca="false">SUM(BU122:BX122)</f>
        <v>0</v>
      </c>
      <c r="BZ122" s="191"/>
      <c r="CA122" s="191"/>
      <c r="CB122" s="191"/>
      <c r="CC122" s="191"/>
      <c r="CD122" s="178" t="n">
        <f aca="false">SUM(BZ122:CC122)</f>
        <v>0</v>
      </c>
      <c r="CE122" s="191"/>
      <c r="CF122" s="191"/>
      <c r="CG122" s="191"/>
      <c r="CH122" s="191"/>
      <c r="CI122" s="178" t="n">
        <f aca="false">SUM(CE122:CH122)</f>
        <v>0</v>
      </c>
      <c r="CJ122" s="191"/>
      <c r="CK122" s="191"/>
      <c r="CL122" s="191"/>
      <c r="CM122" s="191"/>
      <c r="CN122" s="178" t="n">
        <f aca="false">SUM(CJ122:CM122)</f>
        <v>0</v>
      </c>
      <c r="CO122" s="191" t="n">
        <f aca="false">+CN122+CI122+CD122+BY122+BT122+BO122+BJ122+BE122+AZ122+AU122+AP122+AK122</f>
        <v>22500</v>
      </c>
      <c r="CP122" s="191" t="n">
        <f aca="false">S122</f>
        <v>22500</v>
      </c>
      <c r="CQ122" s="192" t="n">
        <f aca="false">+CO122/CP122</f>
        <v>1</v>
      </c>
    </row>
    <row r="123" customFormat="false" ht="12.75" hidden="false" customHeight="false" outlineLevel="0" collapsed="false">
      <c r="A123" s="177"/>
      <c r="B123" s="178" t="s">
        <v>327</v>
      </c>
      <c r="C123" s="220" t="s">
        <v>309</v>
      </c>
      <c r="D123" s="181" t="n">
        <v>134</v>
      </c>
      <c r="E123" s="220" t="n">
        <v>200</v>
      </c>
      <c r="F123" s="178" t="n">
        <f aca="false">+E123*D123</f>
        <v>26800</v>
      </c>
      <c r="G123" s="178" t="n">
        <f aca="false">F123/10.3</f>
        <v>2601.94174757282</v>
      </c>
      <c r="H123" s="178"/>
      <c r="I123" s="178"/>
      <c r="J123" s="193"/>
      <c r="K123" s="178"/>
      <c r="L123" s="181"/>
      <c r="M123" s="193" t="n">
        <f aca="false">N123*N$8</f>
        <v>14508.2706766917</v>
      </c>
      <c r="N123" s="178" t="n">
        <f aca="false">+$F123/SM134Units</f>
        <v>201.503759398496</v>
      </c>
      <c r="O123" s="181" t="n">
        <f aca="false">+N123/N$11</f>
        <v>0.198330471848914</v>
      </c>
      <c r="P123" s="193" t="n">
        <f aca="false">Q123*Q$8</f>
        <v>12291.7293233083</v>
      </c>
      <c r="Q123" s="178" t="n">
        <f aca="false">+$F123/SM134Units</f>
        <v>201.503759398496</v>
      </c>
      <c r="R123" s="181" t="n">
        <f aca="false">+Q123/Q$11</f>
        <v>0.166120164384581</v>
      </c>
      <c r="S123" s="202" t="n">
        <f aca="false">+P123+M123</f>
        <v>26800</v>
      </c>
      <c r="T123" s="195" t="n">
        <f aca="false">+S123/S$8</f>
        <v>201.503759398496</v>
      </c>
      <c r="U123" s="181" t="n">
        <f aca="false">+S123/U$8</f>
        <v>0.182133269903836</v>
      </c>
      <c r="V123" s="186" t="n">
        <f aca="false">+S123/TotalCost</f>
        <v>0.00210641676809521</v>
      </c>
      <c r="W123" s="186" t="n">
        <f aca="false">+$S123/TotalValue</f>
        <v>0.00172903231160874</v>
      </c>
      <c r="X123" s="187"/>
      <c r="Y123" s="188"/>
      <c r="Z123" s="186"/>
      <c r="AA123" s="186"/>
      <c r="AB123" s="196"/>
      <c r="AC123" s="126"/>
      <c r="AD123" s="186"/>
      <c r="AE123" s="127"/>
      <c r="AF123" s="190" t="s">
        <v>327</v>
      </c>
      <c r="AG123" s="191"/>
      <c r="AH123" s="191"/>
      <c r="AI123" s="191"/>
      <c r="AJ123" s="191"/>
      <c r="AK123" s="178" t="n">
        <f aca="false">SUM(AG123:AJ123)</f>
        <v>0</v>
      </c>
      <c r="AL123" s="191"/>
      <c r="AM123" s="191" t="n">
        <f aca="false">$S123/4</f>
        <v>6700</v>
      </c>
      <c r="AN123" s="191"/>
      <c r="AO123" s="191"/>
      <c r="AP123" s="178" t="n">
        <f aca="false">SUM(AL123:AO123)</f>
        <v>6700</v>
      </c>
      <c r="AQ123" s="191"/>
      <c r="AR123" s="191" t="n">
        <f aca="false">$S123/4</f>
        <v>6700</v>
      </c>
      <c r="AS123" s="191"/>
      <c r="AT123" s="191"/>
      <c r="AU123" s="178" t="n">
        <f aca="false">SUM(AQ123:AT123)</f>
        <v>6700</v>
      </c>
      <c r="AV123" s="191"/>
      <c r="AW123" s="191" t="n">
        <f aca="false">$S123/4</f>
        <v>6700</v>
      </c>
      <c r="AX123" s="191"/>
      <c r="AY123" s="191"/>
      <c r="AZ123" s="178" t="n">
        <f aca="false">SUM(AV123:AY123)</f>
        <v>6700</v>
      </c>
      <c r="BA123" s="191"/>
      <c r="BB123" s="191" t="n">
        <f aca="false">$S123/4</f>
        <v>6700</v>
      </c>
      <c r="BC123" s="191"/>
      <c r="BD123" s="191"/>
      <c r="BE123" s="178" t="n">
        <f aca="false">SUM(BA123:BD123)</f>
        <v>6700</v>
      </c>
      <c r="BF123" s="191"/>
      <c r="BG123" s="191"/>
      <c r="BH123" s="191"/>
      <c r="BI123" s="191"/>
      <c r="BJ123" s="178" t="n">
        <f aca="false">SUM(BF123:BI123)</f>
        <v>0</v>
      </c>
      <c r="BK123" s="191"/>
      <c r="BL123" s="191"/>
      <c r="BM123" s="191"/>
      <c r="BN123" s="191"/>
      <c r="BO123" s="178" t="n">
        <f aca="false">SUM(BK123:BN123)</f>
        <v>0</v>
      </c>
      <c r="BP123" s="191"/>
      <c r="BQ123" s="191"/>
      <c r="BR123" s="191"/>
      <c r="BS123" s="191"/>
      <c r="BT123" s="178" t="n">
        <f aca="false">SUM(BP123:BS123)</f>
        <v>0</v>
      </c>
      <c r="BU123" s="191"/>
      <c r="BV123" s="191"/>
      <c r="BW123" s="191"/>
      <c r="BX123" s="191"/>
      <c r="BY123" s="178" t="n">
        <f aca="false">SUM(BU123:BX123)</f>
        <v>0</v>
      </c>
      <c r="BZ123" s="191"/>
      <c r="CA123" s="191"/>
      <c r="CB123" s="191"/>
      <c r="CC123" s="191"/>
      <c r="CD123" s="178" t="n">
        <f aca="false">SUM(BZ123:CC123)</f>
        <v>0</v>
      </c>
      <c r="CE123" s="191"/>
      <c r="CF123" s="191"/>
      <c r="CG123" s="191"/>
      <c r="CH123" s="191"/>
      <c r="CI123" s="178" t="n">
        <f aca="false">SUM(CE123:CH123)</f>
        <v>0</v>
      </c>
      <c r="CJ123" s="191"/>
      <c r="CK123" s="191"/>
      <c r="CL123" s="191"/>
      <c r="CM123" s="191"/>
      <c r="CN123" s="178" t="n">
        <f aca="false">SUM(CJ123:CM123)</f>
        <v>0</v>
      </c>
      <c r="CO123" s="191" t="n">
        <f aca="false">+CN123+CI123+CD123+BY123+BT123+BO123+BJ123+BE123+AZ123+AU123+AP123+AK123</f>
        <v>26800</v>
      </c>
      <c r="CP123" s="191" t="n">
        <f aca="false">S123</f>
        <v>26800</v>
      </c>
      <c r="CQ123" s="192" t="n">
        <f aca="false">+CO123/CP123</f>
        <v>1</v>
      </c>
    </row>
    <row r="124" customFormat="false" ht="12.75" hidden="false" customHeight="false" outlineLevel="0" collapsed="false">
      <c r="A124" s="177"/>
      <c r="B124" s="178" t="s">
        <v>328</v>
      </c>
      <c r="C124" s="178" t="s">
        <v>298</v>
      </c>
      <c r="D124" s="181" t="n">
        <v>1</v>
      </c>
      <c r="E124" s="220" t="n">
        <f aca="false">65000+5000+3000</f>
        <v>73000</v>
      </c>
      <c r="F124" s="178" t="n">
        <f aca="false">+E124*D124</f>
        <v>73000</v>
      </c>
      <c r="G124" s="178" t="n">
        <f aca="false">F124/10.3</f>
        <v>7087.3786407767</v>
      </c>
      <c r="H124" s="178"/>
      <c r="I124" s="178"/>
      <c r="J124" s="193"/>
      <c r="K124" s="178"/>
      <c r="L124" s="181"/>
      <c r="M124" s="193" t="n">
        <f aca="false">N124*N$8</f>
        <v>39518.7969924812</v>
      </c>
      <c r="N124" s="178" t="n">
        <f aca="false">+$F124/SM134Units</f>
        <v>548.872180451128</v>
      </c>
      <c r="O124" s="181" t="n">
        <f aca="false">+N124/N$11</f>
        <v>0.540228524066071</v>
      </c>
      <c r="P124" s="193" t="n">
        <f aca="false">Q124*Q$8</f>
        <v>33481.2030075188</v>
      </c>
      <c r="Q124" s="178" t="n">
        <f aca="false">+$F124/SM134Units</f>
        <v>548.872180451128</v>
      </c>
      <c r="R124" s="181" t="n">
        <f aca="false">+Q124/Q$11</f>
        <v>0.452491492540089</v>
      </c>
      <c r="S124" s="202" t="n">
        <f aca="false">+P124+M124</f>
        <v>73000</v>
      </c>
      <c r="T124" s="195" t="n">
        <f aca="false">+S124/S$8</f>
        <v>548.872180451128</v>
      </c>
      <c r="U124" s="181" t="n">
        <f aca="false">+S124/U$8</f>
        <v>0.496109279961942</v>
      </c>
      <c r="V124" s="186" t="n">
        <f aca="false">+S124/TotalCost</f>
        <v>0.00573762776384142</v>
      </c>
      <c r="W124" s="186" t="n">
        <f aca="false">+$S124/TotalValue</f>
        <v>0.00470967756520292</v>
      </c>
      <c r="X124" s="187"/>
      <c r="Y124" s="188"/>
      <c r="Z124" s="186"/>
      <c r="AA124" s="186"/>
      <c r="AB124" s="196"/>
      <c r="AC124" s="126"/>
      <c r="AD124" s="186"/>
      <c r="AE124" s="127"/>
      <c r="AF124" s="190" t="s">
        <v>328</v>
      </c>
      <c r="AG124" s="190"/>
      <c r="AH124" s="190"/>
      <c r="AI124" s="190"/>
      <c r="AJ124" s="243"/>
      <c r="AK124" s="178" t="n">
        <f aca="false">SUM(AG124:AJ124)</f>
        <v>0</v>
      </c>
      <c r="AL124" s="190"/>
      <c r="AM124" s="191"/>
      <c r="AN124" s="191"/>
      <c r="AO124" s="191"/>
      <c r="AP124" s="178" t="n">
        <f aca="false">SUM(AL124:AO124)</f>
        <v>0</v>
      </c>
      <c r="AQ124" s="191"/>
      <c r="AR124" s="191"/>
      <c r="AS124" s="191"/>
      <c r="AT124" s="191"/>
      <c r="AU124" s="178" t="n">
        <f aca="false">SUM(AQ124:AT124)</f>
        <v>0</v>
      </c>
      <c r="AV124" s="191"/>
      <c r="AW124" s="191"/>
      <c r="AX124" s="191"/>
      <c r="AY124" s="191"/>
      <c r="AZ124" s="178" t="n">
        <f aca="false">SUM(AV124:AY124)</f>
        <v>0</v>
      </c>
      <c r="BA124" s="191"/>
      <c r="BB124" s="191"/>
      <c r="BC124" s="191"/>
      <c r="BD124" s="191"/>
      <c r="BE124" s="178" t="n">
        <f aca="false">SUM(BA124:BD124)</f>
        <v>0</v>
      </c>
      <c r="BF124" s="191"/>
      <c r="BG124" s="191"/>
      <c r="BH124" s="191"/>
      <c r="BI124" s="191"/>
      <c r="BJ124" s="178" t="n">
        <f aca="false">SUM(BF124:BI124)</f>
        <v>0</v>
      </c>
      <c r="BK124" s="191"/>
      <c r="BL124" s="191"/>
      <c r="BM124" s="191"/>
      <c r="BN124" s="191"/>
      <c r="BO124" s="178" t="n">
        <f aca="false">SUM(BK124:BN124)</f>
        <v>0</v>
      </c>
      <c r="BP124" s="191"/>
      <c r="BQ124" s="191"/>
      <c r="BR124" s="191"/>
      <c r="BS124" s="191"/>
      <c r="BT124" s="178" t="n">
        <f aca="false">SUM(BP124:BS124)</f>
        <v>0</v>
      </c>
      <c r="BU124" s="191"/>
      <c r="BV124" s="191"/>
      <c r="BW124" s="191"/>
      <c r="BX124" s="191"/>
      <c r="BY124" s="178" t="n">
        <f aca="false">SUM(BU124:BX124)</f>
        <v>0</v>
      </c>
      <c r="BZ124" s="191"/>
      <c r="CA124" s="191"/>
      <c r="CB124" s="191"/>
      <c r="CC124" s="191"/>
      <c r="CD124" s="178" t="n">
        <f aca="false">SUM(BZ124:CC124)</f>
        <v>0</v>
      </c>
      <c r="CE124" s="191"/>
      <c r="CF124" s="191"/>
      <c r="CG124" s="191"/>
      <c r="CH124" s="191"/>
      <c r="CI124" s="178" t="n">
        <f aca="false">SUM(CE124:CH124)</f>
        <v>0</v>
      </c>
      <c r="CJ124" s="191"/>
      <c r="CK124" s="191"/>
      <c r="CL124" s="191" t="n">
        <f aca="false">$S124/2</f>
        <v>36500</v>
      </c>
      <c r="CM124" s="191" t="n">
        <f aca="false">$S124/2</f>
        <v>36500</v>
      </c>
      <c r="CN124" s="178" t="n">
        <f aca="false">SUM(CJ124:CM124)</f>
        <v>73000</v>
      </c>
      <c r="CO124" s="191" t="n">
        <f aca="false">+CN124+CI124+CD124+BY124+BT124+BO124+BJ124+BE124+AZ124+AU124+AP124+AK124</f>
        <v>73000</v>
      </c>
      <c r="CP124" s="191" t="n">
        <f aca="false">S124</f>
        <v>73000</v>
      </c>
      <c r="CQ124" s="192" t="n">
        <f aca="false">+CO124/CP124</f>
        <v>1</v>
      </c>
    </row>
    <row r="125" customFormat="false" ht="12.75" hidden="false" customHeight="false" outlineLevel="0" collapsed="false">
      <c r="A125" s="177"/>
      <c r="B125" s="178" t="s">
        <v>329</v>
      </c>
      <c r="C125" s="178" t="s">
        <v>298</v>
      </c>
      <c r="D125" s="181" t="n">
        <v>1</v>
      </c>
      <c r="E125" s="220" t="n">
        <f aca="false">30000+800*30+2200+8000+2000*3</f>
        <v>70200</v>
      </c>
      <c r="F125" s="178" t="n">
        <f aca="false">+E125*D125</f>
        <v>70200</v>
      </c>
      <c r="G125" s="178" t="n">
        <f aca="false">F125/10.3</f>
        <v>6815.53398058252</v>
      </c>
      <c r="H125" s="178"/>
      <c r="I125" s="178"/>
      <c r="J125" s="193"/>
      <c r="K125" s="178"/>
      <c r="L125" s="181"/>
      <c r="M125" s="193" t="n">
        <f aca="false">N125*N$8</f>
        <v>38003.007518797</v>
      </c>
      <c r="N125" s="178" t="n">
        <f aca="false">+$F125/SM134Units</f>
        <v>527.819548872181</v>
      </c>
      <c r="O125" s="181" t="n">
        <f aca="false">+N125/N$11</f>
        <v>0.519507429992304</v>
      </c>
      <c r="P125" s="193" t="n">
        <f aca="false">Q125*Q$8</f>
        <v>32196.992481203</v>
      </c>
      <c r="Q125" s="178" t="n">
        <f aca="false">+$F125/SM134Units</f>
        <v>527.819548872181</v>
      </c>
      <c r="R125" s="181" t="n">
        <f aca="false">+Q125/Q$11</f>
        <v>0.435135654470058</v>
      </c>
      <c r="S125" s="202" t="n">
        <f aca="false">+P125+M125</f>
        <v>70200</v>
      </c>
      <c r="T125" s="195" t="n">
        <f aca="false">+S125/S$8</f>
        <v>527.819548872181</v>
      </c>
      <c r="U125" s="181" t="n">
        <f aca="false">+S125/U$8</f>
        <v>0.477080430867512</v>
      </c>
      <c r="V125" s="186" t="n">
        <f aca="false">+S125/TotalCost</f>
        <v>0.00551755437015983</v>
      </c>
      <c r="W125" s="186" t="n">
        <f aca="false">+$S125/TotalValue</f>
        <v>0.00452903239831842</v>
      </c>
      <c r="X125" s="187"/>
      <c r="Y125" s="188"/>
      <c r="Z125" s="186"/>
      <c r="AA125" s="186"/>
      <c r="AB125" s="196"/>
      <c r="AC125" s="126"/>
      <c r="AD125" s="186"/>
      <c r="AE125" s="127"/>
      <c r="AF125" s="190" t="s">
        <v>329</v>
      </c>
      <c r="AG125" s="190"/>
      <c r="AH125" s="190"/>
      <c r="AI125" s="190"/>
      <c r="AJ125" s="243"/>
      <c r="AK125" s="178" t="n">
        <f aca="false">SUM(AG125:AJ125)</f>
        <v>0</v>
      </c>
      <c r="AL125" s="190"/>
      <c r="AM125" s="191"/>
      <c r="AN125" s="191"/>
      <c r="AO125" s="191"/>
      <c r="AP125" s="178" t="n">
        <f aca="false">SUM(AL125:AO125)</f>
        <v>0</v>
      </c>
      <c r="AQ125" s="191"/>
      <c r="AR125" s="191"/>
      <c r="AS125" s="191"/>
      <c r="AT125" s="191"/>
      <c r="AU125" s="178" t="n">
        <f aca="false">SUM(AQ125:AT125)</f>
        <v>0</v>
      </c>
      <c r="AV125" s="191"/>
      <c r="AW125" s="191"/>
      <c r="AX125" s="191"/>
      <c r="AY125" s="191"/>
      <c r="AZ125" s="178" t="n">
        <f aca="false">SUM(AV125:AY125)</f>
        <v>0</v>
      </c>
      <c r="BA125" s="191"/>
      <c r="BB125" s="191"/>
      <c r="BC125" s="191"/>
      <c r="BD125" s="191"/>
      <c r="BE125" s="178" t="n">
        <f aca="false">SUM(BA125:BD125)</f>
        <v>0</v>
      </c>
      <c r="BF125" s="191"/>
      <c r="BG125" s="191"/>
      <c r="BH125" s="191"/>
      <c r="BI125" s="191"/>
      <c r="BJ125" s="178" t="n">
        <f aca="false">SUM(BF125:BI125)</f>
        <v>0</v>
      </c>
      <c r="BK125" s="191"/>
      <c r="BL125" s="191" t="n">
        <f aca="false">$S125/2</f>
        <v>35100</v>
      </c>
      <c r="BM125" s="191" t="n">
        <f aca="false">$S125/2</f>
        <v>35100</v>
      </c>
      <c r="BN125" s="191"/>
      <c r="BO125" s="178" t="n">
        <f aca="false">SUM(BK125:BN125)</f>
        <v>70200</v>
      </c>
      <c r="BP125" s="191"/>
      <c r="BQ125" s="191"/>
      <c r="BR125" s="191"/>
      <c r="BS125" s="191"/>
      <c r="BT125" s="178" t="n">
        <f aca="false">SUM(BP125:BS125)</f>
        <v>0</v>
      </c>
      <c r="BU125" s="191"/>
      <c r="BV125" s="191"/>
      <c r="BW125" s="191"/>
      <c r="BX125" s="191"/>
      <c r="BY125" s="178" t="n">
        <f aca="false">SUM(BU125:BX125)</f>
        <v>0</v>
      </c>
      <c r="BZ125" s="191"/>
      <c r="CA125" s="191"/>
      <c r="CB125" s="191"/>
      <c r="CC125" s="191"/>
      <c r="CD125" s="178" t="n">
        <f aca="false">SUM(BZ125:CC125)</f>
        <v>0</v>
      </c>
      <c r="CE125" s="191"/>
      <c r="CF125" s="191"/>
      <c r="CG125" s="191"/>
      <c r="CH125" s="191"/>
      <c r="CI125" s="178" t="n">
        <f aca="false">SUM(CE125:CH125)</f>
        <v>0</v>
      </c>
      <c r="CJ125" s="191"/>
      <c r="CK125" s="191"/>
      <c r="CL125" s="191"/>
      <c r="CM125" s="191"/>
      <c r="CN125" s="178" t="n">
        <f aca="false">SUM(CJ125:CM125)</f>
        <v>0</v>
      </c>
      <c r="CO125" s="191" t="n">
        <f aca="false">+CN125+CI125+CD125+BY125+BT125+BO125+BJ125+BE125+AZ125+AU125+AP125+AK125</f>
        <v>70200</v>
      </c>
      <c r="CP125" s="191" t="n">
        <f aca="false">S125</f>
        <v>70200</v>
      </c>
      <c r="CQ125" s="192" t="n">
        <f aca="false">+CO125/CP125</f>
        <v>1</v>
      </c>
    </row>
    <row r="126" customFormat="false" ht="12.75" hidden="false" customHeight="false" outlineLevel="0" collapsed="false">
      <c r="A126" s="177"/>
      <c r="B126" s="178" t="s">
        <v>330</v>
      </c>
      <c r="C126" s="178" t="s">
        <v>298</v>
      </c>
      <c r="D126" s="181" t="n">
        <v>1</v>
      </c>
      <c r="E126" s="220" t="n">
        <v>20000</v>
      </c>
      <c r="F126" s="178" t="n">
        <f aca="false">+E126*D126</f>
        <v>20000</v>
      </c>
      <c r="G126" s="178" t="n">
        <f aca="false">F126/10.3</f>
        <v>1941.74757281553</v>
      </c>
      <c r="H126" s="178"/>
      <c r="I126" s="178"/>
      <c r="J126" s="193"/>
      <c r="K126" s="178"/>
      <c r="L126" s="181"/>
      <c r="M126" s="193" t="n">
        <f aca="false">N126*N$8</f>
        <v>10827.0676691729</v>
      </c>
      <c r="N126" s="178" t="n">
        <f aca="false">+$F126/SM134Units</f>
        <v>150.375939849624</v>
      </c>
      <c r="O126" s="181" t="n">
        <f aca="false">+N126/N$11</f>
        <v>0.148007814812622</v>
      </c>
      <c r="P126" s="193" t="n">
        <f aca="false">Q126*Q$8</f>
        <v>9172.93233082707</v>
      </c>
      <c r="Q126" s="178" t="n">
        <f aca="false">+$F126/SM134Units</f>
        <v>150.375939849624</v>
      </c>
      <c r="R126" s="181" t="n">
        <f aca="false">+Q126/Q$11</f>
        <v>0.123970271928791</v>
      </c>
      <c r="S126" s="202" t="n">
        <f aca="false">+P126+M126</f>
        <v>20000</v>
      </c>
      <c r="T126" s="195" t="n">
        <f aca="false">+S126/S$8</f>
        <v>150.375939849624</v>
      </c>
      <c r="U126" s="181" t="n">
        <f aca="false">+S126/U$8</f>
        <v>0.135920350674505</v>
      </c>
      <c r="V126" s="186" t="n">
        <f aca="false">+S126/TotalCost</f>
        <v>0.00157195281201135</v>
      </c>
      <c r="W126" s="186" t="n">
        <f aca="false">+$S126/TotalValue</f>
        <v>0.00129032262060354</v>
      </c>
      <c r="X126" s="187"/>
      <c r="Y126" s="188"/>
      <c r="Z126" s="186"/>
      <c r="AA126" s="186"/>
      <c r="AB126" s="196"/>
      <c r="AC126" s="126"/>
      <c r="AD126" s="186"/>
      <c r="AE126" s="127"/>
      <c r="AF126" s="190" t="s">
        <v>330</v>
      </c>
      <c r="AG126" s="190"/>
      <c r="AH126" s="190"/>
      <c r="AI126" s="190"/>
      <c r="AJ126" s="243"/>
      <c r="AK126" s="178" t="n">
        <f aca="false">SUM(AG126:AJ126)</f>
        <v>0</v>
      </c>
      <c r="AL126" s="190"/>
      <c r="AM126" s="191"/>
      <c r="AN126" s="191"/>
      <c r="AO126" s="191"/>
      <c r="AP126" s="178" t="n">
        <f aca="false">SUM(AL126:AO126)</f>
        <v>0</v>
      </c>
      <c r="AQ126" s="191"/>
      <c r="AR126" s="191"/>
      <c r="AS126" s="191"/>
      <c r="AT126" s="191"/>
      <c r="AU126" s="178" t="n">
        <f aca="false">SUM(AQ126:AT126)</f>
        <v>0</v>
      </c>
      <c r="AV126" s="191"/>
      <c r="AW126" s="191"/>
      <c r="AX126" s="191"/>
      <c r="AY126" s="191"/>
      <c r="AZ126" s="178" t="n">
        <f aca="false">SUM(AV126:AY126)</f>
        <v>0</v>
      </c>
      <c r="BA126" s="191"/>
      <c r="BB126" s="191"/>
      <c r="BC126" s="191"/>
      <c r="BD126" s="191"/>
      <c r="BE126" s="178" t="n">
        <f aca="false">SUM(BA126:BD126)</f>
        <v>0</v>
      </c>
      <c r="BF126" s="191"/>
      <c r="BG126" s="191"/>
      <c r="BH126" s="191"/>
      <c r="BI126" s="191"/>
      <c r="BJ126" s="178" t="n">
        <f aca="false">SUM(BF126:BI126)</f>
        <v>0</v>
      </c>
      <c r="BK126" s="191"/>
      <c r="BL126" s="191"/>
      <c r="BM126" s="191"/>
      <c r="BN126" s="191"/>
      <c r="BO126" s="178" t="n">
        <f aca="false">SUM(BK126:BN126)</f>
        <v>0</v>
      </c>
      <c r="BP126" s="191"/>
      <c r="BQ126" s="191"/>
      <c r="BR126" s="191"/>
      <c r="BS126" s="191"/>
      <c r="BT126" s="178" t="n">
        <f aca="false">SUM(BP126:BS126)</f>
        <v>0</v>
      </c>
      <c r="BU126" s="191"/>
      <c r="BV126" s="191"/>
      <c r="BW126" s="191"/>
      <c r="BX126" s="191"/>
      <c r="BY126" s="178" t="n">
        <f aca="false">SUM(BU126:BX126)</f>
        <v>0</v>
      </c>
      <c r="BZ126" s="191"/>
      <c r="CA126" s="191"/>
      <c r="CB126" s="191"/>
      <c r="CC126" s="191"/>
      <c r="CD126" s="178" t="n">
        <f aca="false">SUM(BZ126:CC126)</f>
        <v>0</v>
      </c>
      <c r="CE126" s="191"/>
      <c r="CF126" s="191"/>
      <c r="CG126" s="191"/>
      <c r="CH126" s="191"/>
      <c r="CI126" s="178" t="n">
        <f aca="false">SUM(CE126:CH126)</f>
        <v>0</v>
      </c>
      <c r="CJ126" s="191"/>
      <c r="CK126" s="191"/>
      <c r="CL126" s="191" t="n">
        <f aca="false">$S126/2</f>
        <v>10000</v>
      </c>
      <c r="CM126" s="191" t="n">
        <f aca="false">$S126/2</f>
        <v>10000</v>
      </c>
      <c r="CN126" s="178" t="n">
        <f aca="false">SUM(CJ126:CM126)</f>
        <v>20000</v>
      </c>
      <c r="CO126" s="191" t="n">
        <f aca="false">+CN126+CI126+CD126+BY126+BT126+BO126+BJ126+BE126+AZ126+AU126+AP126+AK126</f>
        <v>20000</v>
      </c>
      <c r="CP126" s="191" t="n">
        <f aca="false">S126</f>
        <v>20000</v>
      </c>
      <c r="CQ126" s="192" t="n">
        <f aca="false">+CO126/CP126</f>
        <v>1</v>
      </c>
    </row>
    <row r="127" customFormat="false" ht="12.75" hidden="false" customHeight="false" outlineLevel="0" collapsed="false">
      <c r="A127" s="177"/>
      <c r="B127" s="178" t="s">
        <v>331</v>
      </c>
      <c r="C127" s="178" t="s">
        <v>298</v>
      </c>
      <c r="D127" s="181" t="n">
        <v>1</v>
      </c>
      <c r="E127" s="220" t="n">
        <v>25000</v>
      </c>
      <c r="F127" s="178" t="n">
        <f aca="false">+E127*D127</f>
        <v>25000</v>
      </c>
      <c r="G127" s="178" t="n">
        <f aca="false">F127/10.3</f>
        <v>2427.18446601942</v>
      </c>
      <c r="H127" s="178"/>
      <c r="I127" s="178"/>
      <c r="J127" s="252"/>
      <c r="K127" s="251"/>
      <c r="L127" s="250"/>
      <c r="M127" s="252" t="n">
        <f aca="false">N127*N$8</f>
        <v>13533.8345864662</v>
      </c>
      <c r="N127" s="251" t="n">
        <f aca="false">+$F127/SM134Units</f>
        <v>187.96992481203</v>
      </c>
      <c r="O127" s="250" t="n">
        <f aca="false">+N127/N$11</f>
        <v>0.185009768515778</v>
      </c>
      <c r="P127" s="252" t="n">
        <f aca="false">Q127*Q$8</f>
        <v>11466.1654135338</v>
      </c>
      <c r="Q127" s="251" t="n">
        <f aca="false">+$F127/SM134Units</f>
        <v>187.96992481203</v>
      </c>
      <c r="R127" s="250" t="n">
        <f aca="false">+Q127/Q$11</f>
        <v>0.154962839910989</v>
      </c>
      <c r="S127" s="202" t="n">
        <f aca="false">+P127+M127</f>
        <v>25000</v>
      </c>
      <c r="T127" s="195" t="n">
        <f aca="false">+S127/S$8</f>
        <v>187.96992481203</v>
      </c>
      <c r="U127" s="181" t="n">
        <f aca="false">+S127/U$8</f>
        <v>0.169900438343131</v>
      </c>
      <c r="V127" s="186" t="n">
        <f aca="false">+S127/TotalCost</f>
        <v>0.00196494101501418</v>
      </c>
      <c r="W127" s="223" t="n">
        <f aca="false">+$S127/TotalValue</f>
        <v>0.00161290327575442</v>
      </c>
      <c r="X127" s="187"/>
      <c r="Y127" s="188"/>
      <c r="Z127" s="185"/>
      <c r="AA127" s="185"/>
      <c r="AB127" s="225"/>
      <c r="AC127" s="126"/>
      <c r="AD127" s="185"/>
      <c r="AE127" s="227"/>
      <c r="AF127" s="190" t="s">
        <v>331</v>
      </c>
      <c r="AG127" s="190"/>
      <c r="AH127" s="190"/>
      <c r="AI127" s="190"/>
      <c r="AJ127" s="243"/>
      <c r="AK127" s="178" t="n">
        <f aca="false">SUM(AG127:AJ127)</f>
        <v>0</v>
      </c>
      <c r="AL127" s="190"/>
      <c r="AM127" s="191"/>
      <c r="AN127" s="191"/>
      <c r="AO127" s="191"/>
      <c r="AP127" s="178" t="n">
        <f aca="false">SUM(AL127:AO127)</f>
        <v>0</v>
      </c>
      <c r="AQ127" s="191"/>
      <c r="AR127" s="191"/>
      <c r="AS127" s="191"/>
      <c r="AT127" s="191"/>
      <c r="AU127" s="178" t="n">
        <f aca="false">SUM(AQ127:AT127)</f>
        <v>0</v>
      </c>
      <c r="AV127" s="191"/>
      <c r="AW127" s="191"/>
      <c r="AX127" s="191"/>
      <c r="AY127" s="191"/>
      <c r="AZ127" s="178" t="n">
        <f aca="false">SUM(AV127:AY127)</f>
        <v>0</v>
      </c>
      <c r="BA127" s="191"/>
      <c r="BB127" s="191"/>
      <c r="BC127" s="191"/>
      <c r="BD127" s="191"/>
      <c r="BE127" s="178" t="n">
        <f aca="false">SUM(BA127:BD127)</f>
        <v>0</v>
      </c>
      <c r="BF127" s="191"/>
      <c r="BG127" s="191"/>
      <c r="BH127" s="191"/>
      <c r="BI127" s="191"/>
      <c r="BJ127" s="178" t="n">
        <f aca="false">SUM(BF127:BI127)</f>
        <v>0</v>
      </c>
      <c r="BK127" s="191"/>
      <c r="BL127" s="191"/>
      <c r="BM127" s="191"/>
      <c r="BN127" s="191"/>
      <c r="BO127" s="178" t="n">
        <f aca="false">SUM(BK127:BN127)</f>
        <v>0</v>
      </c>
      <c r="BP127" s="191"/>
      <c r="BQ127" s="191"/>
      <c r="BR127" s="191"/>
      <c r="BS127" s="191"/>
      <c r="BT127" s="178" t="n">
        <f aca="false">SUM(BP127:BS127)</f>
        <v>0</v>
      </c>
      <c r="BU127" s="191"/>
      <c r="BV127" s="191"/>
      <c r="BW127" s="191"/>
      <c r="BX127" s="191"/>
      <c r="BY127" s="178" t="n">
        <f aca="false">SUM(BU127:BX127)</f>
        <v>0</v>
      </c>
      <c r="BZ127" s="191"/>
      <c r="CA127" s="191"/>
      <c r="CB127" s="191"/>
      <c r="CC127" s="191"/>
      <c r="CD127" s="178" t="n">
        <f aca="false">SUM(BZ127:CC127)</f>
        <v>0</v>
      </c>
      <c r="CE127" s="191"/>
      <c r="CF127" s="191"/>
      <c r="CG127" s="191"/>
      <c r="CH127" s="191"/>
      <c r="CI127" s="178" t="n">
        <f aca="false">SUM(CE127:CH127)</f>
        <v>0</v>
      </c>
      <c r="CJ127" s="191"/>
      <c r="CK127" s="191"/>
      <c r="CL127" s="191" t="n">
        <f aca="false">$S127/2</f>
        <v>12500</v>
      </c>
      <c r="CM127" s="191" t="n">
        <f aca="false">$S127/2</f>
        <v>12500</v>
      </c>
      <c r="CN127" s="178" t="n">
        <f aca="false">SUM(CJ127:CM127)</f>
        <v>25000</v>
      </c>
      <c r="CO127" s="191" t="n">
        <f aca="false">+CN127+CI127+CD127+BY127+BT127+BO127+BJ127+BE127+AZ127+AU127+AP127+AK127</f>
        <v>25000</v>
      </c>
      <c r="CP127" s="191" t="n">
        <f aca="false">S127</f>
        <v>25000</v>
      </c>
      <c r="CQ127" s="192" t="n">
        <f aca="false">+CO127/CP127</f>
        <v>1</v>
      </c>
    </row>
    <row r="128" customFormat="false" ht="12.75" hidden="false" customHeight="false" outlineLevel="0" collapsed="false">
      <c r="A128" s="177"/>
      <c r="B128" s="254" t="s">
        <v>332</v>
      </c>
      <c r="C128" s="268"/>
      <c r="D128" s="254"/>
      <c r="E128" s="254"/>
      <c r="F128" s="254" t="n">
        <f aca="false">SUM(F117:F127)</f>
        <v>785648.282012555</v>
      </c>
      <c r="G128" s="254" t="n">
        <f aca="false">SUM(G124:G126)</f>
        <v>15844.6601941748</v>
      </c>
      <c r="H128" s="178"/>
      <c r="I128" s="178"/>
      <c r="J128" s="256"/>
      <c r="K128" s="256"/>
      <c r="L128" s="269"/>
      <c r="M128" s="256" t="n">
        <f aca="false">SUM(M117:M127)</f>
        <v>425313.35567597</v>
      </c>
      <c r="N128" s="256" t="n">
        <f aca="false">SUM(N117:N127)</f>
        <v>5907.12993994402</v>
      </c>
      <c r="O128" s="269" t="n">
        <f aca="false">+N128/N$11</f>
        <v>5.81410427159845</v>
      </c>
      <c r="P128" s="256" t="n">
        <f aca="false">SUM(P117:P127)</f>
        <v>360334.926336585</v>
      </c>
      <c r="Q128" s="256" t="n">
        <f aca="false">SUM(Q117:Q127)</f>
        <v>5907.12993994402</v>
      </c>
      <c r="R128" s="269" t="n">
        <f aca="false">SUM(R117:R127)</f>
        <v>4.86985155807422</v>
      </c>
      <c r="S128" s="258" t="n">
        <f aca="false">SUM(S117:S127)</f>
        <v>785648.282012555</v>
      </c>
      <c r="T128" s="256" t="n">
        <f aca="false">+S128/S$8</f>
        <v>5907.12993994402</v>
      </c>
      <c r="U128" s="257" t="n">
        <f aca="false">+S128/U$8</f>
        <v>5.33927949989843</v>
      </c>
      <c r="V128" s="270" t="n">
        <f aca="false">+S128/TotalCost</f>
        <v>0.061750101308076</v>
      </c>
      <c r="W128" s="270" t="n">
        <f aca="false">+$S128/TotalValue</f>
        <v>0.0506869875059554</v>
      </c>
      <c r="X128" s="259"/>
      <c r="Y128" s="271"/>
      <c r="Z128" s="185"/>
      <c r="AA128" s="185"/>
      <c r="AB128" s="225"/>
      <c r="AC128" s="272"/>
      <c r="AD128" s="185"/>
      <c r="AE128" s="227"/>
      <c r="AF128" s="260" t="s">
        <v>332</v>
      </c>
      <c r="AG128" s="240" t="n">
        <f aca="false">SUM(AG117:AG127)</f>
        <v>0</v>
      </c>
      <c r="AH128" s="240" t="n">
        <f aca="false">SUM(AH117:AH127)</f>
        <v>0</v>
      </c>
      <c r="AI128" s="240" t="n">
        <f aca="false">SUM(AI117:AI127)</f>
        <v>0</v>
      </c>
      <c r="AJ128" s="240" t="n">
        <f aca="false">SUM(AJ117:AJ127)</f>
        <v>0</v>
      </c>
      <c r="AK128" s="240" t="n">
        <f aca="false">SUM(AK117:AK127)</f>
        <v>0</v>
      </c>
      <c r="AL128" s="240" t="n">
        <f aca="false">SUM(AL117:AL127)</f>
        <v>0</v>
      </c>
      <c r="AM128" s="240" t="n">
        <f aca="false">SUM(AM117:AM127)</f>
        <v>6700</v>
      </c>
      <c r="AN128" s="240" t="n">
        <f aca="false">SUM(AN117:AN127)</f>
        <v>13843.4855588896</v>
      </c>
      <c r="AO128" s="240" t="n">
        <f aca="false">SUM(AO117:AO127)</f>
        <v>0</v>
      </c>
      <c r="AP128" s="240" t="n">
        <f aca="false">SUM(AP117:AP127)</f>
        <v>20543.4855588896</v>
      </c>
      <c r="AQ128" s="240" t="n">
        <f aca="false">SUM(AQ117:AQ127)</f>
        <v>0</v>
      </c>
      <c r="AR128" s="240" t="n">
        <f aca="false">SUM(AR117:AR127)</f>
        <v>6700</v>
      </c>
      <c r="AS128" s="240" t="n">
        <f aca="false">SUM(AS117:AS127)</f>
        <v>13843.4855588896</v>
      </c>
      <c r="AT128" s="240" t="n">
        <f aca="false">SUM(AT117:AT127)</f>
        <v>0</v>
      </c>
      <c r="AU128" s="240" t="n">
        <f aca="false">SUM(AU117:AU127)</f>
        <v>20543.4855588896</v>
      </c>
      <c r="AV128" s="240" t="n">
        <f aca="false">SUM(AV117:AV127)</f>
        <v>0</v>
      </c>
      <c r="AW128" s="240" t="n">
        <f aca="false">SUM(AW117:AW127)</f>
        <v>6700</v>
      </c>
      <c r="AX128" s="240" t="n">
        <f aca="false">SUM(AX117:AX127)</f>
        <v>13843.4855588896</v>
      </c>
      <c r="AY128" s="240" t="n">
        <f aca="false">SUM(AY117:AY127)</f>
        <v>0</v>
      </c>
      <c r="AZ128" s="240" t="n">
        <f aca="false">SUM(AZ117:AZ127)</f>
        <v>20543.4855588896</v>
      </c>
      <c r="BA128" s="240" t="n">
        <f aca="false">SUM(BA117:BA127)</f>
        <v>0</v>
      </c>
      <c r="BB128" s="240" t="n">
        <f aca="false">SUM(BB117:BB127)</f>
        <v>6700</v>
      </c>
      <c r="BC128" s="240" t="n">
        <f aca="false">SUM(BC117:BC127)</f>
        <v>13843.4855588896</v>
      </c>
      <c r="BD128" s="240" t="n">
        <f aca="false">SUM(BD117:BD127)</f>
        <v>0</v>
      </c>
      <c r="BE128" s="240" t="n">
        <f aca="false">SUM(BE117:BE127)</f>
        <v>20543.4855588896</v>
      </c>
      <c r="BF128" s="240" t="n">
        <f aca="false">SUM(BF117:BF127)</f>
        <v>0</v>
      </c>
      <c r="BG128" s="240" t="n">
        <f aca="false">SUM(BG117:BG127)</f>
        <v>0</v>
      </c>
      <c r="BH128" s="240" t="n">
        <f aca="false">SUM(BH117:BH127)</f>
        <v>13843.4855588896</v>
      </c>
      <c r="BI128" s="240" t="n">
        <f aca="false">SUM(BI117:BI127)</f>
        <v>0</v>
      </c>
      <c r="BJ128" s="240" t="n">
        <f aca="false">SUM(BJ117:BJ127)</f>
        <v>13843.4855588896</v>
      </c>
      <c r="BK128" s="240" t="n">
        <f aca="false">SUM(BK117:BK127)</f>
        <v>0</v>
      </c>
      <c r="BL128" s="240" t="n">
        <f aca="false">SUM(BL117:BL127)</f>
        <v>35100</v>
      </c>
      <c r="BM128" s="240" t="n">
        <f aca="false">SUM(BM117:BM127)</f>
        <v>71443.4855588896</v>
      </c>
      <c r="BN128" s="240" t="n">
        <f aca="false">SUM(BN117:BN127)</f>
        <v>0</v>
      </c>
      <c r="BO128" s="240" t="n">
        <f aca="false">SUM(BO117:BO127)</f>
        <v>106543.48555889</v>
      </c>
      <c r="BP128" s="240" t="n">
        <f aca="false">SUM(BP117:BP127)</f>
        <v>0</v>
      </c>
      <c r="BQ128" s="240" t="n">
        <f aca="false">SUM(BQ117:BQ127)</f>
        <v>0</v>
      </c>
      <c r="BR128" s="240" t="n">
        <f aca="false">SUM(BR117:BR127)</f>
        <v>0</v>
      </c>
      <c r="BS128" s="240" t="n">
        <f aca="false">SUM(BS117:BS127)</f>
        <v>0</v>
      </c>
      <c r="BT128" s="240" t="n">
        <f aca="false">SUM(BT117:BT127)</f>
        <v>0</v>
      </c>
      <c r="BU128" s="240" t="n">
        <f aca="false">SUM(BU117:BU127)</f>
        <v>0</v>
      </c>
      <c r="BV128" s="240" t="n">
        <f aca="false">SUM(BV117:BV127)</f>
        <v>0</v>
      </c>
      <c r="BW128" s="240" t="n">
        <f aca="false">SUM(BW117:BW127)</f>
        <v>0</v>
      </c>
      <c r="BX128" s="240" t="n">
        <f aca="false">SUM(BX117:BX127)</f>
        <v>0</v>
      </c>
      <c r="BY128" s="240" t="n">
        <f aca="false">SUM(BY117:BY127)</f>
        <v>0</v>
      </c>
      <c r="BZ128" s="240" t="n">
        <f aca="false">SUM(BZ117:BZ127)</f>
        <v>0</v>
      </c>
      <c r="CA128" s="240" t="n">
        <f aca="false">SUM(CA117:CA127)</f>
        <v>0</v>
      </c>
      <c r="CB128" s="240" t="n">
        <f aca="false">SUM(CB117:CB127)</f>
        <v>0</v>
      </c>
      <c r="CC128" s="240" t="n">
        <f aca="false">SUM(CC117:CC127)</f>
        <v>0</v>
      </c>
      <c r="CD128" s="240" t="n">
        <f aca="false">SUM(CD117:CD127)</f>
        <v>0</v>
      </c>
      <c r="CE128" s="240" t="n">
        <f aca="false">SUM(CE117:CE127)</f>
        <v>0</v>
      </c>
      <c r="CF128" s="240" t="n">
        <f aca="false">SUM(CF117:CF127)</f>
        <v>0</v>
      </c>
      <c r="CG128" s="240" t="n">
        <f aca="false">SUM(CG117:CG127)</f>
        <v>0</v>
      </c>
      <c r="CH128" s="240" t="n">
        <f aca="false">SUM(CH117:CH127)</f>
        <v>0</v>
      </c>
      <c r="CI128" s="240" t="n">
        <f aca="false">SUM(CI117:CI127)</f>
        <v>0</v>
      </c>
      <c r="CJ128" s="240" t="n">
        <f aca="false">SUM(CJ117:CJ127)</f>
        <v>0</v>
      </c>
      <c r="CK128" s="240" t="n">
        <f aca="false">SUM(CK117:CK127)</f>
        <v>0</v>
      </c>
      <c r="CL128" s="240" t="n">
        <f aca="false">SUM(CL117:CL127)</f>
        <v>156150</v>
      </c>
      <c r="CM128" s="240" t="n">
        <f aca="false">SUM(CM117:CM127)</f>
        <v>426937.368659217</v>
      </c>
      <c r="CN128" s="240" t="n">
        <f aca="false">SUM(CN117:CN127)</f>
        <v>583087.368659217</v>
      </c>
      <c r="CO128" s="261" t="n">
        <f aca="false">SUM(CO117:CO127)</f>
        <v>785648.282012555</v>
      </c>
      <c r="CP128" s="261" t="n">
        <f aca="false">SUM(CP117:CP127)</f>
        <v>785648.282012555</v>
      </c>
      <c r="CQ128" s="273" t="n">
        <f aca="false">+CO128/CP128</f>
        <v>1</v>
      </c>
    </row>
    <row r="129" customFormat="false" ht="12.75" hidden="false" customHeight="false" outlineLevel="0" collapsed="false">
      <c r="A129" s="177"/>
      <c r="B129" s="230" t="s">
        <v>333</v>
      </c>
      <c r="C129" s="268"/>
      <c r="D129" s="268"/>
      <c r="E129" s="268"/>
      <c r="F129" s="254" t="n">
        <f aca="false">+F128+F115</f>
        <v>1412960.28201256</v>
      </c>
      <c r="G129" s="254" t="n">
        <f aca="false">+G128+G115</f>
        <v>76748.7378640777</v>
      </c>
      <c r="H129" s="178"/>
      <c r="I129" s="178"/>
      <c r="J129" s="256"/>
      <c r="K129" s="256"/>
      <c r="L129" s="269"/>
      <c r="M129" s="256" t="n">
        <f aca="false">+M128+M115</f>
        <v>764758.119226637</v>
      </c>
      <c r="N129" s="256" t="n">
        <f aca="false">+N128+N115</f>
        <v>10621.6405448144</v>
      </c>
      <c r="O129" s="269" t="n">
        <f aca="false">+N129/N$11</f>
        <v>10.4543706149748</v>
      </c>
      <c r="P129" s="256" t="n">
        <f aca="false">+P128+P115</f>
        <v>647920.073233679</v>
      </c>
      <c r="Q129" s="256" t="n">
        <f aca="false">+Q128+Q115</f>
        <v>10621.6405448144</v>
      </c>
      <c r="R129" s="269" t="n">
        <f aca="false">+R128+R115</f>
        <v>8.75650498335895</v>
      </c>
      <c r="S129" s="258" t="n">
        <f aca="false">+S128+S115</f>
        <v>1412678.19246032</v>
      </c>
      <c r="T129" s="256" t="n">
        <f aca="false">+S129/S$8</f>
        <v>10621.6405448144</v>
      </c>
      <c r="U129" s="257" t="n">
        <f aca="false">+S129/U$8</f>
        <v>9.60058576547158</v>
      </c>
      <c r="V129" s="270" t="n">
        <f aca="false">+S129/TotalCost</f>
        <v>0.111033172855255</v>
      </c>
      <c r="W129" s="270" t="n">
        <f aca="false">$S129/TotalValue</f>
        <v>0.0911405313682433</v>
      </c>
      <c r="X129" s="259"/>
      <c r="Y129" s="271"/>
      <c r="Z129" s="185"/>
      <c r="AA129" s="185"/>
      <c r="AB129" s="225"/>
      <c r="AC129" s="272"/>
      <c r="AD129" s="185"/>
      <c r="AE129" s="227"/>
      <c r="AF129" s="239" t="s">
        <v>333</v>
      </c>
      <c r="AG129" s="240" t="n">
        <f aca="false">+AG128+AG115</f>
        <v>135769.910447761</v>
      </c>
      <c r="AH129" s="240" t="n">
        <f aca="false">+AH128+AH115</f>
        <v>0</v>
      </c>
      <c r="AI129" s="240" t="n">
        <f aca="false">+AI128+AI115</f>
        <v>0</v>
      </c>
      <c r="AJ129" s="240" t="n">
        <f aca="false">+AJ128+AJ115</f>
        <v>0</v>
      </c>
      <c r="AK129" s="240" t="n">
        <f aca="false">+AK128+AK115</f>
        <v>135769.910447761</v>
      </c>
      <c r="AL129" s="240" t="n">
        <f aca="false">+AL128+AL115</f>
        <v>98252.0024205104</v>
      </c>
      <c r="AM129" s="240" t="n">
        <f aca="false">+AM128+AM115</f>
        <v>6700</v>
      </c>
      <c r="AN129" s="240" t="n">
        <f aca="false">+AN128+AN115</f>
        <v>13843.4855588896</v>
      </c>
      <c r="AO129" s="240" t="n">
        <f aca="false">+AO128+AO115</f>
        <v>0</v>
      </c>
      <c r="AP129" s="240" t="n">
        <f aca="false">+AP128+AP115</f>
        <v>118795.4879794</v>
      </c>
      <c r="AQ129" s="240" t="n">
        <f aca="false">+AQ128+AQ115</f>
        <v>98252</v>
      </c>
      <c r="AR129" s="240" t="n">
        <f aca="false">+AR128+AR115</f>
        <v>6700</v>
      </c>
      <c r="AS129" s="240" t="n">
        <f aca="false">+AS128+AS115</f>
        <v>13843.4855588896</v>
      </c>
      <c r="AT129" s="240" t="n">
        <f aca="false">+AT128+AT115</f>
        <v>0</v>
      </c>
      <c r="AU129" s="240" t="n">
        <f aca="false">+AU128+AU115</f>
        <v>118795.48555889</v>
      </c>
      <c r="AV129" s="240" t="n">
        <f aca="false">+AV128+AV115</f>
        <v>98252</v>
      </c>
      <c r="AW129" s="240" t="n">
        <f aca="false">+AW128+AW115</f>
        <v>6700</v>
      </c>
      <c r="AX129" s="240" t="n">
        <f aca="false">+AX128+AX115</f>
        <v>13843.4855588896</v>
      </c>
      <c r="AY129" s="240" t="n">
        <f aca="false">+AY128+AY115</f>
        <v>0</v>
      </c>
      <c r="AZ129" s="240" t="n">
        <f aca="false">+AZ128+AZ115</f>
        <v>118795.48555889</v>
      </c>
      <c r="BA129" s="240" t="n">
        <f aca="false">+BA128+BA115</f>
        <v>98252</v>
      </c>
      <c r="BB129" s="240" t="n">
        <f aca="false">+BB128+BB115</f>
        <v>6700</v>
      </c>
      <c r="BC129" s="240" t="n">
        <f aca="false">+BC128+BC115</f>
        <v>13843.4855588896</v>
      </c>
      <c r="BD129" s="240" t="n">
        <f aca="false">+BD128+BD115</f>
        <v>0</v>
      </c>
      <c r="BE129" s="240" t="n">
        <f aca="false">+BE128+BE115</f>
        <v>118795.48555889</v>
      </c>
      <c r="BF129" s="240" t="n">
        <f aca="false">+BF128+BF115</f>
        <v>98252</v>
      </c>
      <c r="BG129" s="240" t="n">
        <f aca="false">+BG128+BG115</f>
        <v>0</v>
      </c>
      <c r="BH129" s="240" t="n">
        <f aca="false">+BH128+BH115</f>
        <v>13843.4855588896</v>
      </c>
      <c r="BI129" s="240" t="n">
        <f aca="false">+BI128+BI115</f>
        <v>0</v>
      </c>
      <c r="BJ129" s="240" t="n">
        <f aca="false">+BJ128+BJ115</f>
        <v>112095.48555889</v>
      </c>
      <c r="BK129" s="240" t="n">
        <f aca="false">+BK128+BK115</f>
        <v>0</v>
      </c>
      <c r="BL129" s="240" t="n">
        <f aca="false">+BL128+BL115</f>
        <v>35100</v>
      </c>
      <c r="BM129" s="240" t="n">
        <f aca="false">+BM128+BM115</f>
        <v>71443.4855588896</v>
      </c>
      <c r="BN129" s="240" t="n">
        <f aca="false">+BN128+BN115</f>
        <v>0</v>
      </c>
      <c r="BO129" s="240" t="n">
        <f aca="false">+BO128+BO115</f>
        <v>106543.48555889</v>
      </c>
      <c r="BP129" s="240" t="n">
        <f aca="false">+BP128+BP115</f>
        <v>0</v>
      </c>
      <c r="BQ129" s="240" t="n">
        <f aca="false">+BQ128+BQ115</f>
        <v>0</v>
      </c>
      <c r="BR129" s="240" t="n">
        <f aca="false">+BR128+BR115</f>
        <v>0</v>
      </c>
      <c r="BS129" s="240" t="n">
        <f aca="false">+BS128+BS115</f>
        <v>0</v>
      </c>
      <c r="BT129" s="240" t="n">
        <f aca="false">+BT128+BT115</f>
        <v>0</v>
      </c>
      <c r="BU129" s="240" t="n">
        <f aca="false">+BU128+BU115</f>
        <v>0</v>
      </c>
      <c r="BV129" s="240" t="n">
        <f aca="false">+BV128+BV115</f>
        <v>0</v>
      </c>
      <c r="BW129" s="240" t="n">
        <f aca="false">+BW128+BW115</f>
        <v>0</v>
      </c>
      <c r="BX129" s="240" t="n">
        <f aca="false">+BX128+BX115</f>
        <v>0</v>
      </c>
      <c r="BY129" s="240" t="n">
        <f aca="false">+BY128+BY115</f>
        <v>0</v>
      </c>
      <c r="BZ129" s="240" t="n">
        <f aca="false">+BZ128+BZ115</f>
        <v>0</v>
      </c>
      <c r="CA129" s="240" t="n">
        <f aca="false">+CA128+CA115</f>
        <v>0</v>
      </c>
      <c r="CB129" s="240" t="n">
        <f aca="false">+CB128+CB115</f>
        <v>0</v>
      </c>
      <c r="CC129" s="240" t="n">
        <f aca="false">+CC128+CC115</f>
        <v>0</v>
      </c>
      <c r="CD129" s="240" t="n">
        <f aca="false">+CD128+CD115</f>
        <v>0</v>
      </c>
      <c r="CE129" s="240" t="n">
        <f aca="false">+CE128+CE115</f>
        <v>0</v>
      </c>
      <c r="CF129" s="240" t="n">
        <f aca="false">+CF128+CF115</f>
        <v>0</v>
      </c>
      <c r="CG129" s="240" t="n">
        <f aca="false">+CG128+CG115</f>
        <v>0</v>
      </c>
      <c r="CH129" s="240" t="n">
        <f aca="false">+CH128+CH115</f>
        <v>0</v>
      </c>
      <c r="CI129" s="240" t="n">
        <f aca="false">+CI128+CI115</f>
        <v>0</v>
      </c>
      <c r="CJ129" s="240" t="n">
        <f aca="false">+CJ128+CJ115</f>
        <v>0</v>
      </c>
      <c r="CK129" s="240" t="n">
        <f aca="false">+CK128+CK115</f>
        <v>0</v>
      </c>
      <c r="CL129" s="240" t="n">
        <f aca="false">+CL128+CL115</f>
        <v>156150</v>
      </c>
      <c r="CM129" s="240" t="n">
        <f aca="false">+CM128+CM115</f>
        <v>426937.368659217</v>
      </c>
      <c r="CN129" s="240" t="n">
        <f aca="false">+CN128+CN115</f>
        <v>583087.368659217</v>
      </c>
      <c r="CO129" s="274" t="n">
        <f aca="false">+CO128+CO115</f>
        <v>1412678.19488083</v>
      </c>
      <c r="CP129" s="274" t="n">
        <f aca="false">+CP128+CP115</f>
        <v>1412678.19246032</v>
      </c>
      <c r="CQ129" s="273" t="n">
        <f aca="false">+CO129/CP129</f>
        <v>1.00000000171342</v>
      </c>
    </row>
    <row r="130" customFormat="false" ht="12.75" hidden="false" customHeight="false" outlineLevel="0" collapsed="false">
      <c r="A130" s="177"/>
      <c r="B130" s="230" t="s">
        <v>334</v>
      </c>
      <c r="C130" s="178"/>
      <c r="D130" s="178"/>
      <c r="E130" s="178"/>
      <c r="F130" s="232" t="n">
        <f aca="false">+F129+F97</f>
        <v>2534630.28201256</v>
      </c>
      <c r="G130" s="232" t="n">
        <f aca="false">+G129+G97</f>
        <v>185648.737864078</v>
      </c>
      <c r="H130" s="231"/>
      <c r="I130" s="231"/>
      <c r="J130" s="232"/>
      <c r="K130" s="232"/>
      <c r="L130" s="234"/>
      <c r="M130" s="232" t="n">
        <f aca="false">+M129+M97</f>
        <v>1371977.9688507</v>
      </c>
      <c r="N130" s="232" t="n">
        <f aca="false">+N129+N97</f>
        <v>19055.2495673708</v>
      </c>
      <c r="O130" s="234" t="n">
        <f aca="false">+N130/N$11</f>
        <v>18.7551668970185</v>
      </c>
      <c r="P130" s="232" t="n">
        <f aca="false">+P129+P97</f>
        <v>1162370.22360962</v>
      </c>
      <c r="Q130" s="232" t="n">
        <f aca="false">+Q129+Q97</f>
        <v>19055.2495673708</v>
      </c>
      <c r="R130" s="234" t="n">
        <f aca="false">+R129+R97</f>
        <v>15.7091917290773</v>
      </c>
      <c r="S130" s="275" t="n">
        <f aca="false">+S129+S97</f>
        <v>2534348.19246032</v>
      </c>
      <c r="T130" s="232" t="n">
        <f aca="false">+S130/S$8</f>
        <v>19055.2495673708</v>
      </c>
      <c r="U130" s="257" t="n">
        <f aca="false">+S130/U$8</f>
        <v>17.2234747525252</v>
      </c>
      <c r="V130" s="276" t="n">
        <f aca="false">+S130/TotalCost</f>
        <v>0.199193788387693</v>
      </c>
      <c r="W130" s="276" t="n">
        <f aca="false">+$S130/TotalValue</f>
        <v>0.163506340060862</v>
      </c>
      <c r="X130" s="277"/>
      <c r="Y130" s="188"/>
      <c r="Z130" s="185"/>
      <c r="AA130" s="185"/>
      <c r="AB130" s="278"/>
      <c r="AC130" s="126"/>
      <c r="AD130" s="185"/>
      <c r="AE130" s="227"/>
      <c r="AF130" s="239" t="s">
        <v>334</v>
      </c>
      <c r="AG130" s="279" t="n">
        <f aca="false">+AG129+AG97</f>
        <v>135769.910447761</v>
      </c>
      <c r="AH130" s="279" t="n">
        <f aca="false">+AH129+AH97</f>
        <v>0</v>
      </c>
      <c r="AI130" s="279" t="n">
        <f aca="false">+AI129+AI97</f>
        <v>0</v>
      </c>
      <c r="AJ130" s="279" t="n">
        <f aca="false">+AJ129+AJ97</f>
        <v>0</v>
      </c>
      <c r="AK130" s="279" t="n">
        <f aca="false">+AK129+AK97</f>
        <v>135769.910447761</v>
      </c>
      <c r="AL130" s="279" t="n">
        <f aca="false">+AL129+AL97</f>
        <v>98252.0024205104</v>
      </c>
      <c r="AM130" s="279" t="n">
        <f aca="false">+AM129+AM97</f>
        <v>6700</v>
      </c>
      <c r="AN130" s="279" t="n">
        <f aca="false">+AN129+AN97</f>
        <v>13843.4855588896</v>
      </c>
      <c r="AO130" s="279" t="n">
        <f aca="false">+AO129+AO97</f>
        <v>0</v>
      </c>
      <c r="AP130" s="279" t="n">
        <f aca="false">+AP129+AP97</f>
        <v>118795.4879794</v>
      </c>
      <c r="AQ130" s="279" t="n">
        <f aca="false">+AQ129+AQ97</f>
        <v>98252</v>
      </c>
      <c r="AR130" s="279" t="n">
        <f aca="false">+AR129+AR97</f>
        <v>6700</v>
      </c>
      <c r="AS130" s="279" t="n">
        <f aca="false">+AS129+AS97</f>
        <v>13843.4855588896</v>
      </c>
      <c r="AT130" s="279" t="n">
        <f aca="false">+AT129+AT97</f>
        <v>0</v>
      </c>
      <c r="AU130" s="279" t="n">
        <f aca="false">+AU129+AU97</f>
        <v>118795.48555889</v>
      </c>
      <c r="AV130" s="279" t="n">
        <f aca="false">+AV129+AV97</f>
        <v>98252</v>
      </c>
      <c r="AW130" s="279" t="n">
        <f aca="false">+AW129+AW97</f>
        <v>6700</v>
      </c>
      <c r="AX130" s="279" t="n">
        <f aca="false">+AX129+AX97</f>
        <v>13843.4855588896</v>
      </c>
      <c r="AY130" s="279" t="n">
        <f aca="false">+AY129+AY97</f>
        <v>0</v>
      </c>
      <c r="AZ130" s="279" t="n">
        <f aca="false">+AZ129+AZ97</f>
        <v>118795.48555889</v>
      </c>
      <c r="BA130" s="279" t="n">
        <f aca="false">+BA129+BA97</f>
        <v>98252</v>
      </c>
      <c r="BB130" s="279" t="n">
        <f aca="false">+BB129+BB97</f>
        <v>6700</v>
      </c>
      <c r="BC130" s="279" t="n">
        <f aca="false">+BC129+BC97</f>
        <v>13843.4855588896</v>
      </c>
      <c r="BD130" s="279" t="n">
        <f aca="false">+BD129+BD97</f>
        <v>0</v>
      </c>
      <c r="BE130" s="279" t="n">
        <f aca="false">+BE129+BE97</f>
        <v>118795.48555889</v>
      </c>
      <c r="BF130" s="279" t="n">
        <f aca="false">+BF129+BF97</f>
        <v>98252</v>
      </c>
      <c r="BG130" s="279" t="n">
        <f aca="false">+BG129+BG97</f>
        <v>0</v>
      </c>
      <c r="BH130" s="279" t="n">
        <f aca="false">+BH129+BH97</f>
        <v>13843.4855588896</v>
      </c>
      <c r="BI130" s="279" t="n">
        <f aca="false">+BI129+BI97</f>
        <v>0</v>
      </c>
      <c r="BJ130" s="279" t="n">
        <f aca="false">+BJ129+BJ97</f>
        <v>112095.48555889</v>
      </c>
      <c r="BK130" s="279" t="n">
        <f aca="false">+BK129+BK97</f>
        <v>0</v>
      </c>
      <c r="BL130" s="279" t="n">
        <f aca="false">+BL129+BL97</f>
        <v>35100</v>
      </c>
      <c r="BM130" s="279" t="n">
        <f aca="false">+BM129+BM97</f>
        <v>71443.4855588896</v>
      </c>
      <c r="BN130" s="279" t="n">
        <f aca="false">+BN129+BN97</f>
        <v>0</v>
      </c>
      <c r="BO130" s="279" t="n">
        <f aca="false">+BO129+BO97</f>
        <v>106543.48555889</v>
      </c>
      <c r="BP130" s="279" t="n">
        <f aca="false">+BP129+BP97</f>
        <v>0</v>
      </c>
      <c r="BQ130" s="279" t="n">
        <f aca="false">+BQ129+BQ97</f>
        <v>0</v>
      </c>
      <c r="BR130" s="279" t="n">
        <f aca="false">+BR129+BR97</f>
        <v>0</v>
      </c>
      <c r="BS130" s="279" t="n">
        <f aca="false">+BS129+BS97</f>
        <v>0</v>
      </c>
      <c r="BT130" s="279" t="n">
        <f aca="false">+BT129+BT97</f>
        <v>0</v>
      </c>
      <c r="BU130" s="279" t="n">
        <f aca="false">+BU129+BU97</f>
        <v>0</v>
      </c>
      <c r="BV130" s="279" t="n">
        <f aca="false">+BV129+BV97</f>
        <v>0</v>
      </c>
      <c r="BW130" s="279" t="n">
        <f aca="false">+BW129+BW97</f>
        <v>0</v>
      </c>
      <c r="BX130" s="279" t="n">
        <f aca="false">+BX129+BX97</f>
        <v>0</v>
      </c>
      <c r="BY130" s="279" t="n">
        <f aca="false">+BY129+BY97</f>
        <v>0</v>
      </c>
      <c r="BZ130" s="279" t="n">
        <f aca="false">+BZ129+BZ97</f>
        <v>0</v>
      </c>
      <c r="CA130" s="279" t="n">
        <f aca="false">+CA129+CA97</f>
        <v>0</v>
      </c>
      <c r="CB130" s="279" t="n">
        <f aca="false">+CB129+CB97</f>
        <v>0</v>
      </c>
      <c r="CC130" s="279" t="n">
        <f aca="false">+CC129+CC97</f>
        <v>0</v>
      </c>
      <c r="CD130" s="279" t="n">
        <f aca="false">+CD129+CD97</f>
        <v>0</v>
      </c>
      <c r="CE130" s="279" t="n">
        <f aca="false">+CE129+CE97</f>
        <v>0</v>
      </c>
      <c r="CF130" s="279" t="n">
        <f aca="false">+CF129+CF97</f>
        <v>0</v>
      </c>
      <c r="CG130" s="279" t="n">
        <f aca="false">+CG129+CG97</f>
        <v>0</v>
      </c>
      <c r="CH130" s="279" t="n">
        <f aca="false">+CH129+CH97</f>
        <v>0</v>
      </c>
      <c r="CI130" s="279" t="n">
        <f aca="false">+CI129+CI97</f>
        <v>0</v>
      </c>
      <c r="CJ130" s="279" t="n">
        <f aca="false">+CJ129+CJ97</f>
        <v>0</v>
      </c>
      <c r="CK130" s="279" t="n">
        <f aca="false">+CK129+CK97</f>
        <v>0</v>
      </c>
      <c r="CL130" s="279" t="n">
        <f aca="false">+CL129+CL97</f>
        <v>156150</v>
      </c>
      <c r="CM130" s="279" t="n">
        <f aca="false">+CM129+CM97</f>
        <v>426937.368659217</v>
      </c>
      <c r="CN130" s="279" t="n">
        <f aca="false">+CN129+CN97</f>
        <v>583087.368659217</v>
      </c>
      <c r="CO130" s="191" t="n">
        <f aca="false">+CO129+CO97</f>
        <v>1412678.19488083</v>
      </c>
      <c r="CP130" s="191" t="n">
        <f aca="false">+CP129+CP97</f>
        <v>2534348.19246032</v>
      </c>
      <c r="CQ130" s="192" t="n">
        <f aca="false">+CO130/CP130</f>
        <v>0.557412828704258</v>
      </c>
    </row>
    <row r="131" customFormat="false" ht="12.75" hidden="false" customHeight="false" outlineLevel="0" collapsed="false">
      <c r="A131" s="177"/>
      <c r="B131" s="217" t="s">
        <v>15</v>
      </c>
      <c r="C131" s="178"/>
      <c r="D131" s="178"/>
      <c r="E131" s="178"/>
      <c r="F131" s="178"/>
      <c r="G131" s="178"/>
      <c r="H131" s="178"/>
      <c r="I131" s="178"/>
      <c r="J131" s="193"/>
      <c r="K131" s="280"/>
      <c r="L131" s="280"/>
      <c r="M131" s="193" t="n">
        <f aca="false">N131*N$8</f>
        <v>703042.64287257</v>
      </c>
      <c r="N131" s="178" t="n">
        <f aca="false">(N129+N95)*Const_Profit</f>
        <v>9764.48115100791</v>
      </c>
      <c r="O131" s="280" t="n">
        <f aca="false">+N131/N$11</f>
        <v>9.61070979429913</v>
      </c>
      <c r="P131" s="193" t="n">
        <f aca="false">Q131*Q$8</f>
        <v>698332.714891275</v>
      </c>
      <c r="Q131" s="178" t="n">
        <f aca="false">(Q129+Q95)*Const_Profit</f>
        <v>11448.0772932996</v>
      </c>
      <c r="R131" s="280" t="n">
        <f aca="false">0.15*(R129+R95)</f>
        <v>9.43782134649594</v>
      </c>
      <c r="S131" s="194" t="n">
        <f aca="false">+P131+M131</f>
        <v>1401375.35776384</v>
      </c>
      <c r="T131" s="195" t="n">
        <f aca="false">+S131/S$8</f>
        <v>10536.6568252921</v>
      </c>
      <c r="U131" s="181" t="n">
        <f aca="false">+S131/U$8</f>
        <v>9.52377150269356</v>
      </c>
      <c r="V131" s="223" t="n">
        <f aca="false">+S131/TotalCost</f>
        <v>0.110144796716014</v>
      </c>
      <c r="W131" s="223" t="n">
        <f aca="false">+$S131/TotalValue</f>
        <v>0.0904113162039533</v>
      </c>
      <c r="X131" s="187"/>
      <c r="Y131" s="188"/>
      <c r="Z131" s="219"/>
      <c r="AA131" s="219"/>
      <c r="AB131" s="225"/>
      <c r="AC131" s="226"/>
      <c r="AD131" s="219"/>
      <c r="AE131" s="227"/>
      <c r="AF131" s="218" t="s">
        <v>15</v>
      </c>
      <c r="AG131" s="190" t="n">
        <v>0</v>
      </c>
      <c r="AH131" s="190" t="n">
        <v>0</v>
      </c>
      <c r="AI131" s="190" t="n">
        <v>0</v>
      </c>
      <c r="AJ131" s="190" t="n">
        <v>0</v>
      </c>
      <c r="AK131" s="190" t="n">
        <v>0</v>
      </c>
      <c r="AL131" s="190" t="n">
        <v>0</v>
      </c>
      <c r="AM131" s="190" t="n">
        <v>0</v>
      </c>
      <c r="AN131" s="190" t="n">
        <v>0</v>
      </c>
      <c r="AO131" s="190" t="n">
        <v>0</v>
      </c>
      <c r="AP131" s="190" t="n">
        <v>0</v>
      </c>
      <c r="AQ131" s="190" t="n">
        <v>0</v>
      </c>
      <c r="AR131" s="190" t="n">
        <v>0</v>
      </c>
      <c r="AS131" s="190" t="n">
        <v>0</v>
      </c>
      <c r="AT131" s="190" t="n">
        <v>0</v>
      </c>
      <c r="AU131" s="190" t="n">
        <v>0</v>
      </c>
      <c r="AV131" s="190" t="n">
        <v>0</v>
      </c>
      <c r="AW131" s="190" t="n">
        <v>0</v>
      </c>
      <c r="AX131" s="190" t="n">
        <v>0</v>
      </c>
      <c r="AY131" s="190" t="n">
        <v>0</v>
      </c>
      <c r="AZ131" s="190" t="n">
        <v>0</v>
      </c>
      <c r="BA131" s="190" t="n">
        <v>0</v>
      </c>
      <c r="BB131" s="190" t="n">
        <v>0</v>
      </c>
      <c r="BC131" s="190" t="n">
        <v>0</v>
      </c>
      <c r="BD131" s="190" t="n">
        <v>0</v>
      </c>
      <c r="BE131" s="190" t="n">
        <v>0</v>
      </c>
      <c r="BF131" s="190" t="n">
        <v>0</v>
      </c>
      <c r="BG131" s="190" t="n">
        <v>0</v>
      </c>
      <c r="BH131" s="190" t="n">
        <v>0</v>
      </c>
      <c r="BI131" s="190" t="n">
        <v>0</v>
      </c>
      <c r="BJ131" s="190" t="n">
        <v>0</v>
      </c>
      <c r="BK131" s="190" t="n">
        <v>0</v>
      </c>
      <c r="BL131" s="190" t="n">
        <v>0</v>
      </c>
      <c r="BM131" s="190" t="n">
        <v>0</v>
      </c>
      <c r="BN131" s="190" t="n">
        <v>0</v>
      </c>
      <c r="BO131" s="190" t="n">
        <v>0</v>
      </c>
      <c r="BP131" s="190" t="n">
        <v>0</v>
      </c>
      <c r="BQ131" s="190" t="n">
        <v>0</v>
      </c>
      <c r="BR131" s="190" t="n">
        <v>0</v>
      </c>
      <c r="BS131" s="190" t="n">
        <v>0</v>
      </c>
      <c r="BT131" s="190" t="n">
        <v>0</v>
      </c>
      <c r="BU131" s="190" t="n">
        <v>0</v>
      </c>
      <c r="BV131" s="190" t="n">
        <v>0</v>
      </c>
      <c r="BW131" s="190" t="n">
        <v>0</v>
      </c>
      <c r="BX131" s="190" t="n">
        <v>0</v>
      </c>
      <c r="BY131" s="190" t="n">
        <v>0</v>
      </c>
      <c r="BZ131" s="190" t="n">
        <v>0</v>
      </c>
      <c r="CA131" s="190" t="n">
        <v>0</v>
      </c>
      <c r="CB131" s="190" t="n">
        <v>0</v>
      </c>
      <c r="CC131" s="190" t="n">
        <v>0</v>
      </c>
      <c r="CD131" s="190" t="n">
        <v>0</v>
      </c>
      <c r="CE131" s="190" t="n">
        <v>0</v>
      </c>
      <c r="CF131" s="190" t="n">
        <v>0</v>
      </c>
      <c r="CG131" s="190" t="n">
        <v>0</v>
      </c>
      <c r="CH131" s="190" t="n">
        <v>0</v>
      </c>
      <c r="CI131" s="190" t="n">
        <v>0</v>
      </c>
      <c r="CJ131" s="190" t="n">
        <v>0</v>
      </c>
      <c r="CK131" s="190" t="n">
        <v>0</v>
      </c>
      <c r="CL131" s="190" t="n">
        <v>0</v>
      </c>
      <c r="CM131" s="190" t="n">
        <v>0</v>
      </c>
      <c r="CN131" s="190" t="n">
        <v>0</v>
      </c>
      <c r="CO131" s="191" t="n">
        <f aca="false">+CN131+CI131+CD131+BY131+BT131+BO131+BJ131+BE131+AZ131+AU131+AP131+AK131</f>
        <v>0</v>
      </c>
      <c r="CP131" s="191" t="n">
        <f aca="false">S131</f>
        <v>1401375.35776384</v>
      </c>
      <c r="CQ131" s="192" t="n">
        <f aca="false">+CO131/CP131</f>
        <v>0</v>
      </c>
    </row>
    <row r="132" customFormat="false" ht="12.75" hidden="false" customHeight="false" outlineLevel="0" collapsed="false">
      <c r="A132" s="177"/>
      <c r="B132" s="230" t="s">
        <v>335</v>
      </c>
      <c r="C132" s="178"/>
      <c r="D132" s="178"/>
      <c r="E132" s="178"/>
      <c r="F132" s="178"/>
      <c r="G132" s="178"/>
      <c r="H132" s="178"/>
      <c r="I132" s="231"/>
      <c r="J132" s="232"/>
      <c r="K132" s="232"/>
      <c r="L132" s="234"/>
      <c r="M132" s="232" t="n">
        <f aca="false">+M131+M130+M95</f>
        <v>5997213.44498043</v>
      </c>
      <c r="N132" s="232" t="n">
        <f aca="false">+N131+N130+N95</f>
        <v>83294.6311802837</v>
      </c>
      <c r="O132" s="234" t="n">
        <f aca="false">+N132/N$11</f>
        <v>81.9829047050037</v>
      </c>
      <c r="P132" s="232" t="n">
        <f aca="false">+P131+P130+P95</f>
        <v>5868334.29787571</v>
      </c>
      <c r="Q132" s="232" t="n">
        <f aca="false">+Q131+Q130+Q95</f>
        <v>96202.2016045198</v>
      </c>
      <c r="R132" s="234" t="n">
        <f aca="false">+R131+R130+R95</f>
        <v>79.3093170688539</v>
      </c>
      <c r="S132" s="232" t="n">
        <f aca="false">+S131+S130+S95</f>
        <v>11865547.7428561</v>
      </c>
      <c r="T132" s="232" t="n">
        <f aca="false">+S132/S$8</f>
        <v>89214.6446831289</v>
      </c>
      <c r="U132" s="257" t="n">
        <f aca="false">+S132/U$8</f>
        <v>80.6384705077042</v>
      </c>
      <c r="V132" s="186" t="n">
        <f aca="false">+S132/TotalCost</f>
        <v>0.93260405702188</v>
      </c>
      <c r="W132" s="186" t="n">
        <f aca="false">+$S132/TotalValue</f>
        <v>0.765519232922927</v>
      </c>
      <c r="X132" s="256"/>
      <c r="Y132" s="237"/>
      <c r="Z132" s="219"/>
      <c r="AA132" s="146"/>
      <c r="AB132" s="278"/>
      <c r="AC132" s="126"/>
      <c r="AD132" s="146"/>
      <c r="AE132" s="127"/>
      <c r="AF132" s="239" t="s">
        <v>335</v>
      </c>
      <c r="AG132" s="279" t="n">
        <f aca="false">+AG131+AG130+AG95</f>
        <v>396449.854552239</v>
      </c>
      <c r="AH132" s="279" t="n">
        <f aca="false">+AH131+AH130+AH95</f>
        <v>0</v>
      </c>
      <c r="AI132" s="279" t="n">
        <f aca="false">+AI131+AI130+AI95</f>
        <v>0</v>
      </c>
      <c r="AJ132" s="279" t="n">
        <f aca="false">+AJ131+AJ130+AJ95</f>
        <v>0</v>
      </c>
      <c r="AK132" s="279" t="n">
        <f aca="false">+AK131+AK130+AK95</f>
        <v>426321.729552239</v>
      </c>
      <c r="AL132" s="279" t="n">
        <f aca="false">+AL131+AL130+AL95</f>
        <v>132550.27742051</v>
      </c>
      <c r="AM132" s="279" t="n">
        <f aca="false">+AM131+AM130+AM95</f>
        <v>17700</v>
      </c>
      <c r="AN132" s="279" t="n">
        <f aca="false">+AN131+AN130+AN95</f>
        <v>37653.8105588896</v>
      </c>
      <c r="AO132" s="279" t="n">
        <f aca="false">+AO131+AO130+AO95</f>
        <v>41136.4765625</v>
      </c>
      <c r="AP132" s="279" t="n">
        <f aca="false">+AP131+AP130+AP95</f>
        <v>229040.5645419</v>
      </c>
      <c r="AQ132" s="279" t="n">
        <f aca="false">+AQ131+AQ130+AQ95</f>
        <v>132550.275</v>
      </c>
      <c r="AR132" s="279" t="n">
        <f aca="false">+AR131+AR130+AR95</f>
        <v>103736.6890625</v>
      </c>
      <c r="AS132" s="279" t="n">
        <f aca="false">+AS131+AS130+AS95</f>
        <v>112829.38699639</v>
      </c>
      <c r="AT132" s="279" t="n">
        <f aca="false">+AT131+AT130+AT95</f>
        <v>133500.4055</v>
      </c>
      <c r="AU132" s="279" t="n">
        <f aca="false">+AU131+AU130+AU95</f>
        <v>482616.75655889</v>
      </c>
      <c r="AV132" s="279" t="n">
        <f aca="false">+AV131+AV130+AV95</f>
        <v>317970.753103438</v>
      </c>
      <c r="AW132" s="279" t="n">
        <f aca="false">+AW131+AW130+AW95</f>
        <v>120661.2849375</v>
      </c>
      <c r="AX132" s="279" t="n">
        <f aca="false">+AX131+AX130+AX95</f>
        <v>185428.31270889</v>
      </c>
      <c r="AY132" s="279" t="n">
        <f aca="false">+AY131+AY130+AY95</f>
        <v>287661.408103438</v>
      </c>
      <c r="AZ132" s="279" t="n">
        <f aca="false">+AZ131+AZ130+AZ95</f>
        <v>911721.758853265</v>
      </c>
      <c r="BA132" s="279" t="n">
        <f aca="false">+BA131+BA130+BA95</f>
        <v>263709.1318125</v>
      </c>
      <c r="BB132" s="279" t="n">
        <f aca="false">+BB131+BB130+BB95</f>
        <v>218952.026525</v>
      </c>
      <c r="BC132" s="279" t="n">
        <f aca="false">+BC131+BC130+BC95</f>
        <v>384488.399912327</v>
      </c>
      <c r="BD132" s="279" t="n">
        <f aca="false">+BD131+BD130+BD95</f>
        <v>169317.3233125</v>
      </c>
      <c r="BE132" s="279" t="n">
        <f aca="false">+BE131+BE130+BE95</f>
        <v>1036466.88156233</v>
      </c>
      <c r="BF132" s="279" t="n">
        <f aca="false">+BF131+BF130+BF95</f>
        <v>448853.391525</v>
      </c>
      <c r="BG132" s="279" t="n">
        <f aca="false">+BG131+BG130+BG95</f>
        <v>343331.123728438</v>
      </c>
      <c r="BH132" s="279" t="n">
        <f aca="false">+BH131+BH130+BH95</f>
        <v>230275.41074639</v>
      </c>
      <c r="BI132" s="279" t="n">
        <f aca="false">+BI131+BI130+BI95</f>
        <v>338271.76965</v>
      </c>
      <c r="BJ132" s="279" t="n">
        <f aca="false">+BJ131+BJ130+BJ95</f>
        <v>1360731.69564983</v>
      </c>
      <c r="BK132" s="279" t="n">
        <f aca="false">+BK131+BK130+BK95</f>
        <v>384030.023728438</v>
      </c>
      <c r="BL132" s="279" t="n">
        <f aca="false">+BL131+BL130+BL95</f>
        <v>251531.9251875</v>
      </c>
      <c r="BM132" s="279" t="n">
        <f aca="false">+BM131+BM130+BM95</f>
        <v>401961.35520889</v>
      </c>
      <c r="BN132" s="279" t="n">
        <f aca="false">+BN131+BN130+BN95</f>
        <v>357485.648728438</v>
      </c>
      <c r="BO132" s="279" t="n">
        <f aca="false">+BO131+BO130+BO95</f>
        <v>1395008.95285326</v>
      </c>
      <c r="BP132" s="279" t="n">
        <f aca="false">+BP131+BP130+BP95</f>
        <v>250730.2001875</v>
      </c>
      <c r="BQ132" s="279" t="n">
        <f aca="false">+BQ131+BQ130+BQ95</f>
        <v>330517.86965</v>
      </c>
      <c r="BR132" s="279" t="n">
        <f aca="false">+BR131+BR130+BR95</f>
        <v>325921.423728438</v>
      </c>
      <c r="BS132" s="279" t="n">
        <f aca="false">+BS131+BS130+BS95</f>
        <v>190803.248625</v>
      </c>
      <c r="BT132" s="279" t="n">
        <f aca="false">+BT131+BT130+BT95</f>
        <v>1097972.74219094</v>
      </c>
      <c r="BU132" s="279" t="n">
        <f aca="false">+BU131+BU130+BU95</f>
        <v>364816.14465</v>
      </c>
      <c r="BV132" s="279" t="n">
        <f aca="false">+BV131+BV130+BV95</f>
        <v>252695.059665938</v>
      </c>
      <c r="BW132" s="279" t="n">
        <f aca="false">+BW131+BW130+BW95</f>
        <v>117446.02375</v>
      </c>
      <c r="BX132" s="279" t="n">
        <f aca="false">+BX131+BX130+BX95</f>
        <v>212525.26415</v>
      </c>
      <c r="BY132" s="279" t="n">
        <f aca="false">+BY131+BY130+BY95</f>
        <v>947482.492215938</v>
      </c>
      <c r="BZ132" s="279" t="n">
        <f aca="false">+BZ131+BZ130+BZ95</f>
        <v>198609.545625</v>
      </c>
      <c r="CA132" s="279" t="n">
        <f aca="false">+CA131+CA130+CA95</f>
        <v>102470.64025</v>
      </c>
      <c r="CB132" s="279" t="n">
        <f aca="false">+CB131+CB130+CB95</f>
        <v>158933.0425</v>
      </c>
      <c r="CC132" s="279" t="n">
        <f aca="false">+CC131+CC130+CC95</f>
        <v>104891.93125</v>
      </c>
      <c r="CD132" s="279" t="n">
        <f aca="false">+CD131+CD130+CD95</f>
        <v>564905.159625</v>
      </c>
      <c r="CE132" s="279" t="n">
        <f aca="false">+CE131+CE130+CE95</f>
        <v>92257.55275</v>
      </c>
      <c r="CF132" s="279" t="n">
        <f aca="false">+CF131+CF130+CF95</f>
        <v>118265.843125</v>
      </c>
      <c r="CG132" s="279" t="n">
        <f aca="false">+CG131+CG130+CG95</f>
        <v>6400.625</v>
      </c>
      <c r="CH132" s="279" t="n">
        <f aca="false">+CH131+CH130+CH95</f>
        <v>35308.61125</v>
      </c>
      <c r="CI132" s="279" t="n">
        <f aca="false">+CI131+CI130+CI95</f>
        <v>252232.632125</v>
      </c>
      <c r="CJ132" s="279" t="n">
        <f aca="false">+CJ131+CJ130+CJ95</f>
        <v>48513.028125</v>
      </c>
      <c r="CK132" s="279" t="n">
        <f aca="false">+CK131+CK130+CK95</f>
        <v>6400.625</v>
      </c>
      <c r="CL132" s="279" t="n">
        <f aca="false">+CL131+CL130+CL95</f>
        <v>156150</v>
      </c>
      <c r="CM132" s="279" t="n">
        <f aca="false">+CM131+CM130+CM95</f>
        <v>426937.368659217</v>
      </c>
      <c r="CN132" s="279" t="n">
        <f aca="false">+CN131+CN130+CN95</f>
        <v>638001.021784217</v>
      </c>
      <c r="CO132" s="261" t="n">
        <f aca="false">+CO131+CO130+CO95</f>
        <v>9342502.38751281</v>
      </c>
      <c r="CP132" s="261" t="n">
        <f aca="false">S132</f>
        <v>11865547.7428561</v>
      </c>
      <c r="CQ132" s="281" t="n">
        <f aca="false">+CO132/CP132</f>
        <v>0.787363768616381</v>
      </c>
    </row>
    <row r="133" customFormat="false" ht="12.75" hidden="false" customHeight="false" outlineLevel="0" collapsed="false">
      <c r="A133" s="177"/>
      <c r="B133" s="217"/>
      <c r="C133" s="178"/>
      <c r="D133" s="178"/>
      <c r="E133" s="178"/>
      <c r="F133" s="178"/>
      <c r="G133" s="178"/>
      <c r="H133" s="178"/>
      <c r="I133" s="178"/>
      <c r="J133" s="178"/>
      <c r="K133" s="178"/>
      <c r="L133" s="181"/>
      <c r="M133" s="178"/>
      <c r="N133" s="178"/>
      <c r="O133" s="178"/>
      <c r="P133" s="178"/>
      <c r="Q133" s="178"/>
      <c r="R133" s="178"/>
      <c r="S133" s="202"/>
      <c r="T133" s="178"/>
      <c r="U133" s="178"/>
      <c r="V133" s="178"/>
      <c r="W133" s="178"/>
      <c r="X133" s="178"/>
      <c r="Y133" s="178"/>
      <c r="Z133" s="178"/>
      <c r="AA133" s="178"/>
      <c r="AB133" s="178"/>
      <c r="AC133" s="126"/>
      <c r="AD133" s="178"/>
      <c r="AE133" s="126"/>
      <c r="AF133" s="218"/>
      <c r="AG133" s="190"/>
      <c r="AH133" s="190"/>
      <c r="AI133" s="190"/>
      <c r="AJ133" s="243"/>
      <c r="AK133" s="178"/>
      <c r="AL133" s="190"/>
      <c r="AM133" s="191"/>
      <c r="AN133" s="191"/>
      <c r="AO133" s="191"/>
      <c r="AP133" s="178"/>
      <c r="AQ133" s="191"/>
      <c r="AR133" s="191"/>
      <c r="AS133" s="191"/>
      <c r="AT133" s="191"/>
      <c r="AU133" s="178"/>
      <c r="AV133" s="191"/>
      <c r="AW133" s="191"/>
      <c r="AX133" s="191"/>
      <c r="AY133" s="191"/>
      <c r="AZ133" s="178"/>
      <c r="BA133" s="191"/>
      <c r="BB133" s="191"/>
      <c r="BC133" s="191"/>
      <c r="BD133" s="191"/>
      <c r="BE133" s="178"/>
      <c r="BF133" s="191"/>
      <c r="BG133" s="191"/>
      <c r="BH133" s="191"/>
      <c r="BI133" s="191"/>
      <c r="BJ133" s="178"/>
      <c r="BK133" s="191"/>
      <c r="BL133" s="191"/>
      <c r="BM133" s="191"/>
      <c r="BN133" s="191"/>
      <c r="BO133" s="178"/>
      <c r="BP133" s="191"/>
      <c r="BQ133" s="191"/>
      <c r="BR133" s="191"/>
      <c r="BS133" s="191"/>
      <c r="BT133" s="178"/>
      <c r="BU133" s="191"/>
      <c r="BV133" s="191"/>
      <c r="BW133" s="191"/>
      <c r="BX133" s="191"/>
      <c r="BY133" s="178"/>
      <c r="BZ133" s="191"/>
      <c r="CA133" s="191"/>
      <c r="CB133" s="191"/>
      <c r="CC133" s="191"/>
      <c r="CD133" s="178"/>
      <c r="CE133" s="191"/>
      <c r="CF133" s="191"/>
      <c r="CG133" s="191"/>
      <c r="CH133" s="191"/>
      <c r="CI133" s="178"/>
      <c r="CJ133" s="191"/>
      <c r="CK133" s="191"/>
      <c r="CL133" s="191"/>
      <c r="CM133" s="191"/>
      <c r="CN133" s="178"/>
      <c r="CO133" s="191"/>
      <c r="CP133" s="191"/>
      <c r="CQ133" s="191"/>
    </row>
    <row r="134" customFormat="false" ht="12.75" hidden="false" customHeight="false" outlineLevel="0" collapsed="false">
      <c r="A134" s="177"/>
      <c r="B134" s="246" t="s">
        <v>336</v>
      </c>
      <c r="C134" s="178"/>
      <c r="D134" s="178"/>
      <c r="E134" s="178"/>
      <c r="F134" s="178"/>
      <c r="G134" s="178"/>
      <c r="H134" s="178"/>
      <c r="I134" s="178"/>
      <c r="J134" s="178"/>
      <c r="K134" s="178"/>
      <c r="L134" s="178"/>
      <c r="M134" s="178"/>
      <c r="N134" s="178"/>
      <c r="O134" s="178"/>
      <c r="P134" s="178"/>
      <c r="Q134" s="178"/>
      <c r="R134" s="178"/>
      <c r="S134" s="202"/>
      <c r="T134" s="178"/>
      <c r="U134" s="178"/>
      <c r="V134" s="178"/>
      <c r="W134" s="178"/>
      <c r="X134" s="178"/>
      <c r="Y134" s="178"/>
      <c r="Z134" s="178"/>
      <c r="AA134" s="178"/>
      <c r="AB134" s="196"/>
      <c r="AC134" s="126"/>
      <c r="AD134" s="178"/>
      <c r="AE134" s="126"/>
      <c r="AF134" s="247" t="s">
        <v>336</v>
      </c>
      <c r="AG134" s="190"/>
      <c r="AH134" s="190"/>
      <c r="AI134" s="190"/>
      <c r="AJ134" s="243"/>
      <c r="AK134" s="178"/>
      <c r="AL134" s="190"/>
      <c r="AM134" s="191"/>
      <c r="AN134" s="191"/>
      <c r="AO134" s="191"/>
      <c r="AP134" s="178"/>
      <c r="AQ134" s="191"/>
      <c r="AR134" s="191"/>
      <c r="AS134" s="191"/>
      <c r="AT134" s="191"/>
      <c r="AU134" s="178"/>
      <c r="AV134" s="191"/>
      <c r="AW134" s="191"/>
      <c r="AX134" s="191"/>
      <c r="AY134" s="191"/>
      <c r="AZ134" s="178"/>
      <c r="BA134" s="191"/>
      <c r="BB134" s="191"/>
      <c r="BC134" s="191"/>
      <c r="BD134" s="191"/>
      <c r="BE134" s="178"/>
      <c r="BF134" s="191"/>
      <c r="BG134" s="191"/>
      <c r="BH134" s="191"/>
      <c r="BI134" s="191"/>
      <c r="BJ134" s="178"/>
      <c r="BK134" s="191"/>
      <c r="BL134" s="191"/>
      <c r="BM134" s="191"/>
      <c r="BN134" s="191"/>
      <c r="BO134" s="178"/>
      <c r="BP134" s="191"/>
      <c r="BQ134" s="191"/>
      <c r="BR134" s="191"/>
      <c r="BS134" s="191"/>
      <c r="BT134" s="178"/>
      <c r="BU134" s="191"/>
      <c r="BV134" s="191"/>
      <c r="BW134" s="191"/>
      <c r="BX134" s="191"/>
      <c r="BY134" s="178"/>
      <c r="BZ134" s="191"/>
      <c r="CA134" s="191"/>
      <c r="CB134" s="191"/>
      <c r="CC134" s="191"/>
      <c r="CD134" s="178"/>
      <c r="CE134" s="191"/>
      <c r="CF134" s="191"/>
      <c r="CG134" s="191"/>
      <c r="CH134" s="191"/>
      <c r="CI134" s="178"/>
      <c r="CJ134" s="191"/>
      <c r="CK134" s="191"/>
      <c r="CL134" s="191"/>
      <c r="CM134" s="191"/>
      <c r="CN134" s="178"/>
      <c r="CO134" s="191"/>
      <c r="CP134" s="191"/>
      <c r="CQ134" s="191"/>
    </row>
    <row r="135" customFormat="false" ht="12.75" hidden="false" customHeight="false" outlineLevel="0" collapsed="false">
      <c r="A135" s="177"/>
      <c r="B135" s="178" t="s">
        <v>337</v>
      </c>
      <c r="C135" s="178"/>
      <c r="D135" s="178"/>
      <c r="E135" s="178"/>
      <c r="F135" s="178" t="n">
        <v>3500</v>
      </c>
      <c r="G135" s="178"/>
      <c r="H135" s="178"/>
      <c r="I135" s="178"/>
      <c r="J135" s="220"/>
      <c r="K135" s="220"/>
      <c r="L135" s="183"/>
      <c r="M135" s="220" t="n">
        <f aca="false">N135*N$8</f>
        <v>1894.73684210526</v>
      </c>
      <c r="N135" s="220" t="n">
        <f aca="false">+$F135/SM134Units</f>
        <v>26.3157894736842</v>
      </c>
      <c r="O135" s="183" t="n">
        <f aca="false">+N135/N$11</f>
        <v>0.0259013675922089</v>
      </c>
      <c r="P135" s="220" t="n">
        <f aca="false">Q135*Q$8</f>
        <v>1605.26315789474</v>
      </c>
      <c r="Q135" s="220" t="n">
        <f aca="false">+$F135/SM134Units</f>
        <v>26.3157894736842</v>
      </c>
      <c r="R135" s="183" t="n">
        <f aca="false">+Q135/Q$11</f>
        <v>0.0216947975875385</v>
      </c>
      <c r="S135" s="245" t="n">
        <f aca="false">+P135+M135</f>
        <v>3500</v>
      </c>
      <c r="T135" s="220" t="n">
        <f aca="false">+S135/S$8</f>
        <v>26.3157894736842</v>
      </c>
      <c r="U135" s="183" t="n">
        <f aca="false">+T135/U$8</f>
        <v>0.00017884256667698</v>
      </c>
      <c r="V135" s="186" t="n">
        <f aca="false">+S135/TotalCost</f>
        <v>0.000275091742101986</v>
      </c>
      <c r="W135" s="186" t="n">
        <f aca="false">+S135/TotalValue</f>
        <v>0.000225806458605619</v>
      </c>
      <c r="X135" s="187"/>
      <c r="Y135" s="188"/>
      <c r="Z135" s="186"/>
      <c r="AA135" s="186"/>
      <c r="AB135" s="196"/>
      <c r="AC135" s="126"/>
      <c r="AD135" s="186"/>
      <c r="AE135" s="127"/>
      <c r="AF135" s="190" t="s">
        <v>337</v>
      </c>
      <c r="AG135" s="190" t="n">
        <v>0</v>
      </c>
      <c r="AH135" s="190"/>
      <c r="AI135" s="190"/>
      <c r="AJ135" s="243"/>
      <c r="AK135" s="178" t="n">
        <f aca="false">SUM(AG135:AJ135)</f>
        <v>0</v>
      </c>
      <c r="AL135" s="190"/>
      <c r="AM135" s="191"/>
      <c r="AN135" s="191"/>
      <c r="AO135" s="191"/>
      <c r="AP135" s="178" t="n">
        <f aca="false">SUM(AL135:AO135)</f>
        <v>0</v>
      </c>
      <c r="AQ135" s="191"/>
      <c r="AR135" s="191"/>
      <c r="AS135" s="191"/>
      <c r="AT135" s="191"/>
      <c r="AU135" s="178" t="n">
        <f aca="false">SUM(AQ135:AT135)</f>
        <v>0</v>
      </c>
      <c r="AV135" s="191"/>
      <c r="AW135" s="191"/>
      <c r="AX135" s="191"/>
      <c r="AY135" s="191"/>
      <c r="AZ135" s="178" t="n">
        <f aca="false">SUM(AV135:AY135)</f>
        <v>0</v>
      </c>
      <c r="BA135" s="191"/>
      <c r="BB135" s="191"/>
      <c r="BC135" s="191"/>
      <c r="BD135" s="191"/>
      <c r="BE135" s="178" t="n">
        <f aca="false">SUM(BA135:BD135)</f>
        <v>0</v>
      </c>
      <c r="BF135" s="191"/>
      <c r="BG135" s="191"/>
      <c r="BH135" s="191"/>
      <c r="BI135" s="191"/>
      <c r="BJ135" s="178" t="n">
        <f aca="false">SUM(BF135:BI135)</f>
        <v>0</v>
      </c>
      <c r="BK135" s="191"/>
      <c r="BL135" s="191"/>
      <c r="BM135" s="191"/>
      <c r="BN135" s="191"/>
      <c r="BO135" s="178" t="n">
        <f aca="false">SUM(BK135:BN135)</f>
        <v>0</v>
      </c>
      <c r="BP135" s="191"/>
      <c r="BQ135" s="191"/>
      <c r="BR135" s="191"/>
      <c r="BS135" s="191"/>
      <c r="BT135" s="178" t="n">
        <f aca="false">SUM(BP135:BS135)</f>
        <v>0</v>
      </c>
      <c r="BU135" s="191"/>
      <c r="BV135" s="191"/>
      <c r="BW135" s="191"/>
      <c r="BX135" s="191"/>
      <c r="BY135" s="178" t="n">
        <f aca="false">SUM(BU135:BX135)</f>
        <v>0</v>
      </c>
      <c r="BZ135" s="191"/>
      <c r="CA135" s="191"/>
      <c r="CB135" s="191"/>
      <c r="CC135" s="191"/>
      <c r="CD135" s="178" t="n">
        <f aca="false">SUM(BZ135:CC135)</f>
        <v>0</v>
      </c>
      <c r="CE135" s="191"/>
      <c r="CF135" s="191"/>
      <c r="CG135" s="191"/>
      <c r="CH135" s="191"/>
      <c r="CI135" s="178" t="n">
        <f aca="false">SUM(CE135:CH135)</f>
        <v>0</v>
      </c>
      <c r="CJ135" s="191"/>
      <c r="CK135" s="191"/>
      <c r="CL135" s="191"/>
      <c r="CM135" s="191"/>
      <c r="CN135" s="178" t="n">
        <f aca="false">SUM(CJ135:CM135)</f>
        <v>0</v>
      </c>
      <c r="CO135" s="191" t="n">
        <f aca="false">+CN135+CI135+CD135+BY135+BT135+BO135+BJ135+BE135+AZ135+AU135+AP135+AK135</f>
        <v>0</v>
      </c>
      <c r="CP135" s="191" t="n">
        <f aca="false">S135</f>
        <v>3500</v>
      </c>
      <c r="CQ135" s="192" t="n">
        <f aca="false">+CO135/CP135</f>
        <v>0</v>
      </c>
    </row>
    <row r="136" customFormat="false" ht="12.75" hidden="false" customHeight="false" outlineLevel="0" collapsed="false">
      <c r="A136" s="177"/>
      <c r="B136" s="282" t="s">
        <v>338</v>
      </c>
      <c r="C136" s="178"/>
      <c r="D136" s="178"/>
      <c r="E136" s="178"/>
      <c r="F136" s="178"/>
      <c r="G136" s="178"/>
      <c r="H136" s="178"/>
      <c r="I136" s="178"/>
      <c r="J136" s="220"/>
      <c r="K136" s="220"/>
      <c r="L136" s="183"/>
      <c r="M136" s="220"/>
      <c r="N136" s="220"/>
      <c r="O136" s="183" t="n">
        <f aca="false">+N136/N$11</f>
        <v>0</v>
      </c>
      <c r="P136" s="220"/>
      <c r="Q136" s="220"/>
      <c r="R136" s="183"/>
      <c r="S136" s="245"/>
      <c r="T136" s="220"/>
      <c r="U136" s="183"/>
      <c r="V136" s="186"/>
      <c r="W136" s="178"/>
      <c r="X136" s="187"/>
      <c r="Y136" s="188"/>
      <c r="Z136" s="178"/>
      <c r="AA136" s="178"/>
      <c r="AB136" s="196"/>
      <c r="AC136" s="126"/>
      <c r="AD136" s="178"/>
      <c r="AE136" s="126"/>
      <c r="AF136" s="283" t="s">
        <v>338</v>
      </c>
      <c r="AG136" s="190"/>
      <c r="AH136" s="190"/>
      <c r="AI136" s="190"/>
      <c r="AJ136" s="243"/>
      <c r="AK136" s="178"/>
      <c r="AL136" s="190"/>
      <c r="AM136" s="191"/>
      <c r="AN136" s="191"/>
      <c r="AO136" s="191"/>
      <c r="AP136" s="178"/>
      <c r="AQ136" s="191"/>
      <c r="AR136" s="191"/>
      <c r="AS136" s="191"/>
      <c r="AT136" s="191"/>
      <c r="AU136" s="178"/>
      <c r="AV136" s="191"/>
      <c r="AW136" s="191"/>
      <c r="AX136" s="191"/>
      <c r="AY136" s="191"/>
      <c r="AZ136" s="178"/>
      <c r="BA136" s="191"/>
      <c r="BB136" s="191"/>
      <c r="BC136" s="191"/>
      <c r="BD136" s="191"/>
      <c r="BE136" s="178"/>
      <c r="BF136" s="191"/>
      <c r="BG136" s="191"/>
      <c r="BH136" s="191"/>
      <c r="BI136" s="191"/>
      <c r="BJ136" s="178"/>
      <c r="BK136" s="191"/>
      <c r="BL136" s="191"/>
      <c r="BM136" s="191"/>
      <c r="BN136" s="191"/>
      <c r="BO136" s="178"/>
      <c r="BP136" s="191"/>
      <c r="BQ136" s="191"/>
      <c r="BR136" s="191"/>
      <c r="BS136" s="191"/>
      <c r="BT136" s="178"/>
      <c r="BU136" s="191"/>
      <c r="BV136" s="191"/>
      <c r="BW136" s="191"/>
      <c r="BX136" s="191"/>
      <c r="BY136" s="178"/>
      <c r="BZ136" s="191"/>
      <c r="CA136" s="191"/>
      <c r="CB136" s="191"/>
      <c r="CC136" s="191"/>
      <c r="CD136" s="178"/>
      <c r="CE136" s="191"/>
      <c r="CF136" s="191"/>
      <c r="CG136" s="191"/>
      <c r="CH136" s="191"/>
      <c r="CI136" s="178"/>
      <c r="CJ136" s="191"/>
      <c r="CK136" s="191"/>
      <c r="CL136" s="191"/>
      <c r="CM136" s="191"/>
      <c r="CN136" s="178"/>
      <c r="CO136" s="191"/>
      <c r="CP136" s="191"/>
      <c r="CQ136" s="191"/>
    </row>
    <row r="137" customFormat="false" ht="12.75" hidden="false" customHeight="false" outlineLevel="0" collapsed="false">
      <c r="A137" s="177"/>
      <c r="B137" s="284" t="s">
        <v>339</v>
      </c>
      <c r="C137" s="178"/>
      <c r="D137" s="186" t="n">
        <v>0.01</v>
      </c>
      <c r="E137" s="178"/>
      <c r="F137" s="178" t="n">
        <f aca="false">15500000*0.75*0.01</f>
        <v>116250</v>
      </c>
      <c r="G137" s="285"/>
      <c r="H137" s="178"/>
      <c r="I137" s="178"/>
      <c r="J137" s="193"/>
      <c r="K137" s="178"/>
      <c r="L137" s="181"/>
      <c r="M137" s="193" t="n">
        <f aca="false">N137*N$8</f>
        <v>62932.3308270677</v>
      </c>
      <c r="N137" s="178" t="n">
        <f aca="false">+$F137/SM134Units</f>
        <v>874.06015037594</v>
      </c>
      <c r="O137" s="181" t="n">
        <f aca="false">+N137/N$11</f>
        <v>0.860295423598366</v>
      </c>
      <c r="P137" s="193" t="n">
        <f aca="false">Q137*Q$8</f>
        <v>53317.6691729323</v>
      </c>
      <c r="Q137" s="178" t="n">
        <f aca="false">+$F137/SM134Units</f>
        <v>874.06015037594</v>
      </c>
      <c r="R137" s="181" t="n">
        <f aca="false">+Q137/Q$11</f>
        <v>0.720577205586101</v>
      </c>
      <c r="S137" s="202" t="n">
        <f aca="false">+P137+M137</f>
        <v>116250</v>
      </c>
      <c r="T137" s="195" t="n">
        <f aca="false">+S137/S$8</f>
        <v>874.06015037594</v>
      </c>
      <c r="U137" s="181" t="n">
        <f aca="false">+T137/U$8</f>
        <v>0.0059401281074854</v>
      </c>
      <c r="V137" s="186" t="n">
        <f aca="false">+S137/TotalCost</f>
        <v>0.00913697571981596</v>
      </c>
      <c r="W137" s="186" t="n">
        <f aca="false">+S137/TotalValue</f>
        <v>0.00750000023225807</v>
      </c>
      <c r="X137" s="187"/>
      <c r="Y137" s="188"/>
      <c r="Z137" s="186"/>
      <c r="AA137" s="186"/>
      <c r="AB137" s="196"/>
      <c r="AC137" s="126"/>
      <c r="AD137" s="186"/>
      <c r="AE137" s="127"/>
      <c r="AF137" s="190" t="s">
        <v>339</v>
      </c>
      <c r="AG137" s="190" t="n">
        <f aca="false">+$S137</f>
        <v>116250</v>
      </c>
      <c r="AH137" s="190"/>
      <c r="AI137" s="190"/>
      <c r="AJ137" s="243"/>
      <c r="AK137" s="178" t="n">
        <f aca="false">SUM(AG137:AJ137)</f>
        <v>116250</v>
      </c>
      <c r="AL137" s="190"/>
      <c r="AM137" s="191"/>
      <c r="AN137" s="191"/>
      <c r="AO137" s="191"/>
      <c r="AP137" s="178" t="n">
        <f aca="false">SUM(AL137:AO137)</f>
        <v>0</v>
      </c>
      <c r="AQ137" s="191"/>
      <c r="AR137" s="191"/>
      <c r="AS137" s="191"/>
      <c r="AT137" s="191"/>
      <c r="AU137" s="178" t="n">
        <f aca="false">SUM(AQ137:AT137)</f>
        <v>0</v>
      </c>
      <c r="AV137" s="191"/>
      <c r="AW137" s="191"/>
      <c r="AX137" s="191"/>
      <c r="AY137" s="191"/>
      <c r="AZ137" s="178" t="n">
        <f aca="false">SUM(AV137:AY137)</f>
        <v>0</v>
      </c>
      <c r="BA137" s="191"/>
      <c r="BB137" s="191"/>
      <c r="BC137" s="191"/>
      <c r="BD137" s="191"/>
      <c r="BE137" s="178" t="n">
        <f aca="false">SUM(BA137:BD137)</f>
        <v>0</v>
      </c>
      <c r="BF137" s="191"/>
      <c r="BG137" s="191"/>
      <c r="BH137" s="191"/>
      <c r="BI137" s="191"/>
      <c r="BJ137" s="178" t="n">
        <f aca="false">SUM(BF137:BI137)</f>
        <v>0</v>
      </c>
      <c r="BK137" s="191"/>
      <c r="BL137" s="191"/>
      <c r="BM137" s="191"/>
      <c r="BN137" s="191"/>
      <c r="BO137" s="178" t="n">
        <f aca="false">SUM(BK137:BN137)</f>
        <v>0</v>
      </c>
      <c r="BP137" s="191"/>
      <c r="BQ137" s="191"/>
      <c r="BR137" s="191"/>
      <c r="BS137" s="191"/>
      <c r="BT137" s="178" t="n">
        <f aca="false">SUM(BP137:BS137)</f>
        <v>0</v>
      </c>
      <c r="BU137" s="191"/>
      <c r="BV137" s="191"/>
      <c r="BW137" s="191"/>
      <c r="BX137" s="191"/>
      <c r="BY137" s="178" t="n">
        <f aca="false">SUM(BU137:BX137)</f>
        <v>0</v>
      </c>
      <c r="BZ137" s="191"/>
      <c r="CA137" s="191"/>
      <c r="CB137" s="191"/>
      <c r="CC137" s="191"/>
      <c r="CD137" s="178" t="n">
        <f aca="false">SUM(BZ137:CC137)</f>
        <v>0</v>
      </c>
      <c r="CE137" s="191"/>
      <c r="CF137" s="191"/>
      <c r="CG137" s="191"/>
      <c r="CH137" s="191"/>
      <c r="CI137" s="178" t="n">
        <f aca="false">SUM(CE137:CH137)</f>
        <v>0</v>
      </c>
      <c r="CJ137" s="191"/>
      <c r="CK137" s="191"/>
      <c r="CL137" s="191"/>
      <c r="CM137" s="191"/>
      <c r="CN137" s="178" t="n">
        <f aca="false">SUM(CJ137:CM137)</f>
        <v>0</v>
      </c>
      <c r="CO137" s="191" t="n">
        <f aca="false">+CN137+CI137+CD137+BY137+BT137+BO137+BJ137+BE137+AZ137+AU137+AP137+AK137</f>
        <v>116250</v>
      </c>
      <c r="CP137" s="191" t="n">
        <f aca="false">S137</f>
        <v>116250</v>
      </c>
      <c r="CQ137" s="192" t="n">
        <f aca="false">+CO137/CP137</f>
        <v>1</v>
      </c>
    </row>
    <row r="138" customFormat="false" ht="12.75" hidden="false" customHeight="false" outlineLevel="0" collapsed="false">
      <c r="A138" s="177"/>
      <c r="B138" s="284" t="s">
        <v>340</v>
      </c>
      <c r="C138" s="178"/>
      <c r="D138" s="186" t="n">
        <v>0.0025</v>
      </c>
      <c r="E138" s="178"/>
      <c r="F138" s="178" t="n">
        <f aca="false">15500000*0.75*0.0025</f>
        <v>29062.5</v>
      </c>
      <c r="G138" s="178"/>
      <c r="H138" s="178"/>
      <c r="I138" s="178"/>
      <c r="J138" s="193"/>
      <c r="K138" s="178"/>
      <c r="L138" s="181"/>
      <c r="M138" s="193" t="n">
        <f aca="false">N138*N$8</f>
        <v>15733.0827067669</v>
      </c>
      <c r="N138" s="178" t="n">
        <f aca="false">+$F138/SM134Units</f>
        <v>218.515037593985</v>
      </c>
      <c r="O138" s="181" t="n">
        <f aca="false">+N138/N$11</f>
        <v>0.215073855899592</v>
      </c>
      <c r="P138" s="193" t="n">
        <f aca="false">Q138*Q$8</f>
        <v>13329.4172932331</v>
      </c>
      <c r="Q138" s="178" t="n">
        <f aca="false">+$F138/SM134Units</f>
        <v>218.515037593985</v>
      </c>
      <c r="R138" s="181" t="n">
        <f aca="false">+Q138/Q$11</f>
        <v>0.180144301396525</v>
      </c>
      <c r="S138" s="202" t="n">
        <f aca="false">+P138+M138</f>
        <v>29062.5</v>
      </c>
      <c r="T138" s="195" t="n">
        <f aca="false">+S138/S$8</f>
        <v>218.515037593985</v>
      </c>
      <c r="U138" s="181" t="n">
        <f aca="false">+T138/U$8</f>
        <v>0.00148503202687135</v>
      </c>
      <c r="V138" s="186" t="n">
        <f aca="false">+S138/TotalCost</f>
        <v>0.00228424392995399</v>
      </c>
      <c r="W138" s="186" t="n">
        <f aca="false">+S138/TotalValue</f>
        <v>0.00187500005806452</v>
      </c>
      <c r="X138" s="187"/>
      <c r="Y138" s="188"/>
      <c r="Z138" s="186"/>
      <c r="AA138" s="186"/>
      <c r="AB138" s="196"/>
      <c r="AC138" s="126"/>
      <c r="AD138" s="186"/>
      <c r="AE138" s="127"/>
      <c r="AF138" s="190" t="s">
        <v>340</v>
      </c>
      <c r="AG138" s="190" t="n">
        <f aca="false">+$S138</f>
        <v>29062.5</v>
      </c>
      <c r="AH138" s="190"/>
      <c r="AI138" s="190"/>
      <c r="AJ138" s="243"/>
      <c r="AK138" s="178" t="n">
        <f aca="false">SUM(AG138:AJ138)</f>
        <v>29062.5</v>
      </c>
      <c r="AL138" s="190"/>
      <c r="AM138" s="191"/>
      <c r="AN138" s="191"/>
      <c r="AO138" s="191"/>
      <c r="AP138" s="178" t="n">
        <f aca="false">SUM(AL138:AO138)</f>
        <v>0</v>
      </c>
      <c r="AQ138" s="191"/>
      <c r="AR138" s="191"/>
      <c r="AS138" s="191"/>
      <c r="AT138" s="191"/>
      <c r="AU138" s="178" t="n">
        <f aca="false">SUM(AQ138:AT138)</f>
        <v>0</v>
      </c>
      <c r="AV138" s="191"/>
      <c r="AW138" s="191"/>
      <c r="AX138" s="191"/>
      <c r="AY138" s="191"/>
      <c r="AZ138" s="178" t="n">
        <f aca="false">SUM(AV138:AY138)</f>
        <v>0</v>
      </c>
      <c r="BA138" s="191"/>
      <c r="BB138" s="191"/>
      <c r="BC138" s="191"/>
      <c r="BD138" s="191"/>
      <c r="BE138" s="178" t="n">
        <f aca="false">SUM(BA138:BD138)</f>
        <v>0</v>
      </c>
      <c r="BF138" s="191"/>
      <c r="BG138" s="191"/>
      <c r="BH138" s="191"/>
      <c r="BI138" s="191"/>
      <c r="BJ138" s="178" t="n">
        <f aca="false">SUM(BF138:BI138)</f>
        <v>0</v>
      </c>
      <c r="BK138" s="191"/>
      <c r="BL138" s="191"/>
      <c r="BM138" s="191"/>
      <c r="BN138" s="191"/>
      <c r="BO138" s="178" t="n">
        <f aca="false">SUM(BK138:BN138)</f>
        <v>0</v>
      </c>
      <c r="BP138" s="191"/>
      <c r="BQ138" s="191"/>
      <c r="BR138" s="191"/>
      <c r="BS138" s="191"/>
      <c r="BT138" s="178" t="n">
        <f aca="false">SUM(BP138:BS138)</f>
        <v>0</v>
      </c>
      <c r="BU138" s="191"/>
      <c r="BV138" s="191"/>
      <c r="BW138" s="191"/>
      <c r="BX138" s="191"/>
      <c r="BY138" s="178" t="n">
        <f aca="false">SUM(BU138:BX138)</f>
        <v>0</v>
      </c>
      <c r="BZ138" s="191"/>
      <c r="CA138" s="191"/>
      <c r="CB138" s="191"/>
      <c r="CC138" s="191"/>
      <c r="CD138" s="178" t="n">
        <f aca="false">SUM(BZ138:CC138)</f>
        <v>0</v>
      </c>
      <c r="CE138" s="191"/>
      <c r="CF138" s="191"/>
      <c r="CG138" s="191"/>
      <c r="CH138" s="191"/>
      <c r="CI138" s="178" t="n">
        <f aca="false">SUM(CE138:CH138)</f>
        <v>0</v>
      </c>
      <c r="CJ138" s="191"/>
      <c r="CK138" s="191"/>
      <c r="CL138" s="191"/>
      <c r="CM138" s="191"/>
      <c r="CN138" s="178" t="n">
        <f aca="false">SUM(CJ138:CM138)</f>
        <v>0</v>
      </c>
      <c r="CO138" s="191" t="n">
        <f aca="false">+CN138+CI138+CD138+BY138+BT138+BO138+BJ138+BE138+AZ138+AU138+AP138+AK138</f>
        <v>29062.5</v>
      </c>
      <c r="CP138" s="191" t="n">
        <f aca="false">S138</f>
        <v>29062.5</v>
      </c>
      <c r="CQ138" s="192" t="n">
        <f aca="false">+CO138/CP138</f>
        <v>1</v>
      </c>
    </row>
    <row r="139" customFormat="false" ht="12.75" hidden="false" customHeight="false" outlineLevel="0" collapsed="false">
      <c r="A139" s="177"/>
      <c r="B139" s="284" t="s">
        <v>341</v>
      </c>
      <c r="C139" s="178" t="s">
        <v>342</v>
      </c>
      <c r="D139" s="286" t="n">
        <f aca="false">0.0975</f>
        <v>0.0975</v>
      </c>
      <c r="E139" s="178"/>
      <c r="F139" s="178" t="n">
        <f aca="false">(TotalDirectCost*1.1*0.9*0.75*Interim_Int_Rate*0.75)*1.1</f>
        <v>708667.984950248</v>
      </c>
      <c r="G139" s="178"/>
      <c r="H139" s="178"/>
      <c r="I139" s="178"/>
      <c r="J139" s="193"/>
      <c r="K139" s="178"/>
      <c r="L139" s="181"/>
      <c r="M139" s="193" t="n">
        <f aca="false">N139*N$8</f>
        <v>383639.811401638</v>
      </c>
      <c r="N139" s="178" t="n">
        <f aca="false">+$F139/SM134Units</f>
        <v>5328.33071391164</v>
      </c>
      <c r="O139" s="181" t="n">
        <f aca="false">+N139/N$11</f>
        <v>5.24441999400752</v>
      </c>
      <c r="P139" s="193" t="n">
        <f aca="false">Q139*Q$8</f>
        <v>325028.17354861</v>
      </c>
      <c r="Q139" s="178" t="n">
        <f aca="false">+$F139/SM134Units</f>
        <v>5328.33071391164</v>
      </c>
      <c r="R139" s="181" t="n">
        <f aca="false">+Q139/Q$11</f>
        <v>4.39268814007555</v>
      </c>
      <c r="S139" s="202" t="n">
        <f aca="false">+P139+M139</f>
        <v>708667.984950248</v>
      </c>
      <c r="T139" s="195" t="n">
        <f aca="false">+S139/S$8</f>
        <v>5328.33071391164</v>
      </c>
      <c r="U139" s="181" t="n">
        <f aca="false">+T139/U$8</f>
        <v>0.0362114289572302</v>
      </c>
      <c r="V139" s="186" t="n">
        <f aca="false">+S139/TotalCost</f>
        <v>0.0556996315862479</v>
      </c>
      <c r="W139" s="186" t="n">
        <f aca="false">+S139/TotalValue</f>
        <v>0.0457205165739417</v>
      </c>
      <c r="X139" s="187"/>
      <c r="Y139" s="188"/>
      <c r="Z139" s="186"/>
      <c r="AA139" s="186"/>
      <c r="AB139" s="196"/>
      <c r="AC139" s="126"/>
      <c r="AD139" s="186"/>
      <c r="AE139" s="127"/>
      <c r="AF139" s="190" t="s">
        <v>341</v>
      </c>
      <c r="AG139" s="190" t="n">
        <v>0</v>
      </c>
      <c r="AH139" s="190" t="n">
        <f aca="false">Interim_Int_Rate/52*AG144</f>
        <v>1015.80441478545</v>
      </c>
      <c r="AI139" s="190" t="n">
        <f aca="false">Interim_Int_Rate/52*AH144</f>
        <v>1017.70904806317</v>
      </c>
      <c r="AJ139" s="190" t="n">
        <f aca="false">Interim_Int_Rate/52*AI144</f>
        <v>1019.61725252829</v>
      </c>
      <c r="AK139" s="178" t="n">
        <f aca="false">SUM(AG139:AJ139)</f>
        <v>3053.13071537691</v>
      </c>
      <c r="AL139" s="190" t="n">
        <f aca="false">Interim_Int_Rate/52*AJ144</f>
        <v>1021.52903487678</v>
      </c>
      <c r="AM139" s="190" t="n">
        <f aca="false">Interim_Int_Rate/52*AL144</f>
        <v>1271.97617198063</v>
      </c>
      <c r="AN139" s="190" t="n">
        <f aca="false">Interim_Int_Rate/52*AM144</f>
        <v>1307.54862730309</v>
      </c>
      <c r="AO139" s="190" t="n">
        <f aca="false">Interim_Int_Rate/52*AN144</f>
        <v>1380.60117577721</v>
      </c>
      <c r="AP139" s="178" t="n">
        <f aca="false">SUM(AL139:AO139)</f>
        <v>4981.65500993771</v>
      </c>
      <c r="AQ139" s="190" t="n">
        <f aca="false">Interim_Int_Rate/52*AO144</f>
        <v>1460.32069653648</v>
      </c>
      <c r="AR139" s="190" t="n">
        <f aca="false">Interim_Int_Rate/52*AQ144</f>
        <v>1711.59056346748</v>
      </c>
      <c r="AS139" s="190" t="n">
        <f aca="false">Interim_Int_Rate/52*AR144</f>
        <v>1909.30608776617</v>
      </c>
      <c r="AT139" s="190" t="n">
        <f aca="false">Interim_Int_Rate/52*AS144</f>
        <v>2124.44113729896</v>
      </c>
      <c r="AU139" s="178" t="n">
        <f aca="false">SUM(AQ139:AT139)</f>
        <v>7205.65848506909</v>
      </c>
      <c r="AV139" s="190" t="n">
        <f aca="false">Interim_Int_Rate/52*AT144</f>
        <v>2378.7377247439</v>
      </c>
      <c r="AW139" s="190" t="n">
        <f aca="false">Interim_Int_Rate/52*AV144</f>
        <v>2979.39302004674</v>
      </c>
      <c r="AX139" s="190" t="n">
        <f aca="false">Interim_Int_Rate/52*AW144</f>
        <v>3211.21929121714</v>
      </c>
      <c r="AY139" s="190" t="n">
        <f aca="false">Interim_Int_Rate/52*AX144</f>
        <v>3564.91841371734</v>
      </c>
      <c r="AZ139" s="178" t="n">
        <f aca="false">SUM(AV139:AY139)</f>
        <v>12134.2684497251</v>
      </c>
      <c r="BA139" s="190" t="n">
        <f aca="false">Interim_Int_Rate/52*AY144</f>
        <v>4110.967775937</v>
      </c>
      <c r="BB139" s="190" t="n">
        <f aca="false">Interim_Int_Rate/52*BA144</f>
        <v>4613.13046266532</v>
      </c>
      <c r="BC139" s="190" t="n">
        <f aca="false">Interim_Int_Rate/52*BB144</f>
        <v>5032.3151320172</v>
      </c>
      <c r="BD139" s="190" t="n">
        <f aca="false">Interim_Int_Rate/52*BC144</f>
        <v>5762.66647272534</v>
      </c>
      <c r="BE139" s="178" t="n">
        <f aca="false">SUM(BA139:BD139)</f>
        <v>19519.0798433449</v>
      </c>
      <c r="BF139" s="190" t="n">
        <f aca="false">Interim_Int_Rate/52*BD144</f>
        <v>6090.94145357264</v>
      </c>
      <c r="BG139" s="190" t="n">
        <f aca="false">Interim_Int_Rate/52*BF144</f>
        <v>6943.96207790746</v>
      </c>
      <c r="BH139" s="190" t="n">
        <f aca="false">Interim_Int_Rate/52*BG144</f>
        <v>7600.72786379436</v>
      </c>
      <c r="BI139" s="190" t="n">
        <f aca="false">Interim_Int_Rate/52*BH144</f>
        <v>8046.74562368846</v>
      </c>
      <c r="BJ139" s="178" t="n">
        <f aca="false">SUM(BF139:BI139)</f>
        <v>28682.3770189629</v>
      </c>
      <c r="BK139" s="190" t="n">
        <f aca="false">Interim_Int_Rate/52*BI144</f>
        <v>8696.09283982662</v>
      </c>
      <c r="BL139" s="190" t="n">
        <f aca="false">Interim_Int_Rate/52*BK144</f>
        <v>9432.45430839212</v>
      </c>
      <c r="BM139" s="190" t="n">
        <f aca="false">Interim_Int_Rate/52*BL144</f>
        <v>9921.76251994692</v>
      </c>
      <c r="BN139" s="190" t="n">
        <f aca="false">Interim_Int_Rate/52*BM144</f>
        <v>10694.0433656885</v>
      </c>
      <c r="BO139" s="178" t="n">
        <f aca="false">SUM(BK139:BN139)</f>
        <v>38744.3530338541</v>
      </c>
      <c r="BP139" s="190" t="n">
        <f aca="false">Interim_Int_Rate/52*BN144</f>
        <v>11384.380288365</v>
      </c>
      <c r="BQ139" s="190" t="n">
        <f aca="false">Interim_Int_Rate/52*BP144</f>
        <v>11875.8451267572</v>
      </c>
      <c r="BR139" s="190" t="n">
        <f aca="false">Interim_Int_Rate/52*BQ144</f>
        <v>12517.8333419636</v>
      </c>
      <c r="BS139" s="190" t="n">
        <f aca="false">Interim_Int_Rate/52*BR144</f>
        <v>13152.4069489706</v>
      </c>
      <c r="BT139" s="178" t="n">
        <f aca="false">SUM(BP139:BS139)</f>
        <v>48930.4657060565</v>
      </c>
      <c r="BU139" s="190" t="n">
        <f aca="false">Interim_Int_Rate/52*BS144</f>
        <v>13534.8238031718</v>
      </c>
      <c r="BV139" s="190" t="n">
        <f aca="false">Interim_Int_Rate/52*BU144</f>
        <v>14244.2318690215</v>
      </c>
      <c r="BW139" s="190" t="n">
        <f aca="false">Interim_Int_Rate/52*BV144</f>
        <v>14744.7430406496</v>
      </c>
      <c r="BX139" s="190" t="n">
        <f aca="false">Interim_Int_Rate/52*BW144</f>
        <v>14992.600728382</v>
      </c>
      <c r="BY139" s="178" t="n">
        <f aca="false">SUM(BU139:BX139)</f>
        <v>57516.399441225</v>
      </c>
      <c r="BZ139" s="190" t="n">
        <f aca="false">Interim_Int_Rate/52*BX144</f>
        <v>15419.196725029</v>
      </c>
      <c r="CA139" s="190" t="n">
        <f aca="false">Interim_Int_Rate/52*BZ144</f>
        <v>15820.5006169353</v>
      </c>
      <c r="CB139" s="190" t="n">
        <f aca="false">Interim_Int_Rate/52*CA144</f>
        <v>16042.2965060608</v>
      </c>
      <c r="CC139" s="190" t="n">
        <f aca="false">Interim_Int_Rate/52*CB144</f>
        <v>16370.3752666972</v>
      </c>
      <c r="CD139" s="178" t="n">
        <f aca="false">SUM(BZ139:CC139)</f>
        <v>63652.3691147223</v>
      </c>
      <c r="CE139" s="190" t="n">
        <f aca="false">Interim_Int_Rate/52*CC144</f>
        <v>16597.742091416</v>
      </c>
      <c r="CF139" s="190" t="n">
        <f aca="false">Interim_Int_Rate/52*CE144</f>
        <v>16801.8457692436</v>
      </c>
      <c r="CG139" s="190" t="n">
        <f aca="false">Interim_Int_Rate/52*CF144</f>
        <v>17055.0976859204</v>
      </c>
      <c r="CH139" s="190" t="n">
        <f aca="false">Interim_Int_Rate/52*CG144</f>
        <v>17099.0771659565</v>
      </c>
      <c r="CI139" s="178" t="n">
        <f aca="false">SUM(CE139:CH139)</f>
        <v>67553.7627125364</v>
      </c>
      <c r="CJ139" s="190" t="n">
        <f aca="false">Interim_Int_Rate/52*CH144</f>
        <v>17197.3415817364</v>
      </c>
      <c r="CK139" s="190" t="n">
        <f aca="false">Interim_Int_Rate/52*CJ144</f>
        <v>17320.5485249365</v>
      </c>
      <c r="CL139" s="190" t="n">
        <f aca="false">Interim_Int_Rate/52*CK144</f>
        <v>17365.0257252958</v>
      </c>
      <c r="CM139" s="190" t="n">
        <f aca="false">Interim_Int_Rate/52*CL144</f>
        <v>17690.3663985307</v>
      </c>
      <c r="CN139" s="178" t="n">
        <f aca="false">SUM(CJ139:CM139)</f>
        <v>69573.2822304993</v>
      </c>
      <c r="CO139" s="191" t="n">
        <f aca="false">+CN139+CI139+CD139+BY139+BT139+BO139+BJ139+BE139+AZ139+AU139+AP139+AK139</f>
        <v>421546.80176131</v>
      </c>
      <c r="CP139" s="191" t="n">
        <f aca="false">S139</f>
        <v>708667.984950248</v>
      </c>
      <c r="CQ139" s="192" t="n">
        <f aca="false">+CO139/CP139</f>
        <v>0.594843863012811</v>
      </c>
    </row>
    <row r="140" customFormat="false" ht="12.75" hidden="true" customHeight="false" outlineLevel="0" collapsed="false">
      <c r="A140" s="177"/>
      <c r="B140" s="178" t="s">
        <v>343</v>
      </c>
      <c r="C140" s="178" t="s">
        <v>344</v>
      </c>
      <c r="D140" s="186" t="n">
        <v>0.01</v>
      </c>
      <c r="E140" s="178"/>
      <c r="F140" s="178" t="n">
        <v>0</v>
      </c>
      <c r="G140" s="178"/>
      <c r="H140" s="178"/>
      <c r="I140" s="178"/>
      <c r="J140" s="193"/>
      <c r="K140" s="178"/>
      <c r="L140" s="181"/>
      <c r="M140" s="193" t="n">
        <f aca="false">N140*N$8</f>
        <v>0</v>
      </c>
      <c r="N140" s="178" t="n">
        <f aca="false">+$F140/SM134Units</f>
        <v>0</v>
      </c>
      <c r="O140" s="181" t="n">
        <f aca="false">+N140/N$11</f>
        <v>0</v>
      </c>
      <c r="P140" s="193" t="n">
        <f aca="false">Q140*Q$8</f>
        <v>0</v>
      </c>
      <c r="Q140" s="178" t="n">
        <f aca="false">+$F140/SM134Units</f>
        <v>0</v>
      </c>
      <c r="R140" s="181" t="n">
        <f aca="false">+Q140/Q$11</f>
        <v>0</v>
      </c>
      <c r="S140" s="202" t="n">
        <f aca="false">+P140+M140</f>
        <v>0</v>
      </c>
      <c r="T140" s="195" t="n">
        <f aca="false">+S140/S$8</f>
        <v>0</v>
      </c>
      <c r="U140" s="181" t="n">
        <f aca="false">+T140/U$8</f>
        <v>0</v>
      </c>
      <c r="V140" s="186" t="n">
        <f aca="false">+S140/TotalCost</f>
        <v>0</v>
      </c>
      <c r="W140" s="186" t="n">
        <f aca="false">+S140/TotalValue</f>
        <v>0</v>
      </c>
      <c r="X140" s="186"/>
      <c r="Y140" s="188"/>
      <c r="Z140" s="186"/>
      <c r="AA140" s="186"/>
      <c r="AB140" s="225"/>
      <c r="AC140" s="126"/>
      <c r="AD140" s="186"/>
      <c r="AE140" s="127"/>
      <c r="AF140" s="190" t="s">
        <v>343</v>
      </c>
      <c r="AG140" s="190"/>
      <c r="AH140" s="190"/>
      <c r="AI140" s="190"/>
      <c r="AJ140" s="243"/>
      <c r="AK140" s="243"/>
      <c r="AL140" s="190"/>
      <c r="AM140" s="191"/>
      <c r="AN140" s="191"/>
      <c r="AO140" s="191"/>
      <c r="AP140" s="243"/>
      <c r="AQ140" s="191"/>
      <c r="AR140" s="191"/>
      <c r="AS140" s="191"/>
      <c r="AT140" s="191"/>
      <c r="AU140" s="243"/>
      <c r="AV140" s="191"/>
      <c r="AW140" s="191"/>
      <c r="AX140" s="191"/>
      <c r="AY140" s="191"/>
      <c r="AZ140" s="243"/>
      <c r="BA140" s="191"/>
      <c r="BB140" s="191"/>
      <c r="BC140" s="191"/>
      <c r="BD140" s="191"/>
      <c r="BE140" s="243"/>
      <c r="BF140" s="191"/>
      <c r="BG140" s="191"/>
      <c r="BH140" s="191"/>
      <c r="BI140" s="191"/>
      <c r="BJ140" s="243"/>
      <c r="BK140" s="191"/>
      <c r="BL140" s="191"/>
      <c r="BM140" s="191"/>
      <c r="BN140" s="191"/>
      <c r="BO140" s="243"/>
      <c r="BP140" s="191"/>
      <c r="BQ140" s="191"/>
      <c r="BR140" s="191"/>
      <c r="BS140" s="191"/>
      <c r="BT140" s="243"/>
      <c r="BU140" s="191"/>
      <c r="BV140" s="191"/>
      <c r="BW140" s="191"/>
      <c r="BX140" s="191"/>
      <c r="BY140" s="243"/>
      <c r="BZ140" s="191"/>
      <c r="CA140" s="191"/>
      <c r="CB140" s="191"/>
      <c r="CC140" s="191"/>
      <c r="CD140" s="243"/>
      <c r="CE140" s="191"/>
      <c r="CF140" s="191"/>
      <c r="CG140" s="191"/>
      <c r="CH140" s="191"/>
      <c r="CI140" s="243"/>
      <c r="CJ140" s="191"/>
      <c r="CK140" s="191"/>
      <c r="CL140" s="191"/>
      <c r="CM140" s="191"/>
      <c r="CN140" s="243"/>
      <c r="CO140" s="191"/>
      <c r="CP140" s="191"/>
      <c r="CQ140" s="192" t="e">
        <f aca="false">+CO140/CP140</f>
        <v>#DIV/0!</v>
      </c>
    </row>
    <row r="141" customFormat="false" ht="12.75" hidden="false" customHeight="false" outlineLevel="0" collapsed="false">
      <c r="A141" s="177"/>
      <c r="B141" s="268" t="s">
        <v>345</v>
      </c>
      <c r="C141" s="178"/>
      <c r="D141" s="178"/>
      <c r="E141" s="178"/>
      <c r="F141" s="268" t="n">
        <f aca="false">SUM(F135:F140)</f>
        <v>857480.484950248</v>
      </c>
      <c r="G141" s="268"/>
      <c r="H141" s="178"/>
      <c r="I141" s="178"/>
      <c r="J141" s="287"/>
      <c r="K141" s="287"/>
      <c r="L141" s="288"/>
      <c r="M141" s="287" t="n">
        <f aca="false">SUM(M135:M140)</f>
        <v>464199.961777578</v>
      </c>
      <c r="N141" s="287" t="n">
        <f aca="false">SUM(N135:N140)</f>
        <v>6447.22169135525</v>
      </c>
      <c r="O141" s="288" t="n">
        <f aca="false">+N141/N$11</f>
        <v>6.34569064109769</v>
      </c>
      <c r="P141" s="287" t="n">
        <f aca="false">SUM(P135:P140)</f>
        <v>393280.52317267</v>
      </c>
      <c r="Q141" s="287" t="n">
        <f aca="false">SUM(Q135:Q140)</f>
        <v>6447.22169135525</v>
      </c>
      <c r="R141" s="288" t="n">
        <f aca="false">SUM(R135:R140)</f>
        <v>5.31510444464571</v>
      </c>
      <c r="S141" s="289" t="n">
        <f aca="false">SUM(S135:S140)</f>
        <v>857480.484950248</v>
      </c>
      <c r="T141" s="256" t="n">
        <f aca="false">+S141/S$8</f>
        <v>6447.22169135525</v>
      </c>
      <c r="U141" s="288" t="n">
        <f aca="false">SUM(U135:U140)</f>
        <v>0.043815431658264</v>
      </c>
      <c r="V141" s="270" t="n">
        <f aca="false">+S141/TotalCost</f>
        <v>0.0673959429781198</v>
      </c>
      <c r="W141" s="270" t="n">
        <f aca="false">+S141/TotalValue</f>
        <v>0.0553213233228699</v>
      </c>
      <c r="X141" s="290"/>
      <c r="Y141" s="271"/>
      <c r="Z141" s="185"/>
      <c r="AA141" s="185"/>
      <c r="AB141" s="225"/>
      <c r="AC141" s="272"/>
      <c r="AD141" s="185"/>
      <c r="AE141" s="227"/>
      <c r="AF141" s="291" t="s">
        <v>345</v>
      </c>
      <c r="AG141" s="292" t="n">
        <f aca="false">SUM(AG135:AG140)</f>
        <v>145312.5</v>
      </c>
      <c r="AH141" s="292" t="n">
        <f aca="false">SUM(AH135:AH140)</f>
        <v>1015.80441478545</v>
      </c>
      <c r="AI141" s="292" t="n">
        <f aca="false">SUM(AI135:AI140)</f>
        <v>1017.70904806317</v>
      </c>
      <c r="AJ141" s="292" t="n">
        <f aca="false">SUM(AJ135:AJ140)</f>
        <v>1019.61725252829</v>
      </c>
      <c r="AK141" s="292" t="n">
        <f aca="false">SUM(AK135:AK140)</f>
        <v>148365.630715377</v>
      </c>
      <c r="AL141" s="292" t="n">
        <f aca="false">SUM(AL135:AL140)</f>
        <v>1021.52903487678</v>
      </c>
      <c r="AM141" s="292" t="n">
        <f aca="false">SUM(AM135:AM140)</f>
        <v>1271.97617198063</v>
      </c>
      <c r="AN141" s="292" t="n">
        <f aca="false">SUM(AN135:AN140)</f>
        <v>1307.54862730309</v>
      </c>
      <c r="AO141" s="292" t="n">
        <f aca="false">SUM(AO135:AO140)</f>
        <v>1380.60117577721</v>
      </c>
      <c r="AP141" s="292" t="n">
        <f aca="false">SUM(AP135:AP140)</f>
        <v>4981.65500993771</v>
      </c>
      <c r="AQ141" s="292" t="n">
        <f aca="false">SUM(AQ135:AQ140)</f>
        <v>1460.32069653648</v>
      </c>
      <c r="AR141" s="292" t="n">
        <f aca="false">SUM(AR135:AR140)</f>
        <v>1711.59056346748</v>
      </c>
      <c r="AS141" s="292" t="n">
        <f aca="false">SUM(AS135:AS140)</f>
        <v>1909.30608776617</v>
      </c>
      <c r="AT141" s="292" t="n">
        <f aca="false">SUM(AT135:AT140)</f>
        <v>2124.44113729896</v>
      </c>
      <c r="AU141" s="292" t="n">
        <f aca="false">SUM(AU135:AU140)</f>
        <v>7205.65848506909</v>
      </c>
      <c r="AV141" s="292" t="n">
        <f aca="false">SUM(AV135:AV140)</f>
        <v>2378.7377247439</v>
      </c>
      <c r="AW141" s="292" t="n">
        <f aca="false">SUM(AW135:AW140)</f>
        <v>2979.39302004674</v>
      </c>
      <c r="AX141" s="292" t="n">
        <f aca="false">SUM(AX135:AX140)</f>
        <v>3211.21929121714</v>
      </c>
      <c r="AY141" s="292" t="n">
        <f aca="false">SUM(AY135:AY140)</f>
        <v>3564.91841371734</v>
      </c>
      <c r="AZ141" s="292" t="n">
        <f aca="false">SUM(AZ135:AZ140)</f>
        <v>12134.2684497251</v>
      </c>
      <c r="BA141" s="292" t="n">
        <f aca="false">SUM(BA135:BA140)</f>
        <v>4110.967775937</v>
      </c>
      <c r="BB141" s="292" t="n">
        <f aca="false">SUM(BB135:BB140)</f>
        <v>4613.13046266532</v>
      </c>
      <c r="BC141" s="292" t="n">
        <f aca="false">SUM(BC135:BC140)</f>
        <v>5032.3151320172</v>
      </c>
      <c r="BD141" s="292" t="n">
        <f aca="false">SUM(BD135:BD140)</f>
        <v>5762.66647272534</v>
      </c>
      <c r="BE141" s="292" t="n">
        <f aca="false">SUM(BE135:BE140)</f>
        <v>19519.0798433449</v>
      </c>
      <c r="BF141" s="292" t="n">
        <f aca="false">SUM(BF135:BF140)</f>
        <v>6090.94145357264</v>
      </c>
      <c r="BG141" s="292" t="n">
        <f aca="false">SUM(BG135:BG140)</f>
        <v>6943.96207790746</v>
      </c>
      <c r="BH141" s="292" t="n">
        <f aca="false">SUM(BH135:BH140)</f>
        <v>7600.72786379436</v>
      </c>
      <c r="BI141" s="292" t="n">
        <f aca="false">SUM(BI135:BI140)</f>
        <v>8046.74562368846</v>
      </c>
      <c r="BJ141" s="292" t="n">
        <f aca="false">SUM(BJ135:BJ140)</f>
        <v>28682.3770189629</v>
      </c>
      <c r="BK141" s="292" t="n">
        <f aca="false">SUM(BK135:BK140)</f>
        <v>8696.09283982662</v>
      </c>
      <c r="BL141" s="292" t="n">
        <f aca="false">SUM(BL135:BL140)</f>
        <v>9432.45430839212</v>
      </c>
      <c r="BM141" s="292" t="n">
        <f aca="false">SUM(BM135:BM140)</f>
        <v>9921.76251994692</v>
      </c>
      <c r="BN141" s="292" t="n">
        <f aca="false">SUM(BN135:BN140)</f>
        <v>10694.0433656885</v>
      </c>
      <c r="BO141" s="292" t="n">
        <f aca="false">SUM(BO135:BO140)</f>
        <v>38744.3530338541</v>
      </c>
      <c r="BP141" s="292" t="n">
        <f aca="false">SUM(BP135:BP140)</f>
        <v>11384.380288365</v>
      </c>
      <c r="BQ141" s="292" t="n">
        <f aca="false">SUM(BQ135:BQ140)</f>
        <v>11875.8451267572</v>
      </c>
      <c r="BR141" s="292" t="n">
        <f aca="false">SUM(BR135:BR140)</f>
        <v>12517.8333419636</v>
      </c>
      <c r="BS141" s="292" t="n">
        <f aca="false">SUM(BS135:BS140)</f>
        <v>13152.4069489706</v>
      </c>
      <c r="BT141" s="292" t="n">
        <f aca="false">SUM(BT135:BT140)</f>
        <v>48930.4657060565</v>
      </c>
      <c r="BU141" s="292" t="n">
        <f aca="false">SUM(BU135:BU140)</f>
        <v>13534.8238031718</v>
      </c>
      <c r="BV141" s="292" t="n">
        <f aca="false">SUM(BV135:BV140)</f>
        <v>14244.2318690215</v>
      </c>
      <c r="BW141" s="292" t="n">
        <f aca="false">SUM(BW135:BW140)</f>
        <v>14744.7430406496</v>
      </c>
      <c r="BX141" s="292" t="n">
        <f aca="false">SUM(BX135:BX140)</f>
        <v>14992.600728382</v>
      </c>
      <c r="BY141" s="292" t="n">
        <f aca="false">SUM(BY135:BY140)</f>
        <v>57516.399441225</v>
      </c>
      <c r="BZ141" s="292" t="n">
        <f aca="false">SUM(BZ135:BZ140)</f>
        <v>15419.196725029</v>
      </c>
      <c r="CA141" s="292" t="n">
        <f aca="false">SUM(CA135:CA140)</f>
        <v>15820.5006169353</v>
      </c>
      <c r="CB141" s="292" t="n">
        <f aca="false">SUM(CB135:CB140)</f>
        <v>16042.2965060608</v>
      </c>
      <c r="CC141" s="292" t="n">
        <f aca="false">SUM(CC135:CC140)</f>
        <v>16370.3752666972</v>
      </c>
      <c r="CD141" s="292" t="n">
        <f aca="false">SUM(CD135:CD140)</f>
        <v>63652.3691147223</v>
      </c>
      <c r="CE141" s="292" t="n">
        <f aca="false">SUM(CE135:CE140)</f>
        <v>16597.742091416</v>
      </c>
      <c r="CF141" s="292" t="n">
        <f aca="false">SUM(CF135:CF140)</f>
        <v>16801.8457692436</v>
      </c>
      <c r="CG141" s="292" t="n">
        <f aca="false">SUM(CG135:CG140)</f>
        <v>17055.0976859204</v>
      </c>
      <c r="CH141" s="292" t="n">
        <f aca="false">SUM(CH135:CH140)</f>
        <v>17099.0771659565</v>
      </c>
      <c r="CI141" s="292" t="n">
        <f aca="false">SUM(CI135:CI140)</f>
        <v>67553.7627125364</v>
      </c>
      <c r="CJ141" s="292" t="n">
        <f aca="false">SUM(CJ135:CJ140)</f>
        <v>17197.3415817364</v>
      </c>
      <c r="CK141" s="292" t="n">
        <f aca="false">SUM(CK135:CK140)</f>
        <v>17320.5485249365</v>
      </c>
      <c r="CL141" s="292" t="n">
        <f aca="false">SUM(CL135:CL140)</f>
        <v>17365.0257252958</v>
      </c>
      <c r="CM141" s="292" t="n">
        <f aca="false">SUM(CM135:CM140)</f>
        <v>17690.3663985307</v>
      </c>
      <c r="CN141" s="292" t="n">
        <f aca="false">SUM(CN135:CN140)</f>
        <v>69573.2822304993</v>
      </c>
      <c r="CO141" s="292" t="n">
        <f aca="false">SUM(CO135:CO140)</f>
        <v>566859.30176131</v>
      </c>
      <c r="CP141" s="274" t="n">
        <f aca="false">S141</f>
        <v>857480.484950248</v>
      </c>
      <c r="CQ141" s="273" t="n">
        <f aca="false">+CO141/CP141</f>
        <v>0.661075455022396</v>
      </c>
    </row>
    <row r="142" customFormat="false" ht="12.75" hidden="false" customHeight="false" outlineLevel="0" collapsed="false">
      <c r="A142" s="177"/>
      <c r="B142" s="254"/>
      <c r="C142" s="178"/>
      <c r="D142" s="178"/>
      <c r="E142" s="178"/>
      <c r="F142" s="254"/>
      <c r="G142" s="254"/>
      <c r="H142" s="178"/>
      <c r="I142" s="178"/>
      <c r="J142" s="256"/>
      <c r="K142" s="256"/>
      <c r="L142" s="257"/>
      <c r="M142" s="256"/>
      <c r="N142" s="256"/>
      <c r="O142" s="257" t="n">
        <f aca="false">+N142/N$11</f>
        <v>0</v>
      </c>
      <c r="P142" s="256"/>
      <c r="Q142" s="256"/>
      <c r="R142" s="257"/>
      <c r="S142" s="258"/>
      <c r="T142" s="256"/>
      <c r="U142" s="257"/>
      <c r="V142" s="178"/>
      <c r="W142" s="178"/>
      <c r="X142" s="259"/>
      <c r="Y142" s="188"/>
      <c r="Z142" s="178"/>
      <c r="AA142" s="178"/>
      <c r="AD142" s="178"/>
      <c r="AE142" s="126"/>
      <c r="AF142" s="260"/>
      <c r="AG142" s="293"/>
      <c r="AH142" s="293"/>
      <c r="AI142" s="293"/>
      <c r="AJ142" s="293"/>
      <c r="AK142" s="293"/>
      <c r="AL142" s="293"/>
      <c r="AM142" s="293"/>
      <c r="AN142" s="293"/>
      <c r="AO142" s="293"/>
      <c r="AP142" s="293"/>
      <c r="AQ142" s="293"/>
      <c r="AR142" s="293"/>
      <c r="AS142" s="293"/>
      <c r="AT142" s="293"/>
      <c r="AU142" s="293"/>
      <c r="AV142" s="293"/>
      <c r="AW142" s="293"/>
      <c r="AX142" s="293"/>
      <c r="AY142" s="191"/>
      <c r="AZ142" s="293"/>
      <c r="BA142" s="191"/>
      <c r="BB142" s="191"/>
      <c r="BC142" s="191"/>
      <c r="BD142" s="191"/>
      <c r="BE142" s="293"/>
      <c r="BF142" s="191"/>
      <c r="BG142" s="191"/>
      <c r="BH142" s="191"/>
      <c r="BI142" s="191"/>
      <c r="BJ142" s="293"/>
      <c r="BK142" s="191"/>
      <c r="BL142" s="191"/>
      <c r="BM142" s="191"/>
      <c r="BN142" s="191"/>
      <c r="BO142" s="293"/>
      <c r="BP142" s="191"/>
      <c r="BQ142" s="191"/>
      <c r="BR142" s="191"/>
      <c r="BS142" s="191"/>
      <c r="BT142" s="293"/>
      <c r="BU142" s="191"/>
      <c r="BV142" s="191"/>
      <c r="BW142" s="191"/>
      <c r="BX142" s="191"/>
      <c r="BY142" s="293"/>
      <c r="BZ142" s="191"/>
      <c r="CA142" s="191"/>
      <c r="CB142" s="191"/>
      <c r="CC142" s="191"/>
      <c r="CD142" s="293"/>
      <c r="CE142" s="191"/>
      <c r="CF142" s="191"/>
      <c r="CG142" s="191"/>
      <c r="CH142" s="191"/>
      <c r="CI142" s="293"/>
      <c r="CJ142" s="191"/>
      <c r="CK142" s="191"/>
      <c r="CL142" s="191"/>
      <c r="CM142" s="191"/>
      <c r="CN142" s="293"/>
      <c r="CO142" s="191"/>
      <c r="CP142" s="191"/>
      <c r="CQ142" s="192"/>
    </row>
    <row r="143" customFormat="false" ht="13.5" hidden="false" customHeight="false" outlineLevel="0" collapsed="false">
      <c r="A143" s="177"/>
      <c r="B143" s="294" t="s">
        <v>16</v>
      </c>
      <c r="C143" s="178"/>
      <c r="D143" s="178"/>
      <c r="E143" s="178"/>
      <c r="F143" s="294" t="n">
        <f aca="false">+F141+F132+D95</f>
        <v>857480.484950248</v>
      </c>
      <c r="G143" s="294"/>
      <c r="H143" s="178"/>
      <c r="I143" s="178"/>
      <c r="J143" s="295"/>
      <c r="K143" s="295"/>
      <c r="L143" s="296"/>
      <c r="M143" s="295" t="n">
        <f aca="false">+M141+M132</f>
        <v>6461413.40675801</v>
      </c>
      <c r="N143" s="295" t="n">
        <f aca="false">+N141+N132</f>
        <v>89741.852871639</v>
      </c>
      <c r="O143" s="296" t="n">
        <f aca="false">+N143/N$11</f>
        <v>88.3285953461014</v>
      </c>
      <c r="P143" s="295" t="n">
        <f aca="false">+P141+P132</f>
        <v>6261614.82104838</v>
      </c>
      <c r="Q143" s="295" t="n">
        <f aca="false">+Q141+Q132</f>
        <v>102649.423295875</v>
      </c>
      <c r="R143" s="296" t="n">
        <f aca="false">+R141+R132</f>
        <v>84.6244215134997</v>
      </c>
      <c r="S143" s="297" t="n">
        <f aca="false">+S141+S132</f>
        <v>12723028.2278064</v>
      </c>
      <c r="T143" s="295" t="n">
        <f aca="false">+S143/S$8</f>
        <v>95661.8663744841</v>
      </c>
      <c r="U143" s="296" t="n">
        <f aca="false">+U141+U132</f>
        <v>80.6822859393625</v>
      </c>
      <c r="V143" s="298" t="n">
        <f aca="false">+$S143/TotalCost</f>
        <v>1</v>
      </c>
      <c r="W143" s="298" t="n">
        <f aca="false">+$S143/TotalValue</f>
        <v>0.820840556245797</v>
      </c>
      <c r="X143" s="299"/>
      <c r="Y143" s="300"/>
      <c r="Z143" s="235"/>
      <c r="AA143" s="235"/>
      <c r="AB143" s="225"/>
      <c r="AC143" s="272"/>
      <c r="AD143" s="235"/>
      <c r="AE143" s="301"/>
      <c r="AF143" s="302" t="s">
        <v>154</v>
      </c>
      <c r="AG143" s="303" t="n">
        <f aca="false">+AG141+AG132</f>
        <v>541762.354552239</v>
      </c>
      <c r="AH143" s="303" t="n">
        <f aca="false">+AH141+AH132</f>
        <v>1015.80441478545</v>
      </c>
      <c r="AI143" s="303" t="n">
        <f aca="false">+AI141+AI132</f>
        <v>1017.70904806317</v>
      </c>
      <c r="AJ143" s="303" t="n">
        <f aca="false">+AJ141+AJ132</f>
        <v>1019.61725252829</v>
      </c>
      <c r="AK143" s="303" t="n">
        <f aca="false">+AK141+AK132</f>
        <v>574687.360267616</v>
      </c>
      <c r="AL143" s="303" t="n">
        <f aca="false">+AL141+AL132</f>
        <v>133571.806455387</v>
      </c>
      <c r="AM143" s="303" t="n">
        <f aca="false">+AM141+AM132</f>
        <v>18971.9761719806</v>
      </c>
      <c r="AN143" s="303" t="n">
        <f aca="false">+AN141+AN132</f>
        <v>38961.3591861927</v>
      </c>
      <c r="AO143" s="303" t="n">
        <f aca="false">+AO141+AO132</f>
        <v>42517.0777382772</v>
      </c>
      <c r="AP143" s="303" t="n">
        <f aca="false">+AP141+AP132</f>
        <v>234022.219551838</v>
      </c>
      <c r="AQ143" s="303" t="n">
        <f aca="false">+AQ141+AQ132</f>
        <v>134010.595696536</v>
      </c>
      <c r="AR143" s="303" t="n">
        <f aca="false">+AR141+AR132</f>
        <v>105448.279625968</v>
      </c>
      <c r="AS143" s="303" t="n">
        <f aca="false">+AS141+AS132</f>
        <v>114738.693084156</v>
      </c>
      <c r="AT143" s="303" t="n">
        <f aca="false">+AT141+AT132</f>
        <v>135624.846637299</v>
      </c>
      <c r="AU143" s="303" t="n">
        <f aca="false">+AU141+AU132</f>
        <v>489822.415043959</v>
      </c>
      <c r="AV143" s="303" t="n">
        <f aca="false">+AV141+AV132</f>
        <v>320349.490828181</v>
      </c>
      <c r="AW143" s="303" t="n">
        <f aca="false">+AW141+AW132</f>
        <v>123640.677957547</v>
      </c>
      <c r="AX143" s="303" t="n">
        <f aca="false">+AX141+AX132</f>
        <v>188639.532000107</v>
      </c>
      <c r="AY143" s="303" t="n">
        <f aca="false">+AY141+AY132</f>
        <v>291226.326517155</v>
      </c>
      <c r="AZ143" s="303" t="n">
        <f aca="false">+AZ141+AZ132</f>
        <v>923856.02730299</v>
      </c>
      <c r="BA143" s="303" t="n">
        <f aca="false">+BA141+BA132</f>
        <v>267820.099588437</v>
      </c>
      <c r="BB143" s="303" t="n">
        <f aca="false">+BB141+BB132</f>
        <v>223565.156987665</v>
      </c>
      <c r="BC143" s="303" t="n">
        <f aca="false">+BC141+BC132</f>
        <v>389520.715044344</v>
      </c>
      <c r="BD143" s="303" t="n">
        <f aca="false">+BD141+BD132</f>
        <v>175079.989785225</v>
      </c>
      <c r="BE143" s="303" t="n">
        <f aca="false">+BE141+BE132</f>
        <v>1055985.96140567</v>
      </c>
      <c r="BF143" s="303" t="n">
        <f aca="false">+BF141+BF132</f>
        <v>454944.332978573</v>
      </c>
      <c r="BG143" s="303" t="n">
        <f aca="false">+BG141+BG132</f>
        <v>350275.085806345</v>
      </c>
      <c r="BH143" s="303" t="n">
        <f aca="false">+BH141+BH132</f>
        <v>237876.138610184</v>
      </c>
      <c r="BI143" s="303" t="n">
        <f aca="false">+BI141+BI132</f>
        <v>346318.515273689</v>
      </c>
      <c r="BJ143" s="303" t="n">
        <f aca="false">+BJ141+BJ132</f>
        <v>1389414.07266879</v>
      </c>
      <c r="BK143" s="303" t="n">
        <f aca="false">+BK141+BK132</f>
        <v>392726.116568264</v>
      </c>
      <c r="BL143" s="303" t="n">
        <f aca="false">+BL141+BL132</f>
        <v>260964.379495892</v>
      </c>
      <c r="BM143" s="303" t="n">
        <f aca="false">+BM141+BM132</f>
        <v>411883.117728837</v>
      </c>
      <c r="BN143" s="303" t="n">
        <f aca="false">+BN141+BN132</f>
        <v>368179.692094126</v>
      </c>
      <c r="BO143" s="303" t="n">
        <f aca="false">+BO141+BO132</f>
        <v>1433753.30588712</v>
      </c>
      <c r="BP143" s="303" t="n">
        <f aca="false">+BP141+BP132</f>
        <v>262114.580475865</v>
      </c>
      <c r="BQ143" s="303" t="n">
        <f aca="false">+BQ141+BQ132</f>
        <v>342393.714776757</v>
      </c>
      <c r="BR143" s="303" t="n">
        <f aca="false">+BR141+BR132</f>
        <v>338439.257070401</v>
      </c>
      <c r="BS143" s="303" t="n">
        <f aca="false">+BS141+BS132</f>
        <v>203955.655573971</v>
      </c>
      <c r="BT143" s="303" t="n">
        <f aca="false">+BT141+BT132</f>
        <v>1146903.20789699</v>
      </c>
      <c r="BU143" s="303" t="n">
        <f aca="false">+BU141+BU132</f>
        <v>378350.968453172</v>
      </c>
      <c r="BV143" s="303" t="n">
        <f aca="false">+BV141+BV132</f>
        <v>266939.291534959</v>
      </c>
      <c r="BW143" s="303" t="n">
        <f aca="false">+BW141+BW132</f>
        <v>132190.76679065</v>
      </c>
      <c r="BX143" s="303" t="n">
        <f aca="false">+BX141+BX132</f>
        <v>227517.864878382</v>
      </c>
      <c r="BY143" s="303" t="n">
        <f aca="false">+BY141+BY132</f>
        <v>1004998.89165716</v>
      </c>
      <c r="BZ143" s="303" t="n">
        <f aca="false">+BZ141+BZ132</f>
        <v>214028.742350029</v>
      </c>
      <c r="CA143" s="303" t="n">
        <f aca="false">+CA141+CA132</f>
        <v>118291.140866935</v>
      </c>
      <c r="CB143" s="303" t="n">
        <f aca="false">+CB141+CB132</f>
        <v>174975.339006061</v>
      </c>
      <c r="CC143" s="303" t="n">
        <f aca="false">+CC141+CC132</f>
        <v>121262.306516697</v>
      </c>
      <c r="CD143" s="303" t="n">
        <f aca="false">+CD141+CD132</f>
        <v>628557.528739722</v>
      </c>
      <c r="CE143" s="303" t="n">
        <f aca="false">+CE141+CE132</f>
        <v>108855.294841416</v>
      </c>
      <c r="CF143" s="303" t="n">
        <f aca="false">+CF141+CF132</f>
        <v>135067.688894244</v>
      </c>
      <c r="CG143" s="303" t="n">
        <f aca="false">+CG141+CG132</f>
        <v>23455.7226859204</v>
      </c>
      <c r="CH143" s="303" t="n">
        <f aca="false">+CH141+CH132</f>
        <v>52407.6884159565</v>
      </c>
      <c r="CI143" s="303" t="n">
        <f aca="false">+CI141+CI132</f>
        <v>319786.394837537</v>
      </c>
      <c r="CJ143" s="303" t="n">
        <f aca="false">+CJ141+CJ132</f>
        <v>65710.3697067364</v>
      </c>
      <c r="CK143" s="303" t="n">
        <f aca="false">+CK141+CK132</f>
        <v>23721.1735249365</v>
      </c>
      <c r="CL143" s="303" t="n">
        <f aca="false">+CL141+CL132</f>
        <v>173515.025725296</v>
      </c>
      <c r="CM143" s="303" t="n">
        <f aca="false">+CM141+CM132</f>
        <v>444627.735057748</v>
      </c>
      <c r="CN143" s="303" t="n">
        <f aca="false">+CN141+CN132</f>
        <v>707574.304014717</v>
      </c>
      <c r="CO143" s="303" t="n">
        <f aca="false">+CO141+CO132</f>
        <v>9909361.68927412</v>
      </c>
      <c r="CP143" s="304" t="n">
        <f aca="false">S143</f>
        <v>12723028.2278064</v>
      </c>
      <c r="CQ143" s="305" t="n">
        <f aca="false">+CO143/CP143</f>
        <v>0.778852448634598</v>
      </c>
    </row>
    <row r="144" customFormat="false" ht="13.5" hidden="false" customHeight="false" outlineLevel="0" collapsed="false">
      <c r="A144" s="177"/>
      <c r="B144" s="178"/>
      <c r="C144" s="178"/>
      <c r="D144" s="178"/>
      <c r="E144" s="178"/>
      <c r="F144" s="178"/>
      <c r="G144" s="178"/>
      <c r="H144" s="178"/>
      <c r="I144" s="178"/>
      <c r="J144" s="178"/>
      <c r="K144" s="178"/>
      <c r="L144" s="178"/>
      <c r="M144" s="178"/>
      <c r="N144" s="178"/>
      <c r="O144" s="178"/>
      <c r="P144" s="178"/>
      <c r="Q144" s="178"/>
      <c r="R144" s="178"/>
      <c r="S144" s="202"/>
      <c r="T144" s="178"/>
      <c r="U144" s="178"/>
      <c r="V144" s="178"/>
      <c r="W144" s="178"/>
      <c r="X144" s="178"/>
      <c r="Y144" s="178"/>
      <c r="Z144" s="178"/>
      <c r="AA144" s="178"/>
      <c r="AD144" s="178"/>
      <c r="AE144" s="126"/>
      <c r="AF144" s="306" t="s">
        <v>346</v>
      </c>
      <c r="AG144" s="190" t="n">
        <f aca="false">+AG143</f>
        <v>541762.354552239</v>
      </c>
      <c r="AH144" s="190" t="n">
        <f aca="false">+AH143+AG144</f>
        <v>542778.158967024</v>
      </c>
      <c r="AI144" s="190" t="n">
        <f aca="false">+AI143+AH144</f>
        <v>543795.868015087</v>
      </c>
      <c r="AJ144" s="190" t="n">
        <f aca="false">+AJ143+AI144</f>
        <v>544815.485267616</v>
      </c>
      <c r="AK144" s="190" t="n">
        <f aca="false">+AK143</f>
        <v>574687.360267616</v>
      </c>
      <c r="AL144" s="190" t="n">
        <f aca="false">+AL143+AJ144</f>
        <v>678387.291723003</v>
      </c>
      <c r="AM144" s="190" t="n">
        <f aca="false">+AM143+AL144</f>
        <v>697359.267894984</v>
      </c>
      <c r="AN144" s="190" t="n">
        <f aca="false">+AN143+AM144</f>
        <v>736320.627081176</v>
      </c>
      <c r="AO144" s="190" t="n">
        <f aca="false">+AO143+AN144</f>
        <v>778837.704819454</v>
      </c>
      <c r="AP144" s="190" t="n">
        <f aca="false">+AP143+AK144</f>
        <v>808709.579819453</v>
      </c>
      <c r="AQ144" s="190" t="n">
        <f aca="false">+AQ143+AO144</f>
        <v>912848.30051599</v>
      </c>
      <c r="AR144" s="190" t="n">
        <f aca="false">+AR143+AQ144</f>
        <v>1018296.58014196</v>
      </c>
      <c r="AS144" s="190" t="n">
        <f aca="false">+AS143+AR144</f>
        <v>1133035.27322611</v>
      </c>
      <c r="AT144" s="190" t="n">
        <f aca="false">+AT143+AS144</f>
        <v>1268660.11986341</v>
      </c>
      <c r="AU144" s="190" t="n">
        <f aca="false">+AU143+AP144</f>
        <v>1298531.99486341</v>
      </c>
      <c r="AV144" s="190" t="n">
        <f aca="false">+AV143+AT144</f>
        <v>1589009.61069159</v>
      </c>
      <c r="AW144" s="190" t="n">
        <f aca="false">+AW143+AV144</f>
        <v>1712650.28864914</v>
      </c>
      <c r="AX144" s="190" t="n">
        <f aca="false">+AX143+AW144</f>
        <v>1901289.82064925</v>
      </c>
      <c r="AY144" s="190" t="n">
        <f aca="false">+AY143+AX144</f>
        <v>2192516.1471664</v>
      </c>
      <c r="AZ144" s="190" t="n">
        <f aca="false">+AZ143+AU144</f>
        <v>2222388.0221664</v>
      </c>
      <c r="BA144" s="190" t="n">
        <f aca="false">+BA143+AY144</f>
        <v>2460336.24675484</v>
      </c>
      <c r="BB144" s="190" t="n">
        <f aca="false">+BB143+BA144</f>
        <v>2683901.4037425</v>
      </c>
      <c r="BC144" s="190" t="n">
        <f aca="false">+BC143+BB144</f>
        <v>3073422.11878685</v>
      </c>
      <c r="BD144" s="190" t="n">
        <f aca="false">+BD143+BC144</f>
        <v>3248502.10857207</v>
      </c>
      <c r="BE144" s="190" t="n">
        <f aca="false">+BE143+AZ144</f>
        <v>3278373.98357207</v>
      </c>
      <c r="BF144" s="190" t="n">
        <f aca="false">+BF143+BD144</f>
        <v>3703446.44155065</v>
      </c>
      <c r="BG144" s="190" t="n">
        <f aca="false">+BG143+BF144</f>
        <v>4053721.52735699</v>
      </c>
      <c r="BH144" s="190" t="n">
        <f aca="false">+BH143+BG144</f>
        <v>4291597.66596718</v>
      </c>
      <c r="BI144" s="190" t="n">
        <f aca="false">+BI143+BH144</f>
        <v>4637916.18124086</v>
      </c>
      <c r="BJ144" s="190" t="n">
        <f aca="false">+BJ143+BE144</f>
        <v>4667788.05624086</v>
      </c>
      <c r="BK144" s="190" t="n">
        <f aca="false">+BK143+BI144</f>
        <v>5030642.29780913</v>
      </c>
      <c r="BL144" s="190" t="n">
        <f aca="false">+BL143+BK144</f>
        <v>5291606.67730502</v>
      </c>
      <c r="BM144" s="190" t="n">
        <f aca="false">+BM143+BL144</f>
        <v>5703489.79503386</v>
      </c>
      <c r="BN144" s="190" t="n">
        <f aca="false">+BN143+BM144</f>
        <v>6071669.48712798</v>
      </c>
      <c r="BO144" s="190" t="n">
        <f aca="false">+BO143+BJ144</f>
        <v>6101541.36212798</v>
      </c>
      <c r="BP144" s="190" t="n">
        <f aca="false">+BP143+BN144</f>
        <v>6333784.06760385</v>
      </c>
      <c r="BQ144" s="190" t="n">
        <f aca="false">+BQ143+BP144</f>
        <v>6676177.78238061</v>
      </c>
      <c r="BR144" s="190" t="n">
        <f aca="false">+BR143+BQ144</f>
        <v>7014617.03945101</v>
      </c>
      <c r="BS144" s="190" t="n">
        <f aca="false">+BS143+BR144</f>
        <v>7218572.69502498</v>
      </c>
      <c r="BT144" s="190" t="n">
        <f aca="false">+BT143+BO144</f>
        <v>7248444.57002498</v>
      </c>
      <c r="BU144" s="190" t="n">
        <f aca="false">+BU143+BS144</f>
        <v>7596923.66347815</v>
      </c>
      <c r="BV144" s="190" t="n">
        <f aca="false">+BV143+BU144</f>
        <v>7863862.95501311</v>
      </c>
      <c r="BW144" s="190" t="n">
        <f aca="false">+BW143+BV144</f>
        <v>7996053.72180376</v>
      </c>
      <c r="BX144" s="190" t="n">
        <f aca="false">+BX143+BW144</f>
        <v>8223571.58668214</v>
      </c>
      <c r="BY144" s="190" t="n">
        <f aca="false">+BY143+BT144</f>
        <v>8253443.46168214</v>
      </c>
      <c r="BZ144" s="190" t="n">
        <f aca="false">+BZ143+BX144</f>
        <v>8437600.32903217</v>
      </c>
      <c r="CA144" s="190" t="n">
        <f aca="false">+CA143+BZ144</f>
        <v>8555891.4698991</v>
      </c>
      <c r="CB144" s="190" t="n">
        <f aca="false">+CB143+CA144</f>
        <v>8730866.80890516</v>
      </c>
      <c r="CC144" s="190" t="n">
        <f aca="false">+CC143+CB144</f>
        <v>8852129.11542186</v>
      </c>
      <c r="CD144" s="190" t="n">
        <f aca="false">+CD143+BY144</f>
        <v>8882000.99042186</v>
      </c>
      <c r="CE144" s="190" t="n">
        <f aca="false">+CE143+CC144</f>
        <v>8960984.41026328</v>
      </c>
      <c r="CF144" s="190" t="n">
        <f aca="false">+CF143+CE144</f>
        <v>9096052.09915752</v>
      </c>
      <c r="CG144" s="190" t="n">
        <f aca="false">+CG143+CF144</f>
        <v>9119507.82184344</v>
      </c>
      <c r="CH144" s="190" t="n">
        <f aca="false">+CH143+CG144</f>
        <v>9171915.5102594</v>
      </c>
      <c r="CI144" s="190" t="n">
        <f aca="false">+CI143+CD144</f>
        <v>9201787.3852594</v>
      </c>
      <c r="CJ144" s="190" t="n">
        <f aca="false">+CJ143+CH144</f>
        <v>9237625.87996613</v>
      </c>
      <c r="CK144" s="190" t="n">
        <f aca="false">+CK143+CJ144</f>
        <v>9261347.05349107</v>
      </c>
      <c r="CL144" s="190" t="n">
        <f aca="false">+CL143+CK144</f>
        <v>9434862.07921637</v>
      </c>
      <c r="CM144" s="190" t="n">
        <f aca="false">+CM143+CL144</f>
        <v>9879489.81427411</v>
      </c>
      <c r="CN144" s="190" t="n">
        <f aca="false">+CN143+CI144</f>
        <v>9909361.68927411</v>
      </c>
      <c r="CO144" s="190"/>
      <c r="CP144" s="190"/>
      <c r="CQ144" s="190"/>
    </row>
    <row r="145" customFormat="false" ht="12.75" hidden="false" customHeight="false" outlineLevel="0" collapsed="false">
      <c r="A145" s="177"/>
      <c r="B145" s="178"/>
      <c r="C145" s="178"/>
      <c r="D145" s="178"/>
      <c r="E145" s="178"/>
      <c r="F145" s="178"/>
      <c r="G145" s="178"/>
      <c r="H145" s="178"/>
      <c r="I145" s="178"/>
      <c r="J145" s="178"/>
      <c r="K145" s="178"/>
      <c r="L145" s="178"/>
      <c r="M145" s="178"/>
      <c r="N145" s="178"/>
      <c r="O145" s="178"/>
      <c r="P145" s="178"/>
      <c r="Q145" s="178"/>
      <c r="R145" s="178"/>
      <c r="S145" s="202"/>
      <c r="T145" s="178"/>
      <c r="U145" s="178"/>
      <c r="V145" s="178"/>
      <c r="W145" s="178"/>
      <c r="X145" s="178"/>
      <c r="Y145" s="178"/>
      <c r="Z145" s="178"/>
      <c r="AA145" s="178"/>
      <c r="AB145" s="178"/>
      <c r="AC145" s="178"/>
      <c r="AD145" s="178"/>
      <c r="AE145" s="126"/>
      <c r="AF145" s="306" t="s">
        <v>155</v>
      </c>
      <c r="AG145" s="192" t="n">
        <f aca="false">AG144/TotalCost</f>
        <v>0.042581242834014</v>
      </c>
      <c r="AH145" s="192" t="n">
        <f aca="false">AH144/TotalCost</f>
        <v>0.0426610826643278</v>
      </c>
      <c r="AI145" s="192" t="n">
        <f aca="false">AI144/TotalCost</f>
        <v>0.0427410721943234</v>
      </c>
      <c r="AJ145" s="192" t="n">
        <f aca="false">AJ144/TotalCost</f>
        <v>0.0428212117046878</v>
      </c>
      <c r="AK145" s="192" t="n">
        <f aca="false">AK144/TotalCost</f>
        <v>0.0451690706000028</v>
      </c>
      <c r="AL145" s="192" t="n">
        <f aca="false">AL144/TotalCost</f>
        <v>0.0533196405428368</v>
      </c>
      <c r="AM145" s="192" t="n">
        <f aca="false">AM144/TotalCost</f>
        <v>0.0548107931074847</v>
      </c>
      <c r="AN145" s="192" t="n">
        <f aca="false">AN144/TotalCost</f>
        <v>0.0578730640141107</v>
      </c>
      <c r="AO145" s="192" t="n">
        <f aca="false">AO144/TotalCost</f>
        <v>0.0612148060095702</v>
      </c>
      <c r="AP145" s="192" t="n">
        <f aca="false">AP144/TotalCost</f>
        <v>0.0635626649048852</v>
      </c>
      <c r="AQ145" s="192" t="n">
        <f aca="false">AQ144/TotalCost</f>
        <v>0.0717477226467945</v>
      </c>
      <c r="AR145" s="192" t="n">
        <f aca="false">AR144/TotalCost</f>
        <v>0.0800357086307844</v>
      </c>
      <c r="AS145" s="192" t="n">
        <f aca="false">AS144/TotalCost</f>
        <v>0.0890538991927917</v>
      </c>
      <c r="AT145" s="192" t="n">
        <f aca="false">AT144/TotalCost</f>
        <v>0.0997136921452972</v>
      </c>
      <c r="AU145" s="192" t="n">
        <f aca="false">AU144/TotalCost</f>
        <v>0.102061551040612</v>
      </c>
      <c r="AV145" s="192" t="n">
        <f aca="false">AV144/TotalCost</f>
        <v>0.124892406291985</v>
      </c>
      <c r="AW145" s="192" t="n">
        <f aca="false">AW144/TotalCost</f>
        <v>0.134610271861703</v>
      </c>
      <c r="AX145" s="192" t="n">
        <f aca="false">AX144/TotalCost</f>
        <v>0.149436894000907</v>
      </c>
      <c r="AY145" s="192" t="n">
        <f aca="false">AY144/TotalCost</f>
        <v>0.172326596145926</v>
      </c>
      <c r="AZ145" s="192" t="n">
        <f aca="false">AZ144/TotalCost</f>
        <v>0.174674455041241</v>
      </c>
      <c r="BA145" s="192" t="n">
        <f aca="false">BA144/TotalCost</f>
        <v>0.193376624078986</v>
      </c>
      <c r="BB145" s="192" t="n">
        <f aca="false">BB144/TotalCost</f>
        <v>0.210948317938712</v>
      </c>
      <c r="BC145" s="192" t="n">
        <f aca="false">BC144/TotalCost</f>
        <v>0.241563727106243</v>
      </c>
      <c r="BD145" s="192" t="n">
        <f aca="false">BD144/TotalCost</f>
        <v>0.255324601219733</v>
      </c>
      <c r="BE145" s="192" t="n">
        <f aca="false">BE144/TotalCost</f>
        <v>0.257672460115048</v>
      </c>
      <c r="BF145" s="192" t="n">
        <f aca="false">BF144/TotalCost</f>
        <v>0.291082152396448</v>
      </c>
      <c r="BG145" s="192" t="n">
        <f aca="false">BG144/TotalCost</f>
        <v>0.318612947701988</v>
      </c>
      <c r="BH145" s="192" t="n">
        <f aca="false">BH144/TotalCost</f>
        <v>0.337309450951922</v>
      </c>
      <c r="BI145" s="192" t="n">
        <f aca="false">BI144/TotalCost</f>
        <v>0.364529269148725</v>
      </c>
      <c r="BJ145" s="192" t="n">
        <f aca="false">BJ144/TotalCost</f>
        <v>0.36687712804404</v>
      </c>
      <c r="BK145" s="192" t="n">
        <f aca="false">BK144/TotalCost</f>
        <v>0.395396615313214</v>
      </c>
      <c r="BL145" s="192" t="n">
        <f aca="false">BL144/TotalCost</f>
        <v>0.415907799822382</v>
      </c>
      <c r="BM145" s="192" t="n">
        <f aca="false">BM144/TotalCost</f>
        <v>0.448280841079075</v>
      </c>
      <c r="BN145" s="192" t="n">
        <f aca="false">BN144/TotalCost</f>
        <v>0.477218896194716</v>
      </c>
      <c r="BO145" s="192" t="n">
        <f aca="false">BO144/TotalCost</f>
        <v>0.479566755090032</v>
      </c>
      <c r="BP145" s="192" t="n">
        <f aca="false">BP144/TotalCost</f>
        <v>0.497820483787127</v>
      </c>
      <c r="BQ145" s="192" t="n">
        <f aca="false">BQ144/TotalCost</f>
        <v>0.524731821925044</v>
      </c>
      <c r="BR145" s="192" t="n">
        <f aca="false">BR144/TotalCost</f>
        <v>0.551332349017386</v>
      </c>
      <c r="BS145" s="192" t="n">
        <f aca="false">BS144/TotalCost</f>
        <v>0.567362782332642</v>
      </c>
      <c r="BT145" s="192" t="n">
        <f aca="false">BT144/TotalCost</f>
        <v>0.569710641227957</v>
      </c>
      <c r="BU145" s="192" t="n">
        <f aca="false">BU144/TotalCost</f>
        <v>0.597100275772001</v>
      </c>
      <c r="BV145" s="192" t="n">
        <f aca="false">BV144/TotalCost</f>
        <v>0.618081074270236</v>
      </c>
      <c r="BW145" s="192" t="n">
        <f aca="false">BW144/TotalCost</f>
        <v>0.628470956649161</v>
      </c>
      <c r="BX145" s="192" t="n">
        <f aca="false">BX144/TotalCost</f>
        <v>0.64635332402308</v>
      </c>
      <c r="BY145" s="192" t="n">
        <f aca="false">BY144/TotalCost</f>
        <v>0.648701182918395</v>
      </c>
      <c r="BZ145" s="192" t="n">
        <f aca="false">BZ144/TotalCost</f>
        <v>0.663175478192499</v>
      </c>
      <c r="CA145" s="192" t="n">
        <f aca="false">CA144/TotalCost</f>
        <v>0.67247288276859</v>
      </c>
      <c r="CB145" s="192" t="n">
        <f aca="false">CB144/TotalCost</f>
        <v>0.686225531577751</v>
      </c>
      <c r="CC145" s="192" t="n">
        <f aca="false">CC144/TotalCost</f>
        <v>0.695756462763746</v>
      </c>
      <c r="CD145" s="192" t="n">
        <f aca="false">CD144/TotalCost</f>
        <v>0.698104321659061</v>
      </c>
      <c r="CE145" s="192" t="n">
        <f aca="false">CE144/TotalCost</f>
        <v>0.70431223210516</v>
      </c>
      <c r="CF145" s="192" t="n">
        <f aca="false">CF144/TotalCost</f>
        <v>0.714928233773619</v>
      </c>
      <c r="CG145" s="192" t="n">
        <f aca="false">CG144/TotalCost</f>
        <v>0.716771798235314</v>
      </c>
      <c r="CH145" s="192" t="n">
        <f aca="false">CH144/TotalCost</f>
        <v>0.720890918894138</v>
      </c>
      <c r="CI145" s="192" t="n">
        <f aca="false">CI144/TotalCost</f>
        <v>0.723238777789453</v>
      </c>
      <c r="CJ145" s="192" t="n">
        <f aca="false">CJ144/TotalCost</f>
        <v>0.726055598916078</v>
      </c>
      <c r="CK145" s="192" t="n">
        <f aca="false">CK144/TotalCost</f>
        <v>0.727920027187415</v>
      </c>
      <c r="CL145" s="192" t="n">
        <f aca="false">CL144/TotalCost</f>
        <v>0.74155789881817</v>
      </c>
      <c r="CM145" s="192" t="n">
        <f aca="false">CM144/TotalCost</f>
        <v>0.776504589739283</v>
      </c>
      <c r="CN145" s="192" t="n">
        <f aca="false">CN144/TotalCost</f>
        <v>0.778852448634598</v>
      </c>
      <c r="CO145" s="191"/>
      <c r="CP145" s="191"/>
      <c r="CQ145" s="191"/>
    </row>
    <row r="146" customFormat="false" ht="12.75" hidden="false" customHeight="false" outlineLevel="0" collapsed="false">
      <c r="A146" s="177"/>
      <c r="B146" s="246" t="s">
        <v>347</v>
      </c>
      <c r="C146" s="178"/>
      <c r="D146" s="178"/>
      <c r="E146" s="178"/>
      <c r="F146" s="178"/>
      <c r="G146" s="178"/>
      <c r="H146" s="178"/>
      <c r="I146" s="178"/>
      <c r="J146" s="178"/>
      <c r="K146" s="178"/>
      <c r="L146" s="178"/>
      <c r="M146" s="178"/>
      <c r="N146" s="178"/>
      <c r="O146" s="178"/>
      <c r="P146" s="178"/>
      <c r="Q146" s="178"/>
      <c r="R146" s="178"/>
      <c r="S146" s="178"/>
      <c r="T146" s="178"/>
      <c r="U146" s="178"/>
      <c r="V146" s="178"/>
      <c r="W146" s="178"/>
      <c r="X146" s="178"/>
      <c r="Y146" s="178"/>
      <c r="Z146" s="178"/>
      <c r="AA146" s="178"/>
      <c r="AB146" s="178"/>
      <c r="AC146" s="178"/>
      <c r="AD146" s="178"/>
      <c r="AE146" s="126"/>
      <c r="AF146" s="306" t="s">
        <v>100</v>
      </c>
      <c r="AG146" s="192" t="n">
        <f aca="false">AG144/15500000</f>
        <v>0.0349524099711122</v>
      </c>
      <c r="AH146" s="192" t="n">
        <f aca="false">AH144/15500000</f>
        <v>0.035017945739808</v>
      </c>
      <c r="AI146" s="192" t="n">
        <f aca="false">AI144/15500000</f>
        <v>0.0350836043880702</v>
      </c>
      <c r="AJ146" s="192" t="n">
        <f aca="false">AJ144/15500000</f>
        <v>0.0351493861462978</v>
      </c>
      <c r="AK146" s="192" t="n">
        <f aca="false">AK144/TotalValue</f>
        <v>0.037076605036412</v>
      </c>
      <c r="AL146" s="192" t="n">
        <f aca="false">AL144/TotalValue</f>
        <v>0.0437669234020081</v>
      </c>
      <c r="AM146" s="192" t="n">
        <f aca="false">AM144/TotalValue</f>
        <v>0.044990921902621</v>
      </c>
      <c r="AN146" s="192" t="n">
        <f aca="false">AN144/TotalValue</f>
        <v>0.0475045580569912</v>
      </c>
      <c r="AO146" s="192" t="n">
        <f aca="false">AO144/TotalValue</f>
        <v>0.0502475954153742</v>
      </c>
      <c r="AP146" s="192" t="n">
        <f aca="false">AP144/TotalValue</f>
        <v>0.0521748132169912</v>
      </c>
      <c r="AQ146" s="192" t="n">
        <f aca="false">AQ144/TotalValue</f>
        <v>0.058893440566764</v>
      </c>
      <c r="AR146" s="192" t="n">
        <f aca="false">AR144/TotalValue</f>
        <v>0.0656965555920196</v>
      </c>
      <c r="AS146" s="192" t="n">
        <f aca="false">AS144/TotalValue</f>
        <v>0.0730990521492683</v>
      </c>
      <c r="AT146" s="192" t="n">
        <f aca="false">AT144/TotalValue</f>
        <v>0.0818490425258679</v>
      </c>
      <c r="AU146" s="192" t="n">
        <f aca="false">AU144/TotalValue</f>
        <v>0.083776260327485</v>
      </c>
      <c r="AV146" s="192" t="n">
        <f aca="false">AV144/TotalValue</f>
        <v>0.102516752251589</v>
      </c>
      <c r="AW146" s="192" t="n">
        <f aca="false">AW144/TotalValue</f>
        <v>0.110493570431358</v>
      </c>
      <c r="AX146" s="192" t="n">
        <f aca="false">AX144/TotalValue</f>
        <v>0.122663863195348</v>
      </c>
      <c r="AY146" s="192" t="n">
        <f aca="false">AY144/TotalValue</f>
        <v>0.141452659036366</v>
      </c>
      <c r="AZ146" s="192" t="n">
        <f aca="false">AZ144/TotalValue</f>
        <v>0.143379876837983</v>
      </c>
      <c r="BA146" s="192" t="n">
        <f aca="false">BA144/TotalValue</f>
        <v>0.158731375673929</v>
      </c>
      <c r="BB146" s="192" t="n">
        <f aca="false">BB144/TotalValue</f>
        <v>0.173154934635927</v>
      </c>
      <c r="BC146" s="192" t="n">
        <f aca="false">BC144/TotalValue</f>
        <v>0.198285304126696</v>
      </c>
      <c r="BD146" s="192" t="n">
        <f aca="false">BD144/TotalValue</f>
        <v>0.209580787688442</v>
      </c>
      <c r="BE146" s="192" t="n">
        <f aca="false">BE144/TotalValue</f>
        <v>0.211508005490059</v>
      </c>
      <c r="BF146" s="192" t="n">
        <f aca="false">BF144/TotalValue</f>
        <v>0.238932035886324</v>
      </c>
      <c r="BG146" s="192" t="n">
        <f aca="false">BG144/TotalValue</f>
        <v>0.261530429218813</v>
      </c>
      <c r="BH146" s="192" t="n">
        <f aca="false">BH144/TotalValue</f>
        <v>0.27687727734634</v>
      </c>
      <c r="BI146" s="192" t="n">
        <f aca="false">BI144/TotalValue</f>
        <v>0.299220408055914</v>
      </c>
      <c r="BJ146" s="192" t="n">
        <f aca="false">BJ144/TotalValue</f>
        <v>0.301147625857531</v>
      </c>
      <c r="BK146" s="192" t="n">
        <f aca="false">BK144/TotalValue</f>
        <v>0.324557577651404</v>
      </c>
      <c r="BL146" s="192" t="n">
        <f aca="false">BL144/TotalValue</f>
        <v>0.34139398975317</v>
      </c>
      <c r="BM146" s="192" t="n">
        <f aca="false">BM144/TotalValue</f>
        <v>0.367967094945681</v>
      </c>
      <c r="BN146" s="192" t="n">
        <f aca="false">BN144/TotalValue</f>
        <v>0.391720624203476</v>
      </c>
      <c r="BO146" s="192" t="n">
        <f aca="false">BO144/TotalValue</f>
        <v>0.393647842005093</v>
      </c>
      <c r="BP146" s="192" t="n">
        <f aca="false">BP144/TotalValue</f>
        <v>0.408631242822377</v>
      </c>
      <c r="BQ146" s="192" t="n">
        <f aca="false">BQ144/TotalValue</f>
        <v>0.430721160588823</v>
      </c>
      <c r="BR146" s="192" t="n">
        <f aca="false">BR144/TotalValue</f>
        <v>0.452555952043733</v>
      </c>
      <c r="BS146" s="192" t="n">
        <f aca="false">BS144/TotalValue</f>
        <v>0.465714381843089</v>
      </c>
      <c r="BT146" s="192" t="n">
        <f aca="false">BT144/TotalValue</f>
        <v>0.467641599644706</v>
      </c>
      <c r="BU146" s="192" t="n">
        <f aca="false">BU144/TotalValue</f>
        <v>0.490124122499208</v>
      </c>
      <c r="BV146" s="192" t="n">
        <f aca="false">BV144/TotalValue</f>
        <v>0.50734601280898</v>
      </c>
      <c r="BW146" s="192" t="n">
        <f aca="false">BW144/TotalValue</f>
        <v>0.515874449640225</v>
      </c>
      <c r="BX146" s="192" t="n">
        <f aca="false">BX144/TotalValue</f>
        <v>0.530553022022425</v>
      </c>
      <c r="BY146" s="192" t="n">
        <f aca="false">BY144/TotalValue</f>
        <v>0.532480239824042</v>
      </c>
      <c r="BZ146" s="192" t="n">
        <f aca="false">BZ144/TotalValue</f>
        <v>0.544361328408104</v>
      </c>
      <c r="CA146" s="192" t="n">
        <f aca="false">CA144/TotalValue</f>
        <v>0.551993015151984</v>
      </c>
      <c r="CB146" s="192" t="n">
        <f aca="false">CB144/TotalValue</f>
        <v>0.563281747050349</v>
      </c>
      <c r="CC146" s="192" t="n">
        <f aca="false">CC144/TotalValue</f>
        <v>0.571105121906601</v>
      </c>
      <c r="CD146" s="192" t="n">
        <f aca="false">CD144/TotalValue</f>
        <v>0.573032339708218</v>
      </c>
      <c r="CE146" s="192" t="n">
        <f aca="false">CE144/TotalValue</f>
        <v>0.578128044371919</v>
      </c>
      <c r="CF146" s="192" t="n">
        <f aca="false">CF144/TotalValue</f>
        <v>0.586842089086563</v>
      </c>
      <c r="CG146" s="192" t="n">
        <f aca="false">CG144/TotalValue</f>
        <v>0.588355361564775</v>
      </c>
      <c r="CH146" s="192" t="n">
        <f aca="false">CH144/TotalValue</f>
        <v>0.591736502857608</v>
      </c>
      <c r="CI146" s="192" t="n">
        <f aca="false">CI144/TotalValue</f>
        <v>0.593663720659225</v>
      </c>
      <c r="CJ146" s="192" t="n">
        <f aca="false">CJ144/15500000</f>
        <v>0.595975863223622</v>
      </c>
      <c r="CK146" s="192" t="n">
        <f aca="false">CK144/15500000</f>
        <v>0.597506261515553</v>
      </c>
      <c r="CL146" s="192" t="n">
        <f aca="false">CL144/15500000</f>
        <v>0.608700779304282</v>
      </c>
      <c r="CM146" s="192" t="n">
        <f aca="false">CM144/15500000</f>
        <v>0.637386439630588</v>
      </c>
      <c r="CN146" s="192" t="n">
        <f aca="false">CN144/TotalValue</f>
        <v>0.639313677170625</v>
      </c>
      <c r="CO146" s="191"/>
      <c r="CP146" s="191"/>
      <c r="CQ146" s="191"/>
    </row>
    <row r="147" customFormat="false" ht="12.75" hidden="true" customHeight="false" outlineLevel="0" collapsed="false">
      <c r="A147" s="177"/>
      <c r="B147" s="282" t="s">
        <v>348</v>
      </c>
      <c r="C147" s="178"/>
      <c r="D147" s="178"/>
      <c r="E147" s="178"/>
      <c r="F147" s="178"/>
      <c r="G147" s="178"/>
      <c r="H147" s="178"/>
      <c r="I147" s="178"/>
      <c r="J147" s="178"/>
      <c r="K147" s="178"/>
      <c r="L147" s="178"/>
      <c r="M147" s="178"/>
      <c r="N147" s="178"/>
      <c r="O147" s="178"/>
      <c r="P147" s="178"/>
      <c r="Q147" s="178"/>
      <c r="R147" s="178"/>
      <c r="S147" s="202"/>
      <c r="T147" s="178"/>
      <c r="U147" s="178"/>
      <c r="V147" s="178"/>
      <c r="W147" s="178"/>
      <c r="X147" s="178"/>
      <c r="Y147" s="178"/>
      <c r="Z147" s="178"/>
      <c r="AA147" s="178"/>
      <c r="AB147" s="178"/>
      <c r="AC147" s="178"/>
      <c r="AD147" s="178"/>
      <c r="AE147" s="126"/>
      <c r="AF147" s="190"/>
      <c r="AG147" s="190"/>
      <c r="AH147" s="190"/>
      <c r="AI147" s="190"/>
      <c r="AJ147" s="307"/>
      <c r="AK147" s="307"/>
      <c r="AL147" s="190"/>
      <c r="AM147" s="191"/>
      <c r="AN147" s="191"/>
      <c r="AO147" s="191"/>
      <c r="AP147" s="191"/>
      <c r="AQ147" s="191"/>
      <c r="AR147" s="191"/>
      <c r="AS147" s="191"/>
      <c r="AT147" s="191"/>
      <c r="AU147" s="191"/>
      <c r="AV147" s="191"/>
      <c r="AW147" s="191"/>
      <c r="AX147" s="191"/>
      <c r="AY147" s="191"/>
      <c r="AZ147" s="191"/>
      <c r="BA147" s="191"/>
      <c r="BB147" s="191"/>
      <c r="BC147" s="191"/>
      <c r="BD147" s="191"/>
      <c r="BE147" s="191"/>
      <c r="BF147" s="191"/>
      <c r="BG147" s="191"/>
      <c r="BH147" s="191"/>
      <c r="BI147" s="191"/>
      <c r="BJ147" s="191"/>
      <c r="BK147" s="191"/>
      <c r="BL147" s="191"/>
      <c r="BM147" s="191"/>
      <c r="BN147" s="191"/>
      <c r="BO147" s="191"/>
      <c r="BP147" s="191"/>
      <c r="BQ147" s="191"/>
      <c r="BR147" s="191"/>
      <c r="BS147" s="191"/>
      <c r="BT147" s="191"/>
      <c r="BU147" s="191"/>
      <c r="BV147" s="191"/>
      <c r="BW147" s="191"/>
      <c r="BX147" s="191"/>
      <c r="BY147" s="191"/>
      <c r="BZ147" s="191"/>
      <c r="CA147" s="191"/>
      <c r="CB147" s="191"/>
      <c r="CC147" s="191"/>
      <c r="CD147" s="191"/>
      <c r="CE147" s="191"/>
      <c r="CF147" s="191"/>
      <c r="CG147" s="191"/>
      <c r="CH147" s="191"/>
      <c r="CI147" s="191"/>
      <c r="CJ147" s="191"/>
      <c r="CK147" s="191"/>
      <c r="CL147" s="191"/>
      <c r="CM147" s="191"/>
      <c r="CN147" s="191"/>
      <c r="CO147" s="191"/>
      <c r="CP147" s="191"/>
      <c r="CQ147" s="191"/>
    </row>
    <row r="148" customFormat="false" ht="12.75" hidden="true" customHeight="false" outlineLevel="0" collapsed="false">
      <c r="A148" s="177"/>
      <c r="B148" s="178" t="s">
        <v>58</v>
      </c>
      <c r="C148" s="178"/>
      <c r="D148" s="178"/>
      <c r="E148" s="178"/>
      <c r="F148" s="178"/>
      <c r="G148" s="178"/>
      <c r="H148" s="178"/>
      <c r="I148" s="178"/>
      <c r="J148" s="178" t="e">
        <f aca="false">J$8*K148</f>
        <v>#REF!</v>
      </c>
      <c r="K148" s="178" t="e">
        <f aca="false">+K$143-#REF!</f>
        <v>#REF!</v>
      </c>
      <c r="L148" s="181" t="e">
        <f aca="false">+K148/K$11</f>
        <v>#REF!</v>
      </c>
      <c r="M148" s="178" t="e">
        <f aca="false">N$8*N148</f>
        <v>#REF!</v>
      </c>
      <c r="N148" s="178" t="e">
        <f aca="false">+N$143-#REF!</f>
        <v>#REF!</v>
      </c>
      <c r="O148" s="181" t="e">
        <f aca="false">+N148/N$11</f>
        <v>#REF!</v>
      </c>
      <c r="P148" s="178" t="e">
        <f aca="false">Q$8*Q148</f>
        <v>#REF!</v>
      </c>
      <c r="Q148" s="178" t="e">
        <f aca="false">+Q$143-#REF!</f>
        <v>#REF!</v>
      </c>
      <c r="R148" s="181" t="e">
        <f aca="false">+Q148/Q$11</f>
        <v>#REF!</v>
      </c>
      <c r="S148" s="202"/>
      <c r="T148" s="178" t="e">
        <f aca="false">+T$143-#REF!</f>
        <v>#REF!</v>
      </c>
      <c r="U148" s="181" t="e">
        <f aca="false">+T148/U$8</f>
        <v>#REF!</v>
      </c>
      <c r="V148" s="178"/>
      <c r="W148" s="178"/>
      <c r="X148" s="178"/>
      <c r="Y148" s="178"/>
      <c r="Z148" s="178"/>
      <c r="AA148" s="178"/>
      <c r="AB148" s="178"/>
      <c r="AC148" s="178"/>
      <c r="AD148" s="178"/>
      <c r="AE148" s="126"/>
      <c r="AF148" s="190"/>
      <c r="AG148" s="190"/>
      <c r="AH148" s="190"/>
      <c r="AI148" s="190"/>
      <c r="AJ148" s="307"/>
      <c r="AK148" s="307"/>
      <c r="AL148" s="190"/>
      <c r="AM148" s="191"/>
      <c r="AN148" s="191"/>
      <c r="AO148" s="191"/>
      <c r="AP148" s="191"/>
      <c r="AQ148" s="191"/>
      <c r="AR148" s="191"/>
      <c r="AS148" s="191"/>
      <c r="AT148" s="191"/>
      <c r="AU148" s="191"/>
      <c r="AV148" s="191"/>
      <c r="AW148" s="191"/>
      <c r="AX148" s="191"/>
      <c r="AY148" s="191"/>
      <c r="AZ148" s="191"/>
      <c r="BA148" s="191"/>
      <c r="BB148" s="191"/>
      <c r="BC148" s="191"/>
      <c r="BD148" s="191"/>
      <c r="BE148" s="191"/>
      <c r="BF148" s="191"/>
      <c r="BG148" s="191"/>
      <c r="BH148" s="191"/>
      <c r="BI148" s="191"/>
      <c r="BJ148" s="191"/>
      <c r="BK148" s="191"/>
      <c r="BL148" s="191"/>
      <c r="BM148" s="191"/>
      <c r="BN148" s="191"/>
      <c r="BO148" s="191"/>
      <c r="BP148" s="191"/>
      <c r="BQ148" s="191"/>
      <c r="BR148" s="191"/>
      <c r="BS148" s="191"/>
      <c r="BT148" s="191"/>
      <c r="BU148" s="191"/>
      <c r="BV148" s="191"/>
      <c r="BW148" s="191"/>
      <c r="BX148" s="191"/>
      <c r="BY148" s="191"/>
      <c r="BZ148" s="191"/>
      <c r="CA148" s="191"/>
      <c r="CB148" s="191"/>
      <c r="CC148" s="191"/>
      <c r="CD148" s="191"/>
      <c r="CE148" s="191"/>
      <c r="CF148" s="191"/>
      <c r="CG148" s="191"/>
      <c r="CH148" s="191"/>
      <c r="CI148" s="191"/>
      <c r="CJ148" s="191"/>
      <c r="CK148" s="191"/>
      <c r="CL148" s="191"/>
      <c r="CM148" s="191"/>
      <c r="CN148" s="191"/>
      <c r="CO148" s="191"/>
      <c r="CP148" s="191"/>
      <c r="CQ148" s="191"/>
    </row>
    <row r="149" customFormat="false" ht="12.75" hidden="true" customHeight="false" outlineLevel="0" collapsed="false">
      <c r="A149" s="177"/>
      <c r="B149" s="178" t="s">
        <v>349</v>
      </c>
      <c r="C149" s="178"/>
      <c r="D149" s="178"/>
      <c r="E149" s="178"/>
      <c r="F149" s="178"/>
      <c r="G149" s="178"/>
      <c r="H149" s="178"/>
      <c r="I149" s="178"/>
      <c r="J149" s="178" t="n">
        <f aca="false">J$8*K149</f>
        <v>-0</v>
      </c>
      <c r="K149" s="178" t="n">
        <f aca="false">-K$131</f>
        <v>-0</v>
      </c>
      <c r="L149" s="280" t="n">
        <f aca="false">+K149/K$11</f>
        <v>-0</v>
      </c>
      <c r="M149" s="178" t="n">
        <f aca="false">N$8*N149</f>
        <v>-703042.64287257</v>
      </c>
      <c r="N149" s="178" t="n">
        <f aca="false">-N$131</f>
        <v>-9764.48115100791</v>
      </c>
      <c r="O149" s="280" t="n">
        <f aca="false">+N149/N$11</f>
        <v>-9.61070979429913</v>
      </c>
      <c r="P149" s="178" t="n">
        <f aca="false">Q$8*Q149</f>
        <v>-698332.714891275</v>
      </c>
      <c r="Q149" s="178" t="n">
        <f aca="false">-Q$131</f>
        <v>-11448.0772932996</v>
      </c>
      <c r="R149" s="280" t="n">
        <f aca="false">+Q149/Q$11</f>
        <v>-9.43782134649594</v>
      </c>
      <c r="S149" s="202"/>
      <c r="T149" s="178" t="n">
        <f aca="false">-T$131</f>
        <v>-10536.6568252921</v>
      </c>
      <c r="U149" s="280" t="n">
        <f aca="false">+T149/U$8</f>
        <v>-0.0716073045315305</v>
      </c>
      <c r="V149" s="178"/>
      <c r="W149" s="178"/>
      <c r="X149" s="178"/>
      <c r="Y149" s="178"/>
      <c r="Z149" s="178"/>
      <c r="AA149" s="178"/>
      <c r="AB149" s="178"/>
      <c r="AC149" s="178"/>
      <c r="AD149" s="178"/>
      <c r="AE149" s="126"/>
      <c r="AF149" s="190"/>
      <c r="AG149" s="190"/>
      <c r="AH149" s="190"/>
      <c r="AI149" s="190"/>
      <c r="AJ149" s="307"/>
      <c r="AK149" s="307"/>
      <c r="AL149" s="190"/>
      <c r="AM149" s="191"/>
      <c r="AN149" s="191"/>
      <c r="AO149" s="191"/>
      <c r="AP149" s="191"/>
      <c r="AQ149" s="191"/>
      <c r="AR149" s="191"/>
      <c r="AS149" s="191"/>
      <c r="AT149" s="191"/>
      <c r="AU149" s="191"/>
      <c r="AV149" s="191"/>
      <c r="AW149" s="191"/>
      <c r="AX149" s="191"/>
      <c r="AY149" s="191"/>
      <c r="AZ149" s="191"/>
      <c r="BA149" s="191"/>
      <c r="BB149" s="191"/>
      <c r="BC149" s="191"/>
      <c r="BD149" s="191"/>
      <c r="BE149" s="191"/>
      <c r="BF149" s="191"/>
      <c r="BG149" s="191"/>
      <c r="BH149" s="191"/>
      <c r="BI149" s="191"/>
      <c r="BJ149" s="191"/>
      <c r="BK149" s="191"/>
      <c r="BL149" s="191"/>
      <c r="BM149" s="191"/>
      <c r="BN149" s="191"/>
      <c r="BO149" s="191"/>
      <c r="BP149" s="191"/>
      <c r="BQ149" s="191"/>
      <c r="BR149" s="191"/>
      <c r="BS149" s="191"/>
      <c r="BT149" s="191"/>
      <c r="BU149" s="191"/>
      <c r="BV149" s="191"/>
      <c r="BW149" s="191"/>
      <c r="BX149" s="191"/>
      <c r="BY149" s="191"/>
      <c r="BZ149" s="191"/>
      <c r="CA149" s="191"/>
      <c r="CB149" s="191"/>
      <c r="CC149" s="191"/>
      <c r="CD149" s="191"/>
      <c r="CE149" s="191"/>
      <c r="CF149" s="191"/>
      <c r="CG149" s="191"/>
      <c r="CH149" s="191"/>
      <c r="CI149" s="191"/>
      <c r="CJ149" s="191"/>
      <c r="CK149" s="191"/>
      <c r="CL149" s="191"/>
      <c r="CM149" s="191"/>
      <c r="CN149" s="191"/>
      <c r="CO149" s="191"/>
      <c r="CP149" s="191"/>
      <c r="CQ149" s="191"/>
    </row>
    <row r="150" customFormat="false" ht="12.75" hidden="true" customHeight="false" outlineLevel="0" collapsed="false">
      <c r="A150" s="177"/>
      <c r="B150" s="178" t="s">
        <v>350</v>
      </c>
      <c r="C150" s="178"/>
      <c r="D150" s="178"/>
      <c r="E150" s="178"/>
      <c r="F150" s="178"/>
      <c r="G150" s="178"/>
      <c r="H150" s="178"/>
      <c r="I150" s="178"/>
      <c r="J150" s="178" t="e">
        <f aca="false">J$8*K150</f>
        <v>#REF!</v>
      </c>
      <c r="K150" s="178" t="e">
        <f aca="false">N150</f>
        <v>#REF!</v>
      </c>
      <c r="L150" s="280" t="e">
        <f aca="false">+K150/K$11</f>
        <v>#REF!</v>
      </c>
      <c r="M150" s="178" t="e">
        <f aca="false">N$8*N150</f>
        <v>#REF!</v>
      </c>
      <c r="N150" s="178" t="e">
        <f aca="false">Q150</f>
        <v>#REF!</v>
      </c>
      <c r="O150" s="280" t="e">
        <f aca="false">+N150/N$11</f>
        <v>#REF!</v>
      </c>
      <c r="P150" s="178" t="e">
        <f aca="false">Q$8*Q150</f>
        <v>#REF!</v>
      </c>
      <c r="Q150" s="178" t="e">
        <f aca="false">#REF!</f>
        <v>#REF!</v>
      </c>
      <c r="R150" s="280" t="e">
        <f aca="false">+Q150/Q$11</f>
        <v>#REF!</v>
      </c>
      <c r="S150" s="202"/>
      <c r="T150" s="178" t="n">
        <f aca="false">S150/SM134Units</f>
        <v>0</v>
      </c>
      <c r="U150" s="280" t="n">
        <f aca="false">+T150/U$8</f>
        <v>0</v>
      </c>
      <c r="V150" s="178"/>
      <c r="W150" s="178"/>
      <c r="X150" s="178"/>
      <c r="Y150" s="178"/>
      <c r="Z150" s="178"/>
      <c r="AA150" s="178"/>
      <c r="AB150" s="178"/>
      <c r="AC150" s="178"/>
      <c r="AD150" s="178"/>
      <c r="AE150" s="126"/>
      <c r="AF150" s="190"/>
      <c r="AG150" s="190"/>
      <c r="AH150" s="190"/>
      <c r="AI150" s="190"/>
      <c r="AJ150" s="307"/>
      <c r="AK150" s="307"/>
      <c r="AL150" s="190"/>
      <c r="AM150" s="191"/>
      <c r="AN150" s="191"/>
      <c r="AO150" s="191"/>
      <c r="AP150" s="191"/>
      <c r="AQ150" s="191"/>
      <c r="AR150" s="191"/>
      <c r="AS150" s="191"/>
      <c r="AT150" s="191"/>
      <c r="AU150" s="191"/>
      <c r="AV150" s="191"/>
      <c r="AW150" s="191"/>
      <c r="AX150" s="191"/>
      <c r="AY150" s="191"/>
      <c r="AZ150" s="191"/>
      <c r="BA150" s="191"/>
      <c r="BB150" s="191"/>
      <c r="BC150" s="191"/>
      <c r="BD150" s="191"/>
      <c r="BE150" s="191"/>
      <c r="BF150" s="191"/>
      <c r="BG150" s="191"/>
      <c r="BH150" s="191"/>
      <c r="BI150" s="191"/>
      <c r="BJ150" s="191"/>
      <c r="BK150" s="191"/>
      <c r="BL150" s="191"/>
      <c r="BM150" s="191"/>
      <c r="BN150" s="191"/>
      <c r="BO150" s="191"/>
      <c r="BP150" s="191"/>
      <c r="BQ150" s="191"/>
      <c r="BR150" s="191"/>
      <c r="BS150" s="191"/>
      <c r="BT150" s="191"/>
      <c r="BU150" s="191"/>
      <c r="BV150" s="191"/>
      <c r="BW150" s="191"/>
      <c r="BX150" s="191"/>
      <c r="BY150" s="191"/>
      <c r="BZ150" s="191"/>
      <c r="CA150" s="191"/>
      <c r="CB150" s="191"/>
      <c r="CC150" s="191"/>
      <c r="CD150" s="191"/>
      <c r="CE150" s="191"/>
      <c r="CF150" s="191"/>
      <c r="CG150" s="191"/>
      <c r="CH150" s="191"/>
      <c r="CI150" s="191"/>
      <c r="CJ150" s="191"/>
      <c r="CK150" s="191"/>
      <c r="CL150" s="191"/>
      <c r="CM150" s="191"/>
      <c r="CN150" s="191"/>
      <c r="CO150" s="191"/>
      <c r="CP150" s="191"/>
      <c r="CQ150" s="191"/>
    </row>
    <row r="151" customFormat="false" ht="12.75" hidden="true" customHeight="false" outlineLevel="0" collapsed="false">
      <c r="A151" s="177"/>
      <c r="B151" s="178" t="s">
        <v>351</v>
      </c>
      <c r="C151" s="178"/>
      <c r="D151" s="178"/>
      <c r="E151" s="178"/>
      <c r="F151" s="178"/>
      <c r="G151" s="178"/>
      <c r="H151" s="178"/>
      <c r="I151" s="178"/>
      <c r="J151" s="178" t="e">
        <f aca="false">J$8*K151</f>
        <v>#REF!</v>
      </c>
      <c r="K151" s="178" t="e">
        <f aca="false">+K149+K148+K150</f>
        <v>#REF!</v>
      </c>
      <c r="L151" s="181" t="e">
        <f aca="false">+K151/K$11</f>
        <v>#REF!</v>
      </c>
      <c r="M151" s="178" t="e">
        <f aca="false">N$8*N151</f>
        <v>#REF!</v>
      </c>
      <c r="N151" s="178" t="e">
        <f aca="false">+N149+N148+N150</f>
        <v>#REF!</v>
      </c>
      <c r="O151" s="181" t="e">
        <f aca="false">+N151/N$11</f>
        <v>#REF!</v>
      </c>
      <c r="P151" s="178" t="e">
        <f aca="false">Q$8*Q151</f>
        <v>#REF!</v>
      </c>
      <c r="Q151" s="178" t="e">
        <f aca="false">+Q149+Q148+Q150</f>
        <v>#REF!</v>
      </c>
      <c r="R151" s="181" t="e">
        <f aca="false">+Q151/Q$11</f>
        <v>#REF!</v>
      </c>
      <c r="S151" s="202"/>
      <c r="T151" s="178" t="e">
        <f aca="false">+T149+T148+T150</f>
        <v>#REF!</v>
      </c>
      <c r="U151" s="181" t="e">
        <f aca="false">+T151/U$8</f>
        <v>#REF!</v>
      </c>
      <c r="V151" s="178"/>
      <c r="W151" s="178"/>
      <c r="X151" s="178"/>
      <c r="Y151" s="178"/>
      <c r="Z151" s="178"/>
      <c r="AA151" s="178"/>
      <c r="AB151" s="178"/>
      <c r="AC151" s="178"/>
      <c r="AD151" s="178"/>
      <c r="AE151" s="126"/>
      <c r="AF151" s="190"/>
      <c r="AG151" s="190"/>
      <c r="AH151" s="190"/>
      <c r="AI151" s="190"/>
      <c r="AJ151" s="307"/>
      <c r="AK151" s="307"/>
      <c r="AL151" s="190"/>
      <c r="AM151" s="191"/>
      <c r="AN151" s="191"/>
      <c r="AO151" s="191"/>
      <c r="AP151" s="191"/>
      <c r="AQ151" s="191"/>
      <c r="AR151" s="191"/>
      <c r="AS151" s="191"/>
      <c r="AT151" s="191"/>
      <c r="AU151" s="191"/>
      <c r="AV151" s="191"/>
      <c r="AW151" s="191"/>
      <c r="AX151" s="191"/>
      <c r="AY151" s="191"/>
      <c r="AZ151" s="191"/>
      <c r="BA151" s="191"/>
      <c r="BB151" s="191"/>
      <c r="BC151" s="191"/>
      <c r="BD151" s="191"/>
      <c r="BE151" s="191"/>
      <c r="BF151" s="191"/>
      <c r="BG151" s="191"/>
      <c r="BH151" s="191"/>
      <c r="BI151" s="191"/>
      <c r="BJ151" s="191"/>
      <c r="BK151" s="191"/>
      <c r="BL151" s="191"/>
      <c r="BM151" s="191"/>
      <c r="BN151" s="191"/>
      <c r="BO151" s="191"/>
      <c r="BP151" s="191"/>
      <c r="BQ151" s="191"/>
      <c r="BR151" s="191"/>
      <c r="BS151" s="191"/>
      <c r="BT151" s="191"/>
      <c r="BU151" s="191"/>
      <c r="BV151" s="191"/>
      <c r="BW151" s="191"/>
      <c r="BX151" s="191"/>
      <c r="BY151" s="191"/>
      <c r="BZ151" s="191"/>
      <c r="CA151" s="191"/>
      <c r="CB151" s="191"/>
      <c r="CC151" s="191"/>
      <c r="CD151" s="191"/>
      <c r="CE151" s="191"/>
      <c r="CF151" s="191"/>
      <c r="CG151" s="191"/>
      <c r="CH151" s="191"/>
      <c r="CI151" s="191"/>
      <c r="CJ151" s="191"/>
      <c r="CK151" s="191"/>
      <c r="CL151" s="191"/>
      <c r="CM151" s="191"/>
      <c r="CN151" s="191"/>
      <c r="CO151" s="191"/>
      <c r="CP151" s="191"/>
      <c r="CQ151" s="191"/>
    </row>
    <row r="152" customFormat="false" ht="12.75" hidden="false" customHeight="false" outlineLevel="0" collapsed="false">
      <c r="A152" s="177"/>
      <c r="B152" s="308" t="s">
        <v>352</v>
      </c>
      <c r="C152" s="217"/>
      <c r="D152" s="217"/>
      <c r="E152" s="217"/>
      <c r="F152" s="217"/>
      <c r="G152" s="217"/>
      <c r="H152" s="217"/>
      <c r="I152" s="217"/>
      <c r="J152" s="217"/>
      <c r="K152" s="217"/>
      <c r="L152" s="181"/>
      <c r="M152" s="217"/>
      <c r="N152" s="217"/>
      <c r="O152" s="181"/>
      <c r="P152" s="217"/>
      <c r="Q152" s="217"/>
      <c r="R152" s="181"/>
      <c r="S152" s="19"/>
      <c r="T152" s="217"/>
      <c r="U152" s="181"/>
      <c r="V152" s="217"/>
      <c r="W152" s="178"/>
      <c r="X152" s="178"/>
      <c r="Y152" s="178"/>
      <c r="Z152" s="178"/>
      <c r="AA152" s="178"/>
      <c r="AB152" s="178"/>
      <c r="AC152" s="178"/>
      <c r="AD152" s="178"/>
      <c r="AE152" s="126"/>
      <c r="AF152" s="190"/>
      <c r="AG152" s="190"/>
      <c r="AH152" s="190"/>
      <c r="AI152" s="190"/>
      <c r="AJ152" s="307"/>
      <c r="AK152" s="307"/>
      <c r="AL152" s="190"/>
      <c r="AM152" s="191"/>
      <c r="AN152" s="191"/>
      <c r="AO152" s="191"/>
      <c r="AP152" s="191"/>
      <c r="AQ152" s="191"/>
      <c r="AR152" s="191"/>
      <c r="AS152" s="191"/>
      <c r="AT152" s="191"/>
      <c r="AU152" s="191"/>
      <c r="AV152" s="191"/>
      <c r="AW152" s="191"/>
      <c r="AX152" s="191"/>
      <c r="AY152" s="191"/>
      <c r="AZ152" s="191"/>
      <c r="BA152" s="191"/>
      <c r="BB152" s="191"/>
      <c r="BC152" s="191"/>
      <c r="BD152" s="191"/>
      <c r="BE152" s="191"/>
      <c r="BF152" s="191"/>
      <c r="BG152" s="191"/>
      <c r="BH152" s="191"/>
      <c r="BI152" s="191"/>
      <c r="BJ152" s="191"/>
      <c r="BK152" s="191"/>
      <c r="BL152" s="191"/>
      <c r="BM152" s="191"/>
      <c r="BN152" s="191"/>
      <c r="BO152" s="191"/>
      <c r="BP152" s="191"/>
      <c r="BQ152" s="191"/>
      <c r="BR152" s="191"/>
      <c r="BS152" s="191"/>
      <c r="BT152" s="191"/>
      <c r="BU152" s="191"/>
      <c r="BV152" s="191"/>
      <c r="BW152" s="191"/>
      <c r="BX152" s="191"/>
      <c r="BY152" s="191"/>
      <c r="BZ152" s="191"/>
      <c r="CA152" s="191"/>
      <c r="CB152" s="191"/>
      <c r="CC152" s="191"/>
      <c r="CD152" s="191"/>
      <c r="CE152" s="191"/>
      <c r="CF152" s="191"/>
      <c r="CG152" s="191"/>
      <c r="CH152" s="191"/>
      <c r="CI152" s="191"/>
      <c r="CJ152" s="191"/>
      <c r="CK152" s="191"/>
      <c r="CL152" s="191"/>
      <c r="CM152" s="191"/>
      <c r="CN152" s="191"/>
      <c r="CO152" s="191"/>
      <c r="CP152" s="191"/>
      <c r="CQ152" s="191"/>
    </row>
    <row r="153" customFormat="false" ht="12.75" hidden="false" customHeight="false" outlineLevel="0" collapsed="false">
      <c r="A153" s="177"/>
      <c r="B153" s="309"/>
      <c r="C153" s="217"/>
      <c r="D153" s="217"/>
      <c r="E153" s="217"/>
      <c r="F153" s="217"/>
      <c r="G153" s="217"/>
      <c r="H153" s="217"/>
      <c r="I153" s="217"/>
      <c r="J153" s="217"/>
      <c r="K153" s="217"/>
      <c r="L153" s="181"/>
      <c r="M153" s="217"/>
      <c r="N153" s="217"/>
      <c r="O153" s="181"/>
      <c r="P153" s="217"/>
      <c r="Q153" s="217"/>
      <c r="R153" s="181"/>
      <c r="S153" s="202"/>
      <c r="T153" s="217"/>
      <c r="U153" s="181"/>
      <c r="V153" s="217"/>
      <c r="W153" s="178"/>
      <c r="X153" s="178"/>
      <c r="Y153" s="178"/>
      <c r="Z153" s="178"/>
      <c r="AA153" s="178"/>
      <c r="AB153" s="178"/>
      <c r="AC153" s="178"/>
      <c r="AD153" s="178"/>
      <c r="AE153" s="126"/>
      <c r="AF153" s="310" t="s">
        <v>353</v>
      </c>
      <c r="AG153" s="191"/>
      <c r="AH153" s="191"/>
      <c r="AI153" s="191"/>
      <c r="AJ153" s="191"/>
      <c r="AK153" s="191"/>
      <c r="AL153" s="191"/>
      <c r="AM153" s="191"/>
      <c r="AN153" s="191"/>
      <c r="AO153" s="191"/>
      <c r="AP153" s="191"/>
      <c r="AQ153" s="191"/>
      <c r="AR153" s="191"/>
      <c r="AS153" s="191"/>
      <c r="AT153" s="191"/>
      <c r="AU153" s="191"/>
      <c r="AV153" s="191"/>
      <c r="AW153" s="191"/>
      <c r="AX153" s="191"/>
      <c r="AY153" s="191"/>
      <c r="AZ153" s="191"/>
      <c r="BA153" s="191"/>
      <c r="BB153" s="191"/>
      <c r="BC153" s="191"/>
      <c r="BD153" s="191"/>
      <c r="BE153" s="191"/>
      <c r="BF153" s="191"/>
      <c r="BG153" s="191"/>
      <c r="BH153" s="191"/>
      <c r="BI153" s="191"/>
      <c r="BJ153" s="191"/>
      <c r="BK153" s="191"/>
      <c r="BL153" s="191"/>
      <c r="BM153" s="191"/>
      <c r="BN153" s="191"/>
      <c r="BO153" s="191"/>
      <c r="BP153" s="191"/>
      <c r="BQ153" s="191"/>
      <c r="BR153" s="191"/>
      <c r="BS153" s="191"/>
      <c r="BT153" s="191"/>
      <c r="BU153" s="191"/>
      <c r="BV153" s="191"/>
      <c r="BW153" s="191"/>
      <c r="BX153" s="191"/>
      <c r="BY153" s="191"/>
      <c r="BZ153" s="191"/>
      <c r="CA153" s="191"/>
      <c r="CB153" s="191"/>
      <c r="CC153" s="191"/>
      <c r="CD153" s="191"/>
      <c r="CE153" s="191"/>
      <c r="CF153" s="191"/>
      <c r="CG153" s="191"/>
      <c r="CH153" s="191"/>
      <c r="CI153" s="191"/>
      <c r="CJ153" s="191"/>
      <c r="CK153" s="191"/>
      <c r="CL153" s="191"/>
      <c r="CM153" s="191"/>
      <c r="CN153" s="191"/>
      <c r="CO153" s="311"/>
      <c r="CP153" s="311"/>
      <c r="CQ153" s="311"/>
    </row>
    <row r="154" customFormat="false" ht="12.75" hidden="false" customHeight="false" outlineLevel="0" collapsed="false">
      <c r="A154" s="177"/>
      <c r="B154" s="255" t="s">
        <v>354</v>
      </c>
      <c r="C154" s="255"/>
      <c r="D154" s="255"/>
      <c r="E154" s="255"/>
      <c r="F154" s="255"/>
      <c r="G154" s="255"/>
      <c r="H154" s="255"/>
      <c r="I154" s="255"/>
      <c r="J154" s="255"/>
      <c r="K154" s="255"/>
      <c r="L154" s="255"/>
      <c r="M154" s="182" t="n">
        <f aca="false">+M97</f>
        <v>607219.84962406</v>
      </c>
      <c r="N154" s="182" t="n">
        <f aca="false">+M154/N$8</f>
        <v>8433.60902255639</v>
      </c>
      <c r="O154" s="183" t="n">
        <f aca="false">+N154/N$11</f>
        <v>8.30079628204369</v>
      </c>
      <c r="P154" s="182" t="n">
        <f aca="false">+P97</f>
        <v>514450.15037594</v>
      </c>
      <c r="Q154" s="182" t="n">
        <f aca="false">+P154/Q$8</f>
        <v>8433.60902255639</v>
      </c>
      <c r="R154" s="183" t="n">
        <f aca="false">+Q154/Q$11</f>
        <v>6.95268674571838</v>
      </c>
      <c r="S154" s="184" t="n">
        <f aca="false">+P154+M154</f>
        <v>1121670</v>
      </c>
      <c r="T154" s="182" t="n">
        <f aca="false">+S154/S$8</f>
        <v>8433.60902255639</v>
      </c>
      <c r="U154" s="183" t="n">
        <f aca="false">+S154/U$8</f>
        <v>7.62288898705359</v>
      </c>
      <c r="V154" s="312" t="n">
        <f aca="false">+S154/S$169</f>
        <v>0.0881606155324384</v>
      </c>
      <c r="W154" s="186" t="n">
        <f aca="false">+S154/TotalValue</f>
        <v>0.0723658086926186</v>
      </c>
      <c r="X154" s="186"/>
      <c r="Y154" s="186"/>
      <c r="Z154" s="186"/>
      <c r="AA154" s="186"/>
      <c r="AB154" s="178"/>
      <c r="AC154" s="178"/>
      <c r="AD154" s="186"/>
      <c r="AE154" s="127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1"/>
      <c r="AT154" s="191"/>
      <c r="AU154" s="191"/>
      <c r="AV154" s="191"/>
      <c r="AW154" s="191"/>
      <c r="AX154" s="191"/>
      <c r="AY154" s="191"/>
      <c r="AZ154" s="191"/>
      <c r="BA154" s="191"/>
      <c r="BB154" s="191"/>
      <c r="BC154" s="191"/>
      <c r="BD154" s="191"/>
      <c r="BE154" s="191"/>
      <c r="BF154" s="191"/>
      <c r="BG154" s="191"/>
      <c r="BH154" s="191"/>
      <c r="BI154" s="191"/>
      <c r="BJ154" s="191"/>
      <c r="BK154" s="191"/>
      <c r="BL154" s="191"/>
      <c r="BM154" s="191"/>
      <c r="BN154" s="191"/>
      <c r="BO154" s="191"/>
      <c r="BP154" s="191"/>
      <c r="BQ154" s="191"/>
      <c r="BR154" s="191"/>
      <c r="BS154" s="191"/>
      <c r="BT154" s="191"/>
      <c r="BU154" s="191"/>
      <c r="BV154" s="191"/>
      <c r="BW154" s="191"/>
      <c r="BX154" s="191"/>
      <c r="BY154" s="191"/>
      <c r="BZ154" s="191"/>
      <c r="CA154" s="191"/>
      <c r="CB154" s="191"/>
      <c r="CC154" s="191"/>
      <c r="CD154" s="191"/>
      <c r="CE154" s="191"/>
      <c r="CF154" s="191"/>
      <c r="CG154" s="191"/>
      <c r="CH154" s="191"/>
      <c r="CI154" s="191"/>
      <c r="CJ154" s="191"/>
      <c r="CK154" s="191"/>
      <c r="CL154" s="191"/>
      <c r="CM154" s="191"/>
      <c r="CN154" s="191"/>
      <c r="CO154" s="191"/>
      <c r="CP154" s="191"/>
      <c r="CQ154" s="191"/>
    </row>
    <row r="155" customFormat="false" ht="12.75" hidden="false" customHeight="false" outlineLevel="0" collapsed="false">
      <c r="A155" s="177"/>
      <c r="B155" s="255" t="s">
        <v>355</v>
      </c>
      <c r="C155" s="255"/>
      <c r="D155" s="255"/>
      <c r="E155" s="255"/>
      <c r="F155" s="255"/>
      <c r="G155" s="255"/>
      <c r="H155" s="255"/>
      <c r="I155" s="255"/>
      <c r="J155" s="255"/>
      <c r="K155" s="255"/>
      <c r="L155" s="255"/>
      <c r="M155" s="255" t="n">
        <f aca="false">+M115</f>
        <v>339444.763550668</v>
      </c>
      <c r="N155" s="255" t="n">
        <f aca="false">+M155/N$8</f>
        <v>4714.51060487039</v>
      </c>
      <c r="O155" s="181" t="n">
        <f aca="false">+N155/N$11</f>
        <v>4.64026634337636</v>
      </c>
      <c r="P155" s="255" t="n">
        <f aca="false">+P115</f>
        <v>287585.146897094</v>
      </c>
      <c r="Q155" s="255" t="n">
        <f aca="false">+P155/Q$8</f>
        <v>4714.51060487039</v>
      </c>
      <c r="R155" s="181" t="n">
        <f aca="false">+Q155/Q$11</f>
        <v>3.88665342528474</v>
      </c>
      <c r="S155" s="202" t="n">
        <f aca="false">+P155+M155</f>
        <v>627029.910447761</v>
      </c>
      <c r="T155" s="255" t="n">
        <f aca="false">+S155/S$8</f>
        <v>4714.51060487039</v>
      </c>
      <c r="U155" s="181" t="n">
        <f aca="false">+S155/U$8</f>
        <v>4.26130626557315</v>
      </c>
      <c r="V155" s="312" t="n">
        <f aca="false">+S155/S$169</f>
        <v>0.0492830715471791</v>
      </c>
      <c r="W155" s="186" t="n">
        <f aca="false">+S155/TotalValue</f>
        <v>0.0404535438622879</v>
      </c>
      <c r="X155" s="186"/>
      <c r="Y155" s="186"/>
      <c r="Z155" s="186"/>
      <c r="AA155" s="186"/>
      <c r="AB155" s="186"/>
      <c r="AC155" s="186"/>
      <c r="AD155" s="186"/>
      <c r="AE155" s="127"/>
      <c r="AF155" s="247" t="s">
        <v>356</v>
      </c>
      <c r="AG155" s="190"/>
      <c r="AH155" s="190"/>
      <c r="AI155" s="190"/>
      <c r="AJ155" s="307"/>
      <c r="AK155" s="307"/>
      <c r="AL155" s="190"/>
      <c r="AM155" s="191"/>
      <c r="AN155" s="191"/>
      <c r="AO155" s="191"/>
      <c r="AP155" s="191"/>
      <c r="AQ155" s="191"/>
      <c r="AR155" s="191"/>
      <c r="AS155" s="191"/>
      <c r="AT155" s="191"/>
      <c r="AU155" s="191"/>
      <c r="AV155" s="191"/>
      <c r="AW155" s="191"/>
      <c r="AX155" s="191"/>
      <c r="AY155" s="191"/>
      <c r="AZ155" s="191"/>
      <c r="BA155" s="191"/>
      <c r="BB155" s="191"/>
      <c r="BC155" s="191"/>
      <c r="BD155" s="191"/>
      <c r="BE155" s="191"/>
      <c r="BF155" s="191"/>
      <c r="BG155" s="191"/>
      <c r="BH155" s="191"/>
      <c r="BI155" s="191"/>
      <c r="BJ155" s="191"/>
      <c r="BK155" s="191"/>
      <c r="BL155" s="191"/>
      <c r="BM155" s="191"/>
      <c r="BN155" s="191"/>
      <c r="BO155" s="191"/>
      <c r="BP155" s="191"/>
      <c r="BQ155" s="191"/>
      <c r="BR155" s="191"/>
      <c r="BS155" s="191"/>
      <c r="BT155" s="191"/>
      <c r="BU155" s="191"/>
      <c r="BV155" s="191"/>
      <c r="BW155" s="191"/>
      <c r="BX155" s="191"/>
      <c r="BY155" s="191"/>
      <c r="BZ155" s="191"/>
      <c r="CA155" s="191"/>
      <c r="CB155" s="191"/>
      <c r="CC155" s="191"/>
      <c r="CD155" s="191"/>
      <c r="CE155" s="191"/>
      <c r="CF155" s="191"/>
      <c r="CG155" s="191"/>
      <c r="CH155" s="191"/>
      <c r="CI155" s="191"/>
      <c r="CJ155" s="191"/>
      <c r="CK155" s="191"/>
      <c r="CL155" s="191"/>
      <c r="CM155" s="191"/>
      <c r="CN155" s="191"/>
      <c r="CO155" s="191"/>
      <c r="CP155" s="191"/>
      <c r="CQ155" s="191"/>
    </row>
    <row r="156" customFormat="false" ht="12.75" hidden="false" customHeight="false" outlineLevel="0" collapsed="false">
      <c r="A156" s="177"/>
      <c r="B156" s="255"/>
      <c r="C156" s="255"/>
      <c r="D156" s="255"/>
      <c r="E156" s="255"/>
      <c r="F156" s="255"/>
      <c r="G156" s="255"/>
      <c r="H156" s="255"/>
      <c r="I156" s="255"/>
      <c r="J156" s="255"/>
      <c r="K156" s="255"/>
      <c r="L156" s="255"/>
      <c r="M156" s="255"/>
      <c r="N156" s="255"/>
      <c r="O156" s="181"/>
      <c r="P156" s="255"/>
      <c r="Q156" s="255"/>
      <c r="R156" s="313"/>
      <c r="S156" s="202"/>
      <c r="T156" s="255"/>
      <c r="U156" s="181"/>
      <c r="V156" s="312"/>
      <c r="W156" s="186"/>
      <c r="X156" s="186"/>
      <c r="Y156" s="186"/>
      <c r="Z156" s="186"/>
      <c r="AA156" s="186"/>
      <c r="AB156" s="186"/>
      <c r="AC156" s="186"/>
      <c r="AD156" s="186"/>
      <c r="AE156" s="127"/>
      <c r="AF156" s="190" t="s">
        <v>357</v>
      </c>
      <c r="AG156" s="190"/>
      <c r="AH156" s="190"/>
      <c r="AI156" s="190"/>
      <c r="AJ156" s="307"/>
      <c r="AK156" s="314" t="n">
        <f aca="false">+AK97</f>
        <v>0</v>
      </c>
      <c r="AL156" s="314"/>
      <c r="AM156" s="314"/>
      <c r="AN156" s="314"/>
      <c r="AO156" s="314"/>
      <c r="AP156" s="314" t="n">
        <f aca="false">+AP97</f>
        <v>0</v>
      </c>
      <c r="AQ156" s="314" t="n">
        <f aca="false">+AQ97</f>
        <v>0</v>
      </c>
      <c r="AR156" s="314" t="n">
        <f aca="false">+AR97</f>
        <v>0</v>
      </c>
      <c r="AS156" s="314" t="n">
        <f aca="false">+AS97</f>
        <v>0</v>
      </c>
      <c r="AT156" s="314" t="n">
        <f aca="false">+AT97</f>
        <v>0</v>
      </c>
      <c r="AU156" s="314" t="n">
        <f aca="false">+AU97</f>
        <v>0</v>
      </c>
      <c r="AV156" s="314" t="n">
        <f aca="false">+AV97</f>
        <v>0</v>
      </c>
      <c r="AW156" s="314" t="n">
        <f aca="false">+AW97</f>
        <v>0</v>
      </c>
      <c r="AX156" s="314" t="n">
        <f aca="false">+AX97</f>
        <v>0</v>
      </c>
      <c r="AY156" s="314" t="n">
        <f aca="false">+AY97</f>
        <v>0</v>
      </c>
      <c r="AZ156" s="314" t="n">
        <f aca="false">+AZ97</f>
        <v>0</v>
      </c>
      <c r="BA156" s="314" t="n">
        <f aca="false">+BA97</f>
        <v>0</v>
      </c>
      <c r="BB156" s="314" t="n">
        <f aca="false">+BB97</f>
        <v>0</v>
      </c>
      <c r="BC156" s="314" t="n">
        <f aca="false">+BC97</f>
        <v>0</v>
      </c>
      <c r="BD156" s="314" t="n">
        <f aca="false">+BD97</f>
        <v>0</v>
      </c>
      <c r="BE156" s="314" t="n">
        <f aca="false">+BE97</f>
        <v>0</v>
      </c>
      <c r="BF156" s="314" t="n">
        <f aca="false">+BF97</f>
        <v>0</v>
      </c>
      <c r="BG156" s="314" t="n">
        <f aca="false">+BG97</f>
        <v>0</v>
      </c>
      <c r="BH156" s="314" t="n">
        <f aca="false">+BH97</f>
        <v>0</v>
      </c>
      <c r="BI156" s="314" t="n">
        <f aca="false">+BI97</f>
        <v>0</v>
      </c>
      <c r="BJ156" s="314" t="n">
        <f aca="false">+BJ97</f>
        <v>0</v>
      </c>
      <c r="BK156" s="314" t="n">
        <f aca="false">+BK97</f>
        <v>0</v>
      </c>
      <c r="BL156" s="314" t="n">
        <f aca="false">+BL97</f>
        <v>0</v>
      </c>
      <c r="BM156" s="314" t="n">
        <f aca="false">+BM97</f>
        <v>0</v>
      </c>
      <c r="BN156" s="314" t="n">
        <f aca="false">+BN97</f>
        <v>0</v>
      </c>
      <c r="BO156" s="314" t="n">
        <f aca="false">+BO97</f>
        <v>0</v>
      </c>
      <c r="BP156" s="314" t="n">
        <f aca="false">+BP97</f>
        <v>0</v>
      </c>
      <c r="BQ156" s="314" t="n">
        <f aca="false">+BQ97</f>
        <v>0</v>
      </c>
      <c r="BR156" s="314" t="n">
        <f aca="false">+BR97</f>
        <v>0</v>
      </c>
      <c r="BS156" s="314" t="n">
        <f aca="false">+BS97</f>
        <v>0</v>
      </c>
      <c r="BT156" s="314" t="n">
        <f aca="false">+BT97</f>
        <v>0</v>
      </c>
      <c r="BU156" s="314" t="n">
        <f aca="false">+BU97</f>
        <v>0</v>
      </c>
      <c r="BV156" s="314" t="n">
        <f aca="false">+BV97</f>
        <v>0</v>
      </c>
      <c r="BW156" s="314" t="n">
        <f aca="false">+BW97</f>
        <v>0</v>
      </c>
      <c r="BX156" s="314" t="n">
        <f aca="false">+BX97</f>
        <v>0</v>
      </c>
      <c r="BY156" s="314" t="n">
        <f aca="false">+BY97</f>
        <v>0</v>
      </c>
      <c r="BZ156" s="314" t="n">
        <f aca="false">+BZ97</f>
        <v>0</v>
      </c>
      <c r="CA156" s="314" t="n">
        <f aca="false">+CA97</f>
        <v>0</v>
      </c>
      <c r="CB156" s="314" t="n">
        <f aca="false">+CB97</f>
        <v>0</v>
      </c>
      <c r="CC156" s="314" t="n">
        <f aca="false">+CC97</f>
        <v>0</v>
      </c>
      <c r="CD156" s="314" t="n">
        <f aca="false">+CD97</f>
        <v>0</v>
      </c>
      <c r="CE156" s="314" t="n">
        <f aca="false">+CE97</f>
        <v>0</v>
      </c>
      <c r="CF156" s="314" t="n">
        <f aca="false">+CF97</f>
        <v>0</v>
      </c>
      <c r="CG156" s="314" t="n">
        <f aca="false">+CG97</f>
        <v>0</v>
      </c>
      <c r="CH156" s="314" t="n">
        <f aca="false">+CH97</f>
        <v>0</v>
      </c>
      <c r="CI156" s="314" t="n">
        <f aca="false">+CI97</f>
        <v>0</v>
      </c>
      <c r="CJ156" s="314" t="n">
        <f aca="false">+CJ97</f>
        <v>0</v>
      </c>
      <c r="CK156" s="314" t="n">
        <f aca="false">+CK97</f>
        <v>0</v>
      </c>
      <c r="CL156" s="314" t="n">
        <f aca="false">+CL97</f>
        <v>0</v>
      </c>
      <c r="CM156" s="314" t="n">
        <f aca="false">+CM97</f>
        <v>0</v>
      </c>
      <c r="CN156" s="314" t="n">
        <f aca="false">+CN97</f>
        <v>0</v>
      </c>
      <c r="CO156" s="314" t="n">
        <f aca="false">+CO97</f>
        <v>0</v>
      </c>
      <c r="CP156" s="191" t="n">
        <f aca="false">+$S97</f>
        <v>1121670</v>
      </c>
      <c r="CQ156" s="192" t="n">
        <f aca="false">+CO156/CP156</f>
        <v>0</v>
      </c>
    </row>
    <row r="157" customFormat="false" ht="12.75" hidden="false" customHeight="false" outlineLevel="0" collapsed="false">
      <c r="A157" s="177"/>
      <c r="B157" s="315" t="s">
        <v>358</v>
      </c>
      <c r="C157" s="255"/>
      <c r="D157" s="255"/>
      <c r="E157" s="255"/>
      <c r="F157" s="255"/>
      <c r="G157" s="255"/>
      <c r="H157" s="255"/>
      <c r="I157" s="255"/>
      <c r="J157" s="255"/>
      <c r="K157" s="255"/>
      <c r="L157" s="255"/>
      <c r="M157" s="316" t="n">
        <f aca="false">+M155+M154</f>
        <v>946664.613174728</v>
      </c>
      <c r="N157" s="316" t="n">
        <f aca="false">+M157/N$8</f>
        <v>13148.1196274268</v>
      </c>
      <c r="O157" s="313" t="n">
        <f aca="false">+N157/N$11</f>
        <v>12.9410626254201</v>
      </c>
      <c r="P157" s="316" t="n">
        <f aca="false">+P155+P154</f>
        <v>802035.297273034</v>
      </c>
      <c r="Q157" s="316" t="n">
        <f aca="false">+P157/Q$8</f>
        <v>13148.1196274268</v>
      </c>
      <c r="R157" s="313" t="n">
        <f aca="false">+Q157/Q$11</f>
        <v>10.8393401710031</v>
      </c>
      <c r="S157" s="184" t="n">
        <f aca="false">+P157+M157</f>
        <v>1748699.91044776</v>
      </c>
      <c r="T157" s="316" t="n">
        <f aca="false">+S157/S$8</f>
        <v>13148.1196274268</v>
      </c>
      <c r="U157" s="313" t="n">
        <f aca="false">+S157/U$8</f>
        <v>11.8841952526267</v>
      </c>
      <c r="V157" s="317" t="n">
        <f aca="false">+S157/S$169</f>
        <v>0.137443687079618</v>
      </c>
      <c r="W157" s="236" t="n">
        <f aca="false">+S157/TotalValue</f>
        <v>0.112819352554907</v>
      </c>
      <c r="X157" s="236"/>
      <c r="Y157" s="236"/>
      <c r="Z157" s="236"/>
      <c r="AA157" s="236"/>
      <c r="AB157" s="186"/>
      <c r="AC157" s="186"/>
      <c r="AD157" s="236"/>
      <c r="AE157" s="238"/>
      <c r="AF157" s="190" t="s">
        <v>355</v>
      </c>
      <c r="AG157" s="190"/>
      <c r="AH157" s="190"/>
      <c r="AI157" s="190"/>
      <c r="AJ157" s="307"/>
      <c r="AK157" s="243" t="n">
        <f aca="false">+AK115</f>
        <v>135769.910447761</v>
      </c>
      <c r="AL157" s="190"/>
      <c r="AM157" s="191"/>
      <c r="AN157" s="191"/>
      <c r="AO157" s="191"/>
      <c r="AP157" s="243" t="n">
        <f aca="false">+AP115</f>
        <v>98252.0024205104</v>
      </c>
      <c r="AQ157" s="243" t="n">
        <f aca="false">+AQ115</f>
        <v>98252</v>
      </c>
      <c r="AR157" s="243" t="n">
        <f aca="false">+AR115</f>
        <v>0</v>
      </c>
      <c r="AS157" s="243" t="n">
        <f aca="false">+AS115</f>
        <v>0</v>
      </c>
      <c r="AT157" s="243" t="n">
        <f aca="false">+AT115</f>
        <v>0</v>
      </c>
      <c r="AU157" s="243" t="n">
        <f aca="false">+AU115</f>
        <v>98252</v>
      </c>
      <c r="AV157" s="243" t="n">
        <f aca="false">+AV115</f>
        <v>98252</v>
      </c>
      <c r="AW157" s="243" t="n">
        <f aca="false">+AW115</f>
        <v>0</v>
      </c>
      <c r="AX157" s="243" t="n">
        <f aca="false">+AX115</f>
        <v>0</v>
      </c>
      <c r="AY157" s="243" t="n">
        <f aca="false">+AY115</f>
        <v>0</v>
      </c>
      <c r="AZ157" s="243" t="n">
        <f aca="false">+AZ115</f>
        <v>98252</v>
      </c>
      <c r="BA157" s="243" t="n">
        <f aca="false">+BA115</f>
        <v>98252</v>
      </c>
      <c r="BB157" s="243" t="n">
        <f aca="false">+BB115</f>
        <v>0</v>
      </c>
      <c r="BC157" s="243" t="n">
        <f aca="false">+BC115</f>
        <v>0</v>
      </c>
      <c r="BD157" s="243" t="n">
        <f aca="false">+BD115</f>
        <v>0</v>
      </c>
      <c r="BE157" s="243" t="n">
        <f aca="false">+BE115</f>
        <v>98252</v>
      </c>
      <c r="BF157" s="243" t="n">
        <f aca="false">+BF115</f>
        <v>98252</v>
      </c>
      <c r="BG157" s="243" t="n">
        <f aca="false">+BG115</f>
        <v>0</v>
      </c>
      <c r="BH157" s="243" t="n">
        <f aca="false">+BH115</f>
        <v>0</v>
      </c>
      <c r="BI157" s="243" t="n">
        <f aca="false">+BI115</f>
        <v>0</v>
      </c>
      <c r="BJ157" s="243" t="n">
        <f aca="false">+BJ115</f>
        <v>98252</v>
      </c>
      <c r="BK157" s="243" t="n">
        <f aca="false">+BK115</f>
        <v>0</v>
      </c>
      <c r="BL157" s="243" t="n">
        <f aca="false">+BL115</f>
        <v>0</v>
      </c>
      <c r="BM157" s="243" t="n">
        <f aca="false">+BM115</f>
        <v>0</v>
      </c>
      <c r="BN157" s="243" t="n">
        <f aca="false">+BN115</f>
        <v>0</v>
      </c>
      <c r="BO157" s="243" t="n">
        <f aca="false">+BO115</f>
        <v>0</v>
      </c>
      <c r="BP157" s="243" t="n">
        <f aca="false">+BP115</f>
        <v>0</v>
      </c>
      <c r="BQ157" s="243" t="n">
        <f aca="false">+BQ115</f>
        <v>0</v>
      </c>
      <c r="BR157" s="243" t="n">
        <f aca="false">+BR115</f>
        <v>0</v>
      </c>
      <c r="BS157" s="243" t="n">
        <f aca="false">+BS115</f>
        <v>0</v>
      </c>
      <c r="BT157" s="243" t="n">
        <f aca="false">+BT115</f>
        <v>0</v>
      </c>
      <c r="BU157" s="243" t="n">
        <f aca="false">+BU115</f>
        <v>0</v>
      </c>
      <c r="BV157" s="243" t="n">
        <f aca="false">+BV115</f>
        <v>0</v>
      </c>
      <c r="BW157" s="243" t="n">
        <f aca="false">+BW115</f>
        <v>0</v>
      </c>
      <c r="BX157" s="243" t="n">
        <f aca="false">+BX115</f>
        <v>0</v>
      </c>
      <c r="BY157" s="243" t="n">
        <f aca="false">+BY115</f>
        <v>0</v>
      </c>
      <c r="BZ157" s="243" t="n">
        <f aca="false">+BZ115</f>
        <v>0</v>
      </c>
      <c r="CA157" s="243" t="n">
        <f aca="false">+CA115</f>
        <v>0</v>
      </c>
      <c r="CB157" s="243" t="n">
        <f aca="false">+CB115</f>
        <v>0</v>
      </c>
      <c r="CC157" s="243" t="n">
        <f aca="false">+CC115</f>
        <v>0</v>
      </c>
      <c r="CD157" s="243" t="n">
        <f aca="false">+CD115</f>
        <v>0</v>
      </c>
      <c r="CE157" s="243" t="n">
        <f aca="false">+CE115</f>
        <v>0</v>
      </c>
      <c r="CF157" s="243" t="n">
        <f aca="false">+CF115</f>
        <v>0</v>
      </c>
      <c r="CG157" s="243" t="n">
        <f aca="false">+CG115</f>
        <v>0</v>
      </c>
      <c r="CH157" s="243" t="n">
        <f aca="false">+CH115</f>
        <v>0</v>
      </c>
      <c r="CI157" s="243" t="n">
        <f aca="false">+CI115</f>
        <v>0</v>
      </c>
      <c r="CJ157" s="243" t="n">
        <f aca="false">+CJ115</f>
        <v>0</v>
      </c>
      <c r="CK157" s="243" t="n">
        <f aca="false">+CK115</f>
        <v>0</v>
      </c>
      <c r="CL157" s="243" t="n">
        <f aca="false">+CL115</f>
        <v>0</v>
      </c>
      <c r="CM157" s="243" t="n">
        <f aca="false">+CM115</f>
        <v>0</v>
      </c>
      <c r="CN157" s="243" t="n">
        <f aca="false">+CN115</f>
        <v>0</v>
      </c>
      <c r="CO157" s="243" t="n">
        <f aca="false">+CO115</f>
        <v>627029.912868272</v>
      </c>
      <c r="CP157" s="191" t="n">
        <f aca="false">+$S115</f>
        <v>627029.910447761</v>
      </c>
      <c r="CQ157" s="192" t="n">
        <f aca="false">+CO157/CP157</f>
        <v>1.00000000386028</v>
      </c>
    </row>
    <row r="158" customFormat="false" ht="12.75" hidden="false" customHeight="false" outlineLevel="0" collapsed="false">
      <c r="A158" s="177"/>
      <c r="B158" s="315"/>
      <c r="C158" s="255"/>
      <c r="D158" s="255"/>
      <c r="E158" s="255"/>
      <c r="F158" s="255"/>
      <c r="G158" s="255"/>
      <c r="H158" s="255"/>
      <c r="I158" s="255"/>
      <c r="J158" s="255"/>
      <c r="K158" s="255"/>
      <c r="L158" s="255"/>
      <c r="M158" s="316"/>
      <c r="N158" s="316"/>
      <c r="O158" s="313"/>
      <c r="P158" s="316"/>
      <c r="Q158" s="316"/>
      <c r="R158" s="313"/>
      <c r="S158" s="184"/>
      <c r="T158" s="316"/>
      <c r="U158" s="313"/>
      <c r="V158" s="317"/>
      <c r="W158" s="186"/>
      <c r="X158" s="186"/>
      <c r="Y158" s="186"/>
      <c r="Z158" s="186"/>
      <c r="AA158" s="186"/>
      <c r="AB158" s="236"/>
      <c r="AC158" s="236"/>
      <c r="AD158" s="186"/>
      <c r="AE158" s="127"/>
      <c r="AF158" s="190" t="s">
        <v>359</v>
      </c>
      <c r="AG158" s="190"/>
      <c r="AH158" s="190"/>
      <c r="AI158" s="190"/>
      <c r="AJ158" s="307"/>
      <c r="AK158" s="243" t="n">
        <f aca="false">+AK128</f>
        <v>0</v>
      </c>
      <c r="AL158" s="190"/>
      <c r="AM158" s="191"/>
      <c r="AN158" s="191"/>
      <c r="AO158" s="191"/>
      <c r="AP158" s="243" t="n">
        <f aca="false">+AP128</f>
        <v>20543.4855588896</v>
      </c>
      <c r="AQ158" s="243" t="n">
        <f aca="false">+AQ128</f>
        <v>0</v>
      </c>
      <c r="AR158" s="243" t="n">
        <f aca="false">+AR128</f>
        <v>6700</v>
      </c>
      <c r="AS158" s="243" t="n">
        <f aca="false">+AS128</f>
        <v>13843.4855588896</v>
      </c>
      <c r="AT158" s="243" t="n">
        <f aca="false">+AT128</f>
        <v>0</v>
      </c>
      <c r="AU158" s="243" t="n">
        <f aca="false">+AU128</f>
        <v>20543.4855588896</v>
      </c>
      <c r="AV158" s="243" t="n">
        <f aca="false">+AV128</f>
        <v>0</v>
      </c>
      <c r="AW158" s="243" t="n">
        <f aca="false">+AW128</f>
        <v>6700</v>
      </c>
      <c r="AX158" s="243" t="n">
        <f aca="false">+AX128</f>
        <v>13843.4855588896</v>
      </c>
      <c r="AY158" s="243" t="n">
        <f aca="false">+AY128</f>
        <v>0</v>
      </c>
      <c r="AZ158" s="243" t="n">
        <f aca="false">+AZ128</f>
        <v>20543.4855588896</v>
      </c>
      <c r="BA158" s="243" t="n">
        <f aca="false">+BA128</f>
        <v>0</v>
      </c>
      <c r="BB158" s="243" t="n">
        <f aca="false">+BB128</f>
        <v>6700</v>
      </c>
      <c r="BC158" s="243" t="n">
        <f aca="false">+BC128</f>
        <v>13843.4855588896</v>
      </c>
      <c r="BD158" s="243" t="n">
        <f aca="false">+BD128</f>
        <v>0</v>
      </c>
      <c r="BE158" s="243" t="n">
        <f aca="false">+BE128</f>
        <v>20543.4855588896</v>
      </c>
      <c r="BF158" s="243" t="n">
        <f aca="false">+BF128</f>
        <v>0</v>
      </c>
      <c r="BG158" s="243" t="n">
        <f aca="false">+BG128</f>
        <v>0</v>
      </c>
      <c r="BH158" s="243" t="n">
        <f aca="false">+BH128</f>
        <v>13843.4855588896</v>
      </c>
      <c r="BI158" s="243" t="n">
        <f aca="false">+BI128</f>
        <v>0</v>
      </c>
      <c r="BJ158" s="243" t="n">
        <f aca="false">+BJ128</f>
        <v>13843.4855588896</v>
      </c>
      <c r="BK158" s="243" t="n">
        <f aca="false">+BK128</f>
        <v>0</v>
      </c>
      <c r="BL158" s="243" t="n">
        <f aca="false">+BL128</f>
        <v>35100</v>
      </c>
      <c r="BM158" s="243" t="n">
        <f aca="false">+BM128</f>
        <v>71443.4855588896</v>
      </c>
      <c r="BN158" s="243" t="n">
        <f aca="false">+BN128</f>
        <v>0</v>
      </c>
      <c r="BO158" s="243" t="n">
        <f aca="false">+BO128</f>
        <v>106543.48555889</v>
      </c>
      <c r="BP158" s="243" t="n">
        <f aca="false">+BP128</f>
        <v>0</v>
      </c>
      <c r="BQ158" s="243" t="n">
        <f aca="false">+BQ128</f>
        <v>0</v>
      </c>
      <c r="BR158" s="243" t="n">
        <f aca="false">+BR128</f>
        <v>0</v>
      </c>
      <c r="BS158" s="243" t="n">
        <f aca="false">+BS128</f>
        <v>0</v>
      </c>
      <c r="BT158" s="243" t="n">
        <f aca="false">+BT128</f>
        <v>0</v>
      </c>
      <c r="BU158" s="243" t="n">
        <f aca="false">+BU128</f>
        <v>0</v>
      </c>
      <c r="BV158" s="243" t="n">
        <f aca="false">+BV128</f>
        <v>0</v>
      </c>
      <c r="BW158" s="243" t="n">
        <f aca="false">+BW128</f>
        <v>0</v>
      </c>
      <c r="BX158" s="243" t="n">
        <f aca="false">+BX128</f>
        <v>0</v>
      </c>
      <c r="BY158" s="243" t="n">
        <f aca="false">+BY128</f>
        <v>0</v>
      </c>
      <c r="BZ158" s="243" t="n">
        <f aca="false">+BZ128</f>
        <v>0</v>
      </c>
      <c r="CA158" s="243" t="n">
        <f aca="false">+CA128</f>
        <v>0</v>
      </c>
      <c r="CB158" s="243" t="n">
        <f aca="false">+CB128</f>
        <v>0</v>
      </c>
      <c r="CC158" s="243" t="n">
        <f aca="false">+CC128</f>
        <v>0</v>
      </c>
      <c r="CD158" s="243" t="n">
        <f aca="false">+CD128</f>
        <v>0</v>
      </c>
      <c r="CE158" s="243" t="n">
        <f aca="false">+CE128</f>
        <v>0</v>
      </c>
      <c r="CF158" s="243" t="n">
        <f aca="false">+CF128</f>
        <v>0</v>
      </c>
      <c r="CG158" s="243" t="n">
        <f aca="false">+CG128</f>
        <v>0</v>
      </c>
      <c r="CH158" s="243" t="n">
        <f aca="false">+CH128</f>
        <v>0</v>
      </c>
      <c r="CI158" s="243" t="n">
        <f aca="false">+CI128</f>
        <v>0</v>
      </c>
      <c r="CJ158" s="243" t="n">
        <f aca="false">+CJ128</f>
        <v>0</v>
      </c>
      <c r="CK158" s="243" t="n">
        <f aca="false">+CK128</f>
        <v>0</v>
      </c>
      <c r="CL158" s="243" t="n">
        <f aca="false">+CL128</f>
        <v>156150</v>
      </c>
      <c r="CM158" s="243" t="n">
        <f aca="false">+CM128</f>
        <v>426937.368659217</v>
      </c>
      <c r="CN158" s="243" t="n">
        <f aca="false">+CN128</f>
        <v>583087.368659217</v>
      </c>
      <c r="CO158" s="243" t="n">
        <f aca="false">+CO128</f>
        <v>785648.282012555</v>
      </c>
      <c r="CP158" s="191" t="n">
        <f aca="false">$S128</f>
        <v>785648.282012555</v>
      </c>
      <c r="CQ158" s="192" t="n">
        <f aca="false">+CO158/CP158</f>
        <v>1</v>
      </c>
    </row>
    <row r="159" customFormat="false" ht="12.75" hidden="false" customHeight="false" outlineLevel="0" collapsed="false">
      <c r="A159" s="177"/>
      <c r="B159" s="308" t="s">
        <v>360</v>
      </c>
      <c r="C159" s="217"/>
      <c r="D159" s="217"/>
      <c r="E159" s="217"/>
      <c r="F159" s="217"/>
      <c r="G159" s="217"/>
      <c r="H159" s="217"/>
      <c r="I159" s="217"/>
      <c r="J159" s="217"/>
      <c r="K159" s="217"/>
      <c r="L159" s="181"/>
      <c r="M159" s="217"/>
      <c r="N159" s="217"/>
      <c r="O159" s="181"/>
      <c r="P159" s="217"/>
      <c r="Q159" s="217"/>
      <c r="R159" s="181"/>
      <c r="S159" s="202"/>
      <c r="T159" s="217"/>
      <c r="U159" s="181"/>
      <c r="V159" s="318"/>
      <c r="W159" s="186"/>
      <c r="X159" s="186"/>
      <c r="Y159" s="186"/>
      <c r="Z159" s="186"/>
      <c r="AA159" s="186"/>
      <c r="AB159" s="186"/>
      <c r="AC159" s="186"/>
      <c r="AD159" s="186"/>
      <c r="AE159" s="127"/>
      <c r="AF159" s="260" t="s">
        <v>361</v>
      </c>
      <c r="AG159" s="260"/>
      <c r="AH159" s="260"/>
      <c r="AI159" s="260"/>
      <c r="AJ159" s="319"/>
      <c r="AK159" s="320" t="n">
        <f aca="false">SUM(AK156:AK158)</f>
        <v>135769.910447761</v>
      </c>
      <c r="AL159" s="320"/>
      <c r="AM159" s="320"/>
      <c r="AN159" s="320"/>
      <c r="AO159" s="320"/>
      <c r="AP159" s="320" t="n">
        <f aca="false">SUM(AP156:AP158)</f>
        <v>118795.4879794</v>
      </c>
      <c r="AQ159" s="320" t="n">
        <f aca="false">SUM(AQ156:AQ158)</f>
        <v>98252</v>
      </c>
      <c r="AR159" s="320" t="n">
        <f aca="false">SUM(AR156:AR158)</f>
        <v>6700</v>
      </c>
      <c r="AS159" s="320" t="n">
        <f aca="false">SUM(AS156:AS158)</f>
        <v>13843.4855588896</v>
      </c>
      <c r="AT159" s="320" t="n">
        <f aca="false">SUM(AT156:AT158)</f>
        <v>0</v>
      </c>
      <c r="AU159" s="320" t="n">
        <f aca="false">SUM(AU156:AU158)</f>
        <v>118795.48555889</v>
      </c>
      <c r="AV159" s="320" t="n">
        <f aca="false">SUM(AV156:AV158)</f>
        <v>98252</v>
      </c>
      <c r="AW159" s="320" t="n">
        <f aca="false">SUM(AW156:AW158)</f>
        <v>6700</v>
      </c>
      <c r="AX159" s="320" t="n">
        <f aca="false">SUM(AX156:AX158)</f>
        <v>13843.4855588896</v>
      </c>
      <c r="AY159" s="320" t="n">
        <f aca="false">SUM(AY156:AY158)</f>
        <v>0</v>
      </c>
      <c r="AZ159" s="320" t="n">
        <f aca="false">SUM(AZ156:AZ158)</f>
        <v>118795.48555889</v>
      </c>
      <c r="BA159" s="320" t="n">
        <f aca="false">SUM(BA156:BA158)</f>
        <v>98252</v>
      </c>
      <c r="BB159" s="320" t="n">
        <f aca="false">SUM(BB156:BB158)</f>
        <v>6700</v>
      </c>
      <c r="BC159" s="320" t="n">
        <f aca="false">SUM(BC156:BC158)</f>
        <v>13843.4855588896</v>
      </c>
      <c r="BD159" s="320" t="n">
        <f aca="false">SUM(BD156:BD158)</f>
        <v>0</v>
      </c>
      <c r="BE159" s="320" t="n">
        <f aca="false">SUM(BE156:BE158)</f>
        <v>118795.48555889</v>
      </c>
      <c r="BF159" s="320" t="n">
        <f aca="false">SUM(BF156:BF158)</f>
        <v>98252</v>
      </c>
      <c r="BG159" s="320" t="n">
        <f aca="false">SUM(BG156:BG158)</f>
        <v>0</v>
      </c>
      <c r="BH159" s="320" t="n">
        <f aca="false">SUM(BH156:BH158)</f>
        <v>13843.4855588896</v>
      </c>
      <c r="BI159" s="320" t="n">
        <f aca="false">SUM(BI156:BI158)</f>
        <v>0</v>
      </c>
      <c r="BJ159" s="320" t="n">
        <f aca="false">SUM(BJ156:BJ158)</f>
        <v>112095.48555889</v>
      </c>
      <c r="BK159" s="320" t="n">
        <f aca="false">SUM(BK156:BK158)</f>
        <v>0</v>
      </c>
      <c r="BL159" s="320" t="n">
        <f aca="false">SUM(BL156:BL158)</f>
        <v>35100</v>
      </c>
      <c r="BM159" s="320" t="n">
        <f aca="false">SUM(BM156:BM158)</f>
        <v>71443.4855588896</v>
      </c>
      <c r="BN159" s="320" t="n">
        <f aca="false">SUM(BN156:BN158)</f>
        <v>0</v>
      </c>
      <c r="BO159" s="320" t="n">
        <f aca="false">SUM(BO156:BO158)</f>
        <v>106543.48555889</v>
      </c>
      <c r="BP159" s="320" t="n">
        <f aca="false">SUM(BP156:BP158)</f>
        <v>0</v>
      </c>
      <c r="BQ159" s="320" t="n">
        <f aca="false">SUM(BQ156:BQ158)</f>
        <v>0</v>
      </c>
      <c r="BR159" s="320" t="n">
        <f aca="false">SUM(BR156:BR158)</f>
        <v>0</v>
      </c>
      <c r="BS159" s="320" t="n">
        <f aca="false">SUM(BS156:BS158)</f>
        <v>0</v>
      </c>
      <c r="BT159" s="320" t="n">
        <f aca="false">SUM(BT156:BT158)</f>
        <v>0</v>
      </c>
      <c r="BU159" s="320" t="n">
        <f aca="false">SUM(BU156:BU158)</f>
        <v>0</v>
      </c>
      <c r="BV159" s="320" t="n">
        <f aca="false">SUM(BV156:BV158)</f>
        <v>0</v>
      </c>
      <c r="BW159" s="320" t="n">
        <f aca="false">SUM(BW156:BW158)</f>
        <v>0</v>
      </c>
      <c r="BX159" s="320" t="n">
        <f aca="false">SUM(BX156:BX158)</f>
        <v>0</v>
      </c>
      <c r="BY159" s="320" t="n">
        <f aca="false">SUM(BY156:BY158)</f>
        <v>0</v>
      </c>
      <c r="BZ159" s="320" t="n">
        <f aca="false">SUM(BZ156:BZ158)</f>
        <v>0</v>
      </c>
      <c r="CA159" s="320" t="n">
        <f aca="false">SUM(CA156:CA158)</f>
        <v>0</v>
      </c>
      <c r="CB159" s="320" t="n">
        <f aca="false">SUM(CB156:CB158)</f>
        <v>0</v>
      </c>
      <c r="CC159" s="320" t="n">
        <f aca="false">SUM(CC156:CC158)</f>
        <v>0</v>
      </c>
      <c r="CD159" s="320" t="n">
        <f aca="false">SUM(CD156:CD158)</f>
        <v>0</v>
      </c>
      <c r="CE159" s="320" t="n">
        <f aca="false">SUM(CE156:CE158)</f>
        <v>0</v>
      </c>
      <c r="CF159" s="320" t="n">
        <f aca="false">SUM(CF156:CF158)</f>
        <v>0</v>
      </c>
      <c r="CG159" s="320" t="n">
        <f aca="false">SUM(CG156:CG158)</f>
        <v>0</v>
      </c>
      <c r="CH159" s="320" t="n">
        <f aca="false">SUM(CH156:CH158)</f>
        <v>0</v>
      </c>
      <c r="CI159" s="320" t="n">
        <f aca="false">SUM(CI156:CI158)</f>
        <v>0</v>
      </c>
      <c r="CJ159" s="320" t="n">
        <f aca="false">SUM(CJ156:CJ158)</f>
        <v>0</v>
      </c>
      <c r="CK159" s="320" t="n">
        <f aca="false">SUM(CK156:CK158)</f>
        <v>0</v>
      </c>
      <c r="CL159" s="320" t="n">
        <f aca="false">SUM(CL156:CL158)</f>
        <v>156150</v>
      </c>
      <c r="CM159" s="320" t="n">
        <f aca="false">SUM(CM156:CM158)</f>
        <v>426937.368659217</v>
      </c>
      <c r="CN159" s="320" t="n">
        <f aca="false">SUM(CN156:CN158)</f>
        <v>583087.368659217</v>
      </c>
      <c r="CO159" s="320" t="n">
        <f aca="false">SUM(CO156:CO158)</f>
        <v>1412678.19488083</v>
      </c>
      <c r="CP159" s="261" t="n">
        <f aca="false">SUM(CP156:CP158)</f>
        <v>2534348.19246032</v>
      </c>
      <c r="CQ159" s="281" t="n">
        <f aca="false">+CO159/CP159</f>
        <v>0.557412828704258</v>
      </c>
    </row>
    <row r="160" customFormat="false" ht="12.75" hidden="false" customHeight="false" outlineLevel="0" collapsed="false">
      <c r="A160" s="177"/>
      <c r="B160" s="309"/>
      <c r="C160" s="217"/>
      <c r="D160" s="217"/>
      <c r="E160" s="217"/>
      <c r="F160" s="217"/>
      <c r="G160" s="217"/>
      <c r="H160" s="217"/>
      <c r="I160" s="217"/>
      <c r="J160" s="217"/>
      <c r="K160" s="217"/>
      <c r="L160" s="181"/>
      <c r="M160" s="217"/>
      <c r="N160" s="217"/>
      <c r="O160" s="181"/>
      <c r="P160" s="217"/>
      <c r="Q160" s="217"/>
      <c r="R160" s="181"/>
      <c r="S160" s="202"/>
      <c r="T160" s="217"/>
      <c r="U160" s="181"/>
      <c r="V160" s="318"/>
      <c r="W160" s="186"/>
      <c r="X160" s="186"/>
      <c r="Y160" s="186"/>
      <c r="Z160" s="186"/>
      <c r="AA160" s="186"/>
      <c r="AB160" s="186"/>
      <c r="AC160" s="186"/>
      <c r="AD160" s="186"/>
      <c r="AE160" s="127"/>
      <c r="AF160" s="190"/>
      <c r="AG160" s="190"/>
      <c r="AH160" s="190"/>
      <c r="AI160" s="190"/>
      <c r="AJ160" s="307"/>
      <c r="AK160" s="307"/>
      <c r="AL160" s="190"/>
      <c r="AM160" s="191"/>
      <c r="AN160" s="191"/>
      <c r="AO160" s="191"/>
      <c r="AP160" s="307"/>
      <c r="AQ160" s="307"/>
      <c r="AR160" s="307"/>
      <c r="AS160" s="307"/>
      <c r="AT160" s="307"/>
      <c r="AU160" s="307"/>
      <c r="AV160" s="307"/>
      <c r="AW160" s="307"/>
      <c r="AX160" s="307"/>
      <c r="AY160" s="307"/>
      <c r="AZ160" s="307"/>
      <c r="BA160" s="307"/>
      <c r="BB160" s="307"/>
      <c r="BC160" s="307"/>
      <c r="BD160" s="307"/>
      <c r="BE160" s="307"/>
      <c r="BF160" s="307"/>
      <c r="BG160" s="307"/>
      <c r="BH160" s="307"/>
      <c r="BI160" s="307"/>
      <c r="BJ160" s="307"/>
      <c r="BK160" s="307"/>
      <c r="BL160" s="307"/>
      <c r="BM160" s="307"/>
      <c r="BN160" s="307"/>
      <c r="BO160" s="307"/>
      <c r="BP160" s="307"/>
      <c r="BQ160" s="307"/>
      <c r="BR160" s="307"/>
      <c r="BS160" s="307"/>
      <c r="BT160" s="307"/>
      <c r="BU160" s="307"/>
      <c r="BV160" s="307"/>
      <c r="BW160" s="307"/>
      <c r="BX160" s="307"/>
      <c r="BY160" s="307"/>
      <c r="BZ160" s="307"/>
      <c r="CA160" s="307"/>
      <c r="CB160" s="307"/>
      <c r="CC160" s="307"/>
      <c r="CD160" s="307"/>
      <c r="CE160" s="307"/>
      <c r="CF160" s="307"/>
      <c r="CG160" s="307"/>
      <c r="CH160" s="307"/>
      <c r="CI160" s="307"/>
      <c r="CJ160" s="307"/>
      <c r="CK160" s="307"/>
      <c r="CL160" s="307"/>
      <c r="CM160" s="307"/>
      <c r="CN160" s="307"/>
      <c r="CO160" s="307"/>
      <c r="CP160" s="191"/>
      <c r="CQ160" s="191"/>
    </row>
    <row r="161" customFormat="false" ht="12.75" hidden="false" customHeight="false" outlineLevel="0" collapsed="false">
      <c r="A161" s="177"/>
      <c r="B161" s="255" t="s">
        <v>362</v>
      </c>
      <c r="C161" s="255"/>
      <c r="D161" s="255"/>
      <c r="E161" s="255"/>
      <c r="F161" s="255"/>
      <c r="G161" s="255"/>
      <c r="H161" s="255"/>
      <c r="I161" s="255"/>
      <c r="J161" s="255"/>
      <c r="K161" s="255"/>
      <c r="L161" s="255"/>
      <c r="M161" s="255" t="n">
        <f aca="false">+M128</f>
        <v>425313.35567597</v>
      </c>
      <c r="N161" s="255" t="n">
        <f aca="false">+M161/N$8</f>
        <v>5907.12993994402</v>
      </c>
      <c r="O161" s="181" t="n">
        <f aca="false">+N161/N$11</f>
        <v>5.81410427159845</v>
      </c>
      <c r="P161" s="255" t="n">
        <f aca="false">+P128</f>
        <v>360334.926336585</v>
      </c>
      <c r="Q161" s="255" t="n">
        <f aca="false">+P161/Q$8</f>
        <v>5907.12993994402</v>
      </c>
      <c r="R161" s="181" t="n">
        <f aca="false">+Q161/Q$11</f>
        <v>4.86985155807422</v>
      </c>
      <c r="S161" s="202" t="n">
        <f aca="false">+P161+M161</f>
        <v>785648.282012555</v>
      </c>
      <c r="T161" s="255" t="n">
        <f aca="false">+S161/S$8</f>
        <v>5907.12993994402</v>
      </c>
      <c r="U161" s="181" t="n">
        <f aca="false">+S161/U$8</f>
        <v>5.33927949989843</v>
      </c>
      <c r="V161" s="312" t="n">
        <f aca="false">+S161/S$169</f>
        <v>0.061750101308076</v>
      </c>
      <c r="W161" s="186" t="n">
        <f aca="false">+S161/TotalValue</f>
        <v>0.0506869875059554</v>
      </c>
      <c r="X161" s="186"/>
      <c r="Y161" s="186"/>
      <c r="Z161" s="186"/>
      <c r="AA161" s="186"/>
      <c r="AB161" s="186"/>
      <c r="AC161" s="186"/>
      <c r="AD161" s="186"/>
      <c r="AE161" s="127"/>
      <c r="AF161" s="247" t="s">
        <v>360</v>
      </c>
      <c r="AG161" s="190"/>
      <c r="AH161" s="190"/>
      <c r="AI161" s="190"/>
      <c r="AJ161" s="307"/>
      <c r="AK161" s="307"/>
      <c r="AL161" s="190"/>
      <c r="AM161" s="191"/>
      <c r="AN161" s="191"/>
      <c r="AO161" s="191"/>
      <c r="AP161" s="307"/>
      <c r="AQ161" s="307"/>
      <c r="AR161" s="307"/>
      <c r="AS161" s="307"/>
      <c r="AT161" s="307"/>
      <c r="AU161" s="307"/>
      <c r="AV161" s="307"/>
      <c r="AW161" s="307"/>
      <c r="AX161" s="307"/>
      <c r="AY161" s="307"/>
      <c r="AZ161" s="307"/>
      <c r="BA161" s="307"/>
      <c r="BB161" s="307"/>
      <c r="BC161" s="307"/>
      <c r="BD161" s="307"/>
      <c r="BE161" s="307"/>
      <c r="BF161" s="307"/>
      <c r="BG161" s="307"/>
      <c r="BH161" s="307"/>
      <c r="BI161" s="307"/>
      <c r="BJ161" s="307"/>
      <c r="BK161" s="307"/>
      <c r="BL161" s="307"/>
      <c r="BM161" s="307"/>
      <c r="BN161" s="307"/>
      <c r="BO161" s="307"/>
      <c r="BP161" s="307"/>
      <c r="BQ161" s="307"/>
      <c r="BR161" s="307"/>
      <c r="BS161" s="307"/>
      <c r="BT161" s="307"/>
      <c r="BU161" s="307"/>
      <c r="BV161" s="307"/>
      <c r="BW161" s="307"/>
      <c r="BX161" s="307"/>
      <c r="BY161" s="307"/>
      <c r="BZ161" s="307"/>
      <c r="CA161" s="307"/>
      <c r="CB161" s="307"/>
      <c r="CC161" s="307"/>
      <c r="CD161" s="307"/>
      <c r="CE161" s="307"/>
      <c r="CF161" s="307"/>
      <c r="CG161" s="307"/>
      <c r="CH161" s="307"/>
      <c r="CI161" s="307"/>
      <c r="CJ161" s="307"/>
      <c r="CK161" s="307"/>
      <c r="CL161" s="307"/>
      <c r="CM161" s="307"/>
      <c r="CN161" s="307"/>
      <c r="CO161" s="307"/>
      <c r="CP161" s="191"/>
      <c r="CQ161" s="191"/>
    </row>
    <row r="162" customFormat="false" ht="12.75" hidden="false" customHeight="false" outlineLevel="0" collapsed="false">
      <c r="A162" s="177"/>
      <c r="B162" s="255" t="s">
        <v>360</v>
      </c>
      <c r="C162" s="255"/>
      <c r="D162" s="255"/>
      <c r="E162" s="255"/>
      <c r="F162" s="255"/>
      <c r="G162" s="255"/>
      <c r="H162" s="255"/>
      <c r="I162" s="255"/>
      <c r="J162" s="255"/>
      <c r="K162" s="255"/>
      <c r="L162" s="255"/>
      <c r="M162" s="255" t="n">
        <f aca="false">+M95</f>
        <v>3922192.83325716</v>
      </c>
      <c r="N162" s="255" t="n">
        <f aca="false">+M162/N$8</f>
        <v>54474.900461905</v>
      </c>
      <c r="O162" s="181" t="n">
        <f aca="false">+N162/N$11</f>
        <v>53.617028013686</v>
      </c>
      <c r="P162" s="255" t="n">
        <f aca="false">+P95</f>
        <v>4007631.35937482</v>
      </c>
      <c r="Q162" s="255" t="n">
        <f aca="false">+P162/Q$8</f>
        <v>65698.8747438495</v>
      </c>
      <c r="R162" s="181" t="n">
        <f aca="false">+Q162/Q$11</f>
        <v>54.1623039932807</v>
      </c>
      <c r="S162" s="202" t="n">
        <f aca="false">+P162+M162</f>
        <v>7929824.19263198</v>
      </c>
      <c r="T162" s="255" t="n">
        <f aca="false">+S162/S$8</f>
        <v>59622.738290466</v>
      </c>
      <c r="U162" s="181" t="n">
        <f aca="false">+S162/U$8</f>
        <v>53.8912242524855</v>
      </c>
      <c r="V162" s="312" t="n">
        <f aca="false">+S162/S$169</f>
        <v>0.623265471918173</v>
      </c>
      <c r="W162" s="186" t="n">
        <f aca="false">+S162/TotalValue</f>
        <v>0.511601576658112</v>
      </c>
      <c r="X162" s="186"/>
      <c r="Y162" s="186"/>
      <c r="Z162" s="186"/>
      <c r="AA162" s="186"/>
      <c r="AB162" s="186"/>
      <c r="AC162" s="186"/>
      <c r="AD162" s="186"/>
      <c r="AE162" s="127"/>
      <c r="AF162" s="190" t="s">
        <v>363</v>
      </c>
      <c r="AG162" s="190"/>
      <c r="AH162" s="190"/>
      <c r="AI162" s="190"/>
      <c r="AJ162" s="307"/>
      <c r="AK162" s="321" t="n">
        <f aca="false">+AK95</f>
        <v>290551.819104478</v>
      </c>
      <c r="AL162" s="314"/>
      <c r="AM162" s="314"/>
      <c r="AN162" s="314"/>
      <c r="AO162" s="314"/>
      <c r="AP162" s="321" t="n">
        <f aca="false">+AP95</f>
        <v>110245.0765625</v>
      </c>
      <c r="AQ162" s="321" t="n">
        <f aca="false">+AQ95</f>
        <v>34298.275</v>
      </c>
      <c r="AR162" s="321" t="n">
        <f aca="false">+AR95</f>
        <v>97036.6890625</v>
      </c>
      <c r="AS162" s="321" t="n">
        <f aca="false">+AS95</f>
        <v>98985.9014375</v>
      </c>
      <c r="AT162" s="321" t="n">
        <f aca="false">+AT95</f>
        <v>133500.4055</v>
      </c>
      <c r="AU162" s="321" t="n">
        <f aca="false">+AU95</f>
        <v>363821.271</v>
      </c>
      <c r="AV162" s="321" t="n">
        <f aca="false">+AV95</f>
        <v>219718.753103438</v>
      </c>
      <c r="AW162" s="321" t="n">
        <f aca="false">+AW95</f>
        <v>113961.2849375</v>
      </c>
      <c r="AX162" s="321" t="n">
        <f aca="false">+AX95</f>
        <v>171584.82715</v>
      </c>
      <c r="AY162" s="321" t="n">
        <f aca="false">+AY95</f>
        <v>287661.408103438</v>
      </c>
      <c r="AZ162" s="321" t="n">
        <f aca="false">+AZ95</f>
        <v>792926.273294375</v>
      </c>
      <c r="BA162" s="321" t="n">
        <f aca="false">+BA95</f>
        <v>165457.1318125</v>
      </c>
      <c r="BB162" s="321" t="n">
        <f aca="false">+BB95</f>
        <v>212252.026525</v>
      </c>
      <c r="BC162" s="321" t="n">
        <f aca="false">+BC95</f>
        <v>370644.914353438</v>
      </c>
      <c r="BD162" s="321" t="n">
        <f aca="false">+BD95</f>
        <v>169317.3233125</v>
      </c>
      <c r="BE162" s="321" t="n">
        <f aca="false">+BE95</f>
        <v>917671.396003438</v>
      </c>
      <c r="BF162" s="321" t="n">
        <f aca="false">+BF95</f>
        <v>350601.391525</v>
      </c>
      <c r="BG162" s="321" t="n">
        <f aca="false">+BG95</f>
        <v>343331.123728438</v>
      </c>
      <c r="BH162" s="321" t="n">
        <f aca="false">+BH95</f>
        <v>216431.9251875</v>
      </c>
      <c r="BI162" s="321" t="n">
        <f aca="false">+BI95</f>
        <v>338271.76965</v>
      </c>
      <c r="BJ162" s="321" t="n">
        <f aca="false">+BJ95</f>
        <v>1248636.21009094</v>
      </c>
      <c r="BK162" s="321" t="n">
        <f aca="false">+BK95</f>
        <v>384030.023728438</v>
      </c>
      <c r="BL162" s="321" t="n">
        <f aca="false">+BL95</f>
        <v>216431.9251875</v>
      </c>
      <c r="BM162" s="321" t="n">
        <f aca="false">+BM95</f>
        <v>330517.86965</v>
      </c>
      <c r="BN162" s="321" t="n">
        <f aca="false">+BN95</f>
        <v>357485.648728438</v>
      </c>
      <c r="BO162" s="321" t="n">
        <f aca="false">+BO95</f>
        <v>1288465.46729438</v>
      </c>
      <c r="BP162" s="321" t="n">
        <f aca="false">+BP95</f>
        <v>250730.2001875</v>
      </c>
      <c r="BQ162" s="321" t="n">
        <f aca="false">+BQ95</f>
        <v>330517.86965</v>
      </c>
      <c r="BR162" s="321" t="n">
        <f aca="false">+BR95</f>
        <v>325921.423728438</v>
      </c>
      <c r="BS162" s="321" t="n">
        <f aca="false">+BS95</f>
        <v>190803.248625</v>
      </c>
      <c r="BT162" s="321" t="n">
        <f aca="false">+BT95</f>
        <v>1097972.74219094</v>
      </c>
      <c r="BU162" s="321" t="n">
        <f aca="false">+BU95</f>
        <v>364816.14465</v>
      </c>
      <c r="BV162" s="321" t="n">
        <f aca="false">+BV95</f>
        <v>252695.059665938</v>
      </c>
      <c r="BW162" s="321" t="n">
        <f aca="false">+BW95</f>
        <v>117446.02375</v>
      </c>
      <c r="BX162" s="321" t="n">
        <f aca="false">+BX95</f>
        <v>212525.26415</v>
      </c>
      <c r="BY162" s="321" t="n">
        <f aca="false">+BY95</f>
        <v>947482.492215938</v>
      </c>
      <c r="BZ162" s="321" t="n">
        <f aca="false">+BZ95</f>
        <v>198609.545625</v>
      </c>
      <c r="CA162" s="321" t="n">
        <f aca="false">+CA95</f>
        <v>102470.64025</v>
      </c>
      <c r="CB162" s="321" t="n">
        <f aca="false">+CB95</f>
        <v>158933.0425</v>
      </c>
      <c r="CC162" s="321" t="n">
        <f aca="false">+CC95</f>
        <v>104891.93125</v>
      </c>
      <c r="CD162" s="321" t="n">
        <f aca="false">+CD95</f>
        <v>564905.159625</v>
      </c>
      <c r="CE162" s="321" t="n">
        <f aca="false">+CE95</f>
        <v>92257.55275</v>
      </c>
      <c r="CF162" s="321" t="n">
        <f aca="false">+CF95</f>
        <v>118265.843125</v>
      </c>
      <c r="CG162" s="321" t="n">
        <f aca="false">+CG95</f>
        <v>6400.625</v>
      </c>
      <c r="CH162" s="321" t="n">
        <f aca="false">+CH95</f>
        <v>35308.61125</v>
      </c>
      <c r="CI162" s="321" t="n">
        <f aca="false">+CI95</f>
        <v>252232.632125</v>
      </c>
      <c r="CJ162" s="321" t="n">
        <f aca="false">+CJ95</f>
        <v>48513.028125</v>
      </c>
      <c r="CK162" s="321" t="n">
        <f aca="false">+CK95</f>
        <v>6400.625</v>
      </c>
      <c r="CL162" s="321" t="n">
        <f aca="false">+CL95</f>
        <v>0</v>
      </c>
      <c r="CM162" s="321" t="n">
        <f aca="false">+CM95</f>
        <v>0</v>
      </c>
      <c r="CN162" s="321" t="n">
        <f aca="false">+CN95</f>
        <v>54913.653125</v>
      </c>
      <c r="CO162" s="321" t="n">
        <f aca="false">+CO95</f>
        <v>7929824.19263198</v>
      </c>
      <c r="CP162" s="191" t="n">
        <f aca="false">+$S95</f>
        <v>7929824.19263198</v>
      </c>
      <c r="CQ162" s="192" t="n">
        <f aca="false">+CO162/CP162</f>
        <v>1</v>
      </c>
    </row>
    <row r="163" customFormat="false" ht="12.75" hidden="false" customHeight="false" outlineLevel="0" collapsed="false">
      <c r="A163" s="177"/>
      <c r="B163" s="255" t="s">
        <v>364</v>
      </c>
      <c r="C163" s="255"/>
      <c r="D163" s="255"/>
      <c r="E163" s="255"/>
      <c r="F163" s="255"/>
      <c r="G163" s="255"/>
      <c r="H163" s="255"/>
      <c r="I163" s="255"/>
      <c r="J163" s="255"/>
      <c r="K163" s="255"/>
      <c r="L163" s="255"/>
      <c r="M163" s="255" t="n">
        <f aca="false">+M131</f>
        <v>703042.64287257</v>
      </c>
      <c r="N163" s="255" t="n">
        <f aca="false">+M163/N$8</f>
        <v>9764.48115100791</v>
      </c>
      <c r="O163" s="181" t="n">
        <f aca="false">+N163/N$11</f>
        <v>9.61070979429913</v>
      </c>
      <c r="P163" s="255" t="n">
        <f aca="false">+P131</f>
        <v>698332.714891275</v>
      </c>
      <c r="Q163" s="255" t="n">
        <f aca="false">+P163/Q$8</f>
        <v>11448.0772932996</v>
      </c>
      <c r="R163" s="181" t="n">
        <f aca="false">+Q163/Q$11</f>
        <v>9.43782134649594</v>
      </c>
      <c r="S163" s="202" t="n">
        <f aca="false">+P163+M163</f>
        <v>1401375.35776384</v>
      </c>
      <c r="T163" s="255" t="n">
        <f aca="false">+S163/S$8</f>
        <v>10536.6568252921</v>
      </c>
      <c r="U163" s="181" t="n">
        <f aca="false">+S163/U$8</f>
        <v>9.52377150269356</v>
      </c>
      <c r="V163" s="312" t="n">
        <f aca="false">+S163/S$169</f>
        <v>0.110144796716014</v>
      </c>
      <c r="W163" s="186" t="n">
        <f aca="false">+S163/TotalValue</f>
        <v>0.0904113162039533</v>
      </c>
      <c r="X163" s="186"/>
      <c r="Y163" s="186"/>
      <c r="Z163" s="186"/>
      <c r="AA163" s="186"/>
      <c r="AB163" s="186"/>
      <c r="AC163" s="186"/>
      <c r="AD163" s="186"/>
      <c r="AE163" s="127"/>
      <c r="AF163" s="190" t="s">
        <v>365</v>
      </c>
      <c r="AG163" s="190"/>
      <c r="AH163" s="190"/>
      <c r="AI163" s="190"/>
      <c r="AJ163" s="307"/>
      <c r="AK163" s="243" t="n">
        <f aca="false">+AK131</f>
        <v>0</v>
      </c>
      <c r="AL163" s="190"/>
      <c r="AM163" s="191"/>
      <c r="AN163" s="191"/>
      <c r="AO163" s="191"/>
      <c r="AP163" s="243" t="n">
        <f aca="false">+AP131</f>
        <v>0</v>
      </c>
      <c r="AQ163" s="243" t="n">
        <f aca="false">+AQ131</f>
        <v>0</v>
      </c>
      <c r="AR163" s="243" t="n">
        <f aca="false">+AR131</f>
        <v>0</v>
      </c>
      <c r="AS163" s="243" t="n">
        <f aca="false">+AS131</f>
        <v>0</v>
      </c>
      <c r="AT163" s="243" t="n">
        <f aca="false">+AT131</f>
        <v>0</v>
      </c>
      <c r="AU163" s="243" t="n">
        <f aca="false">+AU131</f>
        <v>0</v>
      </c>
      <c r="AV163" s="243" t="n">
        <f aca="false">+AV131</f>
        <v>0</v>
      </c>
      <c r="AW163" s="243" t="n">
        <f aca="false">+AW131</f>
        <v>0</v>
      </c>
      <c r="AX163" s="243" t="n">
        <f aca="false">+AX131</f>
        <v>0</v>
      </c>
      <c r="AY163" s="243" t="n">
        <f aca="false">+AY131</f>
        <v>0</v>
      </c>
      <c r="AZ163" s="243" t="n">
        <f aca="false">+AZ131</f>
        <v>0</v>
      </c>
      <c r="BA163" s="243" t="n">
        <f aca="false">+BA131</f>
        <v>0</v>
      </c>
      <c r="BB163" s="243" t="n">
        <f aca="false">+BB131</f>
        <v>0</v>
      </c>
      <c r="BC163" s="243" t="n">
        <f aca="false">+BC131</f>
        <v>0</v>
      </c>
      <c r="BD163" s="243" t="n">
        <f aca="false">+BD131</f>
        <v>0</v>
      </c>
      <c r="BE163" s="243" t="n">
        <f aca="false">+BE131</f>
        <v>0</v>
      </c>
      <c r="BF163" s="243" t="n">
        <f aca="false">+BF131</f>
        <v>0</v>
      </c>
      <c r="BG163" s="243" t="n">
        <f aca="false">+BG131</f>
        <v>0</v>
      </c>
      <c r="BH163" s="243" t="n">
        <f aca="false">+BH131</f>
        <v>0</v>
      </c>
      <c r="BI163" s="243" t="n">
        <f aca="false">+BI131</f>
        <v>0</v>
      </c>
      <c r="BJ163" s="243" t="n">
        <f aca="false">+BJ131</f>
        <v>0</v>
      </c>
      <c r="BK163" s="243" t="n">
        <f aca="false">+BK131</f>
        <v>0</v>
      </c>
      <c r="BL163" s="243" t="n">
        <f aca="false">+BL131</f>
        <v>0</v>
      </c>
      <c r="BM163" s="243" t="n">
        <f aca="false">+BM131</f>
        <v>0</v>
      </c>
      <c r="BN163" s="243" t="n">
        <f aca="false">+BN131</f>
        <v>0</v>
      </c>
      <c r="BO163" s="243" t="n">
        <f aca="false">+BO131</f>
        <v>0</v>
      </c>
      <c r="BP163" s="243" t="n">
        <f aca="false">+BP131</f>
        <v>0</v>
      </c>
      <c r="BQ163" s="243" t="n">
        <f aca="false">+BQ131</f>
        <v>0</v>
      </c>
      <c r="BR163" s="243" t="n">
        <f aca="false">+BR131</f>
        <v>0</v>
      </c>
      <c r="BS163" s="243" t="n">
        <f aca="false">+BS131</f>
        <v>0</v>
      </c>
      <c r="BT163" s="243" t="n">
        <f aca="false">+BT131</f>
        <v>0</v>
      </c>
      <c r="BU163" s="243" t="n">
        <f aca="false">+BU131</f>
        <v>0</v>
      </c>
      <c r="BV163" s="243" t="n">
        <f aca="false">+BV131</f>
        <v>0</v>
      </c>
      <c r="BW163" s="243" t="n">
        <f aca="false">+BW131</f>
        <v>0</v>
      </c>
      <c r="BX163" s="243" t="n">
        <f aca="false">+BX131</f>
        <v>0</v>
      </c>
      <c r="BY163" s="243" t="n">
        <f aca="false">+BY131</f>
        <v>0</v>
      </c>
      <c r="BZ163" s="243" t="n">
        <f aca="false">+BZ131</f>
        <v>0</v>
      </c>
      <c r="CA163" s="243" t="n">
        <f aca="false">+CA131</f>
        <v>0</v>
      </c>
      <c r="CB163" s="243" t="n">
        <f aca="false">+CB131</f>
        <v>0</v>
      </c>
      <c r="CC163" s="243" t="n">
        <f aca="false">+CC131</f>
        <v>0</v>
      </c>
      <c r="CD163" s="243" t="n">
        <f aca="false">+CD131</f>
        <v>0</v>
      </c>
      <c r="CE163" s="243" t="n">
        <f aca="false">+CE131</f>
        <v>0</v>
      </c>
      <c r="CF163" s="243" t="n">
        <f aca="false">+CF131</f>
        <v>0</v>
      </c>
      <c r="CG163" s="243" t="n">
        <f aca="false">+CG131</f>
        <v>0</v>
      </c>
      <c r="CH163" s="243" t="n">
        <f aca="false">+CH131</f>
        <v>0</v>
      </c>
      <c r="CI163" s="243" t="n">
        <f aca="false">+CI131</f>
        <v>0</v>
      </c>
      <c r="CJ163" s="243" t="n">
        <f aca="false">+CJ131</f>
        <v>0</v>
      </c>
      <c r="CK163" s="243" t="n">
        <f aca="false">+CK131</f>
        <v>0</v>
      </c>
      <c r="CL163" s="243" t="n">
        <f aca="false">+CL131</f>
        <v>0</v>
      </c>
      <c r="CM163" s="243" t="n">
        <f aca="false">+CM131</f>
        <v>0</v>
      </c>
      <c r="CN163" s="243" t="n">
        <f aca="false">+CN131</f>
        <v>0</v>
      </c>
      <c r="CO163" s="243" t="n">
        <f aca="false">+CO131</f>
        <v>0</v>
      </c>
      <c r="CP163" s="191" t="n">
        <f aca="false">+$S131</f>
        <v>1401375.35776384</v>
      </c>
      <c r="CQ163" s="192" t="n">
        <f aca="false">+CO163/CP163</f>
        <v>0</v>
      </c>
    </row>
    <row r="164" customFormat="false" ht="12.75" hidden="false" customHeight="false" outlineLevel="0" collapsed="false">
      <c r="A164" s="177"/>
      <c r="B164" s="255"/>
      <c r="C164" s="255"/>
      <c r="D164" s="255"/>
      <c r="E164" s="255"/>
      <c r="F164" s="255"/>
      <c r="G164" s="255"/>
      <c r="H164" s="255"/>
      <c r="I164" s="255"/>
      <c r="J164" s="255"/>
      <c r="K164" s="255"/>
      <c r="L164" s="255"/>
      <c r="M164" s="255"/>
      <c r="N164" s="255"/>
      <c r="O164" s="181"/>
      <c r="P164" s="255"/>
      <c r="Q164" s="255"/>
      <c r="R164" s="181"/>
      <c r="S164" s="202"/>
      <c r="T164" s="255"/>
      <c r="U164" s="181"/>
      <c r="V164" s="312"/>
      <c r="W164" s="186"/>
      <c r="X164" s="186"/>
      <c r="Y164" s="186"/>
      <c r="Z164" s="186"/>
      <c r="AA164" s="186"/>
      <c r="AB164" s="186"/>
      <c r="AC164" s="186"/>
      <c r="AD164" s="186"/>
      <c r="AE164" s="127"/>
      <c r="AF164" s="260" t="s">
        <v>290</v>
      </c>
      <c r="AG164" s="260"/>
      <c r="AH164" s="260"/>
      <c r="AI164" s="260"/>
      <c r="AJ164" s="319"/>
      <c r="AK164" s="320" t="n">
        <f aca="false">SUM(AK162:AK163)</f>
        <v>290551.819104478</v>
      </c>
      <c r="AL164" s="320"/>
      <c r="AM164" s="320"/>
      <c r="AN164" s="320"/>
      <c r="AO164" s="320"/>
      <c r="AP164" s="320" t="n">
        <f aca="false">SUM(AP162:AP163)</f>
        <v>110245.0765625</v>
      </c>
      <c r="AQ164" s="320" t="n">
        <f aca="false">SUM(AQ162:AQ163)</f>
        <v>34298.275</v>
      </c>
      <c r="AR164" s="320" t="n">
        <f aca="false">SUM(AR162:AR163)</f>
        <v>97036.6890625</v>
      </c>
      <c r="AS164" s="320" t="n">
        <f aca="false">SUM(AS162:AS163)</f>
        <v>98985.9014375</v>
      </c>
      <c r="AT164" s="320" t="n">
        <f aca="false">SUM(AT162:AT163)</f>
        <v>133500.4055</v>
      </c>
      <c r="AU164" s="320" t="n">
        <f aca="false">SUM(AU162:AU163)</f>
        <v>363821.271</v>
      </c>
      <c r="AV164" s="320" t="n">
        <f aca="false">SUM(AV162:AV163)</f>
        <v>219718.753103438</v>
      </c>
      <c r="AW164" s="320" t="n">
        <f aca="false">SUM(AW162:AW163)</f>
        <v>113961.2849375</v>
      </c>
      <c r="AX164" s="320" t="n">
        <f aca="false">SUM(AX162:AX163)</f>
        <v>171584.82715</v>
      </c>
      <c r="AY164" s="320" t="n">
        <f aca="false">SUM(AY162:AY163)</f>
        <v>287661.408103438</v>
      </c>
      <c r="AZ164" s="320" t="n">
        <f aca="false">SUM(AZ162:AZ163)</f>
        <v>792926.273294375</v>
      </c>
      <c r="BA164" s="320" t="n">
        <f aca="false">SUM(BA162:BA163)</f>
        <v>165457.1318125</v>
      </c>
      <c r="BB164" s="320" t="n">
        <f aca="false">SUM(BB162:BB163)</f>
        <v>212252.026525</v>
      </c>
      <c r="BC164" s="320" t="n">
        <f aca="false">SUM(BC162:BC163)</f>
        <v>370644.914353438</v>
      </c>
      <c r="BD164" s="320" t="n">
        <f aca="false">SUM(BD162:BD163)</f>
        <v>169317.3233125</v>
      </c>
      <c r="BE164" s="320" t="n">
        <f aca="false">SUM(BE162:BE163)</f>
        <v>917671.396003438</v>
      </c>
      <c r="BF164" s="320" t="n">
        <f aca="false">SUM(BF162:BF163)</f>
        <v>350601.391525</v>
      </c>
      <c r="BG164" s="320" t="n">
        <f aca="false">SUM(BG162:BG163)</f>
        <v>343331.123728438</v>
      </c>
      <c r="BH164" s="320" t="n">
        <f aca="false">SUM(BH162:BH163)</f>
        <v>216431.9251875</v>
      </c>
      <c r="BI164" s="320" t="n">
        <f aca="false">SUM(BI162:BI163)</f>
        <v>338271.76965</v>
      </c>
      <c r="BJ164" s="320" t="n">
        <f aca="false">SUM(BJ162:BJ163)</f>
        <v>1248636.21009094</v>
      </c>
      <c r="BK164" s="320" t="n">
        <f aca="false">SUM(BK162:BK163)</f>
        <v>384030.023728438</v>
      </c>
      <c r="BL164" s="320" t="n">
        <f aca="false">SUM(BL162:BL163)</f>
        <v>216431.9251875</v>
      </c>
      <c r="BM164" s="320" t="n">
        <f aca="false">SUM(BM162:BM163)</f>
        <v>330517.86965</v>
      </c>
      <c r="BN164" s="320" t="n">
        <f aca="false">SUM(BN162:BN163)</f>
        <v>357485.648728438</v>
      </c>
      <c r="BO164" s="320" t="n">
        <f aca="false">SUM(BO162:BO163)</f>
        <v>1288465.46729438</v>
      </c>
      <c r="BP164" s="320" t="n">
        <f aca="false">SUM(BP162:BP163)</f>
        <v>250730.2001875</v>
      </c>
      <c r="BQ164" s="320" t="n">
        <f aca="false">SUM(BQ162:BQ163)</f>
        <v>330517.86965</v>
      </c>
      <c r="BR164" s="320" t="n">
        <f aca="false">SUM(BR162:BR163)</f>
        <v>325921.423728438</v>
      </c>
      <c r="BS164" s="320" t="n">
        <f aca="false">SUM(BS162:BS163)</f>
        <v>190803.248625</v>
      </c>
      <c r="BT164" s="320" t="n">
        <f aca="false">SUM(BT162:BT163)</f>
        <v>1097972.74219094</v>
      </c>
      <c r="BU164" s="320" t="n">
        <f aca="false">SUM(BU162:BU163)</f>
        <v>364816.14465</v>
      </c>
      <c r="BV164" s="320" t="n">
        <f aca="false">SUM(BV162:BV163)</f>
        <v>252695.059665938</v>
      </c>
      <c r="BW164" s="320" t="n">
        <f aca="false">SUM(BW162:BW163)</f>
        <v>117446.02375</v>
      </c>
      <c r="BX164" s="320" t="n">
        <f aca="false">SUM(BX162:BX163)</f>
        <v>212525.26415</v>
      </c>
      <c r="BY164" s="320" t="n">
        <f aca="false">SUM(BY162:BY163)</f>
        <v>947482.492215938</v>
      </c>
      <c r="BZ164" s="320" t="n">
        <f aca="false">SUM(BZ162:BZ163)</f>
        <v>198609.545625</v>
      </c>
      <c r="CA164" s="320" t="n">
        <f aca="false">SUM(CA162:CA163)</f>
        <v>102470.64025</v>
      </c>
      <c r="CB164" s="320" t="n">
        <f aca="false">SUM(CB162:CB163)</f>
        <v>158933.0425</v>
      </c>
      <c r="CC164" s="320" t="n">
        <f aca="false">SUM(CC162:CC163)</f>
        <v>104891.93125</v>
      </c>
      <c r="CD164" s="320" t="n">
        <f aca="false">SUM(CD162:CD163)</f>
        <v>564905.159625</v>
      </c>
      <c r="CE164" s="320" t="n">
        <f aca="false">SUM(CE162:CE163)</f>
        <v>92257.55275</v>
      </c>
      <c r="CF164" s="320" t="n">
        <f aca="false">SUM(CF162:CF163)</f>
        <v>118265.843125</v>
      </c>
      <c r="CG164" s="320" t="n">
        <f aca="false">SUM(CG162:CG163)</f>
        <v>6400.625</v>
      </c>
      <c r="CH164" s="320" t="n">
        <f aca="false">SUM(CH162:CH163)</f>
        <v>35308.61125</v>
      </c>
      <c r="CI164" s="320" t="n">
        <f aca="false">SUM(CI162:CI163)</f>
        <v>252232.632125</v>
      </c>
      <c r="CJ164" s="320" t="n">
        <f aca="false">SUM(CJ162:CJ163)</f>
        <v>48513.028125</v>
      </c>
      <c r="CK164" s="320" t="n">
        <f aca="false">SUM(CK162:CK163)</f>
        <v>6400.625</v>
      </c>
      <c r="CL164" s="320" t="n">
        <f aca="false">SUM(CL162:CL163)</f>
        <v>0</v>
      </c>
      <c r="CM164" s="320" t="n">
        <f aca="false">SUM(CM162:CM163)</f>
        <v>0</v>
      </c>
      <c r="CN164" s="320" t="n">
        <f aca="false">SUM(CN162:CN163)</f>
        <v>54913.653125</v>
      </c>
      <c r="CO164" s="320" t="n">
        <f aca="false">+CO163+CO162</f>
        <v>7929824.19263198</v>
      </c>
      <c r="CP164" s="320" t="n">
        <f aca="false">+CP163+CP162</f>
        <v>9331199.55039582</v>
      </c>
      <c r="CQ164" s="281" t="n">
        <f aca="false">+CO164/CP164</f>
        <v>0.849818305760657</v>
      </c>
    </row>
    <row r="165" customFormat="false" ht="12.75" hidden="false" customHeight="false" outlineLevel="0" collapsed="false">
      <c r="A165" s="177"/>
      <c r="B165" s="315" t="s">
        <v>335</v>
      </c>
      <c r="C165" s="255"/>
      <c r="D165" s="255"/>
      <c r="E165" s="255"/>
      <c r="F165" s="255"/>
      <c r="G165" s="255"/>
      <c r="H165" s="255"/>
      <c r="I165" s="255"/>
      <c r="J165" s="255"/>
      <c r="K165" s="255"/>
      <c r="L165" s="255"/>
      <c r="M165" s="316" t="n">
        <f aca="false">SUM(M157:M163)</f>
        <v>5997213.44498043</v>
      </c>
      <c r="N165" s="316" t="n">
        <f aca="false">+M165/N$8</f>
        <v>83294.6311802837</v>
      </c>
      <c r="O165" s="313" t="n">
        <f aca="false">+N165/N$11</f>
        <v>81.9829047050037</v>
      </c>
      <c r="P165" s="316" t="n">
        <f aca="false">SUM(P157:P163)</f>
        <v>5868334.29787571</v>
      </c>
      <c r="Q165" s="316" t="n">
        <f aca="false">+P165/Q$8</f>
        <v>96202.2016045199</v>
      </c>
      <c r="R165" s="313" t="n">
        <f aca="false">+Q165/Q$11</f>
        <v>79.309317068854</v>
      </c>
      <c r="S165" s="184" t="n">
        <f aca="false">+P165+M165</f>
        <v>11865547.7428561</v>
      </c>
      <c r="T165" s="316" t="n">
        <f aca="false">+S165/S$8</f>
        <v>89214.6446831289</v>
      </c>
      <c r="U165" s="313" t="n">
        <f aca="false">+S165/U$8</f>
        <v>80.6384705077042</v>
      </c>
      <c r="V165" s="317" t="n">
        <f aca="false">+S165/S$169</f>
        <v>0.93260405702188</v>
      </c>
      <c r="W165" s="236" t="n">
        <f aca="false">+S165/TotalValue</f>
        <v>0.765519232922927</v>
      </c>
      <c r="X165" s="236"/>
      <c r="Y165" s="236"/>
      <c r="Z165" s="236"/>
      <c r="AA165" s="236"/>
      <c r="AB165" s="186"/>
      <c r="AC165" s="186"/>
      <c r="AD165" s="236"/>
      <c r="AE165" s="238"/>
      <c r="AF165" s="191"/>
      <c r="AG165" s="191"/>
      <c r="AH165" s="191"/>
      <c r="AI165" s="191"/>
      <c r="AJ165" s="191"/>
      <c r="AK165" s="191"/>
      <c r="AL165" s="191"/>
      <c r="AM165" s="191"/>
      <c r="AN165" s="191"/>
      <c r="AO165" s="191"/>
      <c r="AP165" s="191"/>
      <c r="AQ165" s="191"/>
      <c r="AR165" s="191"/>
      <c r="AS165" s="191"/>
      <c r="AT165" s="191"/>
      <c r="AU165" s="191"/>
      <c r="AV165" s="191"/>
      <c r="AW165" s="191"/>
      <c r="AX165" s="191"/>
      <c r="AY165" s="191"/>
      <c r="AZ165" s="191"/>
      <c r="BA165" s="191"/>
      <c r="BB165" s="191"/>
      <c r="BC165" s="191"/>
      <c r="BD165" s="191"/>
      <c r="BE165" s="191"/>
      <c r="BF165" s="191"/>
      <c r="BG165" s="191"/>
      <c r="BH165" s="191"/>
      <c r="BI165" s="191"/>
      <c r="BJ165" s="191"/>
      <c r="BK165" s="191"/>
      <c r="BL165" s="191"/>
      <c r="BM165" s="191"/>
      <c r="BN165" s="191"/>
      <c r="BO165" s="191"/>
      <c r="BP165" s="191"/>
      <c r="BQ165" s="191"/>
      <c r="BR165" s="191"/>
      <c r="BS165" s="191"/>
      <c r="BT165" s="191"/>
      <c r="BU165" s="191"/>
      <c r="BV165" s="191"/>
      <c r="BW165" s="191"/>
      <c r="BX165" s="191"/>
      <c r="BY165" s="191"/>
      <c r="BZ165" s="191"/>
      <c r="CA165" s="191"/>
      <c r="CB165" s="191"/>
      <c r="CC165" s="191"/>
      <c r="CD165" s="191"/>
      <c r="CE165" s="191"/>
      <c r="CF165" s="191"/>
      <c r="CG165" s="191"/>
      <c r="CH165" s="191"/>
      <c r="CI165" s="191"/>
      <c r="CJ165" s="191"/>
      <c r="CK165" s="191"/>
      <c r="CL165" s="191"/>
      <c r="CM165" s="191"/>
      <c r="CN165" s="191"/>
      <c r="CO165" s="191"/>
      <c r="CP165" s="191"/>
      <c r="CQ165" s="191"/>
    </row>
    <row r="166" customFormat="false" ht="12.75" hidden="false" customHeight="false" outlineLevel="0" collapsed="false">
      <c r="A166" s="177"/>
      <c r="B166" s="255"/>
      <c r="C166" s="255"/>
      <c r="D166" s="255"/>
      <c r="E166" s="255"/>
      <c r="F166" s="255"/>
      <c r="G166" s="255"/>
      <c r="H166" s="255"/>
      <c r="I166" s="255"/>
      <c r="J166" s="255"/>
      <c r="K166" s="255"/>
      <c r="L166" s="255"/>
      <c r="M166" s="255"/>
      <c r="N166" s="255"/>
      <c r="O166" s="255"/>
      <c r="P166" s="255"/>
      <c r="Q166" s="255"/>
      <c r="R166" s="255"/>
      <c r="S166" s="202"/>
      <c r="T166" s="255"/>
      <c r="U166" s="181"/>
      <c r="V166" s="322"/>
      <c r="W166" s="186"/>
      <c r="X166" s="186"/>
      <c r="Y166" s="186"/>
      <c r="Z166" s="186"/>
      <c r="AA166" s="186"/>
      <c r="AB166" s="236"/>
      <c r="AC166" s="236"/>
      <c r="AD166" s="186"/>
      <c r="AE166" s="127"/>
      <c r="AF166" s="323" t="s">
        <v>335</v>
      </c>
      <c r="AG166" s="190"/>
      <c r="AH166" s="190"/>
      <c r="AI166" s="190"/>
      <c r="AJ166" s="307"/>
      <c r="AK166" s="321" t="n">
        <f aca="false">+AK164+AK159</f>
        <v>426321.729552239</v>
      </c>
      <c r="AL166" s="321"/>
      <c r="AM166" s="321"/>
      <c r="AN166" s="321"/>
      <c r="AO166" s="321"/>
      <c r="AP166" s="321" t="n">
        <f aca="false">+AP164+AP159</f>
        <v>229040.5645419</v>
      </c>
      <c r="AQ166" s="321" t="n">
        <f aca="false">+AQ164+AQ159</f>
        <v>132550.275</v>
      </c>
      <c r="AR166" s="321" t="n">
        <f aca="false">+AR164+AR159</f>
        <v>103736.6890625</v>
      </c>
      <c r="AS166" s="321" t="n">
        <f aca="false">+AS164+AS159</f>
        <v>112829.38699639</v>
      </c>
      <c r="AT166" s="321" t="n">
        <f aca="false">+AT164+AT159</f>
        <v>133500.4055</v>
      </c>
      <c r="AU166" s="321" t="n">
        <f aca="false">+AU164+AU159</f>
        <v>482616.75655889</v>
      </c>
      <c r="AV166" s="321" t="n">
        <f aca="false">+AV164+AV159</f>
        <v>317970.753103438</v>
      </c>
      <c r="AW166" s="321" t="n">
        <f aca="false">+AW164+AW159</f>
        <v>120661.2849375</v>
      </c>
      <c r="AX166" s="321" t="n">
        <f aca="false">+AX164+AX159</f>
        <v>185428.31270889</v>
      </c>
      <c r="AY166" s="321" t="n">
        <f aca="false">+AY164+AY159</f>
        <v>287661.408103438</v>
      </c>
      <c r="AZ166" s="321" t="n">
        <f aca="false">+AZ164+AZ159</f>
        <v>911721.758853265</v>
      </c>
      <c r="BA166" s="321" t="n">
        <f aca="false">+BA164+BA159</f>
        <v>263709.1318125</v>
      </c>
      <c r="BB166" s="321" t="n">
        <f aca="false">+BB164+BB159</f>
        <v>218952.026525</v>
      </c>
      <c r="BC166" s="321" t="n">
        <f aca="false">+BC164+BC159</f>
        <v>384488.399912327</v>
      </c>
      <c r="BD166" s="321" t="n">
        <f aca="false">+BD164+BD159</f>
        <v>169317.3233125</v>
      </c>
      <c r="BE166" s="321" t="n">
        <f aca="false">+BE164+BE159</f>
        <v>1036466.88156233</v>
      </c>
      <c r="BF166" s="321" t="n">
        <f aca="false">+BF164+BF159</f>
        <v>448853.391525</v>
      </c>
      <c r="BG166" s="321" t="n">
        <f aca="false">+BG164+BG159</f>
        <v>343331.123728438</v>
      </c>
      <c r="BH166" s="321" t="n">
        <f aca="false">+BH164+BH159</f>
        <v>230275.41074639</v>
      </c>
      <c r="BI166" s="321" t="n">
        <f aca="false">+BI164+BI159</f>
        <v>338271.76965</v>
      </c>
      <c r="BJ166" s="321" t="n">
        <f aca="false">+BJ164+BJ159</f>
        <v>1360731.69564983</v>
      </c>
      <c r="BK166" s="321" t="n">
        <f aca="false">+BK164+BK159</f>
        <v>384030.023728438</v>
      </c>
      <c r="BL166" s="321" t="n">
        <f aca="false">+BL164+BL159</f>
        <v>251531.9251875</v>
      </c>
      <c r="BM166" s="321" t="n">
        <f aca="false">+BM164+BM159</f>
        <v>401961.35520889</v>
      </c>
      <c r="BN166" s="321" t="n">
        <f aca="false">+BN164+BN159</f>
        <v>357485.648728438</v>
      </c>
      <c r="BO166" s="321" t="n">
        <f aca="false">+BO164+BO159</f>
        <v>1395008.95285326</v>
      </c>
      <c r="BP166" s="321" t="n">
        <f aca="false">+BP164+BP159</f>
        <v>250730.2001875</v>
      </c>
      <c r="BQ166" s="321" t="n">
        <f aca="false">+BQ164+BQ159</f>
        <v>330517.86965</v>
      </c>
      <c r="BR166" s="321" t="n">
        <f aca="false">+BR164+BR159</f>
        <v>325921.423728438</v>
      </c>
      <c r="BS166" s="321" t="n">
        <f aca="false">+BS164+BS159</f>
        <v>190803.248625</v>
      </c>
      <c r="BT166" s="321" t="n">
        <f aca="false">+BT164+BT159</f>
        <v>1097972.74219094</v>
      </c>
      <c r="BU166" s="321" t="n">
        <f aca="false">+BU164+BU159</f>
        <v>364816.14465</v>
      </c>
      <c r="BV166" s="321" t="n">
        <f aca="false">+BV164+BV159</f>
        <v>252695.059665938</v>
      </c>
      <c r="BW166" s="321" t="n">
        <f aca="false">+BW164+BW159</f>
        <v>117446.02375</v>
      </c>
      <c r="BX166" s="321" t="n">
        <f aca="false">+BX164+BX159</f>
        <v>212525.26415</v>
      </c>
      <c r="BY166" s="321" t="n">
        <f aca="false">+BY164+BY159</f>
        <v>947482.492215938</v>
      </c>
      <c r="BZ166" s="321" t="n">
        <f aca="false">+BZ164+BZ159</f>
        <v>198609.545625</v>
      </c>
      <c r="CA166" s="321" t="n">
        <f aca="false">+CA164+CA159</f>
        <v>102470.64025</v>
      </c>
      <c r="CB166" s="321" t="n">
        <f aca="false">+CB164+CB159</f>
        <v>158933.0425</v>
      </c>
      <c r="CC166" s="321" t="n">
        <f aca="false">+CC164+CC159</f>
        <v>104891.93125</v>
      </c>
      <c r="CD166" s="321" t="n">
        <f aca="false">+CD164+CD159</f>
        <v>564905.159625</v>
      </c>
      <c r="CE166" s="321" t="n">
        <f aca="false">+CE164+CE159</f>
        <v>92257.55275</v>
      </c>
      <c r="CF166" s="321" t="n">
        <f aca="false">+CF164+CF159</f>
        <v>118265.843125</v>
      </c>
      <c r="CG166" s="321" t="n">
        <f aca="false">+CG164+CG159</f>
        <v>6400.625</v>
      </c>
      <c r="CH166" s="321" t="n">
        <f aca="false">+CH164+CH159</f>
        <v>35308.61125</v>
      </c>
      <c r="CI166" s="321" t="n">
        <f aca="false">+CI164+CI159</f>
        <v>252232.632125</v>
      </c>
      <c r="CJ166" s="321" t="n">
        <f aca="false">+CJ164+CJ159</f>
        <v>48513.028125</v>
      </c>
      <c r="CK166" s="321" t="n">
        <f aca="false">+CK164+CK159</f>
        <v>6400.625</v>
      </c>
      <c r="CL166" s="321" t="n">
        <f aca="false">+CL164+CL159</f>
        <v>156150</v>
      </c>
      <c r="CM166" s="321" t="n">
        <f aca="false">+CM164+CM159</f>
        <v>426937.368659217</v>
      </c>
      <c r="CN166" s="321" t="n">
        <f aca="false">+CN164+CN159</f>
        <v>638001.021784217</v>
      </c>
      <c r="CO166" s="321" t="n">
        <f aca="false">+CO164+CO159</f>
        <v>9342502.38751281</v>
      </c>
      <c r="CP166" s="321" t="n">
        <f aca="false">+CP164+CP159</f>
        <v>11865547.7428561</v>
      </c>
      <c r="CQ166" s="192" t="n">
        <f aca="false">+CO166/CP166</f>
        <v>0.787363768616381</v>
      </c>
    </row>
    <row r="167" customFormat="false" ht="12.75" hidden="false" customHeight="false" outlineLevel="0" collapsed="false">
      <c r="A167" s="177"/>
      <c r="B167" s="255" t="s">
        <v>366</v>
      </c>
      <c r="C167" s="255"/>
      <c r="D167" s="255"/>
      <c r="E167" s="255"/>
      <c r="F167" s="255"/>
      <c r="G167" s="255"/>
      <c r="H167" s="255"/>
      <c r="I167" s="255"/>
      <c r="J167" s="255"/>
      <c r="K167" s="255"/>
      <c r="L167" s="255"/>
      <c r="M167" s="255" t="n">
        <f aca="false">+M141</f>
        <v>464199.961777578</v>
      </c>
      <c r="N167" s="255" t="n">
        <f aca="false">+M167/N$8</f>
        <v>6447.22169135525</v>
      </c>
      <c r="O167" s="181" t="n">
        <f aca="false">+N167/N$11</f>
        <v>6.34569064109769</v>
      </c>
      <c r="P167" s="255" t="n">
        <f aca="false">+P141</f>
        <v>393280.52317267</v>
      </c>
      <c r="Q167" s="255" t="n">
        <f aca="false">+P167/Q$8</f>
        <v>6447.22169135525</v>
      </c>
      <c r="R167" s="181" t="n">
        <f aca="false">+Q167/Q$11</f>
        <v>5.31510444464571</v>
      </c>
      <c r="S167" s="202" t="n">
        <f aca="false">+P167+M167</f>
        <v>857480.484950248</v>
      </c>
      <c r="T167" s="255" t="n">
        <f aca="false">+S167/S$8</f>
        <v>6447.22169135525</v>
      </c>
      <c r="U167" s="181" t="n">
        <f aca="false">+S167/U$8</f>
        <v>5.82745241054911</v>
      </c>
      <c r="V167" s="312" t="n">
        <f aca="false">+S167/S$169</f>
        <v>0.0673959429781198</v>
      </c>
      <c r="W167" s="186" t="n">
        <f aca="false">+S167/TotalValue</f>
        <v>0.0553213233228699</v>
      </c>
      <c r="X167" s="186"/>
      <c r="Y167" s="186"/>
      <c r="Z167" s="186"/>
      <c r="AA167" s="186"/>
      <c r="AB167" s="186"/>
      <c r="AC167" s="186"/>
      <c r="AD167" s="186"/>
      <c r="AE167" s="127"/>
      <c r="AF167" s="191"/>
      <c r="AG167" s="191"/>
      <c r="AH167" s="191"/>
      <c r="AI167" s="191"/>
      <c r="AJ167" s="191"/>
      <c r="AK167" s="191"/>
      <c r="AL167" s="191"/>
      <c r="AM167" s="191"/>
      <c r="AN167" s="191"/>
      <c r="AO167" s="191"/>
      <c r="AP167" s="191"/>
      <c r="AQ167" s="191"/>
      <c r="AR167" s="191"/>
      <c r="AS167" s="191"/>
      <c r="AT167" s="191"/>
      <c r="AU167" s="191"/>
      <c r="AV167" s="191"/>
      <c r="AW167" s="191"/>
      <c r="AX167" s="191"/>
      <c r="AY167" s="191"/>
      <c r="AZ167" s="191"/>
      <c r="BA167" s="191"/>
      <c r="BB167" s="191"/>
      <c r="BC167" s="191"/>
      <c r="BD167" s="191"/>
      <c r="BE167" s="191"/>
      <c r="BF167" s="191"/>
      <c r="BG167" s="191"/>
      <c r="BH167" s="191"/>
      <c r="BI167" s="191"/>
      <c r="BJ167" s="191"/>
      <c r="BK167" s="191"/>
      <c r="BL167" s="191"/>
      <c r="BM167" s="191"/>
      <c r="BN167" s="191"/>
      <c r="BO167" s="191"/>
      <c r="BP167" s="191"/>
      <c r="BQ167" s="191"/>
      <c r="BR167" s="191"/>
      <c r="BS167" s="191"/>
      <c r="BT167" s="191"/>
      <c r="BU167" s="191"/>
      <c r="BV167" s="191"/>
      <c r="BW167" s="191"/>
      <c r="BX167" s="191"/>
      <c r="BY167" s="191"/>
      <c r="BZ167" s="191"/>
      <c r="CA167" s="191"/>
      <c r="CB167" s="191"/>
      <c r="CC167" s="191"/>
      <c r="CD167" s="191"/>
      <c r="CE167" s="191"/>
      <c r="CF167" s="191"/>
      <c r="CG167" s="191"/>
      <c r="CH167" s="191"/>
      <c r="CI167" s="191"/>
      <c r="CJ167" s="191"/>
      <c r="CK167" s="191"/>
      <c r="CL167" s="191"/>
      <c r="CM167" s="191"/>
      <c r="CN167" s="191"/>
      <c r="CO167" s="191"/>
      <c r="CP167" s="191"/>
      <c r="CQ167" s="191"/>
    </row>
    <row r="168" customFormat="false" ht="12.75" hidden="false" customHeight="false" outlineLevel="0" collapsed="false">
      <c r="A168" s="177"/>
      <c r="B168" s="255"/>
      <c r="C168" s="255"/>
      <c r="D168" s="255"/>
      <c r="E168" s="255"/>
      <c r="F168" s="255"/>
      <c r="G168" s="255"/>
      <c r="H168" s="255"/>
      <c r="I168" s="255"/>
      <c r="J168" s="255"/>
      <c r="K168" s="255"/>
      <c r="L168" s="255"/>
      <c r="M168" s="255"/>
      <c r="N168" s="255"/>
      <c r="O168" s="181"/>
      <c r="P168" s="255"/>
      <c r="Q168" s="255"/>
      <c r="R168" s="181"/>
      <c r="S168" s="202"/>
      <c r="T168" s="255"/>
      <c r="U168" s="181"/>
      <c r="V168" s="322"/>
      <c r="W168" s="186"/>
      <c r="X168" s="186"/>
      <c r="Y168" s="186"/>
      <c r="Z168" s="186"/>
      <c r="AA168" s="186"/>
      <c r="AB168" s="186"/>
      <c r="AC168" s="186"/>
      <c r="AD168" s="186"/>
      <c r="AE168" s="127"/>
      <c r="AF168" s="247" t="s">
        <v>366</v>
      </c>
      <c r="AG168" s="190"/>
      <c r="AH168" s="190"/>
      <c r="AI168" s="190"/>
      <c r="AJ168" s="307"/>
      <c r="AK168" s="307"/>
      <c r="AL168" s="190"/>
      <c r="AM168" s="191"/>
      <c r="AN168" s="191"/>
      <c r="AO168" s="191"/>
      <c r="AP168" s="307"/>
      <c r="AQ168" s="307"/>
      <c r="AR168" s="307"/>
      <c r="AS168" s="307"/>
      <c r="AT168" s="307"/>
      <c r="AU168" s="307"/>
      <c r="AV168" s="307"/>
      <c r="AW168" s="307"/>
      <c r="AX168" s="307"/>
      <c r="AY168" s="307"/>
      <c r="AZ168" s="307"/>
      <c r="BA168" s="307"/>
      <c r="BB168" s="307"/>
      <c r="BC168" s="307"/>
      <c r="BD168" s="307"/>
      <c r="BE168" s="307"/>
      <c r="BF168" s="307"/>
      <c r="BG168" s="307"/>
      <c r="BH168" s="307"/>
      <c r="BI168" s="307"/>
      <c r="BJ168" s="307"/>
      <c r="BK168" s="307"/>
      <c r="BL168" s="307"/>
      <c r="BM168" s="307"/>
      <c r="BN168" s="307"/>
      <c r="BO168" s="307"/>
      <c r="BP168" s="307"/>
      <c r="BQ168" s="307"/>
      <c r="BR168" s="307"/>
      <c r="BS168" s="307"/>
      <c r="BT168" s="307"/>
      <c r="BU168" s="307"/>
      <c r="BV168" s="307"/>
      <c r="BW168" s="307"/>
      <c r="BX168" s="307"/>
      <c r="BY168" s="307"/>
      <c r="BZ168" s="307"/>
      <c r="CA168" s="307"/>
      <c r="CB168" s="307"/>
      <c r="CC168" s="307"/>
      <c r="CD168" s="307"/>
      <c r="CE168" s="307"/>
      <c r="CF168" s="307"/>
      <c r="CG168" s="307"/>
      <c r="CH168" s="307"/>
      <c r="CI168" s="307"/>
      <c r="CJ168" s="307"/>
      <c r="CK168" s="307"/>
      <c r="CL168" s="307"/>
      <c r="CM168" s="307"/>
      <c r="CN168" s="307"/>
      <c r="CO168" s="307"/>
      <c r="CP168" s="191"/>
      <c r="CQ168" s="191"/>
    </row>
    <row r="169" customFormat="false" ht="12.75" hidden="false" customHeight="false" outlineLevel="0" collapsed="false">
      <c r="A169" s="177"/>
      <c r="B169" s="324" t="s">
        <v>16</v>
      </c>
      <c r="C169" s="325"/>
      <c r="D169" s="325"/>
      <c r="E169" s="325"/>
      <c r="F169" s="325"/>
      <c r="G169" s="325"/>
      <c r="H169" s="325"/>
      <c r="I169" s="325"/>
      <c r="J169" s="325"/>
      <c r="K169" s="325"/>
      <c r="L169" s="325"/>
      <c r="M169" s="326" t="n">
        <f aca="false">+M167+M165</f>
        <v>6461413.40675801</v>
      </c>
      <c r="N169" s="326" t="n">
        <f aca="false">+M169/N$8</f>
        <v>89741.852871639</v>
      </c>
      <c r="O169" s="327" t="n">
        <f aca="false">+N169/N$11</f>
        <v>88.3285953461014</v>
      </c>
      <c r="P169" s="326" t="n">
        <f aca="false">+P167+P165</f>
        <v>6261614.82104838</v>
      </c>
      <c r="Q169" s="326" t="n">
        <f aca="false">+P169/Q$8</f>
        <v>102649.423295875</v>
      </c>
      <c r="R169" s="327" t="n">
        <f aca="false">+Q169/Q$11</f>
        <v>84.6244215134997</v>
      </c>
      <c r="S169" s="328" t="n">
        <f aca="false">+P169+M169</f>
        <v>12723028.2278064</v>
      </c>
      <c r="T169" s="326" t="n">
        <f aca="false">+S169/S$8</f>
        <v>95661.8663744841</v>
      </c>
      <c r="U169" s="327" t="n">
        <f aca="false">+S169/U$8</f>
        <v>86.4659229182533</v>
      </c>
      <c r="V169" s="329" t="n">
        <f aca="false">+S169/S$169</f>
        <v>1</v>
      </c>
      <c r="W169" s="329" t="n">
        <f aca="false">+S169/TotalValue</f>
        <v>0.820840556245797</v>
      </c>
      <c r="X169" s="330"/>
      <c r="Y169" s="330"/>
      <c r="Z169" s="330"/>
      <c r="AA169" s="330"/>
      <c r="AB169" s="186"/>
      <c r="AC169" s="186"/>
      <c r="AD169" s="330"/>
      <c r="AE169" s="331"/>
      <c r="AF169" s="191"/>
      <c r="AG169" s="190"/>
      <c r="AH169" s="190"/>
      <c r="AI169" s="190"/>
      <c r="AJ169" s="307"/>
      <c r="AK169" s="307"/>
      <c r="AL169" s="190"/>
      <c r="AM169" s="191"/>
      <c r="AN169" s="191"/>
      <c r="AO169" s="191"/>
      <c r="AP169" s="307"/>
      <c r="AQ169" s="307"/>
      <c r="AR169" s="307"/>
      <c r="AS169" s="307"/>
      <c r="AT169" s="307"/>
      <c r="AU169" s="307"/>
      <c r="AV169" s="307"/>
      <c r="AW169" s="307"/>
      <c r="AX169" s="307"/>
      <c r="AY169" s="307"/>
      <c r="AZ169" s="307"/>
      <c r="BA169" s="307"/>
      <c r="BB169" s="307"/>
      <c r="BC169" s="307"/>
      <c r="BD169" s="307"/>
      <c r="BE169" s="307"/>
      <c r="BF169" s="307"/>
      <c r="BG169" s="307"/>
      <c r="BH169" s="307"/>
      <c r="BI169" s="307"/>
      <c r="BJ169" s="307"/>
      <c r="BK169" s="307"/>
      <c r="BL169" s="307"/>
      <c r="BM169" s="307"/>
      <c r="BN169" s="307"/>
      <c r="BO169" s="307"/>
      <c r="BP169" s="307"/>
      <c r="BQ169" s="307"/>
      <c r="BR169" s="307"/>
      <c r="BS169" s="307"/>
      <c r="BT169" s="307"/>
      <c r="BU169" s="307"/>
      <c r="BV169" s="307"/>
      <c r="BW169" s="307"/>
      <c r="BX169" s="307"/>
      <c r="BY169" s="307"/>
      <c r="BZ169" s="307"/>
      <c r="CA169" s="307"/>
      <c r="CB169" s="307"/>
      <c r="CC169" s="307"/>
      <c r="CD169" s="307"/>
      <c r="CE169" s="307"/>
      <c r="CF169" s="307"/>
      <c r="CG169" s="307"/>
      <c r="CH169" s="307"/>
      <c r="CI169" s="307"/>
      <c r="CJ169" s="307"/>
      <c r="CK169" s="307"/>
      <c r="CL169" s="307"/>
      <c r="CM169" s="307"/>
      <c r="CN169" s="307"/>
      <c r="CO169" s="307"/>
      <c r="CP169" s="191"/>
      <c r="CQ169" s="191"/>
    </row>
    <row r="170" customFormat="false" ht="12.75" hidden="false" customHeight="false" outlineLevel="0" collapsed="false">
      <c r="A170" s="177"/>
      <c r="B170" s="309"/>
      <c r="C170" s="217"/>
      <c r="D170" s="217"/>
      <c r="E170" s="217"/>
      <c r="F170" s="217"/>
      <c r="G170" s="217"/>
      <c r="H170" s="217"/>
      <c r="I170" s="217"/>
      <c r="J170" s="217"/>
      <c r="K170" s="217"/>
      <c r="L170" s="217"/>
      <c r="M170" s="316"/>
      <c r="N170" s="316"/>
      <c r="O170" s="313"/>
      <c r="P170" s="316"/>
      <c r="Q170" s="316"/>
      <c r="R170" s="313"/>
      <c r="S170" s="184"/>
      <c r="T170" s="316"/>
      <c r="U170" s="313"/>
      <c r="V170" s="330"/>
      <c r="W170" s="330"/>
      <c r="X170" s="330"/>
      <c r="Y170" s="330"/>
      <c r="Z170" s="330"/>
      <c r="AA170" s="330"/>
      <c r="AB170" s="330"/>
      <c r="AC170" s="330"/>
      <c r="AD170" s="330"/>
      <c r="AE170" s="331"/>
      <c r="AF170" s="190" t="s">
        <v>367</v>
      </c>
      <c r="AG170" s="190"/>
      <c r="AH170" s="190"/>
      <c r="AI170" s="190"/>
      <c r="AJ170" s="307"/>
      <c r="AK170" s="321" t="n">
        <f aca="false">+AK137+AK138+AK135</f>
        <v>145312.5</v>
      </c>
      <c r="AL170" s="321"/>
      <c r="AM170" s="321"/>
      <c r="AN170" s="321"/>
      <c r="AO170" s="321"/>
      <c r="AP170" s="321" t="n">
        <f aca="false">+AP137+AP138+AP135</f>
        <v>0</v>
      </c>
      <c r="AQ170" s="321" t="n">
        <f aca="false">+AQ137+AQ138+AQ135</f>
        <v>0</v>
      </c>
      <c r="AR170" s="321" t="n">
        <f aca="false">+AR137+AR138+AR135</f>
        <v>0</v>
      </c>
      <c r="AS170" s="321" t="n">
        <f aca="false">+AS137+AS138+AS135</f>
        <v>0</v>
      </c>
      <c r="AT170" s="321" t="n">
        <f aca="false">+AT137+AT138+AT135</f>
        <v>0</v>
      </c>
      <c r="AU170" s="321" t="n">
        <f aca="false">+AU137+AU138+AU135</f>
        <v>0</v>
      </c>
      <c r="AV170" s="321" t="n">
        <f aca="false">+AV137+AV138+AV135</f>
        <v>0</v>
      </c>
      <c r="AW170" s="321" t="n">
        <f aca="false">+AW137+AW138+AW135</f>
        <v>0</v>
      </c>
      <c r="AX170" s="321" t="n">
        <f aca="false">+AX137+AX138+AX135</f>
        <v>0</v>
      </c>
      <c r="AY170" s="321" t="n">
        <f aca="false">+AY137+AY138+AY135</f>
        <v>0</v>
      </c>
      <c r="AZ170" s="321" t="n">
        <f aca="false">+AZ137+AZ138+AZ135</f>
        <v>0</v>
      </c>
      <c r="BA170" s="321" t="n">
        <f aca="false">+BA137+BA138+BA135</f>
        <v>0</v>
      </c>
      <c r="BB170" s="321" t="n">
        <f aca="false">+BB137+BB138+BB135</f>
        <v>0</v>
      </c>
      <c r="BC170" s="321" t="n">
        <f aca="false">+BC137+BC138+BC135</f>
        <v>0</v>
      </c>
      <c r="BD170" s="321" t="n">
        <f aca="false">+BD137+BD138+BD135</f>
        <v>0</v>
      </c>
      <c r="BE170" s="321" t="n">
        <f aca="false">+BE137+BE138+BE135</f>
        <v>0</v>
      </c>
      <c r="BF170" s="321" t="n">
        <f aca="false">+BF137+BF138+BF135</f>
        <v>0</v>
      </c>
      <c r="BG170" s="321" t="n">
        <f aca="false">+BG137+BG138+BG135</f>
        <v>0</v>
      </c>
      <c r="BH170" s="321" t="n">
        <f aca="false">+BH137+BH138+BH135</f>
        <v>0</v>
      </c>
      <c r="BI170" s="321" t="n">
        <f aca="false">+BI137+BI138+BI135</f>
        <v>0</v>
      </c>
      <c r="BJ170" s="321" t="n">
        <f aca="false">+BJ137+BJ138+BJ135</f>
        <v>0</v>
      </c>
      <c r="BK170" s="321" t="n">
        <f aca="false">+BK137+BK138+BK135</f>
        <v>0</v>
      </c>
      <c r="BL170" s="321" t="n">
        <f aca="false">+BL137+BL138+BL135</f>
        <v>0</v>
      </c>
      <c r="BM170" s="321" t="n">
        <f aca="false">+BM137+BM138+BM135</f>
        <v>0</v>
      </c>
      <c r="BN170" s="321" t="n">
        <f aca="false">+BN137+BN138+BN135</f>
        <v>0</v>
      </c>
      <c r="BO170" s="321" t="n">
        <f aca="false">+BO137+BO138+BO135</f>
        <v>0</v>
      </c>
      <c r="BP170" s="321" t="n">
        <f aca="false">+BP137+BP138+BP135</f>
        <v>0</v>
      </c>
      <c r="BQ170" s="321" t="n">
        <f aca="false">+BQ137+BQ138+BQ135</f>
        <v>0</v>
      </c>
      <c r="BR170" s="321" t="n">
        <f aca="false">+BR137+BR138+BR135</f>
        <v>0</v>
      </c>
      <c r="BS170" s="321" t="n">
        <f aca="false">+BS137+BS138+BS135</f>
        <v>0</v>
      </c>
      <c r="BT170" s="321" t="n">
        <f aca="false">+BT137+BT138+BT135</f>
        <v>0</v>
      </c>
      <c r="BU170" s="321" t="n">
        <f aca="false">+BU137+BU138+BU135</f>
        <v>0</v>
      </c>
      <c r="BV170" s="321" t="n">
        <f aca="false">+BV137+BV138+BV135</f>
        <v>0</v>
      </c>
      <c r="BW170" s="321" t="n">
        <f aca="false">+BW137+BW138+BW135</f>
        <v>0</v>
      </c>
      <c r="BX170" s="321" t="n">
        <f aca="false">+BX137+BX138+BX135</f>
        <v>0</v>
      </c>
      <c r="BY170" s="321" t="n">
        <f aca="false">+BY137+BY138+BY135</f>
        <v>0</v>
      </c>
      <c r="BZ170" s="321" t="n">
        <f aca="false">+BZ137+BZ138+BZ135</f>
        <v>0</v>
      </c>
      <c r="CA170" s="321" t="n">
        <f aca="false">+CA137+CA138+CA135</f>
        <v>0</v>
      </c>
      <c r="CB170" s="321" t="n">
        <f aca="false">+CB137+CB138+CB135</f>
        <v>0</v>
      </c>
      <c r="CC170" s="321" t="n">
        <f aca="false">+CC137+CC138+CC135</f>
        <v>0</v>
      </c>
      <c r="CD170" s="321" t="n">
        <f aca="false">+CD137+CD138+CD135</f>
        <v>0</v>
      </c>
      <c r="CE170" s="321" t="n">
        <f aca="false">+CE137+CE138+CE135</f>
        <v>0</v>
      </c>
      <c r="CF170" s="321" t="n">
        <f aca="false">+CF137+CF138+CF135</f>
        <v>0</v>
      </c>
      <c r="CG170" s="321" t="n">
        <f aca="false">+CG137+CG138+CG135</f>
        <v>0</v>
      </c>
      <c r="CH170" s="321" t="n">
        <f aca="false">+CH137+CH138+CH135</f>
        <v>0</v>
      </c>
      <c r="CI170" s="321" t="n">
        <f aca="false">+CI137+CI138+CI135</f>
        <v>0</v>
      </c>
      <c r="CJ170" s="321" t="n">
        <f aca="false">+CJ137+CJ138+CJ135</f>
        <v>0</v>
      </c>
      <c r="CK170" s="321" t="n">
        <f aca="false">+CK137+CK138+CK135</f>
        <v>0</v>
      </c>
      <c r="CL170" s="321" t="n">
        <f aca="false">+CL137+CL138+CL135</f>
        <v>0</v>
      </c>
      <c r="CM170" s="321" t="n">
        <f aca="false">+CM137+CM138+CM135</f>
        <v>0</v>
      </c>
      <c r="CN170" s="321" t="n">
        <f aca="false">+CN137+CN138+CN135</f>
        <v>0</v>
      </c>
      <c r="CO170" s="321" t="n">
        <f aca="false">+CO137+CO138+CO135</f>
        <v>145312.5</v>
      </c>
      <c r="CP170" s="191" t="n">
        <f aca="false">SUM(S135:S138)</f>
        <v>148812.5</v>
      </c>
      <c r="CQ170" s="192" t="n">
        <f aca="false">+CO170/CP170</f>
        <v>0.976480470390592</v>
      </c>
    </row>
    <row r="171" customFormat="false" ht="12.75" hidden="false" customHeight="false" outlineLevel="0" collapsed="false">
      <c r="A171" s="177"/>
      <c r="B171" s="324" t="s">
        <v>368</v>
      </c>
      <c r="C171" s="325"/>
      <c r="D171" s="325"/>
      <c r="E171" s="325"/>
      <c r="F171" s="325"/>
      <c r="G171" s="325"/>
      <c r="H171" s="325"/>
      <c r="I171" s="325"/>
      <c r="J171" s="325"/>
      <c r="K171" s="325"/>
      <c r="L171" s="325"/>
      <c r="M171" s="332" t="n">
        <f aca="false">N171*N8</f>
        <v>7868880</v>
      </c>
      <c r="N171" s="326" t="n">
        <v>109290</v>
      </c>
      <c r="O171" s="327" t="n">
        <f aca="false">+N171/N$11</f>
        <v>107.568897637795</v>
      </c>
      <c r="P171" s="332" t="n">
        <f aca="false">Q171*Q8</f>
        <v>7631119.52</v>
      </c>
      <c r="Q171" s="326" t="n">
        <v>125100.32</v>
      </c>
      <c r="R171" s="327" t="n">
        <f aca="false">+Q171/Q$11</f>
        <v>103.132992580379</v>
      </c>
      <c r="S171" s="328" t="n">
        <f aca="false">+P171+M171</f>
        <v>15499999.52</v>
      </c>
      <c r="T171" s="326" t="n">
        <f aca="false">+S171/S$8</f>
        <v>116541.349774436</v>
      </c>
      <c r="U171" s="327" t="n">
        <f aca="false">+S171/U$8</f>
        <v>105.338268510653</v>
      </c>
      <c r="V171" s="329" t="n">
        <f aca="false">+S171/S$169</f>
        <v>1.21826339158193</v>
      </c>
      <c r="W171" s="329" t="n">
        <f aca="false">+S171/TotalValue</f>
        <v>1</v>
      </c>
      <c r="X171" s="330"/>
      <c r="Y171" s="330"/>
      <c r="Z171" s="330"/>
      <c r="AA171" s="330"/>
      <c r="AB171" s="330"/>
      <c r="AC171" s="330"/>
      <c r="AD171" s="330"/>
      <c r="AE171" s="331"/>
      <c r="AF171" s="190" t="s">
        <v>369</v>
      </c>
      <c r="AG171" s="190"/>
      <c r="AH171" s="190"/>
      <c r="AI171" s="190"/>
      <c r="AJ171" s="307"/>
      <c r="AK171" s="243" t="n">
        <f aca="false">+AK139</f>
        <v>3053.13071537691</v>
      </c>
      <c r="AL171" s="190"/>
      <c r="AM171" s="191"/>
      <c r="AN171" s="191"/>
      <c r="AO171" s="191"/>
      <c r="AP171" s="243" t="n">
        <f aca="false">+AP139</f>
        <v>4981.65500993771</v>
      </c>
      <c r="AQ171" s="243" t="n">
        <f aca="false">+AQ139</f>
        <v>1460.32069653648</v>
      </c>
      <c r="AR171" s="243" t="n">
        <f aca="false">+AR139</f>
        <v>1711.59056346748</v>
      </c>
      <c r="AS171" s="243" t="n">
        <f aca="false">+AS139</f>
        <v>1909.30608776617</v>
      </c>
      <c r="AT171" s="243" t="n">
        <f aca="false">+AT139</f>
        <v>2124.44113729896</v>
      </c>
      <c r="AU171" s="243" t="n">
        <f aca="false">+AU139</f>
        <v>7205.65848506909</v>
      </c>
      <c r="AV171" s="243" t="n">
        <f aca="false">+AV139</f>
        <v>2378.7377247439</v>
      </c>
      <c r="AW171" s="243" t="n">
        <f aca="false">+AW139</f>
        <v>2979.39302004674</v>
      </c>
      <c r="AX171" s="243" t="n">
        <f aca="false">+AX139</f>
        <v>3211.21929121714</v>
      </c>
      <c r="AY171" s="243" t="n">
        <f aca="false">+AY139</f>
        <v>3564.91841371734</v>
      </c>
      <c r="AZ171" s="243" t="n">
        <f aca="false">+AZ139</f>
        <v>12134.2684497251</v>
      </c>
      <c r="BA171" s="243" t="n">
        <f aca="false">+BA139</f>
        <v>4110.967775937</v>
      </c>
      <c r="BB171" s="243" t="n">
        <f aca="false">+BB139</f>
        <v>4613.13046266532</v>
      </c>
      <c r="BC171" s="243" t="n">
        <f aca="false">+BC139</f>
        <v>5032.3151320172</v>
      </c>
      <c r="BD171" s="243" t="n">
        <f aca="false">+BD139</f>
        <v>5762.66647272534</v>
      </c>
      <c r="BE171" s="243" t="n">
        <f aca="false">+BE139</f>
        <v>19519.0798433449</v>
      </c>
      <c r="BF171" s="243" t="n">
        <f aca="false">+BF139</f>
        <v>6090.94145357264</v>
      </c>
      <c r="BG171" s="243" t="n">
        <f aca="false">+BG139</f>
        <v>6943.96207790746</v>
      </c>
      <c r="BH171" s="243" t="n">
        <f aca="false">+BH139</f>
        <v>7600.72786379436</v>
      </c>
      <c r="BI171" s="243" t="n">
        <f aca="false">+BI139</f>
        <v>8046.74562368846</v>
      </c>
      <c r="BJ171" s="243" t="n">
        <f aca="false">+BJ139</f>
        <v>28682.3770189629</v>
      </c>
      <c r="BK171" s="243" t="n">
        <f aca="false">+BK139</f>
        <v>8696.09283982662</v>
      </c>
      <c r="BL171" s="243" t="n">
        <f aca="false">+BL139</f>
        <v>9432.45430839212</v>
      </c>
      <c r="BM171" s="243" t="n">
        <f aca="false">+BM139</f>
        <v>9921.76251994692</v>
      </c>
      <c r="BN171" s="243" t="n">
        <f aca="false">+BN139</f>
        <v>10694.0433656885</v>
      </c>
      <c r="BO171" s="243" t="n">
        <f aca="false">+BO139</f>
        <v>38744.3530338541</v>
      </c>
      <c r="BP171" s="243" t="n">
        <f aca="false">+BP139</f>
        <v>11384.380288365</v>
      </c>
      <c r="BQ171" s="243" t="n">
        <f aca="false">+BQ139</f>
        <v>11875.8451267572</v>
      </c>
      <c r="BR171" s="243" t="n">
        <f aca="false">+BR139</f>
        <v>12517.8333419636</v>
      </c>
      <c r="BS171" s="243" t="n">
        <f aca="false">+BS139</f>
        <v>13152.4069489706</v>
      </c>
      <c r="BT171" s="243" t="n">
        <f aca="false">+BT139</f>
        <v>48930.4657060565</v>
      </c>
      <c r="BU171" s="243" t="n">
        <f aca="false">+BU139</f>
        <v>13534.8238031718</v>
      </c>
      <c r="BV171" s="243" t="n">
        <f aca="false">+BV139</f>
        <v>14244.2318690215</v>
      </c>
      <c r="BW171" s="243" t="n">
        <f aca="false">+BW139</f>
        <v>14744.7430406496</v>
      </c>
      <c r="BX171" s="243" t="n">
        <f aca="false">+BX139</f>
        <v>14992.600728382</v>
      </c>
      <c r="BY171" s="243" t="n">
        <f aca="false">+BY139</f>
        <v>57516.399441225</v>
      </c>
      <c r="BZ171" s="243" t="n">
        <f aca="false">+BZ139</f>
        <v>15419.196725029</v>
      </c>
      <c r="CA171" s="243" t="n">
        <f aca="false">+CA139</f>
        <v>15820.5006169353</v>
      </c>
      <c r="CB171" s="243" t="n">
        <f aca="false">+CB139</f>
        <v>16042.2965060608</v>
      </c>
      <c r="CC171" s="243" t="n">
        <f aca="false">+CC139</f>
        <v>16370.3752666972</v>
      </c>
      <c r="CD171" s="243" t="n">
        <f aca="false">+CD139</f>
        <v>63652.3691147223</v>
      </c>
      <c r="CE171" s="243" t="n">
        <f aca="false">+CE139</f>
        <v>16597.742091416</v>
      </c>
      <c r="CF171" s="243" t="n">
        <f aca="false">+CF139</f>
        <v>16801.8457692436</v>
      </c>
      <c r="CG171" s="243" t="n">
        <f aca="false">+CG139</f>
        <v>17055.0976859204</v>
      </c>
      <c r="CH171" s="243" t="n">
        <f aca="false">+CH139</f>
        <v>17099.0771659565</v>
      </c>
      <c r="CI171" s="243" t="n">
        <f aca="false">+CI139</f>
        <v>67553.7627125364</v>
      </c>
      <c r="CJ171" s="243" t="n">
        <f aca="false">+CJ139</f>
        <v>17197.3415817364</v>
      </c>
      <c r="CK171" s="243" t="n">
        <f aca="false">+CK139</f>
        <v>17320.5485249365</v>
      </c>
      <c r="CL171" s="243" t="n">
        <f aca="false">+CL139</f>
        <v>17365.0257252958</v>
      </c>
      <c r="CM171" s="243" t="n">
        <f aca="false">+CM139</f>
        <v>17690.3663985307</v>
      </c>
      <c r="CN171" s="243" t="n">
        <f aca="false">+CN139</f>
        <v>69573.2822304993</v>
      </c>
      <c r="CO171" s="243" t="n">
        <f aca="false">+CO139</f>
        <v>421546.80176131</v>
      </c>
      <c r="CP171" s="191" t="n">
        <f aca="false">+$S139</f>
        <v>708667.984950248</v>
      </c>
      <c r="CQ171" s="192" t="n">
        <f aca="false">+CO171/CP171</f>
        <v>0.594843863012811</v>
      </c>
    </row>
    <row r="172" customFormat="false" ht="12.75" hidden="false" customHeight="false" outlineLevel="0" collapsed="false">
      <c r="A172" s="177"/>
      <c r="B172" s="177"/>
      <c r="C172" s="177"/>
      <c r="D172" s="177"/>
      <c r="E172" s="177"/>
      <c r="F172" s="177"/>
      <c r="G172" s="177"/>
      <c r="H172" s="177"/>
      <c r="I172" s="177"/>
      <c r="J172" s="177"/>
      <c r="K172" s="177"/>
      <c r="L172" s="177"/>
      <c r="M172" s="177"/>
      <c r="N172" s="177"/>
      <c r="O172" s="177"/>
      <c r="P172" s="177"/>
      <c r="Q172" s="177"/>
      <c r="R172" s="177"/>
      <c r="S172" s="202"/>
      <c r="T172" s="177"/>
      <c r="U172" s="181"/>
      <c r="V172" s="177"/>
      <c r="W172" s="178"/>
      <c r="X172" s="178"/>
      <c r="Y172" s="178"/>
      <c r="Z172" s="178"/>
      <c r="AA172" s="178"/>
      <c r="AB172" s="330"/>
      <c r="AC172" s="330"/>
      <c r="AD172" s="178"/>
      <c r="AE172" s="126"/>
      <c r="AF172" s="260" t="s">
        <v>370</v>
      </c>
      <c r="AG172" s="260"/>
      <c r="AH172" s="260"/>
      <c r="AI172" s="260"/>
      <c r="AJ172" s="319"/>
      <c r="AK172" s="333" t="n">
        <f aca="false">+AK171+AK170</f>
        <v>148365.630715377</v>
      </c>
      <c r="AL172" s="260"/>
      <c r="AM172" s="261"/>
      <c r="AN172" s="261"/>
      <c r="AO172" s="261"/>
      <c r="AP172" s="333" t="n">
        <f aca="false">+AP171+AP170</f>
        <v>4981.65500993771</v>
      </c>
      <c r="AQ172" s="333" t="n">
        <f aca="false">+AQ171+AQ170</f>
        <v>1460.32069653648</v>
      </c>
      <c r="AR172" s="333" t="n">
        <f aca="false">+AR171+AR170</f>
        <v>1711.59056346748</v>
      </c>
      <c r="AS172" s="333" t="n">
        <f aca="false">+AS171+AS170</f>
        <v>1909.30608776617</v>
      </c>
      <c r="AT172" s="333" t="n">
        <f aca="false">+AT171+AT170</f>
        <v>2124.44113729896</v>
      </c>
      <c r="AU172" s="333" t="n">
        <f aca="false">+AU171+AU170</f>
        <v>7205.65848506909</v>
      </c>
      <c r="AV172" s="333" t="n">
        <f aca="false">+AV171+AV170</f>
        <v>2378.7377247439</v>
      </c>
      <c r="AW172" s="333" t="n">
        <f aca="false">+AW171+AW170</f>
        <v>2979.39302004674</v>
      </c>
      <c r="AX172" s="333" t="n">
        <f aca="false">+AX171+AX170</f>
        <v>3211.21929121714</v>
      </c>
      <c r="AY172" s="333" t="n">
        <f aca="false">+AY171+AY170</f>
        <v>3564.91841371734</v>
      </c>
      <c r="AZ172" s="333" t="n">
        <f aca="false">+AZ171+AZ170</f>
        <v>12134.2684497251</v>
      </c>
      <c r="BA172" s="333" t="n">
        <f aca="false">+BA171+BA170</f>
        <v>4110.967775937</v>
      </c>
      <c r="BB172" s="333" t="n">
        <f aca="false">+BB171+BB170</f>
        <v>4613.13046266532</v>
      </c>
      <c r="BC172" s="333" t="n">
        <f aca="false">+BC171+BC170</f>
        <v>5032.3151320172</v>
      </c>
      <c r="BD172" s="333" t="n">
        <f aca="false">+BD171+BD170</f>
        <v>5762.66647272534</v>
      </c>
      <c r="BE172" s="333" t="n">
        <f aca="false">+BE171+BE170</f>
        <v>19519.0798433449</v>
      </c>
      <c r="BF172" s="333" t="n">
        <f aca="false">+BF171+BF170</f>
        <v>6090.94145357264</v>
      </c>
      <c r="BG172" s="333" t="n">
        <f aca="false">+BG171+BG170</f>
        <v>6943.96207790746</v>
      </c>
      <c r="BH172" s="333" t="n">
        <f aca="false">+BH171+BH170</f>
        <v>7600.72786379436</v>
      </c>
      <c r="BI172" s="333" t="n">
        <f aca="false">+BI171+BI170</f>
        <v>8046.74562368846</v>
      </c>
      <c r="BJ172" s="333" t="n">
        <f aca="false">+BJ171+BJ170</f>
        <v>28682.3770189629</v>
      </c>
      <c r="BK172" s="333" t="n">
        <f aca="false">+BK171+BK170</f>
        <v>8696.09283982662</v>
      </c>
      <c r="BL172" s="333" t="n">
        <f aca="false">+BL171+BL170</f>
        <v>9432.45430839212</v>
      </c>
      <c r="BM172" s="333" t="n">
        <f aca="false">+BM171+BM170</f>
        <v>9921.76251994692</v>
      </c>
      <c r="BN172" s="333" t="n">
        <f aca="false">+BN171+BN170</f>
        <v>10694.0433656885</v>
      </c>
      <c r="BO172" s="333" t="n">
        <f aca="false">+BO171+BO170</f>
        <v>38744.3530338541</v>
      </c>
      <c r="BP172" s="333" t="n">
        <f aca="false">+BP171+BP170</f>
        <v>11384.380288365</v>
      </c>
      <c r="BQ172" s="333" t="n">
        <f aca="false">+BQ171+BQ170</f>
        <v>11875.8451267572</v>
      </c>
      <c r="BR172" s="333" t="n">
        <f aca="false">+BR171+BR170</f>
        <v>12517.8333419636</v>
      </c>
      <c r="BS172" s="333" t="n">
        <f aca="false">+BS171+BS170</f>
        <v>13152.4069489706</v>
      </c>
      <c r="BT172" s="333" t="n">
        <f aca="false">+BT171+BT170</f>
        <v>48930.4657060565</v>
      </c>
      <c r="BU172" s="333" t="n">
        <f aca="false">+BU171+BU170</f>
        <v>13534.8238031718</v>
      </c>
      <c r="BV172" s="333" t="n">
        <f aca="false">+BV171+BV170</f>
        <v>14244.2318690215</v>
      </c>
      <c r="BW172" s="333" t="n">
        <f aca="false">+BW171+BW170</f>
        <v>14744.7430406496</v>
      </c>
      <c r="BX172" s="333" t="n">
        <f aca="false">+BX171+BX170</f>
        <v>14992.600728382</v>
      </c>
      <c r="BY172" s="333" t="n">
        <f aca="false">+BY171+BY170</f>
        <v>57516.399441225</v>
      </c>
      <c r="BZ172" s="333" t="n">
        <f aca="false">+BZ171+BZ170</f>
        <v>15419.196725029</v>
      </c>
      <c r="CA172" s="333" t="n">
        <f aca="false">+CA171+CA170</f>
        <v>15820.5006169353</v>
      </c>
      <c r="CB172" s="333" t="n">
        <f aca="false">+CB171+CB170</f>
        <v>16042.2965060608</v>
      </c>
      <c r="CC172" s="333" t="n">
        <f aca="false">+CC171+CC170</f>
        <v>16370.3752666972</v>
      </c>
      <c r="CD172" s="333" t="n">
        <f aca="false">+CD171+CD170</f>
        <v>63652.3691147223</v>
      </c>
      <c r="CE172" s="333" t="n">
        <f aca="false">+CE171+CE170</f>
        <v>16597.742091416</v>
      </c>
      <c r="CF172" s="333" t="n">
        <f aca="false">+CF171+CF170</f>
        <v>16801.8457692436</v>
      </c>
      <c r="CG172" s="333" t="n">
        <f aca="false">+CG171+CG170</f>
        <v>17055.0976859204</v>
      </c>
      <c r="CH172" s="333" t="n">
        <f aca="false">+CH171+CH170</f>
        <v>17099.0771659565</v>
      </c>
      <c r="CI172" s="333" t="n">
        <f aca="false">+CI171+CI170</f>
        <v>67553.7627125364</v>
      </c>
      <c r="CJ172" s="333" t="n">
        <f aca="false">+CJ171+CJ170</f>
        <v>17197.3415817364</v>
      </c>
      <c r="CK172" s="333" t="n">
        <f aca="false">+CK171+CK170</f>
        <v>17320.5485249365</v>
      </c>
      <c r="CL172" s="333" t="n">
        <f aca="false">+CL171+CL170</f>
        <v>17365.0257252958</v>
      </c>
      <c r="CM172" s="333" t="n">
        <f aca="false">+CM171+CM170</f>
        <v>17690.3663985307</v>
      </c>
      <c r="CN172" s="333" t="n">
        <f aca="false">+CN171+CN170</f>
        <v>69573.2822304993</v>
      </c>
      <c r="CO172" s="333" t="n">
        <f aca="false">+CO171+CO170</f>
        <v>566859.30176131</v>
      </c>
      <c r="CP172" s="333" t="n">
        <f aca="false">+CP171+CP170</f>
        <v>857480.484950248</v>
      </c>
      <c r="CQ172" s="281" t="n">
        <f aca="false">+CO172/CP172</f>
        <v>0.661075455022396</v>
      </c>
    </row>
    <row r="173" customFormat="false" ht="12.75" hidden="false" customHeight="false" outlineLevel="0" collapsed="false">
      <c r="A173" s="177"/>
      <c r="B173" s="308" t="s">
        <v>371</v>
      </c>
      <c r="C173" s="177"/>
      <c r="D173" s="177"/>
      <c r="E173" s="177"/>
      <c r="F173" s="177"/>
      <c r="G173" s="177"/>
      <c r="H173" s="177"/>
      <c r="I173" s="177"/>
      <c r="J173" s="177"/>
      <c r="K173" s="177"/>
      <c r="L173" s="177"/>
      <c r="M173" s="177"/>
      <c r="N173" s="177"/>
      <c r="O173" s="177"/>
      <c r="P173" s="177"/>
      <c r="Q173" s="177"/>
      <c r="R173" s="177"/>
      <c r="S173" s="202"/>
      <c r="T173" s="177"/>
      <c r="U173" s="181"/>
      <c r="V173" s="177"/>
      <c r="W173" s="178"/>
      <c r="X173" s="178"/>
      <c r="Y173" s="178"/>
      <c r="Z173" s="178"/>
      <c r="AA173" s="178"/>
      <c r="AB173" s="178"/>
      <c r="AC173" s="178"/>
      <c r="AD173" s="178"/>
      <c r="AE173" s="126"/>
      <c r="AF173" s="190"/>
      <c r="AG173" s="190"/>
      <c r="AH173" s="190"/>
      <c r="AI173" s="190"/>
      <c r="AJ173" s="307"/>
      <c r="AK173" s="307"/>
      <c r="AL173" s="190"/>
      <c r="AM173" s="191"/>
      <c r="AN173" s="191"/>
      <c r="AO173" s="191"/>
      <c r="AP173" s="307"/>
      <c r="AQ173" s="307"/>
      <c r="AR173" s="307"/>
      <c r="AS173" s="307"/>
      <c r="AT173" s="307"/>
      <c r="AU173" s="307"/>
      <c r="AV173" s="307"/>
      <c r="AW173" s="307"/>
      <c r="AX173" s="307"/>
      <c r="AY173" s="307"/>
      <c r="AZ173" s="307"/>
      <c r="BA173" s="307"/>
      <c r="BB173" s="307"/>
      <c r="BC173" s="307"/>
      <c r="BD173" s="307"/>
      <c r="BE173" s="307"/>
      <c r="BF173" s="307"/>
      <c r="BG173" s="307"/>
      <c r="BH173" s="307"/>
      <c r="BI173" s="307"/>
      <c r="BJ173" s="307"/>
      <c r="BK173" s="307"/>
      <c r="BL173" s="307"/>
      <c r="BM173" s="307"/>
      <c r="BN173" s="307"/>
      <c r="BO173" s="307"/>
      <c r="BP173" s="307"/>
      <c r="BQ173" s="307"/>
      <c r="BR173" s="307"/>
      <c r="BS173" s="307"/>
      <c r="BT173" s="307"/>
      <c r="BU173" s="307"/>
      <c r="BV173" s="307"/>
      <c r="BW173" s="307"/>
      <c r="BX173" s="307"/>
      <c r="BY173" s="307"/>
      <c r="BZ173" s="307"/>
      <c r="CA173" s="307"/>
      <c r="CB173" s="307"/>
      <c r="CC173" s="307"/>
      <c r="CD173" s="307"/>
      <c r="CE173" s="307"/>
      <c r="CF173" s="307"/>
      <c r="CG173" s="307"/>
      <c r="CH173" s="307"/>
      <c r="CI173" s="307"/>
      <c r="CJ173" s="307"/>
      <c r="CK173" s="307"/>
      <c r="CL173" s="307"/>
      <c r="CM173" s="307"/>
      <c r="CN173" s="307"/>
      <c r="CO173" s="307"/>
      <c r="CP173" s="191"/>
      <c r="CQ173" s="191"/>
    </row>
    <row r="174" customFormat="false" ht="13.5" hidden="false" customHeight="false" outlineLevel="0" collapsed="false">
      <c r="A174" s="177"/>
      <c r="B174" s="284" t="s">
        <v>372</v>
      </c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82" t="n">
        <f aca="false">+M154</f>
        <v>607219.84962406</v>
      </c>
      <c r="N174" s="182" t="n">
        <f aca="false">+M174/N$8</f>
        <v>8433.60902255639</v>
      </c>
      <c r="O174" s="183" t="n">
        <f aca="false">+N174/N$11</f>
        <v>8.30079628204369</v>
      </c>
      <c r="P174" s="182" t="n">
        <f aca="false">+P154</f>
        <v>514450.15037594</v>
      </c>
      <c r="Q174" s="182" t="n">
        <f aca="false">+P174/Q$8</f>
        <v>8433.60902255639</v>
      </c>
      <c r="R174" s="183" t="n">
        <f aca="false">+Q174/Q$11</f>
        <v>6.95268674571838</v>
      </c>
      <c r="S174" s="334" t="n">
        <f aca="false">+S154</f>
        <v>1121670</v>
      </c>
      <c r="T174" s="255" t="n">
        <f aca="false">+S174/S$8</f>
        <v>8433.60902255639</v>
      </c>
      <c r="U174" s="181" t="n">
        <f aca="false">+S174/U$8</f>
        <v>7.62288898705359</v>
      </c>
      <c r="V174" s="330" t="n">
        <f aca="false">+S174/S$169</f>
        <v>0.0881606155324384</v>
      </c>
      <c r="W174" s="330" t="n">
        <f aca="false">+S174/TotalValue</f>
        <v>0.0723658086926186</v>
      </c>
      <c r="X174" s="330"/>
      <c r="Y174" s="330"/>
      <c r="Z174" s="330"/>
      <c r="AA174" s="330"/>
      <c r="AB174" s="178"/>
      <c r="AC174" s="178"/>
      <c r="AD174" s="330"/>
      <c r="AE174" s="126"/>
      <c r="AF174" s="335" t="s">
        <v>373</v>
      </c>
      <c r="AG174" s="336"/>
      <c r="AH174" s="336"/>
      <c r="AI174" s="336"/>
      <c r="AJ174" s="337"/>
      <c r="AK174" s="338" t="n">
        <f aca="false">+AK172+AK166</f>
        <v>574687.360267616</v>
      </c>
      <c r="AL174" s="338"/>
      <c r="AM174" s="338"/>
      <c r="AN174" s="338"/>
      <c r="AO174" s="338"/>
      <c r="AP174" s="338" t="n">
        <f aca="false">+AP172+AP166</f>
        <v>234022.219551838</v>
      </c>
      <c r="AQ174" s="338" t="n">
        <f aca="false">+AQ172+AQ166</f>
        <v>134010.595696536</v>
      </c>
      <c r="AR174" s="338" t="n">
        <f aca="false">+AR172+AR166</f>
        <v>105448.279625968</v>
      </c>
      <c r="AS174" s="338" t="n">
        <f aca="false">+AS172+AS166</f>
        <v>114738.693084156</v>
      </c>
      <c r="AT174" s="338" t="n">
        <f aca="false">+AT172+AT166</f>
        <v>135624.846637299</v>
      </c>
      <c r="AU174" s="338" t="n">
        <f aca="false">+AU172+AU166</f>
        <v>489822.415043959</v>
      </c>
      <c r="AV174" s="338" t="n">
        <f aca="false">+AV172+AV166</f>
        <v>320349.490828181</v>
      </c>
      <c r="AW174" s="338" t="n">
        <f aca="false">+AW172+AW166</f>
        <v>123640.677957547</v>
      </c>
      <c r="AX174" s="338" t="n">
        <f aca="false">+AX172+AX166</f>
        <v>188639.532000107</v>
      </c>
      <c r="AY174" s="338" t="n">
        <f aca="false">+AY172+AY166</f>
        <v>291226.326517155</v>
      </c>
      <c r="AZ174" s="338" t="n">
        <f aca="false">+AZ172+AZ166</f>
        <v>923856.02730299</v>
      </c>
      <c r="BA174" s="338" t="n">
        <f aca="false">+BA172+BA166</f>
        <v>267820.099588437</v>
      </c>
      <c r="BB174" s="338" t="n">
        <f aca="false">+BB172+BB166</f>
        <v>223565.156987665</v>
      </c>
      <c r="BC174" s="338" t="n">
        <f aca="false">+BC172+BC166</f>
        <v>389520.715044344</v>
      </c>
      <c r="BD174" s="338" t="n">
        <f aca="false">+BD172+BD166</f>
        <v>175079.989785225</v>
      </c>
      <c r="BE174" s="338" t="n">
        <f aca="false">+BE172+BE166</f>
        <v>1055985.96140567</v>
      </c>
      <c r="BF174" s="338" t="n">
        <f aca="false">+BF172+BF166</f>
        <v>454944.332978573</v>
      </c>
      <c r="BG174" s="338" t="n">
        <f aca="false">+BG172+BG166</f>
        <v>350275.085806345</v>
      </c>
      <c r="BH174" s="338" t="n">
        <f aca="false">+BH172+BH166</f>
        <v>237876.138610184</v>
      </c>
      <c r="BI174" s="338" t="n">
        <f aca="false">+BI172+BI166</f>
        <v>346318.515273689</v>
      </c>
      <c r="BJ174" s="338" t="n">
        <f aca="false">+BJ172+BJ166</f>
        <v>1389414.07266879</v>
      </c>
      <c r="BK174" s="338" t="n">
        <f aca="false">+BK172+BK166</f>
        <v>392726.116568264</v>
      </c>
      <c r="BL174" s="338" t="n">
        <f aca="false">+BL172+BL166</f>
        <v>260964.379495892</v>
      </c>
      <c r="BM174" s="338" t="n">
        <f aca="false">+BM172+BM166</f>
        <v>411883.117728837</v>
      </c>
      <c r="BN174" s="338" t="n">
        <f aca="false">+BN172+BN166</f>
        <v>368179.692094126</v>
      </c>
      <c r="BO174" s="338" t="n">
        <f aca="false">+BO172+BO166</f>
        <v>1433753.30588712</v>
      </c>
      <c r="BP174" s="338" t="n">
        <f aca="false">+BP172+BP166</f>
        <v>262114.580475865</v>
      </c>
      <c r="BQ174" s="338" t="n">
        <f aca="false">+BQ172+BQ166</f>
        <v>342393.714776757</v>
      </c>
      <c r="BR174" s="338" t="n">
        <f aca="false">+BR172+BR166</f>
        <v>338439.257070401</v>
      </c>
      <c r="BS174" s="338" t="n">
        <f aca="false">+BS172+BS166</f>
        <v>203955.655573971</v>
      </c>
      <c r="BT174" s="338" t="n">
        <f aca="false">+BT172+BT166</f>
        <v>1146903.20789699</v>
      </c>
      <c r="BU174" s="338" t="n">
        <f aca="false">+BU172+BU166</f>
        <v>378350.968453172</v>
      </c>
      <c r="BV174" s="338" t="n">
        <f aca="false">+BV172+BV166</f>
        <v>266939.291534959</v>
      </c>
      <c r="BW174" s="338" t="n">
        <f aca="false">+BW172+BW166</f>
        <v>132190.76679065</v>
      </c>
      <c r="BX174" s="338" t="n">
        <f aca="false">+BX172+BX166</f>
        <v>227517.864878382</v>
      </c>
      <c r="BY174" s="338" t="n">
        <f aca="false">+BY172+BY166</f>
        <v>1004998.89165716</v>
      </c>
      <c r="BZ174" s="338" t="n">
        <f aca="false">+BZ172+BZ166</f>
        <v>214028.742350029</v>
      </c>
      <c r="CA174" s="338" t="n">
        <f aca="false">+CA172+CA166</f>
        <v>118291.140866935</v>
      </c>
      <c r="CB174" s="338" t="n">
        <f aca="false">+CB172+CB166</f>
        <v>174975.339006061</v>
      </c>
      <c r="CC174" s="338" t="n">
        <f aca="false">+CC172+CC166</f>
        <v>121262.306516697</v>
      </c>
      <c r="CD174" s="338" t="n">
        <f aca="false">+CD172+CD166</f>
        <v>628557.528739722</v>
      </c>
      <c r="CE174" s="338" t="n">
        <f aca="false">+CE172+CE166</f>
        <v>108855.294841416</v>
      </c>
      <c r="CF174" s="338" t="n">
        <f aca="false">+CF172+CF166</f>
        <v>135067.688894244</v>
      </c>
      <c r="CG174" s="338" t="n">
        <f aca="false">+CG172+CG166</f>
        <v>23455.7226859204</v>
      </c>
      <c r="CH174" s="338" t="n">
        <f aca="false">+CH172+CH166</f>
        <v>52407.6884159565</v>
      </c>
      <c r="CI174" s="338" t="n">
        <f aca="false">+CI172+CI166</f>
        <v>319786.394837537</v>
      </c>
      <c r="CJ174" s="338" t="n">
        <f aca="false">+CJ172+CJ166</f>
        <v>65710.3697067364</v>
      </c>
      <c r="CK174" s="338" t="n">
        <f aca="false">+CK172+CK166</f>
        <v>23721.1735249365</v>
      </c>
      <c r="CL174" s="338" t="n">
        <f aca="false">+CL172+CL166</f>
        <v>173515.025725296</v>
      </c>
      <c r="CM174" s="338" t="n">
        <f aca="false">+CM172+CM166</f>
        <v>444627.735057748</v>
      </c>
      <c r="CN174" s="338" t="n">
        <f aca="false">+CN172+CN166</f>
        <v>707574.304014717</v>
      </c>
      <c r="CO174" s="339" t="n">
        <f aca="false">+CO172+CO166</f>
        <v>9909361.68927412</v>
      </c>
      <c r="CP174" s="338" t="n">
        <f aca="false">+CP172+CP166</f>
        <v>12723028.2278064</v>
      </c>
      <c r="CQ174" s="340" t="n">
        <f aca="false">+CO174/CP174</f>
        <v>0.778852448634598</v>
      </c>
    </row>
    <row r="175" customFormat="false" ht="13.5" hidden="false" customHeight="false" outlineLevel="0" collapsed="false">
      <c r="A175" s="177"/>
      <c r="B175" s="284" t="s">
        <v>374</v>
      </c>
      <c r="C175" s="309"/>
      <c r="D175" s="186" t="n">
        <f aca="false">Const_Profit</f>
        <v>0.15</v>
      </c>
      <c r="E175" s="309"/>
      <c r="F175" s="309"/>
      <c r="G175" s="309"/>
      <c r="H175" s="309"/>
      <c r="I175" s="309"/>
      <c r="J175" s="309"/>
      <c r="K175" s="309"/>
      <c r="L175" s="309"/>
      <c r="M175" s="193" t="n">
        <f aca="false">+M163</f>
        <v>703042.64287257</v>
      </c>
      <c r="N175" s="255" t="n">
        <f aca="false">+M175/N$8</f>
        <v>9764.48115100791</v>
      </c>
      <c r="O175" s="181" t="n">
        <f aca="false">+N175/N$11</f>
        <v>9.61070979429913</v>
      </c>
      <c r="P175" s="193" t="n">
        <f aca="false">+P163</f>
        <v>698332.714891275</v>
      </c>
      <c r="Q175" s="255" t="n">
        <f aca="false">+P175/Q$8</f>
        <v>11448.0772932996</v>
      </c>
      <c r="R175" s="181" t="n">
        <f aca="false">+Q175/Q$11</f>
        <v>9.43782134649594</v>
      </c>
      <c r="S175" s="187" t="n">
        <f aca="false">+S163</f>
        <v>1401375.35776384</v>
      </c>
      <c r="T175" s="195" t="n">
        <f aca="false">+S175/S$8</f>
        <v>10536.6568252921</v>
      </c>
      <c r="U175" s="181" t="n">
        <f aca="false">+S175/U$8</f>
        <v>9.52377150269356</v>
      </c>
      <c r="V175" s="330" t="n">
        <f aca="false">+S175/S$169</f>
        <v>0.110144796716014</v>
      </c>
      <c r="W175" s="330" t="n">
        <f aca="false">+S175/TotalValue</f>
        <v>0.0904113162039533</v>
      </c>
      <c r="X175" s="330"/>
      <c r="Y175" s="330"/>
      <c r="Z175" s="330"/>
      <c r="AA175" s="330"/>
      <c r="AB175" s="330"/>
      <c r="AC175" s="330"/>
      <c r="AD175" s="330"/>
      <c r="AE175" s="126"/>
      <c r="AF175" s="190" t="s">
        <v>375</v>
      </c>
      <c r="AG175" s="190"/>
      <c r="AH175" s="190"/>
      <c r="AI175" s="190"/>
      <c r="AJ175" s="190"/>
      <c r="AK175" s="321" t="n">
        <f aca="false">+AK174</f>
        <v>574687.360267616</v>
      </c>
      <c r="AL175" s="321"/>
      <c r="AM175" s="321"/>
      <c r="AN175" s="321"/>
      <c r="AO175" s="321"/>
      <c r="AP175" s="321" t="n">
        <f aca="false">+AK175+AP174</f>
        <v>808709.579819453</v>
      </c>
      <c r="AQ175" s="321" t="e">
        <f aca="false">+#REF!+#REF!</f>
        <v>#REF!</v>
      </c>
      <c r="AR175" s="321" t="e">
        <f aca="false">+#REF!+#REF!</f>
        <v>#REF!</v>
      </c>
      <c r="AS175" s="321" t="e">
        <f aca="false">+#REF!+#REF!</f>
        <v>#REF!</v>
      </c>
      <c r="AT175" s="321" t="e">
        <f aca="false">+#REF!+#REF!</f>
        <v>#REF!</v>
      </c>
      <c r="AU175" s="321" t="n">
        <f aca="false">+AP175+AU174</f>
        <v>1298531.99486341</v>
      </c>
      <c r="AV175" s="321" t="e">
        <f aca="false">+AQ175+AV174</f>
        <v>#REF!</v>
      </c>
      <c r="AW175" s="321" t="e">
        <f aca="false">+AR175+AW174</f>
        <v>#REF!</v>
      </c>
      <c r="AX175" s="321" t="e">
        <f aca="false">+AS175+AX174</f>
        <v>#REF!</v>
      </c>
      <c r="AY175" s="321" t="e">
        <f aca="false">+AT175+AY174</f>
        <v>#REF!</v>
      </c>
      <c r="AZ175" s="321" t="n">
        <f aca="false">+AU175+AZ174</f>
        <v>2222388.0221664</v>
      </c>
      <c r="BA175" s="321" t="e">
        <f aca="false">+AV175+BA174</f>
        <v>#REF!</v>
      </c>
      <c r="BB175" s="321" t="e">
        <f aca="false">+AW175+BB174</f>
        <v>#REF!</v>
      </c>
      <c r="BC175" s="321" t="e">
        <f aca="false">+AX175+BC174</f>
        <v>#REF!</v>
      </c>
      <c r="BD175" s="321" t="e">
        <f aca="false">+AY175+BD174</f>
        <v>#REF!</v>
      </c>
      <c r="BE175" s="321" t="n">
        <f aca="false">+AZ175+BE174</f>
        <v>3278373.98357207</v>
      </c>
      <c r="BF175" s="321" t="e">
        <f aca="false">+BA175+BF174</f>
        <v>#REF!</v>
      </c>
      <c r="BG175" s="321" t="e">
        <f aca="false">+BB175+BG174</f>
        <v>#REF!</v>
      </c>
      <c r="BH175" s="321" t="e">
        <f aca="false">+BC175+BH174</f>
        <v>#REF!</v>
      </c>
      <c r="BI175" s="321" t="e">
        <f aca="false">+BD175+BI174</f>
        <v>#REF!</v>
      </c>
      <c r="BJ175" s="321" t="n">
        <f aca="false">+BE175+BJ174</f>
        <v>4667788.05624086</v>
      </c>
      <c r="BK175" s="321" t="e">
        <f aca="false">+BF175+BK174</f>
        <v>#REF!</v>
      </c>
      <c r="BL175" s="321" t="e">
        <f aca="false">+BG175+BL174</f>
        <v>#REF!</v>
      </c>
      <c r="BM175" s="321" t="e">
        <f aca="false">+BH175+BM174</f>
        <v>#REF!</v>
      </c>
      <c r="BN175" s="321" t="e">
        <f aca="false">+BI175+BN174</f>
        <v>#REF!</v>
      </c>
      <c r="BO175" s="321" t="n">
        <f aca="false">+BJ175+BO174</f>
        <v>6101541.36212798</v>
      </c>
      <c r="BP175" s="321" t="e">
        <f aca="false">+BK175+BP174</f>
        <v>#REF!</v>
      </c>
      <c r="BQ175" s="321" t="e">
        <f aca="false">+BL175+BQ174</f>
        <v>#REF!</v>
      </c>
      <c r="BR175" s="321" t="e">
        <f aca="false">+BM175+BR174</f>
        <v>#REF!</v>
      </c>
      <c r="BS175" s="321" t="e">
        <f aca="false">+BN175+BS174</f>
        <v>#REF!</v>
      </c>
      <c r="BT175" s="321" t="n">
        <f aca="false">+BO175+BT174</f>
        <v>7248444.57002498</v>
      </c>
      <c r="BU175" s="321" t="e">
        <f aca="false">+BP175+BU174</f>
        <v>#REF!</v>
      </c>
      <c r="BV175" s="321" t="e">
        <f aca="false">+BQ175+BV174</f>
        <v>#REF!</v>
      </c>
      <c r="BW175" s="321" t="e">
        <f aca="false">+BR175+BW174</f>
        <v>#REF!</v>
      </c>
      <c r="BX175" s="321" t="e">
        <f aca="false">+BS175+BX174</f>
        <v>#REF!</v>
      </c>
      <c r="BY175" s="321" t="n">
        <f aca="false">+BT175+BY174</f>
        <v>8253443.46168214</v>
      </c>
      <c r="BZ175" s="321" t="e">
        <f aca="false">+BU175+BZ174</f>
        <v>#REF!</v>
      </c>
      <c r="CA175" s="321" t="e">
        <f aca="false">+BV175+CA174</f>
        <v>#REF!</v>
      </c>
      <c r="CB175" s="321" t="e">
        <f aca="false">+BW175+CB174</f>
        <v>#REF!</v>
      </c>
      <c r="CC175" s="321" t="e">
        <f aca="false">+BX175+CC174</f>
        <v>#REF!</v>
      </c>
      <c r="CD175" s="321" t="n">
        <f aca="false">+BY175+CD174</f>
        <v>8882000.99042186</v>
      </c>
      <c r="CE175" s="321" t="e">
        <f aca="false">+BZ175+CE174</f>
        <v>#REF!</v>
      </c>
      <c r="CF175" s="321" t="e">
        <f aca="false">+CA175+CF174</f>
        <v>#REF!</v>
      </c>
      <c r="CG175" s="321" t="e">
        <f aca="false">+CB175+CG174</f>
        <v>#REF!</v>
      </c>
      <c r="CH175" s="321" t="e">
        <f aca="false">+CC175+CH174</f>
        <v>#REF!</v>
      </c>
      <c r="CI175" s="321" t="n">
        <f aca="false">+CD175+CI174</f>
        <v>9201787.3852594</v>
      </c>
      <c r="CJ175" s="321" t="e">
        <f aca="false">+CE175+CJ174</f>
        <v>#REF!</v>
      </c>
      <c r="CK175" s="321" t="e">
        <f aca="false">+CF175+CK174</f>
        <v>#REF!</v>
      </c>
      <c r="CL175" s="321" t="e">
        <f aca="false">+CG175+CL174</f>
        <v>#REF!</v>
      </c>
      <c r="CM175" s="321" t="e">
        <f aca="false">+CH175+CM174</f>
        <v>#REF!</v>
      </c>
      <c r="CN175" s="321" t="n">
        <f aca="false">+CI175+CN174</f>
        <v>9909361.68927411</v>
      </c>
      <c r="CO175" s="321"/>
      <c r="CP175" s="191"/>
      <c r="CQ175" s="191"/>
    </row>
    <row r="176" customFormat="false" ht="13.5" hidden="false" customHeight="false" outlineLevel="0" collapsed="false">
      <c r="A176" s="177"/>
      <c r="B176" s="199" t="s">
        <v>376</v>
      </c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341" t="n">
        <f aca="false">+M169-M174-M175</f>
        <v>5151150.91426138</v>
      </c>
      <c r="N176" s="342" t="n">
        <f aca="false">+M176/N$8</f>
        <v>71543.7626980747</v>
      </c>
      <c r="O176" s="343" t="n">
        <f aca="false">+N176/N$11</f>
        <v>70.4170892697585</v>
      </c>
      <c r="P176" s="341" t="n">
        <f aca="false">+P169-P174-P175</f>
        <v>5048831.95578117</v>
      </c>
      <c r="Q176" s="342" t="n">
        <f aca="false">+P176/Q$8</f>
        <v>82767.7369800191</v>
      </c>
      <c r="R176" s="343" t="n">
        <f aca="false">+Q176/Q$11</f>
        <v>68.2339134212854</v>
      </c>
      <c r="S176" s="341" t="n">
        <f aca="false">+S169-S174-S175</f>
        <v>10199982.8700425</v>
      </c>
      <c r="T176" s="342" t="n">
        <f aca="false">+S176/S$8</f>
        <v>76691.6005266357</v>
      </c>
      <c r="U176" s="343" t="n">
        <f aca="false">+S176/U$8</f>
        <v>69.3192624285062</v>
      </c>
      <c r="V176" s="344" t="n">
        <f aca="false">+S176/S$169</f>
        <v>0.801694587751548</v>
      </c>
      <c r="W176" s="344" t="n">
        <f aca="false">+S176/TotalValue</f>
        <v>0.658063431349225</v>
      </c>
      <c r="X176" s="330"/>
      <c r="Y176" s="330"/>
      <c r="Z176" s="330"/>
      <c r="AA176" s="330"/>
      <c r="AB176" s="330"/>
      <c r="AC176" s="330"/>
      <c r="AD176" s="330"/>
      <c r="AE176" s="126"/>
      <c r="AF176" s="190" t="s">
        <v>377</v>
      </c>
      <c r="AG176" s="190"/>
      <c r="AH176" s="190"/>
      <c r="AI176" s="190"/>
      <c r="AJ176" s="190"/>
      <c r="AK176" s="192" t="n">
        <f aca="false">AK175/TotalCost</f>
        <v>0.0451690706000028</v>
      </c>
      <c r="AL176" s="190"/>
      <c r="AM176" s="191"/>
      <c r="AN176" s="191"/>
      <c r="AO176" s="191"/>
      <c r="AP176" s="192" t="n">
        <f aca="false">AP175/TotalCost</f>
        <v>0.0635626649048852</v>
      </c>
      <c r="AQ176" s="192" t="e">
        <f aca="false">AQ175/TotalCost</f>
        <v>#REF!</v>
      </c>
      <c r="AR176" s="192" t="e">
        <f aca="false">AR175/TotalCost</f>
        <v>#REF!</v>
      </c>
      <c r="AS176" s="192" t="e">
        <f aca="false">AS175/TotalCost</f>
        <v>#REF!</v>
      </c>
      <c r="AT176" s="192" t="e">
        <f aca="false">AT175/TotalCost</f>
        <v>#REF!</v>
      </c>
      <c r="AU176" s="192" t="n">
        <f aca="false">AU175/TotalCost</f>
        <v>0.102061551040612</v>
      </c>
      <c r="AV176" s="192" t="e">
        <f aca="false">AV175/TotalCost</f>
        <v>#REF!</v>
      </c>
      <c r="AW176" s="192" t="e">
        <f aca="false">AW175/TotalCost</f>
        <v>#REF!</v>
      </c>
      <c r="AX176" s="192" t="e">
        <f aca="false">AX175/TotalCost</f>
        <v>#REF!</v>
      </c>
      <c r="AY176" s="192" t="e">
        <f aca="false">AY175/TotalCost</f>
        <v>#REF!</v>
      </c>
      <c r="AZ176" s="192" t="n">
        <f aca="false">AZ175/TotalCost</f>
        <v>0.174674455041241</v>
      </c>
      <c r="BA176" s="192" t="e">
        <f aca="false">BA175/TotalCost</f>
        <v>#REF!</v>
      </c>
      <c r="BB176" s="192" t="e">
        <f aca="false">BB175/TotalCost</f>
        <v>#REF!</v>
      </c>
      <c r="BC176" s="192" t="e">
        <f aca="false">BC175/TotalCost</f>
        <v>#REF!</v>
      </c>
      <c r="BD176" s="192" t="e">
        <f aca="false">BD175/TotalCost</f>
        <v>#REF!</v>
      </c>
      <c r="BE176" s="192" t="n">
        <f aca="false">BE175/TotalCost</f>
        <v>0.257672460115048</v>
      </c>
      <c r="BF176" s="192" t="e">
        <f aca="false">BF175/TotalCost</f>
        <v>#REF!</v>
      </c>
      <c r="BG176" s="192" t="e">
        <f aca="false">BG175/TotalCost</f>
        <v>#REF!</v>
      </c>
      <c r="BH176" s="192" t="e">
        <f aca="false">BH175/TotalCost</f>
        <v>#REF!</v>
      </c>
      <c r="BI176" s="192" t="e">
        <f aca="false">BI175/TotalCost</f>
        <v>#REF!</v>
      </c>
      <c r="BJ176" s="192" t="n">
        <f aca="false">BJ175/TotalCost</f>
        <v>0.36687712804404</v>
      </c>
      <c r="BK176" s="192" t="e">
        <f aca="false">BK175/TotalCost</f>
        <v>#REF!</v>
      </c>
      <c r="BL176" s="192" t="e">
        <f aca="false">BL175/TotalCost</f>
        <v>#REF!</v>
      </c>
      <c r="BM176" s="192" t="e">
        <f aca="false">BM175/TotalCost</f>
        <v>#REF!</v>
      </c>
      <c r="BN176" s="192" t="e">
        <f aca="false">BN175/TotalCost</f>
        <v>#REF!</v>
      </c>
      <c r="BO176" s="192" t="n">
        <f aca="false">BO175/TotalCost</f>
        <v>0.479566755090032</v>
      </c>
      <c r="BP176" s="192" t="e">
        <f aca="false">BP175/TotalCost</f>
        <v>#REF!</v>
      </c>
      <c r="BQ176" s="192" t="e">
        <f aca="false">BQ175/TotalCost</f>
        <v>#REF!</v>
      </c>
      <c r="BR176" s="192" t="e">
        <f aca="false">BR175/TotalCost</f>
        <v>#REF!</v>
      </c>
      <c r="BS176" s="192" t="e">
        <f aca="false">BS175/TotalCost</f>
        <v>#REF!</v>
      </c>
      <c r="BT176" s="192" t="n">
        <f aca="false">BT175/TotalCost</f>
        <v>0.569710641227957</v>
      </c>
      <c r="BU176" s="192" t="e">
        <f aca="false">BU175/TotalCost</f>
        <v>#REF!</v>
      </c>
      <c r="BV176" s="192" t="e">
        <f aca="false">BV175/TotalCost</f>
        <v>#REF!</v>
      </c>
      <c r="BW176" s="192" t="e">
        <f aca="false">BW175/TotalCost</f>
        <v>#REF!</v>
      </c>
      <c r="BX176" s="192" t="e">
        <f aca="false">BX175/TotalCost</f>
        <v>#REF!</v>
      </c>
      <c r="BY176" s="192" t="n">
        <f aca="false">BY175/TotalCost</f>
        <v>0.648701182918395</v>
      </c>
      <c r="BZ176" s="192" t="e">
        <f aca="false">BZ175/TotalCost</f>
        <v>#REF!</v>
      </c>
      <c r="CA176" s="192" t="e">
        <f aca="false">CA175/TotalCost</f>
        <v>#REF!</v>
      </c>
      <c r="CB176" s="192" t="e">
        <f aca="false">CB175/TotalCost</f>
        <v>#REF!</v>
      </c>
      <c r="CC176" s="192" t="e">
        <f aca="false">CC175/TotalCost</f>
        <v>#REF!</v>
      </c>
      <c r="CD176" s="192" t="n">
        <f aca="false">CD175/TotalCost</f>
        <v>0.698104321659061</v>
      </c>
      <c r="CE176" s="192" t="e">
        <f aca="false">CE175/TotalCost</f>
        <v>#REF!</v>
      </c>
      <c r="CF176" s="192" t="e">
        <f aca="false">CF175/TotalCost</f>
        <v>#REF!</v>
      </c>
      <c r="CG176" s="192" t="e">
        <f aca="false">CG175/TotalCost</f>
        <v>#REF!</v>
      </c>
      <c r="CH176" s="192" t="e">
        <f aca="false">CH175/TotalCost</f>
        <v>#REF!</v>
      </c>
      <c r="CI176" s="192" t="n">
        <f aca="false">CI175/TotalCost</f>
        <v>0.723238777789453</v>
      </c>
      <c r="CJ176" s="192" t="e">
        <f aca="false">CJ175/TotalCost</f>
        <v>#REF!</v>
      </c>
      <c r="CK176" s="192" t="e">
        <f aca="false">CK175/TotalCost</f>
        <v>#REF!</v>
      </c>
      <c r="CL176" s="192" t="e">
        <f aca="false">CL175/TotalCost</f>
        <v>#REF!</v>
      </c>
      <c r="CM176" s="192" t="e">
        <f aca="false">CM175/TotalCost</f>
        <v>#REF!</v>
      </c>
      <c r="CN176" s="192" t="n">
        <f aca="false">CN175/TotalCost</f>
        <v>0.778852448634598</v>
      </c>
      <c r="CO176" s="345" t="n">
        <f aca="false">CO174/TotalCost</f>
        <v>0.778852448634598</v>
      </c>
      <c r="CP176" s="191"/>
      <c r="CQ176" s="191"/>
    </row>
    <row r="177" customFormat="false" ht="12.75" hidden="false" customHeight="false" outlineLevel="0" collapsed="false">
      <c r="A177" s="177"/>
      <c r="B177" s="178"/>
      <c r="C177" s="177"/>
      <c r="D177" s="177"/>
      <c r="E177" s="177"/>
      <c r="F177" s="177"/>
      <c r="G177" s="177"/>
      <c r="H177" s="177"/>
      <c r="I177" s="177"/>
      <c r="J177" s="177"/>
      <c r="K177" s="177"/>
      <c r="L177" s="177"/>
      <c r="M177" s="177"/>
      <c r="N177" s="177"/>
      <c r="O177" s="177"/>
      <c r="P177" s="177"/>
      <c r="Q177" s="177"/>
      <c r="R177" s="177"/>
      <c r="S177" s="178"/>
      <c r="T177" s="177"/>
      <c r="U177" s="177"/>
      <c r="V177" s="177"/>
      <c r="W177" s="178"/>
      <c r="X177" s="178"/>
      <c r="Y177" s="178"/>
      <c r="Z177" s="178"/>
      <c r="AA177" s="178"/>
      <c r="AB177" s="330"/>
      <c r="AC177" s="330"/>
      <c r="AD177" s="178"/>
      <c r="AE177" s="126"/>
      <c r="AF177" s="190" t="s">
        <v>378</v>
      </c>
      <c r="AG177" s="190"/>
      <c r="AH177" s="190"/>
      <c r="AI177" s="190"/>
      <c r="AJ177" s="190"/>
      <c r="AK177" s="192" t="n">
        <f aca="false">AK175/TotalValue</f>
        <v>0.037076605036412</v>
      </c>
      <c r="AL177" s="190"/>
      <c r="AM177" s="191"/>
      <c r="AN177" s="191"/>
      <c r="AO177" s="191"/>
      <c r="AP177" s="192" t="n">
        <f aca="false">AP175/TotalValue</f>
        <v>0.0521748132169912</v>
      </c>
      <c r="AQ177" s="192" t="e">
        <f aca="false">AQ175/TotalValue</f>
        <v>#REF!</v>
      </c>
      <c r="AR177" s="192" t="e">
        <f aca="false">AR175/TotalValue</f>
        <v>#REF!</v>
      </c>
      <c r="AS177" s="192" t="e">
        <f aca="false">AS175/TotalValue</f>
        <v>#REF!</v>
      </c>
      <c r="AT177" s="192" t="e">
        <f aca="false">AT175/TotalValue</f>
        <v>#REF!</v>
      </c>
      <c r="AU177" s="192" t="n">
        <f aca="false">AU175/TotalValue</f>
        <v>0.083776260327485</v>
      </c>
      <c r="AV177" s="192" t="e">
        <f aca="false">AV175/TotalValue</f>
        <v>#REF!</v>
      </c>
      <c r="AW177" s="192" t="e">
        <f aca="false">AW175/TotalValue</f>
        <v>#REF!</v>
      </c>
      <c r="AX177" s="192" t="e">
        <f aca="false">AX175/TotalValue</f>
        <v>#REF!</v>
      </c>
      <c r="AY177" s="192" t="e">
        <f aca="false">AY175/TotalValue</f>
        <v>#REF!</v>
      </c>
      <c r="AZ177" s="192" t="n">
        <f aca="false">AZ175/TotalValue</f>
        <v>0.143379876837983</v>
      </c>
      <c r="BA177" s="192" t="e">
        <f aca="false">BA175/TotalValue</f>
        <v>#REF!</v>
      </c>
      <c r="BB177" s="192" t="e">
        <f aca="false">BB175/TotalValue</f>
        <v>#REF!</v>
      </c>
      <c r="BC177" s="192" t="e">
        <f aca="false">BC175/TotalValue</f>
        <v>#REF!</v>
      </c>
      <c r="BD177" s="192" t="e">
        <f aca="false">BD175/TotalValue</f>
        <v>#REF!</v>
      </c>
      <c r="BE177" s="192" t="n">
        <f aca="false">BE175/TotalValue</f>
        <v>0.211508005490059</v>
      </c>
      <c r="BF177" s="192" t="e">
        <f aca="false">BF175/TotalValue</f>
        <v>#REF!</v>
      </c>
      <c r="BG177" s="192" t="e">
        <f aca="false">BG175/TotalValue</f>
        <v>#REF!</v>
      </c>
      <c r="BH177" s="192" t="e">
        <f aca="false">BH175/TotalValue</f>
        <v>#REF!</v>
      </c>
      <c r="BI177" s="192" t="e">
        <f aca="false">BI175/TotalValue</f>
        <v>#REF!</v>
      </c>
      <c r="BJ177" s="192" t="n">
        <f aca="false">BJ175/TotalValue</f>
        <v>0.301147625857531</v>
      </c>
      <c r="BK177" s="192" t="e">
        <f aca="false">BK175/TotalValue</f>
        <v>#REF!</v>
      </c>
      <c r="BL177" s="192" t="e">
        <f aca="false">BL175/TotalValue</f>
        <v>#REF!</v>
      </c>
      <c r="BM177" s="192" t="e">
        <f aca="false">BM175/TotalValue</f>
        <v>#REF!</v>
      </c>
      <c r="BN177" s="192" t="e">
        <f aca="false">BN175/TotalValue</f>
        <v>#REF!</v>
      </c>
      <c r="BO177" s="192" t="n">
        <f aca="false">BO175/TotalValue</f>
        <v>0.393647842005093</v>
      </c>
      <c r="BP177" s="192" t="e">
        <f aca="false">BP175/TotalValue</f>
        <v>#REF!</v>
      </c>
      <c r="BQ177" s="192" t="e">
        <f aca="false">BQ175/TotalValue</f>
        <v>#REF!</v>
      </c>
      <c r="BR177" s="192" t="e">
        <f aca="false">BR175/TotalValue</f>
        <v>#REF!</v>
      </c>
      <c r="BS177" s="192" t="e">
        <f aca="false">BS175/TotalValue</f>
        <v>#REF!</v>
      </c>
      <c r="BT177" s="192" t="n">
        <f aca="false">BT175/TotalValue</f>
        <v>0.467641599644706</v>
      </c>
      <c r="BU177" s="192" t="e">
        <f aca="false">BU175/TotalValue</f>
        <v>#REF!</v>
      </c>
      <c r="BV177" s="192" t="e">
        <f aca="false">BV175/TotalValue</f>
        <v>#REF!</v>
      </c>
      <c r="BW177" s="192" t="e">
        <f aca="false">BW175/TotalValue</f>
        <v>#REF!</v>
      </c>
      <c r="BX177" s="192" t="e">
        <f aca="false">BX175/TotalValue</f>
        <v>#REF!</v>
      </c>
      <c r="BY177" s="192" t="n">
        <f aca="false">BY175/TotalValue</f>
        <v>0.532480239824042</v>
      </c>
      <c r="BZ177" s="192" t="e">
        <f aca="false">BZ175/TotalValue</f>
        <v>#REF!</v>
      </c>
      <c r="CA177" s="192" t="e">
        <f aca="false">CA175/TotalValue</f>
        <v>#REF!</v>
      </c>
      <c r="CB177" s="192" t="e">
        <f aca="false">CB175/TotalValue</f>
        <v>#REF!</v>
      </c>
      <c r="CC177" s="192" t="e">
        <f aca="false">CC175/TotalValue</f>
        <v>#REF!</v>
      </c>
      <c r="CD177" s="192" t="n">
        <f aca="false">CD175/TotalValue</f>
        <v>0.573032339708218</v>
      </c>
      <c r="CE177" s="192" t="e">
        <f aca="false">CE175/TotalValue</f>
        <v>#REF!</v>
      </c>
      <c r="CF177" s="192" t="e">
        <f aca="false">CF175/TotalValue</f>
        <v>#REF!</v>
      </c>
      <c r="CG177" s="192" t="e">
        <f aca="false">CG175/TotalValue</f>
        <v>#REF!</v>
      </c>
      <c r="CH177" s="192" t="e">
        <f aca="false">CH175/TotalValue</f>
        <v>#REF!</v>
      </c>
      <c r="CI177" s="192" t="n">
        <f aca="false">CI175/TotalValue</f>
        <v>0.593663720659225</v>
      </c>
      <c r="CJ177" s="192" t="e">
        <f aca="false">CJ175/TotalValue</f>
        <v>#REF!</v>
      </c>
      <c r="CK177" s="192" t="e">
        <f aca="false">CK175/TotalValue</f>
        <v>#REF!</v>
      </c>
      <c r="CL177" s="192" t="e">
        <f aca="false">CL175/TotalValue</f>
        <v>#REF!</v>
      </c>
      <c r="CM177" s="192" t="e">
        <f aca="false">CM175/TotalValue</f>
        <v>#REF!</v>
      </c>
      <c r="CN177" s="192" t="n">
        <f aca="false">CN175/TotalValue</f>
        <v>0.639313677170625</v>
      </c>
      <c r="CO177" s="345" t="n">
        <f aca="false">CO174/TotalValue</f>
        <v>0.639313677170625</v>
      </c>
      <c r="CP177" s="191"/>
      <c r="CQ177" s="191"/>
    </row>
    <row r="178" customFormat="false" ht="12.75" hidden="false" customHeight="false" outlineLevel="0" collapsed="false">
      <c r="A178" s="125"/>
      <c r="C178" s="125"/>
      <c r="D178" s="125"/>
      <c r="E178" s="125"/>
      <c r="F178" s="125"/>
      <c r="G178" s="125"/>
      <c r="H178" s="125"/>
      <c r="I178" s="125"/>
      <c r="J178" s="125"/>
      <c r="K178" s="125"/>
      <c r="L178" s="125"/>
      <c r="M178" s="125"/>
      <c r="N178" s="125"/>
      <c r="O178" s="125"/>
      <c r="P178" s="125"/>
      <c r="Q178" s="125"/>
      <c r="R178" s="125"/>
      <c r="T178" s="125"/>
      <c r="U178" s="125"/>
      <c r="V178" s="125"/>
      <c r="W178" s="126"/>
      <c r="X178" s="126"/>
      <c r="Y178" s="126"/>
      <c r="Z178" s="126"/>
      <c r="AA178" s="126"/>
      <c r="AB178" s="178"/>
      <c r="AC178" s="178"/>
      <c r="AD178" s="126"/>
      <c r="AE178" s="126"/>
    </row>
    <row r="179" customFormat="false" ht="12.75" hidden="false" customHeight="false" outlineLevel="0" collapsed="false">
      <c r="A179" s="125"/>
      <c r="B179" s="0"/>
      <c r="C179" s="0"/>
      <c r="D179" s="0"/>
      <c r="E179" s="0"/>
      <c r="F179" s="0"/>
      <c r="G179" s="0"/>
      <c r="H179" s="0"/>
      <c r="I179" s="0"/>
      <c r="J179" s="0"/>
      <c r="K179" s="0"/>
      <c r="L179" s="0"/>
      <c r="M179" s="0"/>
      <c r="N179" s="0"/>
      <c r="O179" s="0"/>
      <c r="P179" s="0"/>
      <c r="Q179" s="0"/>
      <c r="R179" s="0"/>
      <c r="S179" s="0"/>
      <c r="T179" s="0"/>
      <c r="U179" s="0"/>
      <c r="V179" s="0"/>
      <c r="W179" s="0"/>
      <c r="X179" s="0"/>
      <c r="Y179" s="0"/>
      <c r="Z179" s="0"/>
      <c r="AA179" s="0"/>
      <c r="AB179" s="126"/>
      <c r="AC179" s="126"/>
      <c r="AD179" s="0"/>
      <c r="AE179" s="126"/>
    </row>
    <row r="180" customFormat="false" ht="12.75" hidden="false" customHeight="false" outlineLevel="0" collapsed="false">
      <c r="B180" s="0"/>
      <c r="C180" s="0"/>
      <c r="D180" s="0"/>
      <c r="E180" s="0"/>
      <c r="F180" s="0"/>
      <c r="G180" s="0"/>
      <c r="H180" s="0"/>
      <c r="I180" s="0"/>
      <c r="J180" s="0"/>
      <c r="K180" s="0"/>
      <c r="L180" s="0"/>
      <c r="M180" s="0"/>
      <c r="N180" s="0"/>
      <c r="O180" s="0"/>
      <c r="P180" s="0"/>
      <c r="Q180" s="0"/>
      <c r="R180" s="0"/>
      <c r="S180" s="0"/>
      <c r="T180" s="0"/>
      <c r="U180" s="0"/>
      <c r="V180" s="0"/>
      <c r="W180" s="0"/>
      <c r="X180" s="0"/>
      <c r="Y180" s="0"/>
      <c r="Z180" s="0"/>
      <c r="AA180" s="0"/>
      <c r="AB180" s="0"/>
      <c r="AC180" s="0"/>
      <c r="AD180" s="0"/>
    </row>
    <row r="181" customFormat="false" ht="12.75" hidden="false" customHeight="false" outlineLevel="0" collapsed="false">
      <c r="B181" s="0"/>
      <c r="C181" s="0"/>
      <c r="D181" s="0"/>
      <c r="E181" s="0"/>
      <c r="F181" s="0"/>
      <c r="G181" s="0"/>
      <c r="H181" s="0"/>
      <c r="I181" s="0"/>
      <c r="J181" s="0"/>
      <c r="K181" s="0"/>
      <c r="L181" s="0"/>
      <c r="M181" s="0"/>
      <c r="N181" s="0"/>
      <c r="O181" s="0"/>
      <c r="P181" s="0"/>
      <c r="Q181" s="0"/>
      <c r="R181" s="0"/>
      <c r="S181" s="0"/>
      <c r="T181" s="0"/>
      <c r="U181" s="0"/>
      <c r="V181" s="0"/>
      <c r="W181" s="0"/>
      <c r="X181" s="0"/>
      <c r="Y181" s="0"/>
      <c r="Z181" s="0"/>
      <c r="AA181" s="0"/>
      <c r="AB181" s="0"/>
      <c r="AC181" s="0"/>
      <c r="AD181" s="0"/>
    </row>
    <row r="182" customFormat="false" ht="12.75" hidden="false" customHeight="false" outlineLevel="0" collapsed="false">
      <c r="B182" s="0"/>
      <c r="C182" s="0"/>
      <c r="D182" s="0"/>
      <c r="E182" s="0"/>
      <c r="F182" s="0"/>
      <c r="G182" s="0"/>
      <c r="H182" s="0"/>
      <c r="I182" s="0"/>
      <c r="J182" s="0"/>
      <c r="K182" s="0"/>
      <c r="L182" s="0"/>
      <c r="M182" s="0"/>
      <c r="N182" s="0"/>
      <c r="O182" s="0"/>
      <c r="P182" s="0"/>
      <c r="Q182" s="0"/>
      <c r="R182" s="0"/>
      <c r="S182" s="0"/>
      <c r="T182" s="0"/>
      <c r="U182" s="0"/>
      <c r="V182" s="0"/>
      <c r="W182" s="0"/>
      <c r="X182" s="0"/>
      <c r="Y182" s="0"/>
      <c r="Z182" s="0"/>
      <c r="AA182" s="0"/>
      <c r="AB182" s="0"/>
      <c r="AC182" s="0"/>
      <c r="AD182" s="0"/>
    </row>
    <row r="183" customFormat="false" ht="12.75" hidden="false" customHeight="false" outlineLevel="0" collapsed="false">
      <c r="B183" s="0"/>
      <c r="C183" s="0"/>
      <c r="D183" s="0"/>
      <c r="E183" s="0"/>
      <c r="F183" s="0"/>
      <c r="G183" s="0"/>
      <c r="H183" s="0"/>
      <c r="I183" s="0"/>
      <c r="J183" s="0"/>
      <c r="K183" s="0"/>
      <c r="L183" s="0"/>
      <c r="M183" s="0"/>
      <c r="N183" s="0"/>
      <c r="O183" s="0"/>
      <c r="P183" s="0"/>
      <c r="Q183" s="0"/>
      <c r="R183" s="0"/>
      <c r="S183" s="0"/>
      <c r="T183" s="0"/>
      <c r="U183" s="0"/>
      <c r="V183" s="0"/>
      <c r="W183" s="0"/>
      <c r="X183" s="0"/>
      <c r="Y183" s="0"/>
      <c r="Z183" s="0"/>
      <c r="AA183" s="0"/>
      <c r="AB183" s="0"/>
      <c r="AC183" s="0"/>
      <c r="AD183" s="0"/>
    </row>
    <row r="184" customFormat="false" ht="12.75" hidden="false" customHeight="false" outlineLevel="0" collapsed="false">
      <c r="B184" s="0"/>
      <c r="C184" s="0"/>
      <c r="D184" s="0"/>
      <c r="E184" s="0"/>
      <c r="F184" s="0"/>
      <c r="G184" s="0"/>
      <c r="H184" s="0"/>
      <c r="I184" s="0"/>
      <c r="J184" s="0"/>
      <c r="K184" s="0"/>
      <c r="L184" s="0"/>
      <c r="M184" s="0"/>
      <c r="N184" s="0"/>
      <c r="O184" s="0"/>
      <c r="P184" s="0"/>
      <c r="Q184" s="0"/>
      <c r="R184" s="0"/>
      <c r="S184" s="0"/>
      <c r="T184" s="0"/>
      <c r="U184" s="0"/>
      <c r="V184" s="0"/>
      <c r="W184" s="0"/>
      <c r="X184" s="0"/>
      <c r="Y184" s="0"/>
      <c r="Z184" s="0"/>
      <c r="AA184" s="0"/>
      <c r="AB184" s="0"/>
      <c r="AC184" s="0"/>
      <c r="AD184" s="0"/>
    </row>
    <row r="185" customFormat="false" ht="12.75" hidden="false" customHeight="false" outlineLevel="0" collapsed="false">
      <c r="B185" s="0"/>
      <c r="C185" s="0"/>
      <c r="D185" s="0"/>
      <c r="E185" s="0"/>
      <c r="F185" s="0"/>
      <c r="G185" s="0"/>
      <c r="H185" s="0"/>
      <c r="I185" s="0"/>
      <c r="J185" s="0"/>
      <c r="K185" s="0"/>
      <c r="L185" s="0"/>
      <c r="M185" s="0"/>
      <c r="N185" s="0"/>
      <c r="O185" s="0"/>
      <c r="P185" s="0"/>
      <c r="Q185" s="0"/>
      <c r="R185" s="0"/>
      <c r="S185" s="0"/>
      <c r="T185" s="0"/>
      <c r="U185" s="0"/>
      <c r="V185" s="0"/>
      <c r="W185" s="0"/>
      <c r="X185" s="0"/>
      <c r="Y185" s="0"/>
      <c r="Z185" s="0"/>
      <c r="AA185" s="0"/>
      <c r="AB185" s="0"/>
      <c r="AC185" s="0"/>
      <c r="AD185" s="0"/>
    </row>
    <row r="186" customFormat="false" ht="12.75" hidden="false" customHeight="false" outlineLevel="0" collapsed="false">
      <c r="B186" s="0"/>
      <c r="C186" s="0"/>
      <c r="D186" s="0"/>
      <c r="E186" s="0"/>
      <c r="F186" s="0"/>
      <c r="G186" s="0"/>
      <c r="H186" s="0"/>
      <c r="I186" s="0"/>
      <c r="J186" s="0"/>
      <c r="K186" s="0"/>
      <c r="L186" s="0"/>
      <c r="M186" s="0"/>
      <c r="N186" s="0"/>
      <c r="O186" s="0"/>
      <c r="P186" s="0"/>
      <c r="Q186" s="0"/>
      <c r="R186" s="0"/>
      <c r="S186" s="0"/>
      <c r="T186" s="0"/>
      <c r="U186" s="0"/>
      <c r="V186" s="0"/>
      <c r="W186" s="0"/>
      <c r="X186" s="0"/>
      <c r="Y186" s="0"/>
      <c r="Z186" s="0"/>
      <c r="AA186" s="0"/>
      <c r="AB186" s="0"/>
      <c r="AC186" s="0"/>
      <c r="AD186" s="0"/>
    </row>
    <row r="187" customFormat="false" ht="12.75" hidden="false" customHeight="false" outlineLevel="0" collapsed="false">
      <c r="B187" s="0"/>
      <c r="C187" s="0"/>
      <c r="D187" s="0"/>
      <c r="E187" s="0"/>
      <c r="F187" s="0"/>
      <c r="G187" s="0"/>
      <c r="H187" s="0"/>
      <c r="I187" s="0"/>
      <c r="J187" s="0"/>
      <c r="K187" s="0"/>
      <c r="L187" s="0"/>
      <c r="M187" s="0"/>
      <c r="N187" s="0"/>
      <c r="O187" s="0"/>
      <c r="P187" s="0"/>
      <c r="Q187" s="0"/>
      <c r="R187" s="0"/>
      <c r="S187" s="0"/>
      <c r="T187" s="0"/>
      <c r="U187" s="0"/>
      <c r="V187" s="0"/>
      <c r="W187" s="0"/>
      <c r="X187" s="0"/>
      <c r="Y187" s="0"/>
      <c r="Z187" s="0"/>
      <c r="AA187" s="0"/>
      <c r="AB187" s="0"/>
      <c r="AC187" s="0"/>
      <c r="AD187" s="0"/>
    </row>
    <row r="188" customFormat="false" ht="12.75" hidden="false" customHeight="false" outlineLevel="0" collapsed="false">
      <c r="AB188" s="0"/>
      <c r="AC188" s="0"/>
    </row>
  </sheetData>
  <mergeCells count="17">
    <mergeCell ref="J5:L5"/>
    <mergeCell ref="M5:O5"/>
    <mergeCell ref="P5:R5"/>
    <mergeCell ref="S5:W5"/>
    <mergeCell ref="X5:X6"/>
    <mergeCell ref="Y5:Y6"/>
    <mergeCell ref="Z5:Z6"/>
    <mergeCell ref="AB5:AB6"/>
    <mergeCell ref="AC5:AC6"/>
    <mergeCell ref="AD5:AD6"/>
    <mergeCell ref="CO7:CO8"/>
    <mergeCell ref="CP7:CP8"/>
    <mergeCell ref="CQ7:CQ8"/>
    <mergeCell ref="Z29:Z30"/>
    <mergeCell ref="Z31:Z32"/>
    <mergeCell ref="AD59:AD61"/>
    <mergeCell ref="Z131:Z132"/>
  </mergeCells>
  <printOptions headings="false" gridLines="false" gridLinesSet="true" horizontalCentered="false" verticalCentered="true"/>
  <pageMargins left="0.4" right="0.4" top="0.95" bottom="0.75" header="0.5" footer="0.5"/>
  <pageSetup paperSize="1" scale="100" fitToWidth="1" fitToHeight="1" pageOrder="overThenDown" orientation="landscape" blackAndWhite="false" draft="false" cellComments="none" horizontalDpi="300" verticalDpi="300" copies="1"/>
  <headerFooter differentFirst="false" differentOddEven="false">
    <oddHeader>&amp;C&amp;"Times New Roman,Bold"&amp;UBISHOPS CORNER
TOTAL COST &amp;&amp; LOAN REQUEST SUMMARY</oddHeader>
    <oddFooter>&amp;L&amp;8 &amp;F   &amp;A&amp;C&amp;8 &amp;R&amp;8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3" ySplit="4" topLeftCell="X5" activePane="bottomRight" state="frozen"/>
      <selection pane="topLeft" activeCell="A1" activeCellId="0" sqref="A1"/>
      <selection pane="topRight" activeCell="X1" activeCellId="0" sqref="X1"/>
      <selection pane="bottomLeft" activeCell="A5" activeCellId="0" sqref="A5"/>
      <selection pane="bottomRight" activeCell="AX5" activeCellId="0" sqref="AX5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346" width="15.82"/>
    <col collapsed="false" customWidth="false" hidden="false" outlineLevel="0" max="3" min="2" style="346" width="9.32"/>
    <col collapsed="false" customWidth="true" hidden="false" outlineLevel="0" max="4" min="4" style="346" width="0.99"/>
    <col collapsed="false" customWidth="false" hidden="false" outlineLevel="0" max="8" min="5" style="346" width="9.32"/>
    <col collapsed="false" customWidth="true" hidden="false" outlineLevel="0" max="9" min="9" style="346" width="0.99"/>
    <col collapsed="false" customWidth="false" hidden="false" outlineLevel="0" max="13" min="10" style="346" width="9.32"/>
    <col collapsed="false" customWidth="true" hidden="false" outlineLevel="0" max="14" min="14" style="346" width="0.99"/>
    <col collapsed="false" customWidth="false" hidden="false" outlineLevel="0" max="15" min="15" style="346" width="9.32"/>
    <col collapsed="false" customWidth="true" hidden="false" outlineLevel="0" max="16" min="16" style="346" width="9.99"/>
    <col collapsed="false" customWidth="false" hidden="false" outlineLevel="0" max="18" min="17" style="346" width="9.32"/>
    <col collapsed="false" customWidth="true" hidden="false" outlineLevel="0" max="19" min="19" style="346" width="0.99"/>
    <col collapsed="false" customWidth="false" hidden="false" outlineLevel="0" max="20" min="20" style="346" width="9.32"/>
    <col collapsed="false" customWidth="true" hidden="false" outlineLevel="0" max="21" min="21" style="346" width="9.99"/>
    <col collapsed="false" customWidth="false" hidden="false" outlineLevel="0" max="23" min="22" style="346" width="9.32"/>
    <col collapsed="false" customWidth="true" hidden="false" outlineLevel="0" max="24" min="24" style="346" width="0.99"/>
    <col collapsed="false" customWidth="true" hidden="false" outlineLevel="0" max="25" min="25" style="346" width="7.65"/>
    <col collapsed="false" customWidth="true" hidden="false" outlineLevel="0" max="26" min="26" style="346" width="9.99"/>
    <col collapsed="false" customWidth="false" hidden="false" outlineLevel="0" max="28" min="27" style="346" width="9.32"/>
    <col collapsed="false" customWidth="true" hidden="false" outlineLevel="0" max="29" min="29" style="346" width="0.99"/>
    <col collapsed="false" customWidth="false" hidden="false" outlineLevel="0" max="30" min="30" style="346" width="9.32"/>
    <col collapsed="false" customWidth="true" hidden="false" outlineLevel="0" max="31" min="31" style="346" width="9.99"/>
    <col collapsed="false" customWidth="false" hidden="false" outlineLevel="0" max="33" min="32" style="346" width="9.32"/>
    <col collapsed="false" customWidth="true" hidden="false" outlineLevel="0" max="34" min="34" style="346" width="0.99"/>
    <col collapsed="false" customWidth="false" hidden="false" outlineLevel="0" max="35" min="35" style="346" width="9.32"/>
    <col collapsed="false" customWidth="true" hidden="false" outlineLevel="0" max="36" min="36" style="346" width="9.99"/>
    <col collapsed="false" customWidth="false" hidden="false" outlineLevel="0" max="38" min="37" style="346" width="9.32"/>
    <col collapsed="false" customWidth="true" hidden="false" outlineLevel="0" max="39" min="39" style="346" width="0.99"/>
    <col collapsed="false" customWidth="false" hidden="false" outlineLevel="0" max="40" min="40" style="346" width="9.32"/>
    <col collapsed="false" customWidth="true" hidden="false" outlineLevel="0" max="41" min="41" style="346" width="9.99"/>
    <col collapsed="false" customWidth="false" hidden="false" outlineLevel="0" max="43" min="42" style="346" width="9.32"/>
    <col collapsed="false" customWidth="true" hidden="false" outlineLevel="0" max="44" min="44" style="346" width="0.99"/>
    <col collapsed="false" customWidth="false" hidden="false" outlineLevel="0" max="45" min="45" style="346" width="9.32"/>
    <col collapsed="false" customWidth="true" hidden="false" outlineLevel="0" max="46" min="46" style="346" width="9.99"/>
    <col collapsed="false" customWidth="false" hidden="false" outlineLevel="0" max="48" min="47" style="346" width="9.32"/>
    <col collapsed="false" customWidth="true" hidden="false" outlineLevel="0" max="49" min="49" style="346" width="0.99"/>
    <col collapsed="false" customWidth="false" hidden="false" outlineLevel="0" max="257" min="50" style="346" width="9.32"/>
  </cols>
  <sheetData>
    <row r="1" customFormat="false" ht="12.75" hidden="false" customHeight="false" outlineLevel="0" collapsed="false">
      <c r="E1" s="347" t="s">
        <v>379</v>
      </c>
      <c r="F1" s="347"/>
      <c r="G1" s="347"/>
      <c r="H1" s="347"/>
      <c r="I1" s="347"/>
      <c r="J1" s="347"/>
      <c r="K1" s="347"/>
      <c r="L1" s="347"/>
      <c r="M1" s="347"/>
      <c r="O1" s="348"/>
      <c r="P1" s="347" t="s">
        <v>380</v>
      </c>
      <c r="Q1" s="347"/>
      <c r="R1" s="347"/>
      <c r="S1" s="347"/>
      <c r="T1" s="347"/>
      <c r="U1" s="347"/>
      <c r="V1" s="347"/>
      <c r="W1" s="347"/>
      <c r="Y1" s="347" t="s">
        <v>381</v>
      </c>
      <c r="Z1" s="347"/>
      <c r="AA1" s="347"/>
      <c r="AB1" s="347"/>
      <c r="AC1" s="347"/>
      <c r="AD1" s="347"/>
      <c r="AE1" s="347"/>
      <c r="AF1" s="347"/>
      <c r="AG1" s="347"/>
      <c r="AI1" s="349"/>
      <c r="AJ1" s="348"/>
      <c r="AK1" s="348"/>
      <c r="AL1" s="348"/>
      <c r="AM1" s="348"/>
      <c r="AN1" s="348"/>
      <c r="AO1" s="348"/>
      <c r="AP1" s="348"/>
      <c r="AQ1" s="348"/>
      <c r="AR1" s="348"/>
      <c r="AS1" s="348"/>
      <c r="AT1" s="348"/>
      <c r="AU1" s="348"/>
      <c r="AV1" s="348"/>
    </row>
    <row r="2" customFormat="false" ht="12.75" hidden="false" customHeight="false" outlineLevel="0" collapsed="false">
      <c r="E2" s="350" t="s">
        <v>382</v>
      </c>
      <c r="F2" s="350"/>
      <c r="G2" s="350"/>
      <c r="H2" s="350"/>
      <c r="I2" s="347"/>
      <c r="J2" s="350" t="s">
        <v>383</v>
      </c>
      <c r="K2" s="350"/>
      <c r="L2" s="350"/>
      <c r="M2" s="350"/>
      <c r="O2" s="350" t="s">
        <v>384</v>
      </c>
      <c r="P2" s="350"/>
      <c r="Q2" s="350"/>
      <c r="R2" s="350"/>
      <c r="S2" s="347"/>
      <c r="T2" s="350" t="s">
        <v>385</v>
      </c>
      <c r="U2" s="350"/>
      <c r="V2" s="350"/>
      <c r="W2" s="350"/>
      <c r="X2" s="347"/>
      <c r="Y2" s="350" t="s">
        <v>385</v>
      </c>
      <c r="Z2" s="350"/>
      <c r="AA2" s="350"/>
      <c r="AB2" s="350"/>
      <c r="AD2" s="350" t="s">
        <v>386</v>
      </c>
      <c r="AE2" s="350"/>
      <c r="AF2" s="350"/>
      <c r="AG2" s="350"/>
      <c r="AI2" s="350" t="s">
        <v>387</v>
      </c>
      <c r="AJ2" s="350"/>
      <c r="AK2" s="350"/>
      <c r="AL2" s="350"/>
      <c r="AN2" s="350" t="s">
        <v>388</v>
      </c>
      <c r="AO2" s="350"/>
      <c r="AP2" s="350"/>
      <c r="AQ2" s="350"/>
      <c r="AS2" s="350" t="s">
        <v>389</v>
      </c>
      <c r="AT2" s="350"/>
      <c r="AU2" s="350"/>
      <c r="AV2" s="350"/>
    </row>
    <row r="3" customFormat="false" ht="12.75" hidden="false" customHeight="false" outlineLevel="0" collapsed="false">
      <c r="B3" s="346" t="s">
        <v>390</v>
      </c>
      <c r="C3" s="346" t="s">
        <v>391</v>
      </c>
      <c r="E3" s="346" t="s">
        <v>392</v>
      </c>
      <c r="F3" s="346" t="s">
        <v>393</v>
      </c>
      <c r="G3" s="346" t="s">
        <v>394</v>
      </c>
      <c r="H3" s="346" t="s">
        <v>395</v>
      </c>
      <c r="J3" s="346" t="s">
        <v>392</v>
      </c>
      <c r="K3" s="346" t="s">
        <v>393</v>
      </c>
      <c r="L3" s="346" t="s">
        <v>394</v>
      </c>
      <c r="M3" s="346" t="s">
        <v>395</v>
      </c>
      <c r="O3" s="346" t="s">
        <v>392</v>
      </c>
      <c r="P3" s="346" t="s">
        <v>393</v>
      </c>
      <c r="Q3" s="346" t="s">
        <v>394</v>
      </c>
      <c r="R3" s="346" t="s">
        <v>395</v>
      </c>
      <c r="T3" s="346" t="s">
        <v>392</v>
      </c>
      <c r="U3" s="346" t="s">
        <v>393</v>
      </c>
      <c r="V3" s="346" t="s">
        <v>394</v>
      </c>
      <c r="W3" s="346" t="s">
        <v>395</v>
      </c>
      <c r="Y3" s="346" t="s">
        <v>392</v>
      </c>
      <c r="Z3" s="346" t="s">
        <v>393</v>
      </c>
      <c r="AA3" s="346" t="s">
        <v>394</v>
      </c>
      <c r="AB3" s="346" t="s">
        <v>395</v>
      </c>
      <c r="AD3" s="346" t="s">
        <v>392</v>
      </c>
      <c r="AE3" s="346" t="s">
        <v>393</v>
      </c>
      <c r="AF3" s="346" t="s">
        <v>394</v>
      </c>
      <c r="AG3" s="346" t="s">
        <v>395</v>
      </c>
      <c r="AI3" s="346" t="s">
        <v>392</v>
      </c>
      <c r="AJ3" s="346" t="s">
        <v>393</v>
      </c>
      <c r="AK3" s="346" t="s">
        <v>394</v>
      </c>
      <c r="AL3" s="346" t="s">
        <v>395</v>
      </c>
      <c r="AN3" s="346" t="s">
        <v>392</v>
      </c>
      <c r="AO3" s="346" t="s">
        <v>393</v>
      </c>
      <c r="AP3" s="346" t="s">
        <v>394</v>
      </c>
      <c r="AQ3" s="346" t="s">
        <v>395</v>
      </c>
      <c r="AS3" s="346" t="s">
        <v>392</v>
      </c>
      <c r="AT3" s="346" t="s">
        <v>393</v>
      </c>
      <c r="AU3" s="346" t="s">
        <v>394</v>
      </c>
      <c r="AV3" s="346" t="s">
        <v>395</v>
      </c>
    </row>
    <row r="5" customFormat="false" ht="12.75" hidden="false" customHeight="false" outlineLevel="0" collapsed="false">
      <c r="A5" s="351" t="s">
        <v>396</v>
      </c>
      <c r="B5" s="352" t="n">
        <v>173</v>
      </c>
      <c r="C5" s="352" t="n">
        <v>1</v>
      </c>
      <c r="D5" s="352"/>
      <c r="E5" s="352" t="n">
        <v>477</v>
      </c>
      <c r="F5" s="353" t="n">
        <v>650</v>
      </c>
      <c r="G5" s="354" t="n">
        <v>1.36</v>
      </c>
      <c r="H5" s="353" t="n">
        <v>650</v>
      </c>
      <c r="I5" s="352"/>
      <c r="J5" s="352"/>
      <c r="K5" s="353"/>
      <c r="L5" s="352"/>
      <c r="M5" s="353"/>
      <c r="N5" s="352"/>
      <c r="O5" s="352"/>
      <c r="P5" s="353"/>
      <c r="Q5" s="352"/>
      <c r="R5" s="353"/>
      <c r="S5" s="352"/>
      <c r="T5" s="352" t="n">
        <v>800</v>
      </c>
      <c r="U5" s="353" t="n">
        <v>1000</v>
      </c>
      <c r="V5" s="354" t="n">
        <v>1.25</v>
      </c>
      <c r="W5" s="353" t="n">
        <v>500</v>
      </c>
      <c r="X5" s="352"/>
      <c r="Y5" s="352"/>
      <c r="Z5" s="353"/>
      <c r="AA5" s="352"/>
      <c r="AB5" s="353"/>
      <c r="AC5" s="352"/>
      <c r="AD5" s="352" t="n">
        <v>944</v>
      </c>
      <c r="AE5" s="353" t="n">
        <v>1374</v>
      </c>
      <c r="AF5" s="354" t="n">
        <v>1.46</v>
      </c>
      <c r="AG5" s="353" t="n">
        <v>458</v>
      </c>
      <c r="AH5" s="352"/>
      <c r="AI5" s="352" t="n">
        <v>1100</v>
      </c>
      <c r="AJ5" s="353" t="n">
        <v>1600</v>
      </c>
      <c r="AK5" s="354" t="n">
        <v>1.45</v>
      </c>
      <c r="AL5" s="353" t="n">
        <v>400</v>
      </c>
      <c r="AM5" s="352"/>
      <c r="AN5" s="355"/>
      <c r="AO5" s="355"/>
      <c r="AP5" s="355"/>
      <c r="AQ5" s="355"/>
      <c r="AR5" s="355"/>
      <c r="AS5" s="355"/>
      <c r="AT5" s="355"/>
      <c r="AU5" s="355"/>
      <c r="AV5" s="355"/>
      <c r="AW5" s="355"/>
      <c r="AX5" s="352"/>
      <c r="AY5" s="352"/>
      <c r="AZ5" s="352"/>
      <c r="BA5" s="352"/>
      <c r="BB5" s="356"/>
      <c r="BC5" s="355"/>
      <c r="BD5" s="355"/>
      <c r="BE5" s="355"/>
      <c r="BF5" s="355"/>
      <c r="BG5" s="355"/>
      <c r="BH5" s="355"/>
      <c r="BI5" s="355"/>
      <c r="BJ5" s="355"/>
      <c r="BK5" s="355"/>
      <c r="BL5" s="355"/>
      <c r="BM5" s="355"/>
      <c r="BN5" s="355"/>
      <c r="BO5" s="355"/>
      <c r="BP5" s="355"/>
      <c r="BQ5" s="355"/>
      <c r="BR5" s="355"/>
      <c r="BS5" s="355"/>
      <c r="BT5" s="355"/>
      <c r="BU5" s="355"/>
      <c r="BV5" s="355"/>
      <c r="BW5" s="355"/>
      <c r="BX5" s="355"/>
      <c r="BY5" s="355"/>
      <c r="BZ5" s="355"/>
      <c r="CA5" s="355"/>
      <c r="CB5" s="355"/>
      <c r="CC5" s="355"/>
      <c r="CD5" s="355"/>
      <c r="CE5" s="355"/>
      <c r="CF5" s="355"/>
      <c r="CG5" s="355"/>
      <c r="CH5" s="355"/>
      <c r="CI5" s="355"/>
      <c r="CJ5" s="355"/>
      <c r="CK5" s="355"/>
      <c r="CL5" s="355"/>
      <c r="CM5" s="355"/>
      <c r="CN5" s="355"/>
      <c r="CO5" s="355"/>
      <c r="CP5" s="355"/>
      <c r="CQ5" s="355"/>
      <c r="CR5" s="355"/>
      <c r="CS5" s="355"/>
      <c r="CT5" s="355"/>
      <c r="CU5" s="355"/>
      <c r="CV5" s="355"/>
      <c r="CW5" s="355"/>
      <c r="CX5" s="355"/>
      <c r="CY5" s="355"/>
      <c r="CZ5" s="355"/>
      <c r="DA5" s="355"/>
      <c r="DB5" s="355"/>
      <c r="DC5" s="355"/>
      <c r="DD5" s="355"/>
      <c r="DE5" s="355"/>
      <c r="DF5" s="355"/>
      <c r="DG5" s="355"/>
      <c r="DH5" s="355"/>
      <c r="DI5" s="355"/>
      <c r="DJ5" s="355"/>
      <c r="DK5" s="355"/>
      <c r="DL5" s="355"/>
      <c r="DM5" s="355"/>
      <c r="DN5" s="355"/>
      <c r="DO5" s="355"/>
      <c r="DP5" s="355"/>
      <c r="DQ5" s="355"/>
      <c r="DR5" s="355"/>
      <c r="DS5" s="355"/>
      <c r="DT5" s="355"/>
      <c r="DU5" s="355"/>
      <c r="DV5" s="355"/>
      <c r="DW5" s="355"/>
      <c r="DX5" s="355"/>
      <c r="DY5" s="355"/>
      <c r="DZ5" s="355"/>
      <c r="EA5" s="355"/>
      <c r="EB5" s="355"/>
      <c r="EC5" s="355"/>
      <c r="ED5" s="355"/>
      <c r="EE5" s="355"/>
      <c r="EF5" s="355"/>
      <c r="EG5" s="355"/>
      <c r="EH5" s="355"/>
      <c r="EI5" s="355"/>
      <c r="EJ5" s="355"/>
      <c r="EK5" s="355"/>
      <c r="EL5" s="355"/>
      <c r="EM5" s="355"/>
      <c r="EN5" s="355"/>
      <c r="EO5" s="355"/>
      <c r="EP5" s="355"/>
      <c r="EQ5" s="355"/>
      <c r="ER5" s="355"/>
      <c r="ES5" s="355"/>
      <c r="ET5" s="355"/>
      <c r="EU5" s="355"/>
      <c r="EV5" s="355"/>
      <c r="EW5" s="355"/>
      <c r="EX5" s="355"/>
      <c r="EY5" s="355"/>
      <c r="EZ5" s="355"/>
      <c r="FA5" s="355"/>
      <c r="FB5" s="355"/>
      <c r="FC5" s="355"/>
      <c r="FD5" s="355"/>
      <c r="FE5" s="355"/>
      <c r="FF5" s="355"/>
      <c r="FG5" s="355"/>
      <c r="FH5" s="355"/>
      <c r="FI5" s="355"/>
      <c r="FJ5" s="355"/>
      <c r="FK5" s="355"/>
      <c r="FL5" s="355"/>
      <c r="FM5" s="355"/>
      <c r="FN5" s="355"/>
      <c r="FO5" s="355"/>
      <c r="FP5" s="355"/>
      <c r="FQ5" s="355"/>
      <c r="FR5" s="355"/>
      <c r="FS5" s="355"/>
      <c r="FT5" s="355"/>
      <c r="FU5" s="355"/>
      <c r="FV5" s="355"/>
      <c r="FW5" s="355"/>
      <c r="FX5" s="355"/>
      <c r="FY5" s="355"/>
      <c r="FZ5" s="355"/>
      <c r="GA5" s="355"/>
      <c r="GB5" s="355"/>
      <c r="GC5" s="355"/>
      <c r="GD5" s="355"/>
      <c r="GE5" s="355"/>
      <c r="GF5" s="355"/>
      <c r="GG5" s="355"/>
      <c r="GH5" s="355"/>
      <c r="GI5" s="355"/>
      <c r="GJ5" s="355"/>
      <c r="GK5" s="355"/>
      <c r="GL5" s="355"/>
      <c r="GM5" s="355"/>
      <c r="GN5" s="355"/>
      <c r="GO5" s="355"/>
      <c r="GP5" s="355"/>
      <c r="GQ5" s="355"/>
      <c r="GR5" s="355"/>
      <c r="GS5" s="355"/>
      <c r="GT5" s="355"/>
      <c r="GU5" s="355"/>
      <c r="GV5" s="355"/>
      <c r="GW5" s="355"/>
      <c r="GX5" s="355"/>
      <c r="GY5" s="355"/>
      <c r="GZ5" s="355"/>
      <c r="HA5" s="355"/>
      <c r="HB5" s="355"/>
      <c r="HC5" s="355"/>
      <c r="HD5" s="355"/>
      <c r="HE5" s="355"/>
      <c r="HF5" s="355"/>
      <c r="HG5" s="355"/>
      <c r="HH5" s="355"/>
      <c r="HI5" s="355"/>
      <c r="HJ5" s="355"/>
      <c r="HK5" s="355"/>
      <c r="HL5" s="355"/>
      <c r="HM5" s="355"/>
      <c r="HN5" s="355"/>
      <c r="HO5" s="355"/>
      <c r="HP5" s="355"/>
      <c r="HQ5" s="355"/>
      <c r="HR5" s="355"/>
      <c r="HS5" s="355"/>
      <c r="HT5" s="355"/>
      <c r="HU5" s="355"/>
      <c r="HV5" s="355"/>
      <c r="HW5" s="355"/>
      <c r="HX5" s="355"/>
      <c r="HY5" s="355"/>
      <c r="HZ5" s="355"/>
      <c r="IA5" s="355"/>
      <c r="IB5" s="355"/>
      <c r="IC5" s="355"/>
      <c r="ID5" s="355"/>
      <c r="IE5" s="355"/>
      <c r="IF5" s="355"/>
      <c r="IG5" s="355"/>
      <c r="IH5" s="355"/>
      <c r="II5" s="355"/>
      <c r="IJ5" s="355"/>
      <c r="IK5" s="355"/>
      <c r="IL5" s="355"/>
      <c r="IM5" s="355"/>
      <c r="IN5" s="355"/>
      <c r="IO5" s="355"/>
      <c r="IP5" s="355"/>
      <c r="IQ5" s="355"/>
      <c r="IR5" s="355"/>
      <c r="IS5" s="355"/>
      <c r="IT5" s="355"/>
      <c r="IU5" s="355"/>
      <c r="IV5" s="355"/>
      <c r="IW5" s="355"/>
    </row>
    <row r="6" customFormat="false" ht="12.75" hidden="false" customHeight="false" outlineLevel="0" collapsed="false">
      <c r="A6" s="357" t="s">
        <v>397</v>
      </c>
      <c r="B6" s="358" t="n">
        <v>152</v>
      </c>
      <c r="C6" s="358" t="n">
        <v>3</v>
      </c>
      <c r="D6" s="358"/>
      <c r="E6" s="358" t="n">
        <v>689</v>
      </c>
      <c r="F6" s="359" t="n">
        <v>705</v>
      </c>
      <c r="G6" s="360" t="n">
        <v>1.02</v>
      </c>
      <c r="H6" s="359" t="n">
        <v>705</v>
      </c>
      <c r="I6" s="358"/>
      <c r="J6" s="358" t="n">
        <v>806</v>
      </c>
      <c r="K6" s="359" t="n">
        <v>755</v>
      </c>
      <c r="L6" s="360" t="n">
        <v>0.94</v>
      </c>
      <c r="M6" s="359" t="n">
        <v>755</v>
      </c>
      <c r="N6" s="358"/>
      <c r="O6" s="358" t="n">
        <v>988</v>
      </c>
      <c r="P6" s="359" t="n">
        <v>910</v>
      </c>
      <c r="Q6" s="360" t="n">
        <v>0.92</v>
      </c>
      <c r="R6" s="359" t="n">
        <v>455</v>
      </c>
      <c r="S6" s="358"/>
      <c r="T6" s="358" t="n">
        <v>1105</v>
      </c>
      <c r="U6" s="359" t="n">
        <v>1025</v>
      </c>
      <c r="V6" s="360" t="n">
        <v>0.93</v>
      </c>
      <c r="W6" s="359" t="n">
        <v>512.5</v>
      </c>
      <c r="X6" s="358"/>
      <c r="Y6" s="358" t="n">
        <v>1250</v>
      </c>
      <c r="Z6" s="359" t="n">
        <v>1210</v>
      </c>
      <c r="AA6" s="360" t="n">
        <v>0.97</v>
      </c>
      <c r="AB6" s="359" t="n">
        <v>403.33</v>
      </c>
      <c r="AC6" s="358"/>
      <c r="AD6" s="358" t="n">
        <v>1250</v>
      </c>
      <c r="AE6" s="359" t="n">
        <v>1210</v>
      </c>
      <c r="AF6" s="360" t="n">
        <v>0.97</v>
      </c>
      <c r="AG6" s="359" t="n">
        <v>403.33</v>
      </c>
      <c r="AH6" s="358"/>
      <c r="AI6" s="358" t="n">
        <v>1350</v>
      </c>
      <c r="AJ6" s="359" t="n">
        <v>1624</v>
      </c>
      <c r="AK6" s="360" t="n">
        <v>1.2</v>
      </c>
      <c r="AL6" s="359" t="n">
        <v>406</v>
      </c>
      <c r="AM6" s="352"/>
      <c r="AN6" s="358"/>
      <c r="AO6" s="359"/>
      <c r="AP6" s="358"/>
      <c r="AQ6" s="359"/>
      <c r="AR6" s="358"/>
      <c r="AS6" s="358"/>
      <c r="AT6" s="359"/>
      <c r="AU6" s="358"/>
      <c r="AV6" s="359"/>
      <c r="AW6" s="358"/>
      <c r="AX6" s="358"/>
      <c r="AY6" s="358"/>
      <c r="AZ6" s="358"/>
      <c r="BA6" s="358"/>
      <c r="BB6" s="361"/>
      <c r="BC6" s="355"/>
      <c r="BD6" s="355"/>
      <c r="BE6" s="355"/>
      <c r="BF6" s="355"/>
      <c r="BG6" s="355"/>
      <c r="BH6" s="355"/>
      <c r="BI6" s="355"/>
      <c r="BJ6" s="355"/>
      <c r="BK6" s="355"/>
      <c r="BL6" s="355"/>
      <c r="BM6" s="355"/>
      <c r="BN6" s="355"/>
      <c r="BO6" s="355"/>
      <c r="BP6" s="355"/>
      <c r="BQ6" s="355"/>
      <c r="BR6" s="355"/>
      <c r="BS6" s="355"/>
      <c r="BT6" s="355"/>
      <c r="BU6" s="355"/>
      <c r="BV6" s="355"/>
      <c r="BW6" s="355"/>
      <c r="BX6" s="355"/>
      <c r="BY6" s="355"/>
      <c r="BZ6" s="355"/>
      <c r="CA6" s="355"/>
      <c r="CB6" s="355"/>
      <c r="CC6" s="355"/>
      <c r="CD6" s="355"/>
      <c r="CE6" s="355"/>
      <c r="CF6" s="355"/>
      <c r="CG6" s="355"/>
      <c r="CH6" s="355"/>
      <c r="CI6" s="355"/>
      <c r="CJ6" s="355"/>
      <c r="CK6" s="355"/>
      <c r="CL6" s="355"/>
      <c r="CM6" s="355"/>
      <c r="CN6" s="355"/>
      <c r="CO6" s="355"/>
      <c r="CP6" s="355"/>
      <c r="CQ6" s="355"/>
      <c r="CR6" s="355"/>
      <c r="CS6" s="355"/>
      <c r="CT6" s="355"/>
      <c r="CU6" s="355"/>
      <c r="CV6" s="355"/>
      <c r="CW6" s="355"/>
      <c r="CX6" s="355"/>
      <c r="CY6" s="355"/>
      <c r="CZ6" s="355"/>
      <c r="DA6" s="355"/>
      <c r="DB6" s="355"/>
      <c r="DC6" s="355"/>
      <c r="DD6" s="355"/>
      <c r="DE6" s="355"/>
      <c r="DF6" s="355"/>
      <c r="DG6" s="355"/>
      <c r="DH6" s="355"/>
      <c r="DI6" s="355"/>
      <c r="DJ6" s="355"/>
      <c r="DK6" s="355"/>
      <c r="DL6" s="355"/>
      <c r="DM6" s="355"/>
      <c r="DN6" s="355"/>
      <c r="DO6" s="355"/>
      <c r="DP6" s="355"/>
      <c r="DQ6" s="355"/>
      <c r="DR6" s="355"/>
      <c r="DS6" s="355"/>
      <c r="DT6" s="355"/>
      <c r="DU6" s="355"/>
      <c r="DV6" s="355"/>
      <c r="DW6" s="355"/>
      <c r="DX6" s="355"/>
      <c r="DY6" s="355"/>
      <c r="DZ6" s="355"/>
      <c r="EA6" s="355"/>
      <c r="EB6" s="355"/>
      <c r="EC6" s="355"/>
      <c r="ED6" s="355"/>
      <c r="EE6" s="355"/>
      <c r="EF6" s="355"/>
      <c r="EG6" s="355"/>
      <c r="EH6" s="355"/>
      <c r="EI6" s="355"/>
      <c r="EJ6" s="355"/>
      <c r="EK6" s="355"/>
      <c r="EL6" s="355"/>
      <c r="EM6" s="355"/>
      <c r="EN6" s="355"/>
      <c r="EO6" s="355"/>
      <c r="EP6" s="355"/>
      <c r="EQ6" s="355"/>
      <c r="ER6" s="355"/>
      <c r="ES6" s="355"/>
      <c r="ET6" s="355"/>
      <c r="EU6" s="355"/>
      <c r="EV6" s="355"/>
      <c r="EW6" s="355"/>
      <c r="EX6" s="355"/>
      <c r="EY6" s="355"/>
      <c r="EZ6" s="355"/>
      <c r="FA6" s="355"/>
      <c r="FB6" s="355"/>
      <c r="FC6" s="355"/>
      <c r="FD6" s="355"/>
      <c r="FE6" s="355"/>
      <c r="FF6" s="355"/>
      <c r="FG6" s="355"/>
      <c r="FH6" s="355"/>
      <c r="FI6" s="355"/>
      <c r="FJ6" s="355"/>
      <c r="FK6" s="355"/>
      <c r="FL6" s="355"/>
      <c r="FM6" s="355"/>
      <c r="FN6" s="355"/>
      <c r="FO6" s="355"/>
      <c r="FP6" s="355"/>
      <c r="FQ6" s="355"/>
      <c r="FR6" s="355"/>
      <c r="FS6" s="355"/>
      <c r="FT6" s="355"/>
      <c r="FU6" s="355"/>
      <c r="FV6" s="355"/>
      <c r="FW6" s="355"/>
      <c r="FX6" s="355"/>
      <c r="FY6" s="355"/>
      <c r="FZ6" s="355"/>
      <c r="GA6" s="355"/>
      <c r="GB6" s="355"/>
      <c r="GC6" s="355"/>
      <c r="GD6" s="355"/>
      <c r="GE6" s="355"/>
      <c r="GF6" s="355"/>
      <c r="GG6" s="355"/>
      <c r="GH6" s="355"/>
      <c r="GI6" s="355"/>
      <c r="GJ6" s="355"/>
      <c r="GK6" s="355"/>
      <c r="GL6" s="355"/>
      <c r="GM6" s="355"/>
      <c r="GN6" s="355"/>
      <c r="GO6" s="355"/>
      <c r="GP6" s="355"/>
      <c r="GQ6" s="355"/>
      <c r="GR6" s="355"/>
      <c r="GS6" s="355"/>
      <c r="GT6" s="355"/>
      <c r="GU6" s="355"/>
      <c r="GV6" s="355"/>
      <c r="GW6" s="355"/>
      <c r="GX6" s="355"/>
      <c r="GY6" s="355"/>
      <c r="GZ6" s="355"/>
      <c r="HA6" s="355"/>
      <c r="HB6" s="355"/>
      <c r="HC6" s="355"/>
      <c r="HD6" s="355"/>
      <c r="HE6" s="355"/>
      <c r="HF6" s="355"/>
      <c r="HG6" s="355"/>
      <c r="HH6" s="355"/>
      <c r="HI6" s="355"/>
      <c r="HJ6" s="355"/>
      <c r="HK6" s="355"/>
      <c r="HL6" s="355"/>
      <c r="HM6" s="355"/>
      <c r="HN6" s="355"/>
      <c r="HO6" s="355"/>
      <c r="HP6" s="355"/>
      <c r="HQ6" s="355"/>
      <c r="HR6" s="355"/>
      <c r="HS6" s="355"/>
      <c r="HT6" s="355"/>
      <c r="HU6" s="355"/>
      <c r="HV6" s="355"/>
      <c r="HW6" s="355"/>
      <c r="HX6" s="355"/>
      <c r="HY6" s="355"/>
      <c r="HZ6" s="355"/>
      <c r="IA6" s="355"/>
      <c r="IB6" s="355"/>
      <c r="IC6" s="355"/>
      <c r="ID6" s="355"/>
      <c r="IE6" s="355"/>
      <c r="IF6" s="355"/>
      <c r="IG6" s="355"/>
      <c r="IH6" s="355"/>
      <c r="II6" s="355"/>
      <c r="IJ6" s="355"/>
      <c r="IK6" s="355"/>
      <c r="IL6" s="355"/>
      <c r="IM6" s="355"/>
      <c r="IN6" s="355"/>
      <c r="IO6" s="355"/>
      <c r="IP6" s="355"/>
      <c r="IQ6" s="355"/>
      <c r="IR6" s="355"/>
      <c r="IS6" s="355"/>
      <c r="IT6" s="355"/>
      <c r="IU6" s="355"/>
      <c r="IV6" s="355"/>
      <c r="IW6" s="355"/>
    </row>
    <row r="7" customFormat="false" ht="12.75" hidden="false" customHeight="false" outlineLevel="0" collapsed="false">
      <c r="A7" s="357" t="s">
        <v>398</v>
      </c>
      <c r="B7" s="358" t="n">
        <v>258</v>
      </c>
      <c r="C7" s="358" t="n">
        <v>3</v>
      </c>
      <c r="D7" s="358"/>
      <c r="E7" s="358" t="n">
        <v>501</v>
      </c>
      <c r="F7" s="359" t="n">
        <v>600</v>
      </c>
      <c r="G7" s="360" t="n">
        <v>1.2</v>
      </c>
      <c r="H7" s="359" t="n">
        <v>600</v>
      </c>
      <c r="I7" s="358"/>
      <c r="J7" s="358" t="n">
        <v>755</v>
      </c>
      <c r="K7" s="359" t="n">
        <v>725</v>
      </c>
      <c r="L7" s="360" t="n">
        <v>0.96</v>
      </c>
      <c r="M7" s="359" t="n">
        <v>725</v>
      </c>
      <c r="N7" s="358"/>
      <c r="O7" s="358" t="n">
        <v>886</v>
      </c>
      <c r="P7" s="359" t="n">
        <v>810</v>
      </c>
      <c r="Q7" s="360" t="n">
        <v>0.91</v>
      </c>
      <c r="R7" s="359" t="n">
        <v>405</v>
      </c>
      <c r="S7" s="358"/>
      <c r="T7" s="358" t="n">
        <v>933</v>
      </c>
      <c r="U7" s="359" t="n">
        <v>900</v>
      </c>
      <c r="V7" s="360" t="n">
        <v>0.96</v>
      </c>
      <c r="W7" s="359" t="n">
        <v>450</v>
      </c>
      <c r="X7" s="358"/>
      <c r="Y7" s="358"/>
      <c r="Z7" s="359"/>
      <c r="AA7" s="358"/>
      <c r="AB7" s="359"/>
      <c r="AC7" s="358"/>
      <c r="AD7" s="358"/>
      <c r="AE7" s="359"/>
      <c r="AF7" s="358"/>
      <c r="AG7" s="359"/>
      <c r="AH7" s="358"/>
      <c r="AI7" s="358" t="n">
        <v>1556</v>
      </c>
      <c r="AJ7" s="359" t="n">
        <v>1880</v>
      </c>
      <c r="AK7" s="360" t="n">
        <v>1.21</v>
      </c>
      <c r="AL7" s="359" t="n">
        <v>470</v>
      </c>
      <c r="AM7" s="352"/>
      <c r="AN7" s="358"/>
      <c r="AO7" s="359"/>
      <c r="AP7" s="358"/>
      <c r="AQ7" s="359"/>
      <c r="AR7" s="358"/>
      <c r="AS7" s="358"/>
      <c r="AT7" s="359"/>
      <c r="AU7" s="358"/>
      <c r="AV7" s="359"/>
      <c r="AW7" s="358"/>
      <c r="AX7" s="358"/>
      <c r="AY7" s="358"/>
      <c r="AZ7" s="358"/>
      <c r="BA7" s="358"/>
      <c r="BB7" s="361"/>
      <c r="BC7" s="355"/>
      <c r="BD7" s="355"/>
      <c r="BE7" s="355"/>
      <c r="BF7" s="355"/>
      <c r="BG7" s="355"/>
      <c r="BH7" s="355"/>
      <c r="BI7" s="355"/>
      <c r="BJ7" s="355"/>
      <c r="BK7" s="355"/>
      <c r="BL7" s="355"/>
      <c r="BM7" s="355"/>
      <c r="BN7" s="355"/>
      <c r="BO7" s="355"/>
      <c r="BP7" s="355"/>
      <c r="BQ7" s="355"/>
      <c r="BR7" s="355"/>
      <c r="BS7" s="355"/>
      <c r="BT7" s="355"/>
      <c r="BU7" s="355"/>
      <c r="BV7" s="355"/>
      <c r="BW7" s="355"/>
      <c r="BX7" s="355"/>
      <c r="BY7" s="355"/>
      <c r="BZ7" s="355"/>
      <c r="CA7" s="355"/>
      <c r="CB7" s="355"/>
      <c r="CC7" s="355"/>
      <c r="CD7" s="355"/>
      <c r="CE7" s="355"/>
      <c r="CF7" s="355"/>
      <c r="CG7" s="355"/>
      <c r="CH7" s="355"/>
      <c r="CI7" s="355"/>
      <c r="CJ7" s="355"/>
      <c r="CK7" s="355"/>
      <c r="CL7" s="355"/>
      <c r="CM7" s="355"/>
      <c r="CN7" s="355"/>
      <c r="CO7" s="355"/>
      <c r="CP7" s="355"/>
      <c r="CQ7" s="355"/>
      <c r="CR7" s="355"/>
      <c r="CS7" s="355"/>
      <c r="CT7" s="355"/>
      <c r="CU7" s="355"/>
      <c r="CV7" s="355"/>
      <c r="CW7" s="355"/>
      <c r="CX7" s="355"/>
      <c r="CY7" s="355"/>
      <c r="CZ7" s="355"/>
      <c r="DA7" s="355"/>
      <c r="DB7" s="355"/>
      <c r="DC7" s="355"/>
      <c r="DD7" s="355"/>
      <c r="DE7" s="355"/>
      <c r="DF7" s="355"/>
      <c r="DG7" s="355"/>
      <c r="DH7" s="355"/>
      <c r="DI7" s="355"/>
      <c r="DJ7" s="355"/>
      <c r="DK7" s="355"/>
      <c r="DL7" s="355"/>
      <c r="DM7" s="355"/>
      <c r="DN7" s="355"/>
      <c r="DO7" s="355"/>
      <c r="DP7" s="355"/>
      <c r="DQ7" s="355"/>
      <c r="DR7" s="355"/>
      <c r="DS7" s="355"/>
      <c r="DT7" s="355"/>
      <c r="DU7" s="355"/>
      <c r="DV7" s="355"/>
      <c r="DW7" s="355"/>
      <c r="DX7" s="355"/>
      <c r="DY7" s="355"/>
      <c r="DZ7" s="355"/>
      <c r="EA7" s="355"/>
      <c r="EB7" s="355"/>
      <c r="EC7" s="355"/>
      <c r="ED7" s="355"/>
      <c r="EE7" s="355"/>
      <c r="EF7" s="355"/>
      <c r="EG7" s="355"/>
      <c r="EH7" s="355"/>
      <c r="EI7" s="355"/>
      <c r="EJ7" s="355"/>
      <c r="EK7" s="355"/>
      <c r="EL7" s="355"/>
      <c r="EM7" s="355"/>
      <c r="EN7" s="355"/>
      <c r="EO7" s="355"/>
      <c r="EP7" s="355"/>
      <c r="EQ7" s="355"/>
      <c r="ER7" s="355"/>
      <c r="ES7" s="355"/>
      <c r="ET7" s="355"/>
      <c r="EU7" s="355"/>
      <c r="EV7" s="355"/>
      <c r="EW7" s="355"/>
      <c r="EX7" s="355"/>
      <c r="EY7" s="355"/>
      <c r="EZ7" s="355"/>
      <c r="FA7" s="355"/>
      <c r="FB7" s="355"/>
      <c r="FC7" s="355"/>
      <c r="FD7" s="355"/>
      <c r="FE7" s="355"/>
      <c r="FF7" s="355"/>
      <c r="FG7" s="355"/>
      <c r="FH7" s="355"/>
      <c r="FI7" s="355"/>
      <c r="FJ7" s="355"/>
      <c r="FK7" s="355"/>
      <c r="FL7" s="355"/>
      <c r="FM7" s="355"/>
      <c r="FN7" s="355"/>
      <c r="FO7" s="355"/>
      <c r="FP7" s="355"/>
      <c r="FQ7" s="355"/>
      <c r="FR7" s="355"/>
      <c r="FS7" s="355"/>
      <c r="FT7" s="355"/>
      <c r="FU7" s="355"/>
      <c r="FV7" s="355"/>
      <c r="FW7" s="355"/>
      <c r="FX7" s="355"/>
      <c r="FY7" s="355"/>
      <c r="FZ7" s="355"/>
      <c r="GA7" s="355"/>
      <c r="GB7" s="355"/>
      <c r="GC7" s="355"/>
      <c r="GD7" s="355"/>
      <c r="GE7" s="355"/>
      <c r="GF7" s="355"/>
      <c r="GG7" s="355"/>
      <c r="GH7" s="355"/>
      <c r="GI7" s="355"/>
      <c r="GJ7" s="355"/>
      <c r="GK7" s="355"/>
      <c r="GL7" s="355"/>
      <c r="GM7" s="355"/>
      <c r="GN7" s="355"/>
      <c r="GO7" s="355"/>
      <c r="GP7" s="355"/>
      <c r="GQ7" s="355"/>
      <c r="GR7" s="355"/>
      <c r="GS7" s="355"/>
      <c r="GT7" s="355"/>
      <c r="GU7" s="355"/>
      <c r="GV7" s="355"/>
      <c r="GW7" s="355"/>
      <c r="GX7" s="355"/>
      <c r="GY7" s="355"/>
      <c r="GZ7" s="355"/>
      <c r="HA7" s="355"/>
      <c r="HB7" s="355"/>
      <c r="HC7" s="355"/>
      <c r="HD7" s="355"/>
      <c r="HE7" s="355"/>
      <c r="HF7" s="355"/>
      <c r="HG7" s="355"/>
      <c r="HH7" s="355"/>
      <c r="HI7" s="355"/>
      <c r="HJ7" s="355"/>
      <c r="HK7" s="355"/>
      <c r="HL7" s="355"/>
      <c r="HM7" s="355"/>
      <c r="HN7" s="355"/>
      <c r="HO7" s="355"/>
      <c r="HP7" s="355"/>
      <c r="HQ7" s="355"/>
      <c r="HR7" s="355"/>
      <c r="HS7" s="355"/>
      <c r="HT7" s="355"/>
      <c r="HU7" s="355"/>
      <c r="HV7" s="355"/>
      <c r="HW7" s="355"/>
      <c r="HX7" s="355"/>
      <c r="HY7" s="355"/>
      <c r="HZ7" s="355"/>
      <c r="IA7" s="355"/>
      <c r="IB7" s="355"/>
      <c r="IC7" s="355"/>
      <c r="ID7" s="355"/>
      <c r="IE7" s="355"/>
      <c r="IF7" s="355"/>
      <c r="IG7" s="355"/>
      <c r="IH7" s="355"/>
      <c r="II7" s="355"/>
      <c r="IJ7" s="355"/>
      <c r="IK7" s="355"/>
      <c r="IL7" s="355"/>
      <c r="IM7" s="355"/>
      <c r="IN7" s="355"/>
      <c r="IO7" s="355"/>
      <c r="IP7" s="355"/>
      <c r="IQ7" s="355"/>
      <c r="IR7" s="355"/>
      <c r="IS7" s="355"/>
      <c r="IT7" s="355"/>
      <c r="IU7" s="355"/>
      <c r="IV7" s="355"/>
      <c r="IW7" s="355"/>
    </row>
    <row r="8" customFormat="false" ht="12.75" hidden="false" customHeight="false" outlineLevel="0" collapsed="false">
      <c r="A8" s="357" t="s">
        <v>399</v>
      </c>
      <c r="B8" s="358" t="n">
        <v>192</v>
      </c>
      <c r="C8" s="358" t="n">
        <v>3</v>
      </c>
      <c r="D8" s="358"/>
      <c r="E8" s="358"/>
      <c r="F8" s="359"/>
      <c r="G8" s="358"/>
      <c r="H8" s="359"/>
      <c r="I8" s="358"/>
      <c r="J8" s="358"/>
      <c r="K8" s="359"/>
      <c r="L8" s="358"/>
      <c r="M8" s="359"/>
      <c r="N8" s="358"/>
      <c r="O8" s="358"/>
      <c r="P8" s="359"/>
      <c r="Q8" s="358"/>
      <c r="R8" s="359"/>
      <c r="S8" s="358"/>
      <c r="T8" s="358" t="n">
        <v>1058</v>
      </c>
      <c r="U8" s="359" t="n">
        <v>1064</v>
      </c>
      <c r="V8" s="360" t="n">
        <v>1.01</v>
      </c>
      <c r="W8" s="359" t="n">
        <v>532</v>
      </c>
      <c r="X8" s="358"/>
      <c r="Y8" s="358"/>
      <c r="Z8" s="359"/>
      <c r="AA8" s="358"/>
      <c r="AB8" s="359"/>
      <c r="AC8" s="358"/>
      <c r="AD8" s="358" t="n">
        <v>1000</v>
      </c>
      <c r="AE8" s="359" t="n">
        <v>1281</v>
      </c>
      <c r="AF8" s="360" t="n">
        <v>1.28</v>
      </c>
      <c r="AG8" s="359" t="n">
        <v>427</v>
      </c>
      <c r="AH8" s="358"/>
      <c r="AI8" s="358"/>
      <c r="AJ8" s="359"/>
      <c r="AK8" s="358"/>
      <c r="AL8" s="359"/>
      <c r="AM8" s="358"/>
      <c r="AN8" s="358"/>
      <c r="AO8" s="359"/>
      <c r="AP8" s="358"/>
      <c r="AQ8" s="359"/>
      <c r="AR8" s="358"/>
      <c r="AS8" s="358"/>
      <c r="AT8" s="359"/>
      <c r="AU8" s="358"/>
      <c r="AV8" s="359"/>
      <c r="AW8" s="358"/>
      <c r="AX8" s="358"/>
      <c r="AY8" s="358"/>
      <c r="AZ8" s="358"/>
      <c r="BA8" s="358"/>
      <c r="BB8" s="361"/>
      <c r="BC8" s="355"/>
      <c r="BD8" s="355"/>
      <c r="BE8" s="355"/>
      <c r="BF8" s="355"/>
      <c r="BG8" s="355"/>
      <c r="BH8" s="355"/>
      <c r="BI8" s="355"/>
      <c r="BJ8" s="355"/>
      <c r="BK8" s="355"/>
      <c r="BL8" s="355"/>
      <c r="BM8" s="355"/>
      <c r="BN8" s="355"/>
      <c r="BO8" s="355"/>
      <c r="BP8" s="355"/>
      <c r="BQ8" s="355"/>
      <c r="BR8" s="355"/>
      <c r="BS8" s="355"/>
      <c r="BT8" s="355"/>
      <c r="BU8" s="355"/>
      <c r="BV8" s="355"/>
      <c r="BW8" s="355"/>
      <c r="BX8" s="355"/>
      <c r="BY8" s="355"/>
      <c r="BZ8" s="355"/>
      <c r="CA8" s="355"/>
      <c r="CB8" s="355"/>
      <c r="CC8" s="355"/>
      <c r="CD8" s="355"/>
      <c r="CE8" s="355"/>
      <c r="CF8" s="355"/>
      <c r="CG8" s="355"/>
      <c r="CH8" s="355"/>
      <c r="CI8" s="355"/>
      <c r="CJ8" s="355"/>
      <c r="CK8" s="355"/>
      <c r="CL8" s="355"/>
      <c r="CM8" s="355"/>
      <c r="CN8" s="355"/>
      <c r="CO8" s="355"/>
      <c r="CP8" s="355"/>
      <c r="CQ8" s="355"/>
      <c r="CR8" s="355"/>
      <c r="CS8" s="355"/>
      <c r="CT8" s="355"/>
      <c r="CU8" s="355"/>
      <c r="CV8" s="355"/>
      <c r="CW8" s="355"/>
      <c r="CX8" s="355"/>
      <c r="CY8" s="355"/>
      <c r="CZ8" s="355"/>
      <c r="DA8" s="355"/>
      <c r="DB8" s="355"/>
      <c r="DC8" s="355"/>
      <c r="DD8" s="355"/>
      <c r="DE8" s="355"/>
      <c r="DF8" s="355"/>
      <c r="DG8" s="355"/>
      <c r="DH8" s="355"/>
      <c r="DI8" s="355"/>
      <c r="DJ8" s="355"/>
      <c r="DK8" s="355"/>
      <c r="DL8" s="355"/>
      <c r="DM8" s="355"/>
      <c r="DN8" s="355"/>
      <c r="DO8" s="355"/>
      <c r="DP8" s="355"/>
      <c r="DQ8" s="355"/>
      <c r="DR8" s="355"/>
      <c r="DS8" s="355"/>
      <c r="DT8" s="355"/>
      <c r="DU8" s="355"/>
      <c r="DV8" s="355"/>
      <c r="DW8" s="355"/>
      <c r="DX8" s="355"/>
      <c r="DY8" s="355"/>
      <c r="DZ8" s="355"/>
      <c r="EA8" s="355"/>
      <c r="EB8" s="355"/>
      <c r="EC8" s="355"/>
      <c r="ED8" s="355"/>
      <c r="EE8" s="355"/>
      <c r="EF8" s="355"/>
      <c r="EG8" s="355"/>
      <c r="EH8" s="355"/>
      <c r="EI8" s="355"/>
      <c r="EJ8" s="355"/>
      <c r="EK8" s="355"/>
      <c r="EL8" s="355"/>
      <c r="EM8" s="355"/>
      <c r="EN8" s="355"/>
      <c r="EO8" s="355"/>
      <c r="EP8" s="355"/>
      <c r="EQ8" s="355"/>
      <c r="ER8" s="355"/>
      <c r="ES8" s="355"/>
      <c r="ET8" s="355"/>
      <c r="EU8" s="355"/>
      <c r="EV8" s="355"/>
      <c r="EW8" s="355"/>
      <c r="EX8" s="355"/>
      <c r="EY8" s="355"/>
      <c r="EZ8" s="355"/>
      <c r="FA8" s="355"/>
      <c r="FB8" s="355"/>
      <c r="FC8" s="355"/>
      <c r="FD8" s="355"/>
      <c r="FE8" s="355"/>
      <c r="FF8" s="355"/>
      <c r="FG8" s="355"/>
      <c r="FH8" s="355"/>
      <c r="FI8" s="355"/>
      <c r="FJ8" s="355"/>
      <c r="FK8" s="355"/>
      <c r="FL8" s="355"/>
      <c r="FM8" s="355"/>
      <c r="FN8" s="355"/>
      <c r="FO8" s="355"/>
      <c r="FP8" s="355"/>
      <c r="FQ8" s="355"/>
      <c r="FR8" s="355"/>
      <c r="FS8" s="355"/>
      <c r="FT8" s="355"/>
      <c r="FU8" s="355"/>
      <c r="FV8" s="355"/>
      <c r="FW8" s="355"/>
      <c r="FX8" s="355"/>
      <c r="FY8" s="355"/>
      <c r="FZ8" s="355"/>
      <c r="GA8" s="355"/>
      <c r="GB8" s="355"/>
      <c r="GC8" s="355"/>
      <c r="GD8" s="355"/>
      <c r="GE8" s="355"/>
      <c r="GF8" s="355"/>
      <c r="GG8" s="355"/>
      <c r="GH8" s="355"/>
      <c r="GI8" s="355"/>
      <c r="GJ8" s="355"/>
      <c r="GK8" s="355"/>
      <c r="GL8" s="355"/>
      <c r="GM8" s="355"/>
      <c r="GN8" s="355"/>
      <c r="GO8" s="355"/>
      <c r="GP8" s="355"/>
      <c r="GQ8" s="355"/>
      <c r="GR8" s="355"/>
      <c r="GS8" s="355"/>
      <c r="GT8" s="355"/>
      <c r="GU8" s="355"/>
      <c r="GV8" s="355"/>
      <c r="GW8" s="355"/>
      <c r="GX8" s="355"/>
      <c r="GY8" s="355"/>
      <c r="GZ8" s="355"/>
      <c r="HA8" s="355"/>
      <c r="HB8" s="355"/>
      <c r="HC8" s="355"/>
      <c r="HD8" s="355"/>
      <c r="HE8" s="355"/>
      <c r="HF8" s="355"/>
      <c r="HG8" s="355"/>
      <c r="HH8" s="355"/>
      <c r="HI8" s="355"/>
      <c r="HJ8" s="355"/>
      <c r="HK8" s="355"/>
      <c r="HL8" s="355"/>
      <c r="HM8" s="355"/>
      <c r="HN8" s="355"/>
      <c r="HO8" s="355"/>
      <c r="HP8" s="355"/>
      <c r="HQ8" s="355"/>
      <c r="HR8" s="355"/>
      <c r="HS8" s="355"/>
      <c r="HT8" s="355"/>
      <c r="HU8" s="355"/>
      <c r="HV8" s="355"/>
      <c r="HW8" s="355"/>
      <c r="HX8" s="355"/>
      <c r="HY8" s="355"/>
      <c r="HZ8" s="355"/>
      <c r="IA8" s="355"/>
      <c r="IB8" s="355"/>
      <c r="IC8" s="355"/>
      <c r="ID8" s="355"/>
      <c r="IE8" s="355"/>
      <c r="IF8" s="355"/>
      <c r="IG8" s="355"/>
      <c r="IH8" s="355"/>
      <c r="II8" s="355"/>
      <c r="IJ8" s="355"/>
      <c r="IK8" s="355"/>
      <c r="IL8" s="355"/>
      <c r="IM8" s="355"/>
      <c r="IN8" s="355"/>
      <c r="IO8" s="355"/>
      <c r="IP8" s="355"/>
      <c r="IQ8" s="355"/>
      <c r="IR8" s="355"/>
      <c r="IS8" s="355"/>
      <c r="IT8" s="355"/>
      <c r="IU8" s="355"/>
      <c r="IV8" s="355"/>
      <c r="IW8" s="355"/>
    </row>
    <row r="9" customFormat="false" ht="12.75" hidden="false" customHeight="false" outlineLevel="0" collapsed="false">
      <c r="A9" s="357" t="s">
        <v>399</v>
      </c>
      <c r="B9" s="358"/>
      <c r="C9" s="358"/>
      <c r="D9" s="358"/>
      <c r="E9" s="358"/>
      <c r="F9" s="359"/>
      <c r="G9" s="358"/>
      <c r="H9" s="359"/>
      <c r="I9" s="358"/>
      <c r="J9" s="358"/>
      <c r="K9" s="359"/>
      <c r="L9" s="358"/>
      <c r="M9" s="359"/>
      <c r="N9" s="358"/>
      <c r="O9" s="358"/>
      <c r="P9" s="359"/>
      <c r="Q9" s="358"/>
      <c r="R9" s="359"/>
      <c r="S9" s="358"/>
      <c r="T9" s="358" t="n">
        <v>1058</v>
      </c>
      <c r="U9" s="359" t="n">
        <v>976</v>
      </c>
      <c r="V9" s="360" t="n">
        <v>0.92</v>
      </c>
      <c r="W9" s="359" t="n">
        <v>488</v>
      </c>
      <c r="X9" s="358"/>
      <c r="Y9" s="358"/>
      <c r="Z9" s="359"/>
      <c r="AA9" s="358"/>
      <c r="AB9" s="359"/>
      <c r="AC9" s="358"/>
      <c r="AD9" s="358"/>
      <c r="AE9" s="359"/>
      <c r="AF9" s="358"/>
      <c r="AG9" s="359"/>
      <c r="AH9" s="358"/>
      <c r="AI9" s="358"/>
      <c r="AJ9" s="359"/>
      <c r="AK9" s="358"/>
      <c r="AL9" s="359"/>
      <c r="AM9" s="358"/>
      <c r="AN9" s="358"/>
      <c r="AO9" s="359"/>
      <c r="AP9" s="358"/>
      <c r="AQ9" s="359"/>
      <c r="AR9" s="358"/>
      <c r="AS9" s="358"/>
      <c r="AT9" s="359"/>
      <c r="AU9" s="358"/>
      <c r="AV9" s="359"/>
      <c r="AW9" s="358"/>
      <c r="AX9" s="358"/>
      <c r="AY9" s="358"/>
      <c r="AZ9" s="358"/>
      <c r="BA9" s="358"/>
      <c r="BB9" s="361"/>
      <c r="BC9" s="355"/>
      <c r="BD9" s="355"/>
      <c r="BE9" s="355"/>
      <c r="BF9" s="355"/>
      <c r="BG9" s="355"/>
      <c r="BH9" s="355"/>
      <c r="BI9" s="355"/>
      <c r="BJ9" s="355"/>
      <c r="BK9" s="355"/>
      <c r="BL9" s="355"/>
      <c r="BM9" s="355"/>
      <c r="BN9" s="355"/>
      <c r="BO9" s="355"/>
      <c r="BP9" s="355"/>
      <c r="BQ9" s="355"/>
      <c r="BR9" s="355"/>
      <c r="BS9" s="355"/>
      <c r="BT9" s="355"/>
      <c r="BU9" s="355"/>
      <c r="BV9" s="355"/>
      <c r="BW9" s="355"/>
      <c r="BX9" s="355"/>
      <c r="BY9" s="355"/>
      <c r="BZ9" s="355"/>
      <c r="CA9" s="355"/>
      <c r="CB9" s="355"/>
      <c r="CC9" s="355"/>
      <c r="CD9" s="355"/>
      <c r="CE9" s="355"/>
      <c r="CF9" s="355"/>
      <c r="CG9" s="355"/>
      <c r="CH9" s="355"/>
      <c r="CI9" s="355"/>
      <c r="CJ9" s="355"/>
      <c r="CK9" s="355"/>
      <c r="CL9" s="355"/>
      <c r="CM9" s="355"/>
      <c r="CN9" s="355"/>
      <c r="CO9" s="355"/>
      <c r="CP9" s="355"/>
      <c r="CQ9" s="355"/>
      <c r="CR9" s="355"/>
      <c r="CS9" s="355"/>
      <c r="CT9" s="355"/>
      <c r="CU9" s="355"/>
      <c r="CV9" s="355"/>
      <c r="CW9" s="355"/>
      <c r="CX9" s="355"/>
      <c r="CY9" s="355"/>
      <c r="CZ9" s="355"/>
      <c r="DA9" s="355"/>
      <c r="DB9" s="355"/>
      <c r="DC9" s="355"/>
      <c r="DD9" s="355"/>
      <c r="DE9" s="355"/>
      <c r="DF9" s="355"/>
      <c r="DG9" s="355"/>
      <c r="DH9" s="355"/>
      <c r="DI9" s="355"/>
      <c r="DJ9" s="355"/>
      <c r="DK9" s="355"/>
      <c r="DL9" s="355"/>
      <c r="DM9" s="355"/>
      <c r="DN9" s="355"/>
      <c r="DO9" s="355"/>
      <c r="DP9" s="355"/>
      <c r="DQ9" s="355"/>
      <c r="DR9" s="355"/>
      <c r="DS9" s="355"/>
      <c r="DT9" s="355"/>
      <c r="DU9" s="355"/>
      <c r="DV9" s="355"/>
      <c r="DW9" s="355"/>
      <c r="DX9" s="355"/>
      <c r="DY9" s="355"/>
      <c r="DZ9" s="355"/>
      <c r="EA9" s="355"/>
      <c r="EB9" s="355"/>
      <c r="EC9" s="355"/>
      <c r="ED9" s="355"/>
      <c r="EE9" s="355"/>
      <c r="EF9" s="355"/>
      <c r="EG9" s="355"/>
      <c r="EH9" s="355"/>
      <c r="EI9" s="355"/>
      <c r="EJ9" s="355"/>
      <c r="EK9" s="355"/>
      <c r="EL9" s="355"/>
      <c r="EM9" s="355"/>
      <c r="EN9" s="355"/>
      <c r="EO9" s="355"/>
      <c r="EP9" s="355"/>
      <c r="EQ9" s="355"/>
      <c r="ER9" s="355"/>
      <c r="ES9" s="355"/>
      <c r="ET9" s="355"/>
      <c r="EU9" s="355"/>
      <c r="EV9" s="355"/>
      <c r="EW9" s="355"/>
      <c r="EX9" s="355"/>
      <c r="EY9" s="355"/>
      <c r="EZ9" s="355"/>
      <c r="FA9" s="355"/>
      <c r="FB9" s="355"/>
      <c r="FC9" s="355"/>
      <c r="FD9" s="355"/>
      <c r="FE9" s="355"/>
      <c r="FF9" s="355"/>
      <c r="FG9" s="355"/>
      <c r="FH9" s="355"/>
      <c r="FI9" s="355"/>
      <c r="FJ9" s="355"/>
      <c r="FK9" s="355"/>
      <c r="FL9" s="355"/>
      <c r="FM9" s="355"/>
      <c r="FN9" s="355"/>
      <c r="FO9" s="355"/>
      <c r="FP9" s="355"/>
      <c r="FQ9" s="355"/>
      <c r="FR9" s="355"/>
      <c r="FS9" s="355"/>
      <c r="FT9" s="355"/>
      <c r="FU9" s="355"/>
      <c r="FV9" s="355"/>
      <c r="FW9" s="355"/>
      <c r="FX9" s="355"/>
      <c r="FY9" s="355"/>
      <c r="FZ9" s="355"/>
      <c r="GA9" s="355"/>
      <c r="GB9" s="355"/>
      <c r="GC9" s="355"/>
      <c r="GD9" s="355"/>
      <c r="GE9" s="355"/>
      <c r="GF9" s="355"/>
      <c r="GG9" s="355"/>
      <c r="GH9" s="355"/>
      <c r="GI9" s="355"/>
      <c r="GJ9" s="355"/>
      <c r="GK9" s="355"/>
      <c r="GL9" s="355"/>
      <c r="GM9" s="355"/>
      <c r="GN9" s="355"/>
      <c r="GO9" s="355"/>
      <c r="GP9" s="355"/>
      <c r="GQ9" s="355"/>
      <c r="GR9" s="355"/>
      <c r="GS9" s="355"/>
      <c r="GT9" s="355"/>
      <c r="GU9" s="355"/>
      <c r="GV9" s="355"/>
      <c r="GW9" s="355"/>
      <c r="GX9" s="355"/>
      <c r="GY9" s="355"/>
      <c r="GZ9" s="355"/>
      <c r="HA9" s="355"/>
      <c r="HB9" s="355"/>
      <c r="HC9" s="355"/>
      <c r="HD9" s="355"/>
      <c r="HE9" s="355"/>
      <c r="HF9" s="355"/>
      <c r="HG9" s="355"/>
      <c r="HH9" s="355"/>
      <c r="HI9" s="355"/>
      <c r="HJ9" s="355"/>
      <c r="HK9" s="355"/>
      <c r="HL9" s="355"/>
      <c r="HM9" s="355"/>
      <c r="HN9" s="355"/>
      <c r="HO9" s="355"/>
      <c r="HP9" s="355"/>
      <c r="HQ9" s="355"/>
      <c r="HR9" s="355"/>
      <c r="HS9" s="355"/>
      <c r="HT9" s="355"/>
      <c r="HU9" s="355"/>
      <c r="HV9" s="355"/>
      <c r="HW9" s="355"/>
      <c r="HX9" s="355"/>
      <c r="HY9" s="355"/>
      <c r="HZ9" s="355"/>
      <c r="IA9" s="355"/>
      <c r="IB9" s="355"/>
      <c r="IC9" s="355"/>
      <c r="ID9" s="355"/>
      <c r="IE9" s="355"/>
      <c r="IF9" s="355"/>
      <c r="IG9" s="355"/>
      <c r="IH9" s="355"/>
      <c r="II9" s="355"/>
      <c r="IJ9" s="355"/>
      <c r="IK9" s="355"/>
      <c r="IL9" s="355"/>
      <c r="IM9" s="355"/>
      <c r="IN9" s="355"/>
      <c r="IO9" s="355"/>
      <c r="IP9" s="355"/>
      <c r="IQ9" s="355"/>
      <c r="IR9" s="355"/>
      <c r="IS9" s="355"/>
      <c r="IT9" s="355"/>
      <c r="IU9" s="355"/>
      <c r="IV9" s="355"/>
      <c r="IW9" s="355"/>
    </row>
    <row r="10" customFormat="false" ht="12.75" hidden="false" customHeight="false" outlineLevel="0" collapsed="false">
      <c r="A10" s="362"/>
      <c r="B10" s="363"/>
      <c r="C10" s="363"/>
      <c r="D10" s="363"/>
      <c r="E10" s="363"/>
      <c r="F10" s="364"/>
      <c r="G10" s="363"/>
      <c r="H10" s="364"/>
      <c r="I10" s="363"/>
      <c r="J10" s="363"/>
      <c r="K10" s="364"/>
      <c r="L10" s="363"/>
      <c r="M10" s="364"/>
      <c r="N10" s="363"/>
      <c r="O10" s="363"/>
      <c r="P10" s="364"/>
      <c r="Q10" s="363"/>
      <c r="R10" s="364"/>
      <c r="S10" s="363"/>
      <c r="T10" s="363" t="n">
        <v>990.8</v>
      </c>
      <c r="U10" s="364" t="n">
        <v>993</v>
      </c>
      <c r="V10" s="365" t="n">
        <v>1.01</v>
      </c>
      <c r="W10" s="364" t="n">
        <v>496.5</v>
      </c>
      <c r="X10" s="363"/>
      <c r="Y10" s="366" t="n">
        <f aca="false">AVERAGE(Y5:Y9)</f>
        <v>1250</v>
      </c>
      <c r="Z10" s="366" t="n">
        <f aca="false">AVERAGE(Z5:Z9)</f>
        <v>1210</v>
      </c>
      <c r="AA10" s="367" t="n">
        <f aca="false">AVERAGE(AA5:AA9)</f>
        <v>0.97</v>
      </c>
      <c r="AB10" s="366" t="n">
        <f aca="false">AVERAGE(AB5:AB9)</f>
        <v>403.33</v>
      </c>
      <c r="AC10" s="363"/>
      <c r="AD10" s="366" t="n">
        <f aca="false">AVERAGE(AD5:AD9)</f>
        <v>1064.66666666667</v>
      </c>
      <c r="AE10" s="366" t="n">
        <f aca="false">AVERAGE(AE5:AE9)</f>
        <v>1288.33333333333</v>
      </c>
      <c r="AF10" s="367" t="n">
        <f aca="false">AVERAGE(AF5:AF9)</f>
        <v>1.23666666666667</v>
      </c>
      <c r="AG10" s="366" t="n">
        <f aca="false">AVERAGE(AG5:AG9)</f>
        <v>429.443333333333</v>
      </c>
      <c r="AH10" s="363"/>
      <c r="AI10" s="366" t="n">
        <f aca="false">AVERAGE(AI5:AI9)</f>
        <v>1335.33333333333</v>
      </c>
      <c r="AJ10" s="366" t="n">
        <f aca="false">AVERAGE(AJ5:AJ9)</f>
        <v>1701.33333333333</v>
      </c>
      <c r="AK10" s="367" t="n">
        <f aca="false">AVERAGE(AK5:AK9)</f>
        <v>1.28666666666667</v>
      </c>
      <c r="AL10" s="366" t="n">
        <f aca="false">AVERAGE(AL5:AL9)</f>
        <v>425.333333333333</v>
      </c>
      <c r="AM10" s="363"/>
      <c r="AN10" s="363"/>
      <c r="AO10" s="364"/>
      <c r="AP10" s="363"/>
      <c r="AQ10" s="364"/>
      <c r="AR10" s="363"/>
      <c r="AS10" s="363"/>
      <c r="AT10" s="364"/>
      <c r="AU10" s="363"/>
      <c r="AV10" s="364"/>
      <c r="AW10" s="363"/>
      <c r="AX10" s="363"/>
      <c r="AY10" s="363"/>
      <c r="AZ10" s="363"/>
      <c r="BA10" s="363"/>
      <c r="BB10" s="368"/>
      <c r="BC10" s="369"/>
      <c r="BD10" s="369"/>
      <c r="BE10" s="369"/>
      <c r="BF10" s="369"/>
      <c r="BG10" s="369"/>
      <c r="BH10" s="369"/>
      <c r="BI10" s="369"/>
      <c r="BJ10" s="369"/>
      <c r="BK10" s="369"/>
      <c r="BL10" s="369"/>
      <c r="BM10" s="369"/>
      <c r="BN10" s="369"/>
      <c r="BO10" s="369"/>
      <c r="BP10" s="369"/>
      <c r="BQ10" s="369"/>
      <c r="BR10" s="369"/>
      <c r="BS10" s="369"/>
      <c r="BT10" s="369"/>
      <c r="BU10" s="369"/>
      <c r="BV10" s="369"/>
      <c r="BW10" s="369"/>
      <c r="BX10" s="369"/>
      <c r="BY10" s="369"/>
      <c r="BZ10" s="369"/>
      <c r="CA10" s="369"/>
      <c r="CB10" s="369"/>
      <c r="CC10" s="369"/>
      <c r="CD10" s="369"/>
      <c r="CE10" s="369"/>
      <c r="CF10" s="369"/>
      <c r="CG10" s="369"/>
      <c r="CH10" s="369"/>
      <c r="CI10" s="369"/>
      <c r="CJ10" s="369"/>
      <c r="CK10" s="369"/>
      <c r="CL10" s="369"/>
      <c r="CM10" s="369"/>
      <c r="CN10" s="369"/>
      <c r="CO10" s="369"/>
      <c r="CP10" s="369"/>
      <c r="CQ10" s="369"/>
      <c r="CR10" s="369"/>
      <c r="CS10" s="369"/>
      <c r="CT10" s="369"/>
      <c r="CU10" s="369"/>
      <c r="CV10" s="369"/>
      <c r="CW10" s="369"/>
      <c r="CX10" s="369"/>
      <c r="CY10" s="369"/>
      <c r="CZ10" s="369"/>
      <c r="DA10" s="369"/>
      <c r="DB10" s="369"/>
      <c r="DC10" s="369"/>
      <c r="DD10" s="369"/>
      <c r="DE10" s="369"/>
      <c r="DF10" s="369"/>
      <c r="DG10" s="369"/>
      <c r="DH10" s="369"/>
      <c r="DI10" s="369"/>
      <c r="DJ10" s="369"/>
      <c r="DK10" s="369"/>
      <c r="DL10" s="369"/>
      <c r="DM10" s="369"/>
      <c r="DN10" s="369"/>
      <c r="DO10" s="369"/>
      <c r="DP10" s="369"/>
      <c r="DQ10" s="369"/>
      <c r="DR10" s="369"/>
      <c r="DS10" s="369"/>
      <c r="DT10" s="369"/>
      <c r="DU10" s="369"/>
      <c r="DV10" s="369"/>
      <c r="DW10" s="369"/>
      <c r="DX10" s="369"/>
      <c r="DY10" s="369"/>
      <c r="DZ10" s="369"/>
      <c r="EA10" s="369"/>
      <c r="EB10" s="369"/>
      <c r="EC10" s="369"/>
      <c r="ED10" s="369"/>
      <c r="EE10" s="369"/>
      <c r="EF10" s="369"/>
      <c r="EG10" s="369"/>
      <c r="EH10" s="369"/>
      <c r="EI10" s="369"/>
      <c r="EJ10" s="369"/>
      <c r="EK10" s="369"/>
      <c r="EL10" s="369"/>
      <c r="EM10" s="369"/>
      <c r="EN10" s="369"/>
      <c r="EO10" s="369"/>
      <c r="EP10" s="369"/>
      <c r="EQ10" s="369"/>
      <c r="ER10" s="369"/>
      <c r="ES10" s="369"/>
      <c r="ET10" s="369"/>
      <c r="EU10" s="369"/>
      <c r="EV10" s="369"/>
      <c r="EW10" s="369"/>
      <c r="EX10" s="369"/>
      <c r="EY10" s="369"/>
      <c r="EZ10" s="369"/>
      <c r="FA10" s="369"/>
      <c r="FB10" s="369"/>
      <c r="FC10" s="369"/>
      <c r="FD10" s="369"/>
      <c r="FE10" s="369"/>
      <c r="FF10" s="369"/>
      <c r="FG10" s="369"/>
      <c r="FH10" s="369"/>
      <c r="FI10" s="369"/>
      <c r="FJ10" s="369"/>
      <c r="FK10" s="369"/>
      <c r="FL10" s="369"/>
      <c r="FM10" s="369"/>
      <c r="FN10" s="369"/>
      <c r="FO10" s="369"/>
      <c r="FP10" s="369"/>
      <c r="FQ10" s="369"/>
      <c r="FR10" s="369"/>
      <c r="FS10" s="369"/>
      <c r="FT10" s="369"/>
      <c r="FU10" s="369"/>
      <c r="FV10" s="369"/>
      <c r="FW10" s="369"/>
      <c r="FX10" s="369"/>
      <c r="FY10" s="369"/>
      <c r="FZ10" s="369"/>
      <c r="GA10" s="369"/>
      <c r="GB10" s="369"/>
      <c r="GC10" s="369"/>
      <c r="GD10" s="369"/>
      <c r="GE10" s="369"/>
      <c r="GF10" s="369"/>
      <c r="GG10" s="369"/>
      <c r="GH10" s="369"/>
      <c r="GI10" s="369"/>
      <c r="GJ10" s="369"/>
      <c r="GK10" s="369"/>
      <c r="GL10" s="369"/>
      <c r="GM10" s="369"/>
      <c r="GN10" s="369"/>
      <c r="GO10" s="369"/>
      <c r="GP10" s="369"/>
      <c r="GQ10" s="369"/>
      <c r="GR10" s="369"/>
      <c r="GS10" s="369"/>
      <c r="GT10" s="369"/>
      <c r="GU10" s="369"/>
      <c r="GV10" s="369"/>
      <c r="GW10" s="369"/>
      <c r="GX10" s="369"/>
      <c r="GY10" s="369"/>
      <c r="GZ10" s="369"/>
      <c r="HA10" s="369"/>
      <c r="HB10" s="369"/>
      <c r="HC10" s="369"/>
      <c r="HD10" s="369"/>
      <c r="HE10" s="369"/>
      <c r="HF10" s="369"/>
      <c r="HG10" s="369"/>
      <c r="HH10" s="369"/>
      <c r="HI10" s="369"/>
      <c r="HJ10" s="369"/>
      <c r="HK10" s="369"/>
      <c r="HL10" s="369"/>
      <c r="HM10" s="369"/>
      <c r="HN10" s="369"/>
      <c r="HO10" s="369"/>
      <c r="HP10" s="369"/>
      <c r="HQ10" s="369"/>
      <c r="HR10" s="369"/>
      <c r="HS10" s="369"/>
      <c r="HT10" s="369"/>
      <c r="HU10" s="369"/>
      <c r="HV10" s="369"/>
      <c r="HW10" s="369"/>
      <c r="HX10" s="369"/>
      <c r="HY10" s="369"/>
      <c r="HZ10" s="369"/>
      <c r="IA10" s="369"/>
      <c r="IB10" s="369"/>
      <c r="IC10" s="369"/>
      <c r="ID10" s="369"/>
      <c r="IE10" s="369"/>
      <c r="IF10" s="369"/>
      <c r="IG10" s="369"/>
      <c r="IH10" s="369"/>
      <c r="II10" s="369"/>
      <c r="IJ10" s="369"/>
      <c r="IK10" s="369"/>
      <c r="IL10" s="369"/>
      <c r="IM10" s="369"/>
      <c r="IN10" s="369"/>
      <c r="IO10" s="369"/>
      <c r="IP10" s="369"/>
      <c r="IQ10" s="369"/>
      <c r="IR10" s="369"/>
      <c r="IS10" s="369"/>
      <c r="IT10" s="369"/>
      <c r="IU10" s="369"/>
      <c r="IV10" s="369"/>
      <c r="IW10" s="369"/>
    </row>
    <row r="11" customFormat="false" ht="12.75" hidden="false" customHeight="false" outlineLevel="0" collapsed="false">
      <c r="F11" s="370"/>
      <c r="G11" s="371"/>
      <c r="H11" s="370"/>
      <c r="K11" s="372"/>
      <c r="M11" s="372"/>
      <c r="P11" s="372"/>
      <c r="Q11" s="371"/>
      <c r="R11" s="370"/>
      <c r="U11" s="372"/>
      <c r="V11" s="371"/>
      <c r="W11" s="370"/>
      <c r="Z11" s="372"/>
      <c r="AB11" s="372"/>
      <c r="AE11" s="372"/>
      <c r="AG11" s="372"/>
      <c r="AJ11" s="372"/>
      <c r="AL11" s="372"/>
      <c r="AO11" s="372"/>
      <c r="AQ11" s="372"/>
      <c r="AT11" s="372"/>
      <c r="AV11" s="372"/>
    </row>
    <row r="12" customFormat="false" ht="12.75" hidden="false" customHeight="false" outlineLevel="0" collapsed="false">
      <c r="A12" s="373" t="s">
        <v>400</v>
      </c>
      <c r="B12" s="374" t="n">
        <v>134</v>
      </c>
      <c r="C12" s="374" t="n">
        <v>0</v>
      </c>
      <c r="D12" s="374"/>
      <c r="E12" s="374" t="n">
        <v>0</v>
      </c>
      <c r="F12" s="375" t="n">
        <v>0</v>
      </c>
      <c r="G12" s="376"/>
      <c r="H12" s="375"/>
      <c r="I12" s="374"/>
      <c r="J12" s="374" t="n">
        <v>0</v>
      </c>
      <c r="K12" s="377" t="n">
        <v>0</v>
      </c>
      <c r="L12" s="374" t="n">
        <v>0</v>
      </c>
      <c r="M12" s="377" t="n">
        <v>0</v>
      </c>
      <c r="N12" s="374"/>
      <c r="O12" s="374"/>
      <c r="P12" s="377"/>
      <c r="Q12" s="376"/>
      <c r="R12" s="375"/>
      <c r="S12" s="374"/>
      <c r="T12" s="374" t="n">
        <v>1107</v>
      </c>
      <c r="U12" s="377" t="n">
        <v>1150</v>
      </c>
      <c r="V12" s="376" t="n">
        <f aca="false">+U12/T12</f>
        <v>1.03884372177055</v>
      </c>
      <c r="W12" s="375" t="n">
        <f aca="false">+U12/2</f>
        <v>575</v>
      </c>
      <c r="X12" s="374"/>
      <c r="Y12" s="374"/>
      <c r="Z12" s="377"/>
      <c r="AA12" s="374"/>
      <c r="AB12" s="377"/>
      <c r="AC12" s="374"/>
      <c r="AD12" s="374" t="n">
        <f aca="false">1298</f>
        <v>1298</v>
      </c>
      <c r="AE12" s="377" t="n">
        <f aca="false">475*3</f>
        <v>1425</v>
      </c>
      <c r="AF12" s="376" t="n">
        <f aca="false">+AE12/AD12</f>
        <v>1.09784283513097</v>
      </c>
      <c r="AG12" s="375" t="n">
        <f aca="false">+AE12/3</f>
        <v>475</v>
      </c>
      <c r="AH12" s="374"/>
      <c r="AI12" s="374"/>
      <c r="AJ12" s="377"/>
      <c r="AK12" s="374"/>
      <c r="AL12" s="377"/>
      <c r="AM12" s="374"/>
      <c r="AN12" s="374"/>
      <c r="AO12" s="377"/>
      <c r="AP12" s="374"/>
      <c r="AQ12" s="377"/>
      <c r="AR12" s="374"/>
      <c r="AS12" s="374"/>
      <c r="AT12" s="377"/>
      <c r="AU12" s="374"/>
      <c r="AV12" s="378"/>
    </row>
    <row r="13" customFormat="false" ht="12.75" hidden="false" customHeight="false" outlineLevel="0" collapsed="false">
      <c r="A13" s="379"/>
      <c r="B13" s="380"/>
      <c r="C13" s="380"/>
      <c r="D13" s="380"/>
      <c r="E13" s="380"/>
      <c r="F13" s="381"/>
      <c r="G13" s="382"/>
      <c r="H13" s="381"/>
      <c r="I13" s="380"/>
      <c r="J13" s="380"/>
      <c r="K13" s="383"/>
      <c r="L13" s="380"/>
      <c r="M13" s="383"/>
      <c r="N13" s="380"/>
      <c r="O13" s="380"/>
      <c r="P13" s="383"/>
      <c r="Q13" s="382"/>
      <c r="R13" s="381"/>
      <c r="S13" s="380"/>
      <c r="T13" s="380" t="n">
        <v>1198</v>
      </c>
      <c r="U13" s="383" t="n">
        <v>1200</v>
      </c>
      <c r="V13" s="382" t="n">
        <f aca="false">+U13/T13</f>
        <v>1.0016694490818</v>
      </c>
      <c r="W13" s="381" t="n">
        <f aca="false">+U13/2</f>
        <v>600</v>
      </c>
      <c r="X13" s="380"/>
      <c r="Y13" s="380"/>
      <c r="Z13" s="383"/>
      <c r="AA13" s="380"/>
      <c r="AB13" s="383"/>
      <c r="AC13" s="380"/>
      <c r="AD13" s="380"/>
      <c r="AE13" s="383"/>
      <c r="AF13" s="380"/>
      <c r="AG13" s="383"/>
      <c r="AH13" s="380"/>
      <c r="AI13" s="380"/>
      <c r="AJ13" s="383"/>
      <c r="AK13" s="380"/>
      <c r="AL13" s="383"/>
      <c r="AM13" s="380"/>
      <c r="AN13" s="380"/>
      <c r="AO13" s="383"/>
      <c r="AP13" s="380"/>
      <c r="AQ13" s="383"/>
      <c r="AR13" s="380"/>
      <c r="AS13" s="380"/>
      <c r="AT13" s="383"/>
      <c r="AU13" s="380"/>
      <c r="AV13" s="384"/>
    </row>
    <row r="14" customFormat="false" ht="12.75" hidden="false" customHeight="false" outlineLevel="0" collapsed="false">
      <c r="F14" s="370"/>
      <c r="G14" s="371"/>
      <c r="H14" s="370"/>
      <c r="K14" s="372"/>
      <c r="M14" s="372"/>
      <c r="P14" s="372"/>
      <c r="Q14" s="371"/>
      <c r="R14" s="370"/>
      <c r="T14" s="374" t="n">
        <f aca="false">1107-150</f>
        <v>957</v>
      </c>
      <c r="U14" s="372" t="n">
        <f aca="false">W14*2</f>
        <v>1200</v>
      </c>
      <c r="V14" s="385" t="n">
        <f aca="false">+U14/U14</f>
        <v>1</v>
      </c>
      <c r="W14" s="381" t="n">
        <v>600</v>
      </c>
      <c r="Z14" s="372"/>
      <c r="AB14" s="372"/>
      <c r="AE14" s="372"/>
      <c r="AG14" s="372"/>
      <c r="AJ14" s="372"/>
      <c r="AL14" s="372"/>
      <c r="AO14" s="372"/>
      <c r="AQ14" s="372"/>
      <c r="AT14" s="372"/>
      <c r="AV14" s="372"/>
    </row>
    <row r="15" customFormat="false" ht="12.75" hidden="false" customHeight="false" outlineLevel="0" collapsed="false">
      <c r="F15" s="370"/>
      <c r="G15" s="371"/>
      <c r="H15" s="370"/>
      <c r="K15" s="372"/>
      <c r="M15" s="372"/>
      <c r="P15" s="372"/>
      <c r="Q15" s="371"/>
      <c r="R15" s="370"/>
      <c r="T15" s="380" t="n">
        <v>1198</v>
      </c>
      <c r="U15" s="372" t="n">
        <f aca="false">V15*T15</f>
        <v>1497.5</v>
      </c>
      <c r="V15" s="346" t="n">
        <v>1.25</v>
      </c>
      <c r="W15" s="381" t="n">
        <f aca="false">+U15/2</f>
        <v>748.75</v>
      </c>
      <c r="Z15" s="372"/>
      <c r="AB15" s="372"/>
      <c r="AE15" s="372"/>
      <c r="AG15" s="372"/>
      <c r="AJ15" s="372"/>
      <c r="AL15" s="372"/>
      <c r="AO15" s="372"/>
      <c r="AQ15" s="372"/>
      <c r="AT15" s="372"/>
      <c r="AV15" s="372"/>
    </row>
    <row r="16" customFormat="false" ht="12.75" hidden="false" customHeight="false" outlineLevel="0" collapsed="false">
      <c r="F16" s="370"/>
      <c r="G16" s="371"/>
      <c r="H16" s="370"/>
      <c r="K16" s="372"/>
      <c r="M16" s="372"/>
      <c r="P16" s="372"/>
      <c r="Q16" s="371"/>
      <c r="R16" s="370"/>
      <c r="U16" s="372"/>
      <c r="W16" s="372"/>
      <c r="Z16" s="372"/>
      <c r="AB16" s="372"/>
      <c r="AE16" s="372"/>
      <c r="AG16" s="372"/>
      <c r="AJ16" s="372"/>
      <c r="AL16" s="372"/>
      <c r="AO16" s="372"/>
      <c r="AQ16" s="372"/>
      <c r="AT16" s="372"/>
      <c r="AV16" s="372"/>
    </row>
    <row r="17" customFormat="false" ht="12.75" hidden="false" customHeight="false" outlineLevel="0" collapsed="false">
      <c r="F17" s="370"/>
      <c r="G17" s="371"/>
      <c r="H17" s="370"/>
      <c r="K17" s="372"/>
      <c r="M17" s="372"/>
      <c r="P17" s="372"/>
      <c r="Q17" s="371"/>
      <c r="R17" s="370"/>
      <c r="U17" s="372"/>
      <c r="W17" s="372"/>
      <c r="Z17" s="372"/>
      <c r="AB17" s="372"/>
      <c r="AE17" s="372"/>
      <c r="AG17" s="372"/>
      <c r="AJ17" s="372"/>
      <c r="AL17" s="372"/>
      <c r="AO17" s="372"/>
      <c r="AQ17" s="372"/>
      <c r="AT17" s="372"/>
      <c r="AV17" s="372"/>
    </row>
    <row r="18" customFormat="false" ht="12.75" hidden="false" customHeight="false" outlineLevel="0" collapsed="false">
      <c r="F18" s="370"/>
      <c r="G18" s="371"/>
      <c r="H18" s="370"/>
      <c r="K18" s="372"/>
      <c r="M18" s="372"/>
      <c r="P18" s="372"/>
      <c r="Q18" s="371"/>
      <c r="R18" s="370"/>
      <c r="U18" s="372"/>
      <c r="W18" s="372"/>
      <c r="Z18" s="372"/>
      <c r="AB18" s="372"/>
      <c r="AE18" s="372"/>
      <c r="AG18" s="372"/>
      <c r="AJ18" s="372"/>
      <c r="AL18" s="372"/>
      <c r="AO18" s="372"/>
      <c r="AQ18" s="372"/>
      <c r="AT18" s="372"/>
      <c r="AV18" s="372"/>
    </row>
    <row r="19" customFormat="false" ht="12.75" hidden="false" customHeight="false" outlineLevel="0" collapsed="false">
      <c r="F19" s="370"/>
      <c r="G19" s="371"/>
      <c r="H19" s="370"/>
      <c r="K19" s="372"/>
      <c r="M19" s="372"/>
      <c r="P19" s="372"/>
      <c r="Q19" s="371"/>
      <c r="R19" s="370"/>
      <c r="U19" s="372"/>
      <c r="W19" s="372"/>
      <c r="Z19" s="372"/>
      <c r="AB19" s="372"/>
      <c r="AE19" s="372"/>
      <c r="AG19" s="372"/>
      <c r="AJ19" s="372"/>
      <c r="AL19" s="372"/>
      <c r="AO19" s="372"/>
      <c r="AQ19" s="372"/>
      <c r="AT19" s="372"/>
      <c r="AV19" s="372"/>
    </row>
    <row r="20" customFormat="false" ht="12.75" hidden="false" customHeight="false" outlineLevel="0" collapsed="false">
      <c r="F20" s="370"/>
      <c r="G20" s="371"/>
      <c r="H20" s="370"/>
      <c r="K20" s="372"/>
      <c r="M20" s="372"/>
      <c r="P20" s="372"/>
      <c r="Q20" s="371"/>
      <c r="R20" s="370"/>
      <c r="U20" s="372"/>
      <c r="W20" s="372"/>
      <c r="Z20" s="372"/>
      <c r="AB20" s="372"/>
      <c r="AE20" s="372"/>
      <c r="AG20" s="372"/>
      <c r="AJ20" s="372"/>
      <c r="AL20" s="372"/>
      <c r="AO20" s="372"/>
      <c r="AQ20" s="372"/>
      <c r="AT20" s="372"/>
      <c r="AV20" s="372"/>
    </row>
    <row r="21" customFormat="false" ht="12.75" hidden="false" customHeight="false" outlineLevel="0" collapsed="false">
      <c r="F21" s="370"/>
      <c r="G21" s="371"/>
      <c r="H21" s="370"/>
      <c r="K21" s="372"/>
      <c r="M21" s="372"/>
      <c r="P21" s="372"/>
      <c r="Q21" s="371"/>
      <c r="R21" s="370"/>
      <c r="U21" s="372"/>
      <c r="W21" s="372"/>
      <c r="Z21" s="372"/>
      <c r="AB21" s="372"/>
      <c r="AE21" s="372"/>
      <c r="AG21" s="372"/>
      <c r="AJ21" s="372"/>
      <c r="AL21" s="372"/>
      <c r="AO21" s="372"/>
      <c r="AQ21" s="372"/>
      <c r="AT21" s="372"/>
      <c r="AV21" s="372"/>
    </row>
    <row r="22" customFormat="false" ht="12.75" hidden="false" customHeight="false" outlineLevel="0" collapsed="false">
      <c r="F22" s="370"/>
      <c r="G22" s="371"/>
      <c r="H22" s="370"/>
      <c r="K22" s="372"/>
      <c r="M22" s="372"/>
      <c r="P22" s="372"/>
      <c r="Q22" s="371"/>
      <c r="R22" s="370"/>
      <c r="U22" s="372"/>
      <c r="W22" s="372"/>
      <c r="Z22" s="372"/>
      <c r="AB22" s="372"/>
      <c r="AE22" s="372"/>
      <c r="AG22" s="372"/>
      <c r="AJ22" s="372"/>
      <c r="AL22" s="372"/>
      <c r="AO22" s="372"/>
      <c r="AQ22" s="372"/>
      <c r="AT22" s="372"/>
      <c r="AV22" s="372"/>
    </row>
    <row r="23" customFormat="false" ht="12.75" hidden="false" customHeight="false" outlineLevel="0" collapsed="false">
      <c r="F23" s="370"/>
      <c r="G23" s="371"/>
      <c r="H23" s="370"/>
      <c r="K23" s="372"/>
      <c r="M23" s="372"/>
      <c r="P23" s="372"/>
      <c r="Q23" s="371"/>
      <c r="R23" s="370"/>
      <c r="U23" s="372"/>
      <c r="W23" s="372"/>
      <c r="Z23" s="372"/>
      <c r="AB23" s="372"/>
      <c r="AE23" s="372"/>
      <c r="AG23" s="372"/>
      <c r="AJ23" s="372"/>
      <c r="AL23" s="372"/>
      <c r="AO23" s="372"/>
      <c r="AQ23" s="372"/>
      <c r="AT23" s="372"/>
      <c r="AV23" s="372"/>
    </row>
    <row r="24" customFormat="false" ht="12.75" hidden="false" customHeight="false" outlineLevel="0" collapsed="false">
      <c r="F24" s="370"/>
      <c r="G24" s="371"/>
      <c r="H24" s="370"/>
      <c r="K24" s="372"/>
      <c r="M24" s="372"/>
      <c r="P24" s="372"/>
      <c r="Q24" s="371"/>
      <c r="R24" s="370"/>
      <c r="U24" s="372"/>
      <c r="W24" s="372"/>
      <c r="Z24" s="372"/>
      <c r="AB24" s="372"/>
      <c r="AE24" s="372"/>
      <c r="AG24" s="372"/>
      <c r="AJ24" s="372"/>
      <c r="AL24" s="372"/>
      <c r="AO24" s="372"/>
      <c r="AQ24" s="372"/>
      <c r="AT24" s="372"/>
      <c r="AV24" s="372"/>
    </row>
    <row r="25" customFormat="false" ht="12.75" hidden="false" customHeight="false" outlineLevel="0" collapsed="false">
      <c r="F25" s="370"/>
      <c r="G25" s="371"/>
      <c r="H25" s="370"/>
      <c r="K25" s="372"/>
      <c r="M25" s="372"/>
      <c r="P25" s="372"/>
      <c r="Q25" s="371"/>
      <c r="R25" s="370"/>
      <c r="U25" s="372"/>
      <c r="W25" s="372"/>
      <c r="Z25" s="372"/>
      <c r="AB25" s="372"/>
      <c r="AE25" s="372"/>
      <c r="AG25" s="372"/>
      <c r="AJ25" s="372"/>
      <c r="AL25" s="372"/>
      <c r="AO25" s="372"/>
      <c r="AQ25" s="372"/>
      <c r="AT25" s="372"/>
      <c r="AV25" s="372"/>
    </row>
    <row r="26" customFormat="false" ht="12.75" hidden="false" customHeight="false" outlineLevel="0" collapsed="false">
      <c r="F26" s="370"/>
      <c r="G26" s="371"/>
      <c r="H26" s="370"/>
      <c r="K26" s="372"/>
      <c r="M26" s="372"/>
      <c r="P26" s="372"/>
      <c r="Q26" s="371"/>
      <c r="R26" s="370"/>
      <c r="U26" s="372"/>
      <c r="W26" s="372"/>
      <c r="Z26" s="372"/>
      <c r="AB26" s="372"/>
      <c r="AE26" s="372"/>
      <c r="AG26" s="372"/>
      <c r="AJ26" s="372"/>
      <c r="AL26" s="372"/>
      <c r="AO26" s="372"/>
      <c r="AQ26" s="372"/>
      <c r="AT26" s="372"/>
      <c r="AV26" s="372"/>
    </row>
    <row r="27" customFormat="false" ht="12.75" hidden="false" customHeight="false" outlineLevel="0" collapsed="false">
      <c r="F27" s="370"/>
      <c r="G27" s="371"/>
      <c r="H27" s="370"/>
      <c r="K27" s="372"/>
      <c r="M27" s="372"/>
      <c r="P27" s="372"/>
      <c r="Q27" s="371"/>
      <c r="R27" s="370"/>
      <c r="U27" s="372"/>
      <c r="W27" s="372"/>
      <c r="Z27" s="372"/>
      <c r="AB27" s="372"/>
      <c r="AE27" s="372"/>
      <c r="AG27" s="372"/>
      <c r="AJ27" s="372"/>
      <c r="AL27" s="372"/>
      <c r="AO27" s="372"/>
      <c r="AQ27" s="372"/>
      <c r="AT27" s="372"/>
      <c r="AV27" s="372"/>
    </row>
    <row r="28" customFormat="false" ht="12.75" hidden="false" customHeight="false" outlineLevel="0" collapsed="false">
      <c r="F28" s="370"/>
      <c r="G28" s="371"/>
      <c r="H28" s="370"/>
      <c r="K28" s="372"/>
      <c r="M28" s="372"/>
      <c r="P28" s="372"/>
      <c r="Q28" s="371"/>
      <c r="R28" s="370"/>
      <c r="U28" s="372"/>
      <c r="W28" s="372"/>
      <c r="Z28" s="372"/>
      <c r="AB28" s="372"/>
      <c r="AE28" s="372"/>
      <c r="AG28" s="372"/>
      <c r="AJ28" s="372"/>
      <c r="AL28" s="372"/>
      <c r="AO28" s="372"/>
      <c r="AQ28" s="372"/>
      <c r="AT28" s="372"/>
      <c r="AV28" s="372"/>
    </row>
    <row r="29" customFormat="false" ht="12.75" hidden="false" customHeight="false" outlineLevel="0" collapsed="false">
      <c r="F29" s="370"/>
      <c r="G29" s="371"/>
      <c r="H29" s="370"/>
      <c r="K29" s="372"/>
      <c r="M29" s="372"/>
      <c r="P29" s="372"/>
      <c r="Q29" s="371"/>
      <c r="R29" s="370"/>
      <c r="U29" s="372"/>
      <c r="W29" s="372"/>
      <c r="Z29" s="372"/>
      <c r="AB29" s="372"/>
      <c r="AE29" s="372"/>
      <c r="AG29" s="372"/>
      <c r="AJ29" s="372"/>
      <c r="AL29" s="372"/>
      <c r="AO29" s="372"/>
      <c r="AQ29" s="372"/>
      <c r="AT29" s="372"/>
      <c r="AV29" s="372"/>
    </row>
    <row r="30" customFormat="false" ht="12.75" hidden="false" customHeight="false" outlineLevel="0" collapsed="false">
      <c r="F30" s="370"/>
      <c r="G30" s="371"/>
      <c r="H30" s="370"/>
      <c r="K30" s="372"/>
      <c r="M30" s="372"/>
      <c r="P30" s="372"/>
      <c r="Q30" s="371"/>
      <c r="R30" s="370"/>
      <c r="U30" s="372"/>
      <c r="W30" s="372"/>
      <c r="Z30" s="372"/>
      <c r="AB30" s="372"/>
      <c r="AE30" s="372"/>
      <c r="AG30" s="372"/>
      <c r="AJ30" s="372"/>
      <c r="AL30" s="372"/>
      <c r="AO30" s="372"/>
      <c r="AQ30" s="372"/>
      <c r="AT30" s="372"/>
      <c r="AV30" s="372"/>
    </row>
    <row r="31" customFormat="false" ht="12.75" hidden="false" customHeight="false" outlineLevel="0" collapsed="false">
      <c r="F31" s="370"/>
      <c r="G31" s="371"/>
      <c r="H31" s="370"/>
      <c r="K31" s="372"/>
      <c r="M31" s="372"/>
      <c r="P31" s="372"/>
      <c r="Q31" s="371"/>
      <c r="R31" s="370"/>
      <c r="U31" s="372"/>
      <c r="W31" s="372"/>
      <c r="Z31" s="372"/>
      <c r="AB31" s="372"/>
      <c r="AE31" s="372"/>
      <c r="AG31" s="372"/>
      <c r="AJ31" s="372"/>
      <c r="AL31" s="372"/>
      <c r="AO31" s="372"/>
      <c r="AQ31" s="372"/>
      <c r="AT31" s="372"/>
      <c r="AV31" s="372"/>
    </row>
    <row r="32" customFormat="false" ht="12.75" hidden="false" customHeight="false" outlineLevel="0" collapsed="false">
      <c r="F32" s="370"/>
      <c r="G32" s="371"/>
      <c r="H32" s="370"/>
      <c r="K32" s="372"/>
      <c r="M32" s="372"/>
      <c r="P32" s="372"/>
      <c r="Q32" s="371"/>
      <c r="R32" s="370"/>
      <c r="U32" s="372"/>
      <c r="W32" s="372"/>
      <c r="Z32" s="372"/>
      <c r="AB32" s="372"/>
      <c r="AE32" s="372"/>
      <c r="AG32" s="372"/>
      <c r="AJ32" s="372"/>
      <c r="AL32" s="372"/>
      <c r="AO32" s="372"/>
      <c r="AQ32" s="372"/>
      <c r="AT32" s="372"/>
      <c r="AV32" s="372"/>
    </row>
    <row r="33" customFormat="false" ht="12.75" hidden="false" customHeight="false" outlineLevel="0" collapsed="false">
      <c r="F33" s="370"/>
      <c r="G33" s="371"/>
      <c r="H33" s="370"/>
      <c r="K33" s="372"/>
      <c r="M33" s="372"/>
      <c r="P33" s="372"/>
      <c r="Q33" s="371"/>
      <c r="R33" s="370"/>
      <c r="U33" s="372"/>
      <c r="W33" s="372"/>
      <c r="Z33" s="372"/>
      <c r="AB33" s="372"/>
      <c r="AE33" s="372"/>
      <c r="AG33" s="372"/>
      <c r="AJ33" s="372"/>
      <c r="AL33" s="372"/>
      <c r="AO33" s="372"/>
      <c r="AQ33" s="372"/>
      <c r="AT33" s="372"/>
      <c r="AV33" s="372"/>
    </row>
    <row r="34" customFormat="false" ht="12.75" hidden="false" customHeight="false" outlineLevel="0" collapsed="false">
      <c r="F34" s="370"/>
      <c r="G34" s="371"/>
      <c r="H34" s="370"/>
      <c r="K34" s="372"/>
      <c r="M34" s="372"/>
      <c r="P34" s="372"/>
      <c r="Q34" s="371"/>
      <c r="R34" s="370"/>
      <c r="U34" s="372"/>
      <c r="W34" s="372"/>
      <c r="Z34" s="372"/>
      <c r="AB34" s="372"/>
      <c r="AE34" s="372"/>
      <c r="AG34" s="372"/>
      <c r="AJ34" s="372"/>
      <c r="AL34" s="372"/>
      <c r="AO34" s="372"/>
      <c r="AQ34" s="372"/>
      <c r="AT34" s="372"/>
      <c r="AV34" s="372"/>
    </row>
    <row r="35" customFormat="false" ht="12.75" hidden="false" customHeight="false" outlineLevel="0" collapsed="false">
      <c r="F35" s="370"/>
      <c r="G35" s="371"/>
      <c r="H35" s="370"/>
      <c r="K35" s="372"/>
      <c r="M35" s="372"/>
      <c r="P35" s="372"/>
      <c r="Q35" s="371"/>
      <c r="R35" s="370"/>
      <c r="U35" s="372"/>
      <c r="W35" s="372"/>
      <c r="Z35" s="372"/>
      <c r="AB35" s="372"/>
      <c r="AE35" s="372"/>
      <c r="AG35" s="372"/>
      <c r="AJ35" s="372"/>
      <c r="AL35" s="372"/>
      <c r="AO35" s="372"/>
      <c r="AQ35" s="372"/>
      <c r="AT35" s="372"/>
      <c r="AV35" s="372"/>
    </row>
    <row r="36" customFormat="false" ht="12.75" hidden="false" customHeight="false" outlineLevel="0" collapsed="false">
      <c r="F36" s="372"/>
      <c r="H36" s="372"/>
      <c r="K36" s="372"/>
      <c r="M36" s="372"/>
      <c r="P36" s="372"/>
      <c r="Q36" s="371"/>
      <c r="R36" s="370"/>
      <c r="U36" s="372"/>
      <c r="W36" s="372"/>
      <c r="Z36" s="372"/>
      <c r="AB36" s="372"/>
      <c r="AE36" s="372"/>
      <c r="AG36" s="372"/>
      <c r="AJ36" s="372"/>
      <c r="AL36" s="372"/>
      <c r="AO36" s="372"/>
      <c r="AQ36" s="372"/>
      <c r="AT36" s="372"/>
      <c r="AV36" s="372"/>
    </row>
    <row r="37" customFormat="false" ht="12.75" hidden="false" customHeight="false" outlineLevel="0" collapsed="false">
      <c r="F37" s="372"/>
      <c r="H37" s="372"/>
      <c r="K37" s="372"/>
      <c r="M37" s="372"/>
      <c r="P37" s="372"/>
      <c r="Q37" s="371"/>
      <c r="R37" s="370"/>
      <c r="U37" s="372"/>
      <c r="W37" s="372"/>
      <c r="Z37" s="372"/>
      <c r="AB37" s="372"/>
      <c r="AE37" s="372"/>
      <c r="AG37" s="372"/>
      <c r="AJ37" s="372"/>
      <c r="AL37" s="372"/>
      <c r="AO37" s="372"/>
      <c r="AQ37" s="372"/>
      <c r="AT37" s="372"/>
      <c r="AV37" s="372"/>
    </row>
    <row r="38" customFormat="false" ht="12.75" hidden="false" customHeight="false" outlineLevel="0" collapsed="false">
      <c r="F38" s="372"/>
      <c r="H38" s="372"/>
      <c r="K38" s="372"/>
      <c r="M38" s="372"/>
      <c r="P38" s="372"/>
      <c r="R38" s="372"/>
      <c r="U38" s="372"/>
      <c r="W38" s="372"/>
      <c r="Z38" s="372"/>
      <c r="AB38" s="372"/>
      <c r="AE38" s="372"/>
      <c r="AG38" s="372"/>
      <c r="AJ38" s="372"/>
      <c r="AL38" s="372"/>
      <c r="AO38" s="372"/>
      <c r="AQ38" s="372"/>
      <c r="AT38" s="372"/>
      <c r="AV38" s="372"/>
    </row>
    <row r="39" customFormat="false" ht="12.75" hidden="false" customHeight="false" outlineLevel="0" collapsed="false">
      <c r="F39" s="372"/>
      <c r="H39" s="372"/>
      <c r="K39" s="372"/>
      <c r="M39" s="372"/>
      <c r="P39" s="372"/>
      <c r="R39" s="372"/>
      <c r="U39" s="372"/>
      <c r="W39" s="372"/>
      <c r="Z39" s="372"/>
      <c r="AB39" s="372"/>
      <c r="AE39" s="372"/>
      <c r="AG39" s="372"/>
      <c r="AJ39" s="372"/>
      <c r="AL39" s="372"/>
      <c r="AO39" s="372"/>
      <c r="AQ39" s="372"/>
      <c r="AT39" s="372"/>
      <c r="AV39" s="372"/>
    </row>
    <row r="40" customFormat="false" ht="12.75" hidden="false" customHeight="false" outlineLevel="0" collapsed="false">
      <c r="F40" s="372"/>
      <c r="H40" s="372"/>
      <c r="K40" s="372"/>
      <c r="M40" s="372"/>
      <c r="P40" s="372"/>
      <c r="R40" s="372"/>
      <c r="U40" s="372"/>
      <c r="W40" s="372"/>
      <c r="Z40" s="372"/>
      <c r="AB40" s="372"/>
      <c r="AE40" s="372"/>
      <c r="AG40" s="372"/>
      <c r="AJ40" s="372"/>
      <c r="AL40" s="372"/>
      <c r="AO40" s="372"/>
      <c r="AQ40" s="372"/>
      <c r="AT40" s="372"/>
      <c r="AV40" s="372"/>
    </row>
    <row r="41" customFormat="false" ht="12.75" hidden="false" customHeight="false" outlineLevel="0" collapsed="false">
      <c r="F41" s="372"/>
      <c r="H41" s="372"/>
      <c r="K41" s="372"/>
      <c r="M41" s="372"/>
      <c r="P41" s="372"/>
      <c r="R41" s="372"/>
      <c r="U41" s="372"/>
      <c r="W41" s="372"/>
      <c r="Z41" s="372"/>
      <c r="AB41" s="372"/>
      <c r="AE41" s="372"/>
      <c r="AG41" s="372"/>
      <c r="AJ41" s="372"/>
      <c r="AL41" s="372"/>
      <c r="AO41" s="372"/>
      <c r="AQ41" s="372"/>
      <c r="AT41" s="372"/>
      <c r="AV41" s="372"/>
    </row>
    <row r="42" customFormat="false" ht="12.75" hidden="false" customHeight="false" outlineLevel="0" collapsed="false">
      <c r="F42" s="372"/>
      <c r="H42" s="372"/>
      <c r="K42" s="372"/>
      <c r="M42" s="372"/>
      <c r="P42" s="372"/>
      <c r="R42" s="372"/>
      <c r="U42" s="372"/>
      <c r="W42" s="372"/>
      <c r="Z42" s="372"/>
      <c r="AB42" s="372"/>
      <c r="AE42" s="372"/>
      <c r="AG42" s="372"/>
      <c r="AJ42" s="372"/>
      <c r="AL42" s="372"/>
      <c r="AO42" s="372"/>
      <c r="AQ42" s="372"/>
      <c r="AT42" s="372"/>
      <c r="AV42" s="372"/>
    </row>
    <row r="43" customFormat="false" ht="12.75" hidden="false" customHeight="false" outlineLevel="0" collapsed="false">
      <c r="F43" s="372"/>
      <c r="H43" s="372"/>
      <c r="K43" s="372"/>
      <c r="M43" s="372"/>
      <c r="P43" s="372"/>
      <c r="R43" s="372"/>
      <c r="U43" s="372"/>
      <c r="W43" s="372"/>
      <c r="Z43" s="372"/>
      <c r="AB43" s="372"/>
      <c r="AE43" s="372"/>
      <c r="AG43" s="372"/>
      <c r="AJ43" s="372"/>
      <c r="AL43" s="372"/>
      <c r="AO43" s="372"/>
      <c r="AQ43" s="372"/>
      <c r="AT43" s="372"/>
      <c r="AV43" s="372"/>
    </row>
    <row r="44" customFormat="false" ht="12.75" hidden="false" customHeight="false" outlineLevel="0" collapsed="false">
      <c r="F44" s="372"/>
      <c r="H44" s="372"/>
      <c r="K44" s="372"/>
      <c r="M44" s="372"/>
      <c r="P44" s="372"/>
      <c r="R44" s="372"/>
      <c r="U44" s="372"/>
      <c r="W44" s="372"/>
      <c r="Z44" s="372"/>
      <c r="AB44" s="372"/>
      <c r="AE44" s="372"/>
      <c r="AG44" s="372"/>
      <c r="AJ44" s="372"/>
      <c r="AL44" s="372"/>
      <c r="AO44" s="372"/>
      <c r="AQ44" s="372"/>
      <c r="AT44" s="372"/>
      <c r="AV44" s="372"/>
    </row>
    <row r="45" customFormat="false" ht="12.75" hidden="false" customHeight="false" outlineLevel="0" collapsed="false">
      <c r="F45" s="372"/>
      <c r="H45" s="372"/>
      <c r="K45" s="372"/>
      <c r="M45" s="372"/>
      <c r="P45" s="372"/>
      <c r="R45" s="372"/>
      <c r="U45" s="372"/>
      <c r="W45" s="372"/>
      <c r="Z45" s="372"/>
      <c r="AB45" s="372"/>
      <c r="AE45" s="372"/>
      <c r="AG45" s="372"/>
      <c r="AJ45" s="372"/>
      <c r="AL45" s="372"/>
      <c r="AO45" s="372"/>
      <c r="AQ45" s="372"/>
      <c r="AT45" s="372"/>
      <c r="AV45" s="372"/>
    </row>
    <row r="46" customFormat="false" ht="12.75" hidden="false" customHeight="false" outlineLevel="0" collapsed="false">
      <c r="F46" s="372"/>
      <c r="H46" s="372"/>
      <c r="K46" s="372"/>
      <c r="M46" s="372"/>
      <c r="P46" s="372"/>
      <c r="R46" s="372"/>
      <c r="U46" s="372"/>
      <c r="W46" s="372"/>
      <c r="Z46" s="372"/>
      <c r="AB46" s="372"/>
      <c r="AE46" s="372"/>
      <c r="AG46" s="372"/>
      <c r="AJ46" s="372"/>
      <c r="AL46" s="372"/>
      <c r="AO46" s="372"/>
      <c r="AQ46" s="372"/>
      <c r="AT46" s="372"/>
      <c r="AV46" s="372"/>
    </row>
    <row r="47" customFormat="false" ht="12.75" hidden="false" customHeight="false" outlineLevel="0" collapsed="false">
      <c r="F47" s="372"/>
      <c r="H47" s="372"/>
      <c r="K47" s="372"/>
      <c r="M47" s="372"/>
      <c r="P47" s="372"/>
      <c r="R47" s="372"/>
      <c r="U47" s="372"/>
      <c r="W47" s="372"/>
      <c r="Z47" s="372"/>
      <c r="AB47" s="372"/>
      <c r="AE47" s="372"/>
      <c r="AG47" s="372"/>
      <c r="AJ47" s="372"/>
      <c r="AL47" s="372"/>
      <c r="AO47" s="372"/>
      <c r="AQ47" s="372"/>
      <c r="AT47" s="372"/>
      <c r="AV47" s="372"/>
    </row>
    <row r="48" customFormat="false" ht="12.75" hidden="false" customHeight="false" outlineLevel="0" collapsed="false">
      <c r="F48" s="372"/>
      <c r="H48" s="372"/>
      <c r="K48" s="372"/>
      <c r="M48" s="372"/>
      <c r="P48" s="372"/>
      <c r="R48" s="372"/>
      <c r="U48" s="372"/>
      <c r="W48" s="372"/>
      <c r="Z48" s="372"/>
      <c r="AB48" s="372"/>
      <c r="AE48" s="372"/>
      <c r="AG48" s="372"/>
      <c r="AJ48" s="372"/>
      <c r="AL48" s="372"/>
      <c r="AO48" s="372"/>
      <c r="AQ48" s="372"/>
      <c r="AT48" s="372"/>
      <c r="AV48" s="372"/>
    </row>
    <row r="49" customFormat="false" ht="12.75" hidden="false" customHeight="false" outlineLevel="0" collapsed="false">
      <c r="F49" s="372"/>
      <c r="H49" s="372"/>
      <c r="K49" s="372"/>
      <c r="M49" s="372"/>
      <c r="P49" s="372"/>
      <c r="R49" s="372"/>
      <c r="U49" s="372"/>
      <c r="W49" s="372"/>
      <c r="Z49" s="372"/>
      <c r="AB49" s="372"/>
      <c r="AE49" s="372"/>
      <c r="AG49" s="372"/>
      <c r="AJ49" s="372"/>
      <c r="AL49" s="372"/>
      <c r="AO49" s="372"/>
      <c r="AQ49" s="372"/>
      <c r="AT49" s="372"/>
      <c r="AV49" s="372"/>
    </row>
    <row r="50" customFormat="false" ht="12.75" hidden="false" customHeight="false" outlineLevel="0" collapsed="false">
      <c r="F50" s="372"/>
      <c r="H50" s="372"/>
      <c r="K50" s="372"/>
      <c r="M50" s="372"/>
      <c r="P50" s="372"/>
      <c r="R50" s="372"/>
      <c r="U50" s="372"/>
      <c r="W50" s="372"/>
      <c r="Z50" s="372"/>
      <c r="AB50" s="372"/>
      <c r="AE50" s="372"/>
      <c r="AG50" s="372"/>
      <c r="AJ50" s="372"/>
      <c r="AL50" s="372"/>
      <c r="AO50" s="372"/>
      <c r="AQ50" s="372"/>
      <c r="AT50" s="372"/>
      <c r="AV50" s="372"/>
    </row>
    <row r="51" customFormat="false" ht="12.75" hidden="false" customHeight="false" outlineLevel="0" collapsed="false">
      <c r="F51" s="372"/>
      <c r="H51" s="372"/>
      <c r="K51" s="372"/>
      <c r="M51" s="372"/>
      <c r="P51" s="372"/>
      <c r="R51" s="372"/>
      <c r="U51" s="372"/>
      <c r="W51" s="372"/>
      <c r="Z51" s="372"/>
      <c r="AB51" s="372"/>
      <c r="AE51" s="372"/>
      <c r="AG51" s="372"/>
      <c r="AJ51" s="372"/>
      <c r="AL51" s="372"/>
      <c r="AO51" s="372"/>
      <c r="AQ51" s="372"/>
      <c r="AT51" s="372"/>
      <c r="AV51" s="372"/>
    </row>
    <row r="52" customFormat="false" ht="12.75" hidden="false" customHeight="false" outlineLevel="0" collapsed="false">
      <c r="F52" s="372"/>
      <c r="H52" s="372"/>
      <c r="K52" s="372"/>
      <c r="M52" s="372"/>
      <c r="P52" s="372"/>
      <c r="R52" s="372"/>
      <c r="U52" s="372"/>
      <c r="W52" s="372"/>
      <c r="Z52" s="372"/>
      <c r="AB52" s="372"/>
      <c r="AE52" s="372"/>
      <c r="AG52" s="372"/>
      <c r="AJ52" s="372"/>
      <c r="AL52" s="372"/>
      <c r="AO52" s="372"/>
      <c r="AQ52" s="372"/>
      <c r="AT52" s="372"/>
      <c r="AV52" s="372"/>
    </row>
    <row r="53" customFormat="false" ht="12.75" hidden="false" customHeight="false" outlineLevel="0" collapsed="false">
      <c r="F53" s="372"/>
      <c r="H53" s="372"/>
      <c r="K53" s="372"/>
      <c r="M53" s="372"/>
      <c r="P53" s="372"/>
      <c r="R53" s="372"/>
      <c r="U53" s="372"/>
      <c r="W53" s="372"/>
      <c r="Z53" s="372"/>
      <c r="AB53" s="372"/>
      <c r="AE53" s="372"/>
      <c r="AG53" s="372"/>
      <c r="AJ53" s="372"/>
      <c r="AL53" s="372"/>
      <c r="AO53" s="372"/>
      <c r="AQ53" s="372"/>
      <c r="AT53" s="372"/>
      <c r="AV53" s="372"/>
    </row>
    <row r="54" customFormat="false" ht="12.75" hidden="false" customHeight="false" outlineLevel="0" collapsed="false">
      <c r="F54" s="372"/>
      <c r="H54" s="372"/>
      <c r="K54" s="372"/>
      <c r="M54" s="372"/>
      <c r="P54" s="372"/>
      <c r="R54" s="372"/>
      <c r="U54" s="372"/>
      <c r="W54" s="372"/>
      <c r="Z54" s="372"/>
      <c r="AB54" s="372"/>
      <c r="AE54" s="372"/>
      <c r="AG54" s="372"/>
      <c r="AJ54" s="372"/>
      <c r="AL54" s="372"/>
      <c r="AO54" s="372"/>
      <c r="AQ54" s="372"/>
      <c r="AT54" s="372"/>
      <c r="AV54" s="372"/>
    </row>
    <row r="55" customFormat="false" ht="12.75" hidden="false" customHeight="false" outlineLevel="0" collapsed="false">
      <c r="F55" s="372"/>
      <c r="H55" s="372"/>
      <c r="K55" s="372"/>
      <c r="M55" s="372"/>
      <c r="P55" s="372"/>
      <c r="R55" s="372"/>
      <c r="U55" s="372"/>
      <c r="W55" s="372"/>
      <c r="Z55" s="372"/>
      <c r="AB55" s="372"/>
      <c r="AE55" s="372"/>
      <c r="AG55" s="372"/>
      <c r="AJ55" s="372"/>
      <c r="AL55" s="372"/>
      <c r="AO55" s="372"/>
      <c r="AQ55" s="372"/>
      <c r="AT55" s="372"/>
      <c r="AV55" s="372"/>
    </row>
    <row r="56" customFormat="false" ht="12.75" hidden="false" customHeight="false" outlineLevel="0" collapsed="false">
      <c r="F56" s="372"/>
      <c r="H56" s="372"/>
      <c r="K56" s="372"/>
      <c r="M56" s="372"/>
      <c r="P56" s="372"/>
      <c r="R56" s="372"/>
      <c r="U56" s="372"/>
      <c r="W56" s="372"/>
      <c r="Z56" s="372"/>
      <c r="AB56" s="372"/>
      <c r="AE56" s="372"/>
      <c r="AG56" s="372"/>
      <c r="AJ56" s="372"/>
      <c r="AL56" s="372"/>
      <c r="AO56" s="372"/>
      <c r="AQ56" s="372"/>
      <c r="AT56" s="372"/>
      <c r="AV56" s="372"/>
    </row>
  </sheetData>
  <mergeCells count="12">
    <mergeCell ref="E1:M1"/>
    <mergeCell ref="P1:W1"/>
    <mergeCell ref="Y1:AG1"/>
    <mergeCell ref="E2:H2"/>
    <mergeCell ref="J2:M2"/>
    <mergeCell ref="O2:R2"/>
    <mergeCell ref="T2:W2"/>
    <mergeCell ref="Y2:AB2"/>
    <mergeCell ref="AD2:AG2"/>
    <mergeCell ref="AI2:AL2"/>
    <mergeCell ref="AN2:AQ2"/>
    <mergeCell ref="AS2:AV2"/>
  </mergeCells>
  <printOptions headings="false" gridLines="false" gridLinesSet="true" horizontalCentered="false" verticalCentered="false"/>
  <pageMargins left="0.25" right="0.2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EL8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2" topLeftCell="M25" activePane="bottomRight" state="frozen"/>
      <selection pane="topLeft" activeCell="A1" activeCellId="0" sqref="A1"/>
      <selection pane="topRight" activeCell="M1" activeCellId="0" sqref="M1"/>
      <selection pane="bottomLeft" activeCell="A25" activeCellId="0" sqref="A25"/>
      <selection pane="bottomRight" activeCell="W1" activeCellId="0" sqref="W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2.99"/>
    <col collapsed="false" customWidth="true" hidden="false" outlineLevel="0" max="2" min="2" style="0" width="12.65"/>
    <col collapsed="false" customWidth="true" hidden="false" outlineLevel="0" max="4" min="3" style="0" width="11.65"/>
    <col collapsed="false" customWidth="true" hidden="false" outlineLevel="0" max="6" min="5" style="0" width="10.65"/>
    <col collapsed="false" customWidth="true" hidden="false" outlineLevel="0" max="9" min="7" style="0" width="11.65"/>
    <col collapsed="false" customWidth="true" hidden="false" outlineLevel="0" max="10" min="10" style="0" width="10.49"/>
    <col collapsed="false" customWidth="true" hidden="false" outlineLevel="0" max="14" min="11" style="0" width="11.49"/>
    <col collapsed="false" customWidth="true" hidden="false" outlineLevel="0" max="15" min="15" style="0" width="10.99"/>
    <col collapsed="false" customWidth="true" hidden="false" outlineLevel="0" max="18" min="16" style="0" width="11.99"/>
    <col collapsed="false" customWidth="true" hidden="false" outlineLevel="0" max="20" min="19" style="0" width="10.65"/>
    <col collapsed="false" customWidth="true" hidden="false" outlineLevel="0" max="23" min="21" style="0" width="11.65"/>
    <col collapsed="false" customWidth="true" hidden="false" outlineLevel="0" max="24" min="24" style="0" width="10.99"/>
    <col collapsed="false" customWidth="true" hidden="false" outlineLevel="0" max="27" min="25" style="0" width="11.99"/>
  </cols>
  <sheetData>
    <row r="1" customFormat="false" ht="51.75" hidden="false" customHeight="true" outlineLevel="0" collapsed="false">
      <c r="B1" s="386" t="s">
        <v>401</v>
      </c>
      <c r="C1" s="387" t="n">
        <f aca="false">+D1-7</f>
        <v>36878</v>
      </c>
      <c r="D1" s="387" t="n">
        <f aca="false">+E1-7</f>
        <v>36885</v>
      </c>
      <c r="E1" s="387" t="n">
        <v>36892</v>
      </c>
      <c r="F1" s="387" t="n">
        <f aca="false">+E1+7</f>
        <v>36899</v>
      </c>
      <c r="G1" s="387" t="n">
        <f aca="false">+F1+7</f>
        <v>36906</v>
      </c>
      <c r="H1" s="387" t="n">
        <f aca="false">+G1+7</f>
        <v>36913</v>
      </c>
      <c r="I1" s="387" t="n">
        <f aca="false">+H1+7</f>
        <v>36920</v>
      </c>
      <c r="J1" s="387" t="n">
        <f aca="false">+I1+7</f>
        <v>36927</v>
      </c>
      <c r="K1" s="387" t="n">
        <f aca="false">+J1+7</f>
        <v>36934</v>
      </c>
      <c r="L1" s="387" t="n">
        <f aca="false">+K1+7</f>
        <v>36941</v>
      </c>
      <c r="M1" s="387" t="n">
        <f aca="false">+L1+7</f>
        <v>36948</v>
      </c>
      <c r="N1" s="387" t="n">
        <f aca="false">+M1+7</f>
        <v>36955</v>
      </c>
      <c r="O1" s="387" t="n">
        <f aca="false">+N1+7</f>
        <v>36962</v>
      </c>
      <c r="P1" s="387" t="n">
        <f aca="false">+O1+7</f>
        <v>36969</v>
      </c>
      <c r="Q1" s="387" t="n">
        <f aca="false">+P1+7</f>
        <v>36976</v>
      </c>
      <c r="R1" s="387" t="n">
        <f aca="false">+Q1+7</f>
        <v>36983</v>
      </c>
      <c r="S1" s="387" t="n">
        <f aca="false">+R1+7</f>
        <v>36990</v>
      </c>
      <c r="T1" s="387" t="n">
        <f aca="false">+S1+7</f>
        <v>36997</v>
      </c>
      <c r="U1" s="387" t="n">
        <f aca="false">+T1+7</f>
        <v>37004</v>
      </c>
      <c r="V1" s="387" t="n">
        <f aca="false">+U1+7</f>
        <v>37011</v>
      </c>
      <c r="W1" s="387" t="n">
        <f aca="false">+V1+7</f>
        <v>37018</v>
      </c>
      <c r="X1" s="387" t="n">
        <f aca="false">+W1+7</f>
        <v>37025</v>
      </c>
      <c r="Y1" s="387" t="n">
        <f aca="false">+X1+7</f>
        <v>37032</v>
      </c>
      <c r="Z1" s="387" t="n">
        <f aca="false">+Y1+7</f>
        <v>37039</v>
      </c>
      <c r="AA1" s="387" t="n">
        <f aca="false">+Z1+7</f>
        <v>37046</v>
      </c>
      <c r="AB1" s="387" t="n">
        <f aca="false">+AA1+7</f>
        <v>37053</v>
      </c>
      <c r="AC1" s="387" t="n">
        <f aca="false">+AB1+7</f>
        <v>37060</v>
      </c>
      <c r="AD1" s="387" t="n">
        <f aca="false">+AC1+7</f>
        <v>37067</v>
      </c>
      <c r="AE1" s="387" t="n">
        <f aca="false">+AD1+7</f>
        <v>37074</v>
      </c>
      <c r="AF1" s="387" t="n">
        <f aca="false">+AE1+7</f>
        <v>37081</v>
      </c>
      <c r="AG1" s="387" t="n">
        <f aca="false">+AF1+7</f>
        <v>37088</v>
      </c>
      <c r="AH1" s="387" t="n">
        <f aca="false">+AG1+7</f>
        <v>37095</v>
      </c>
      <c r="AI1" s="387" t="n">
        <f aca="false">+AH1+7</f>
        <v>37102</v>
      </c>
      <c r="AJ1" s="387" t="n">
        <f aca="false">+AI1+7</f>
        <v>37109</v>
      </c>
      <c r="AK1" s="387" t="n">
        <f aca="false">+AJ1+7</f>
        <v>37116</v>
      </c>
      <c r="AL1" s="387" t="n">
        <f aca="false">+AK1+7</f>
        <v>37123</v>
      </c>
      <c r="AM1" s="387" t="n">
        <f aca="false">+AL1+7</f>
        <v>37130</v>
      </c>
      <c r="AN1" s="387" t="n">
        <f aca="false">+AM1+7</f>
        <v>37137</v>
      </c>
      <c r="AO1" s="387" t="n">
        <f aca="false">+AN1+7</f>
        <v>37144</v>
      </c>
      <c r="AP1" s="387" t="n">
        <f aca="false">+AO1+7</f>
        <v>37151</v>
      </c>
      <c r="AQ1" s="387" t="n">
        <f aca="false">+AP1+7</f>
        <v>37158</v>
      </c>
      <c r="AR1" s="388" t="n">
        <f aca="false">+AQ1+7</f>
        <v>37165</v>
      </c>
      <c r="AS1" s="387" t="n">
        <f aca="false">+AR1+7</f>
        <v>37172</v>
      </c>
      <c r="AT1" s="387" t="n">
        <f aca="false">+AS1+7</f>
        <v>37179</v>
      </c>
      <c r="AU1" s="387" t="n">
        <f aca="false">+AT1+7</f>
        <v>37186</v>
      </c>
      <c r="AV1" s="387" t="n">
        <f aca="false">+AU1+7</f>
        <v>37193</v>
      </c>
      <c r="AW1" s="387" t="n">
        <f aca="false">+AV1+7</f>
        <v>37200</v>
      </c>
      <c r="AX1" s="387" t="n">
        <f aca="false">+AW1+7</f>
        <v>37207</v>
      </c>
      <c r="AY1" s="387" t="n">
        <f aca="false">+AX1+7</f>
        <v>37214</v>
      </c>
      <c r="AZ1" s="387" t="n">
        <f aca="false">+AY1+7</f>
        <v>37221</v>
      </c>
      <c r="BA1" s="387" t="n">
        <f aca="false">+AZ1+7</f>
        <v>37228</v>
      </c>
      <c r="BB1" s="387" t="n">
        <f aca="false">+BA1+7</f>
        <v>37235</v>
      </c>
      <c r="BC1" s="387" t="n">
        <f aca="false">+BB1+7</f>
        <v>37242</v>
      </c>
      <c r="BD1" s="387" t="n">
        <f aca="false">+BC1+7</f>
        <v>37249</v>
      </c>
      <c r="BE1" s="387" t="n">
        <f aca="false">+BD1+7</f>
        <v>37256</v>
      </c>
      <c r="BF1" s="387" t="n">
        <f aca="false">+BE1+7</f>
        <v>37263</v>
      </c>
      <c r="BG1" s="387" t="n">
        <f aca="false">+BF1+7</f>
        <v>37270</v>
      </c>
      <c r="BH1" s="387" t="n">
        <f aca="false">+BG1+7</f>
        <v>37277</v>
      </c>
      <c r="BI1" s="387" t="n">
        <f aca="false">+BH1+7</f>
        <v>37284</v>
      </c>
      <c r="BJ1" s="387" t="n">
        <f aca="false">+BI1+7</f>
        <v>37291</v>
      </c>
      <c r="BK1" s="387" t="n">
        <f aca="false">+BJ1+7</f>
        <v>37298</v>
      </c>
      <c r="BL1" s="388" t="n">
        <f aca="false">+BK1+7</f>
        <v>37305</v>
      </c>
      <c r="BM1" s="387" t="n">
        <f aca="false">+BL1+7</f>
        <v>37312</v>
      </c>
      <c r="BN1" s="387" t="n">
        <f aca="false">+BM1+7</f>
        <v>37319</v>
      </c>
      <c r="BO1" s="387" t="n">
        <f aca="false">+BN1+7</f>
        <v>37326</v>
      </c>
      <c r="BP1" s="387" t="n">
        <f aca="false">+BO1+7</f>
        <v>37333</v>
      </c>
      <c r="BQ1" s="387" t="n">
        <f aca="false">+BP1+7</f>
        <v>37340</v>
      </c>
      <c r="BR1" s="387" t="n">
        <f aca="false">+BQ1+7</f>
        <v>37347</v>
      </c>
      <c r="BS1" s="387" t="n">
        <f aca="false">+BR1+7</f>
        <v>37354</v>
      </c>
      <c r="BT1" s="387" t="n">
        <f aca="false">+BS1+7</f>
        <v>37361</v>
      </c>
      <c r="BU1" s="387" t="n">
        <f aca="false">+BT1+7</f>
        <v>37368</v>
      </c>
      <c r="BV1" s="387" t="n">
        <f aca="false">+BU1+7</f>
        <v>37375</v>
      </c>
      <c r="BW1" s="387" t="n">
        <f aca="false">+BV1+7</f>
        <v>37382</v>
      </c>
      <c r="BX1" s="389" t="n">
        <f aca="false">+BW1+7</f>
        <v>37389</v>
      </c>
      <c r="BY1" s="387" t="n">
        <f aca="false">+BX1+7</f>
        <v>37396</v>
      </c>
      <c r="BZ1" s="387" t="n">
        <f aca="false">+BY1+7</f>
        <v>37403</v>
      </c>
      <c r="CA1" s="387" t="n">
        <f aca="false">+BZ1+7</f>
        <v>37410</v>
      </c>
      <c r="CB1" s="387" t="n">
        <f aca="false">+CA1+7</f>
        <v>37417</v>
      </c>
      <c r="CC1" s="387" t="n">
        <f aca="false">+CB1+7</f>
        <v>37424</v>
      </c>
      <c r="CD1" s="387" t="n">
        <f aca="false">+CC1+7</f>
        <v>37431</v>
      </c>
      <c r="CE1" s="387" t="n">
        <f aca="false">+CD1+7</f>
        <v>37438</v>
      </c>
      <c r="CF1" s="387" t="n">
        <f aca="false">+CE1+7</f>
        <v>37445</v>
      </c>
      <c r="CG1" s="387" t="n">
        <f aca="false">+CF1+7</f>
        <v>37452</v>
      </c>
      <c r="CH1" s="387" t="n">
        <f aca="false">+CG1+7</f>
        <v>37459</v>
      </c>
      <c r="CI1" s="387" t="n">
        <f aca="false">+CH1+7</f>
        <v>37466</v>
      </c>
      <c r="CJ1" s="387" t="n">
        <f aca="false">+CI1+7</f>
        <v>37473</v>
      </c>
      <c r="CK1" s="387" t="n">
        <f aca="false">+CJ1+7</f>
        <v>37480</v>
      </c>
      <c r="CL1" s="387" t="n">
        <f aca="false">+CK1+7</f>
        <v>37487</v>
      </c>
      <c r="CM1" s="390" t="n">
        <f aca="false">+CL1+7</f>
        <v>37494</v>
      </c>
      <c r="CN1" s="387" t="n">
        <f aca="false">+CM1+7</f>
        <v>37501</v>
      </c>
      <c r="CO1" s="387" t="n">
        <f aca="false">+CN1+7</f>
        <v>37508</v>
      </c>
      <c r="CP1" s="387" t="n">
        <f aca="false">+CO1+7</f>
        <v>37515</v>
      </c>
      <c r="CQ1" s="387" t="n">
        <f aca="false">+CP1+7</f>
        <v>37522</v>
      </c>
      <c r="CR1" s="387" t="n">
        <f aca="false">+CQ1+7</f>
        <v>37529</v>
      </c>
      <c r="CS1" s="387" t="n">
        <f aca="false">+CR1+7</f>
        <v>37536</v>
      </c>
      <c r="CT1" s="387" t="n">
        <f aca="false">+CS1+7</f>
        <v>37543</v>
      </c>
      <c r="CU1" s="387" t="n">
        <f aca="false">+CT1+7</f>
        <v>37550</v>
      </c>
    </row>
    <row r="2" customFormat="false" ht="12.75" hidden="false" customHeight="false" outlineLevel="0" collapsed="false">
      <c r="A2" s="0" t="s">
        <v>402</v>
      </c>
      <c r="G2" s="0" t="n">
        <v>0</v>
      </c>
      <c r="H2" s="391" t="n">
        <f aca="false">+G2+0.25</f>
        <v>0.25</v>
      </c>
      <c r="I2" s="391" t="n">
        <f aca="false">+H2+0.25</f>
        <v>0.5</v>
      </c>
      <c r="J2" s="391" t="n">
        <f aca="false">+I2+0.25</f>
        <v>0.75</v>
      </c>
      <c r="K2" s="391" t="n">
        <f aca="false">+J2+0.25</f>
        <v>1</v>
      </c>
      <c r="L2" s="391" t="n">
        <f aca="false">+K2+0.25</f>
        <v>1.25</v>
      </c>
      <c r="M2" s="391" t="n">
        <f aca="false">+L2+0.25</f>
        <v>1.5</v>
      </c>
      <c r="N2" s="391" t="n">
        <f aca="false">+M2+0.25</f>
        <v>1.75</v>
      </c>
      <c r="O2" s="391" t="n">
        <f aca="false">+N2+0.25</f>
        <v>2</v>
      </c>
      <c r="P2" s="391" t="n">
        <f aca="false">+O2+0.25</f>
        <v>2.25</v>
      </c>
      <c r="Q2" s="391" t="n">
        <f aca="false">+P2+0.25</f>
        <v>2.5</v>
      </c>
      <c r="R2" s="391" t="n">
        <f aca="false">+Q2+0.25</f>
        <v>2.75</v>
      </c>
      <c r="S2" s="391" t="n">
        <f aca="false">+R2+0.25</f>
        <v>3</v>
      </c>
      <c r="T2" s="391" t="n">
        <f aca="false">+S2+0.25</f>
        <v>3.25</v>
      </c>
      <c r="U2" s="391" t="n">
        <f aca="false">+T2+0.25</f>
        <v>3.5</v>
      </c>
      <c r="V2" s="391" t="n">
        <f aca="false">+U2+0.25</f>
        <v>3.75</v>
      </c>
      <c r="W2" s="391" t="n">
        <f aca="false">+V2+0.25</f>
        <v>4</v>
      </c>
      <c r="X2" s="391" t="n">
        <f aca="false">+W2+0.25</f>
        <v>4.25</v>
      </c>
      <c r="Y2" s="391" t="n">
        <f aca="false">+X2+0.25</f>
        <v>4.5</v>
      </c>
      <c r="Z2" s="391" t="n">
        <f aca="false">+Y2+0.25</f>
        <v>4.75</v>
      </c>
      <c r="AA2" s="391" t="n">
        <f aca="false">+Z2+0.25</f>
        <v>5</v>
      </c>
      <c r="AB2" s="391" t="n">
        <f aca="false">+AA2+0.25</f>
        <v>5.25</v>
      </c>
      <c r="AC2" s="391" t="n">
        <f aca="false">+AB2+0.25</f>
        <v>5.5</v>
      </c>
      <c r="AD2" s="391" t="n">
        <f aca="false">+AC2+0.25</f>
        <v>5.75</v>
      </c>
      <c r="AE2" s="391" t="n">
        <f aca="false">+AD2+0.25</f>
        <v>6</v>
      </c>
      <c r="AF2" s="391" t="n">
        <f aca="false">+AE2+0.25</f>
        <v>6.25</v>
      </c>
      <c r="AG2" s="391" t="n">
        <f aca="false">+AF2+0.25</f>
        <v>6.5</v>
      </c>
      <c r="AH2" s="391" t="n">
        <f aca="false">+AG2+0.25</f>
        <v>6.75</v>
      </c>
      <c r="AI2" s="391" t="n">
        <f aca="false">+AH2+0.25</f>
        <v>7</v>
      </c>
      <c r="AJ2" s="391" t="n">
        <f aca="false">+AI2+0.25</f>
        <v>7.25</v>
      </c>
      <c r="AK2" s="391" t="n">
        <f aca="false">+AJ2+0.25</f>
        <v>7.5</v>
      </c>
      <c r="AL2" s="391" t="n">
        <f aca="false">+AK2+0.25</f>
        <v>7.75</v>
      </c>
      <c r="AM2" s="391" t="n">
        <f aca="false">+AL2+0.25</f>
        <v>8</v>
      </c>
      <c r="AN2" s="391" t="n">
        <f aca="false">+AM2+0.25</f>
        <v>8.25</v>
      </c>
      <c r="AO2" s="391" t="n">
        <f aca="false">+AN2+0.25</f>
        <v>8.5</v>
      </c>
      <c r="AP2" s="391" t="n">
        <f aca="false">+AO2+0.25</f>
        <v>8.75</v>
      </c>
      <c r="AQ2" s="391" t="n">
        <f aca="false">+AP2+0.25</f>
        <v>9</v>
      </c>
      <c r="AR2" s="391" t="n">
        <f aca="false">+AQ2+0.25</f>
        <v>9.25</v>
      </c>
      <c r="AS2" s="391" t="n">
        <f aca="false">+AR2+0.25</f>
        <v>9.5</v>
      </c>
      <c r="AT2" s="391" t="n">
        <f aca="false">+AS2+0.25</f>
        <v>9.75</v>
      </c>
      <c r="AU2" s="391" t="n">
        <f aca="false">+AT2+0.25</f>
        <v>10</v>
      </c>
      <c r="AV2" s="391" t="n">
        <f aca="false">+AU2+0.25</f>
        <v>10.25</v>
      </c>
      <c r="AW2" s="391" t="n">
        <f aca="false">+AV2+0.25</f>
        <v>10.5</v>
      </c>
      <c r="AX2" s="391" t="n">
        <f aca="false">+AW2+0.25</f>
        <v>10.75</v>
      </c>
      <c r="AY2" s="391" t="n">
        <f aca="false">+AX2+0.25</f>
        <v>11</v>
      </c>
      <c r="AZ2" s="391" t="n">
        <f aca="false">+AY2+0.25</f>
        <v>11.25</v>
      </c>
      <c r="BA2" s="391" t="n">
        <f aca="false">+AZ2+0.25</f>
        <v>11.5</v>
      </c>
      <c r="BB2" s="391" t="n">
        <f aca="false">+BA2+0.25</f>
        <v>11.75</v>
      </c>
      <c r="BC2" s="391" t="n">
        <f aca="false">+BB2+0.25</f>
        <v>12</v>
      </c>
      <c r="BD2" s="391" t="n">
        <f aca="false">+BC2+0.25</f>
        <v>12.25</v>
      </c>
      <c r="BE2" s="391" t="n">
        <f aca="false">+BD2+0.25</f>
        <v>12.5</v>
      </c>
      <c r="BF2" s="391" t="n">
        <f aca="false">+BE2+0.25</f>
        <v>12.75</v>
      </c>
      <c r="BG2" s="391" t="n">
        <f aca="false">+BF2+0.25</f>
        <v>13</v>
      </c>
      <c r="BH2" s="391" t="n">
        <f aca="false">+BG2+0.25</f>
        <v>13.25</v>
      </c>
      <c r="BI2" s="391" t="n">
        <f aca="false">+BH2+0.25</f>
        <v>13.5</v>
      </c>
      <c r="BJ2" s="391" t="n">
        <f aca="false">+BI2+0.25</f>
        <v>13.75</v>
      </c>
      <c r="BK2" s="391" t="n">
        <f aca="false">+BJ2+0.25</f>
        <v>14</v>
      </c>
      <c r="BL2" s="391" t="n">
        <f aca="false">+BK2+0.25</f>
        <v>14.25</v>
      </c>
      <c r="BM2" s="391" t="n">
        <f aca="false">+BL2+0.25</f>
        <v>14.5</v>
      </c>
      <c r="BN2" s="391" t="n">
        <f aca="false">+BM2+0.25</f>
        <v>14.75</v>
      </c>
      <c r="BO2" s="391" t="n">
        <f aca="false">+BN2+0.25</f>
        <v>15</v>
      </c>
      <c r="BP2" s="391" t="n">
        <f aca="false">+BO2+0.25</f>
        <v>15.25</v>
      </c>
      <c r="BQ2" s="391" t="n">
        <f aca="false">+BP2+0.25</f>
        <v>15.5</v>
      </c>
      <c r="BR2" s="391" t="n">
        <f aca="false">+BQ2+0.25</f>
        <v>15.75</v>
      </c>
      <c r="BS2" s="391" t="n">
        <f aca="false">+BR2+0.25</f>
        <v>16</v>
      </c>
      <c r="BT2" s="391" t="n">
        <f aca="false">+BS2+0.25</f>
        <v>16.25</v>
      </c>
      <c r="BU2" s="391" t="n">
        <f aca="false">+BT2+0.25</f>
        <v>16.5</v>
      </c>
      <c r="BV2" s="391" t="n">
        <f aca="false">+BU2+0.25</f>
        <v>16.75</v>
      </c>
      <c r="BW2" s="391" t="n">
        <f aca="false">+BV2+0.25</f>
        <v>17</v>
      </c>
      <c r="BX2" s="391" t="n">
        <f aca="false">+BW2+0.25</f>
        <v>17.25</v>
      </c>
      <c r="BY2" s="391" t="n">
        <f aca="false">+BX2+0.25</f>
        <v>17.5</v>
      </c>
      <c r="BZ2" s="391" t="n">
        <f aca="false">+BY2+0.25</f>
        <v>17.75</v>
      </c>
      <c r="CA2" s="391" t="n">
        <f aca="false">+BZ2+0.25</f>
        <v>18</v>
      </c>
      <c r="CB2" s="391" t="n">
        <f aca="false">+CA2+0.25</f>
        <v>18.25</v>
      </c>
      <c r="CC2" s="391" t="n">
        <f aca="false">+CB2+0.25</f>
        <v>18.5</v>
      </c>
      <c r="CD2" s="391" t="n">
        <f aca="false">+CC2+0.25</f>
        <v>18.75</v>
      </c>
      <c r="CE2" s="391" t="n">
        <f aca="false">+CD2+0.25</f>
        <v>19</v>
      </c>
      <c r="CF2" s="391" t="n">
        <f aca="false">+CE2+0.25</f>
        <v>19.25</v>
      </c>
      <c r="CG2" s="391" t="n">
        <f aca="false">+CF2+0.25</f>
        <v>19.5</v>
      </c>
      <c r="CH2" s="391" t="n">
        <f aca="false">+CG2+0.25</f>
        <v>19.75</v>
      </c>
      <c r="CI2" s="391" t="n">
        <f aca="false">+CH2+0.25</f>
        <v>20</v>
      </c>
      <c r="CJ2" s="391" t="n">
        <f aca="false">+CI2+0.25</f>
        <v>20.25</v>
      </c>
      <c r="CK2" s="391" t="n">
        <f aca="false">+CJ2+0.25</f>
        <v>20.5</v>
      </c>
      <c r="CL2" s="391" t="n">
        <f aca="false">+CK2+0.25</f>
        <v>20.75</v>
      </c>
      <c r="CM2" s="391" t="n">
        <f aca="false">+CL2+0.25</f>
        <v>21</v>
      </c>
      <c r="CN2" s="391"/>
      <c r="CO2" s="391"/>
      <c r="CP2" s="391"/>
      <c r="CQ2" s="391"/>
      <c r="CR2" s="391"/>
      <c r="CS2" s="391"/>
      <c r="CT2" s="391"/>
      <c r="CU2" s="391"/>
      <c r="CV2" s="391"/>
      <c r="CW2" s="391"/>
      <c r="CX2" s="391"/>
      <c r="CY2" s="391"/>
      <c r="CZ2" s="391"/>
      <c r="DA2" s="391"/>
      <c r="DB2" s="391"/>
      <c r="DC2" s="391"/>
      <c r="DD2" s="391"/>
      <c r="DE2" s="391"/>
      <c r="DF2" s="391"/>
      <c r="DG2" s="391"/>
      <c r="DH2" s="391"/>
      <c r="DI2" s="391"/>
      <c r="DJ2" s="391"/>
      <c r="DK2" s="391"/>
      <c r="DL2" s="391"/>
      <c r="DM2" s="391"/>
      <c r="DN2" s="391"/>
      <c r="DO2" s="391"/>
      <c r="DP2" s="391"/>
      <c r="DQ2" s="391"/>
      <c r="DR2" s="391"/>
      <c r="DS2" s="391"/>
      <c r="DT2" s="391"/>
      <c r="DU2" s="391"/>
      <c r="DV2" s="391"/>
      <c r="DW2" s="391"/>
      <c r="DX2" s="391"/>
      <c r="DY2" s="391"/>
      <c r="DZ2" s="391"/>
      <c r="EA2" s="391"/>
      <c r="EB2" s="391"/>
      <c r="EC2" s="391"/>
      <c r="ED2" s="391"/>
      <c r="EE2" s="391"/>
      <c r="EF2" s="391"/>
      <c r="EG2" s="391"/>
      <c r="EH2" s="391"/>
      <c r="EI2" s="391"/>
      <c r="EJ2" s="391"/>
      <c r="EK2" s="391"/>
      <c r="EL2" s="391"/>
    </row>
    <row r="3" customFormat="false" ht="12.75" hidden="false" customHeight="false" outlineLevel="0" collapsed="false">
      <c r="BG3" s="392" t="s">
        <v>403</v>
      </c>
    </row>
    <row r="4" customFormat="false" ht="12.75" hidden="false" customHeight="false" outlineLevel="0" collapsed="false">
      <c r="A4" s="0" t="s">
        <v>404</v>
      </c>
      <c r="C4" s="0" t="s">
        <v>405</v>
      </c>
    </row>
    <row r="5" customFormat="false" ht="12.75" hidden="false" customHeight="false" outlineLevel="0" collapsed="false">
      <c r="A5" s="0" t="s">
        <v>406</v>
      </c>
      <c r="C5" s="0" t="s">
        <v>405</v>
      </c>
    </row>
    <row r="6" customFormat="false" ht="12.75" hidden="false" customHeight="false" outlineLevel="0" collapsed="false">
      <c r="A6" s="0" t="s">
        <v>407</v>
      </c>
      <c r="C6" s="0" t="s">
        <v>405</v>
      </c>
    </row>
    <row r="7" customFormat="false" ht="12.75" hidden="false" customHeight="false" outlineLevel="0" collapsed="false">
      <c r="A7" s="0" t="s">
        <v>408</v>
      </c>
      <c r="F7" s="0" t="s">
        <v>405</v>
      </c>
    </row>
    <row r="8" customFormat="false" ht="12.75" hidden="false" customHeight="false" outlineLevel="0" collapsed="false">
      <c r="A8" s="0" t="s">
        <v>409</v>
      </c>
      <c r="B8" s="0" t="n">
        <v>10</v>
      </c>
      <c r="D8" s="0" t="s">
        <v>405</v>
      </c>
      <c r="E8" s="0" t="s">
        <v>405</v>
      </c>
      <c r="F8" s="0" t="s">
        <v>405</v>
      </c>
      <c r="H8" s="0" t="s">
        <v>405</v>
      </c>
      <c r="I8" s="0" t="s">
        <v>405</v>
      </c>
      <c r="J8" s="0" t="s">
        <v>405</v>
      </c>
    </row>
    <row r="9" customFormat="false" ht="12.75" hidden="false" customHeight="false" outlineLevel="0" collapsed="false">
      <c r="A9" s="0" t="s">
        <v>410</v>
      </c>
      <c r="F9" s="393"/>
      <c r="G9" s="393"/>
    </row>
    <row r="10" customFormat="false" ht="12.75" hidden="false" customHeight="false" outlineLevel="0" collapsed="false">
      <c r="A10" s="0" t="s">
        <v>411</v>
      </c>
      <c r="B10" s="0" t="n">
        <v>2</v>
      </c>
      <c r="F10" s="0" t="s">
        <v>405</v>
      </c>
      <c r="H10" s="394" t="s">
        <v>405</v>
      </c>
    </row>
    <row r="11" customFormat="false" ht="12.75" hidden="false" customHeight="false" outlineLevel="0" collapsed="false">
      <c r="A11" s="0" t="s">
        <v>412</v>
      </c>
      <c r="B11" s="0" t="n">
        <v>22</v>
      </c>
      <c r="I11" s="394" t="s">
        <v>405</v>
      </c>
      <c r="J11" s="394" t="s">
        <v>405</v>
      </c>
      <c r="K11" s="394" t="s">
        <v>405</v>
      </c>
      <c r="L11" s="394" t="s">
        <v>405</v>
      </c>
      <c r="M11" s="394"/>
    </row>
    <row r="12" customFormat="false" ht="12.75" hidden="false" customHeight="false" outlineLevel="0" collapsed="false">
      <c r="A12" s="0" t="s">
        <v>413</v>
      </c>
      <c r="K12" s="395" t="s">
        <v>405</v>
      </c>
      <c r="L12" s="395" t="s">
        <v>405</v>
      </c>
      <c r="M12" s="395"/>
      <c r="N12" s="395" t="s">
        <v>405</v>
      </c>
      <c r="O12" s="395" t="s">
        <v>405</v>
      </c>
    </row>
    <row r="13" customFormat="false" ht="12.75" hidden="false" customHeight="false" outlineLevel="0" collapsed="false">
      <c r="A13" s="0" t="s">
        <v>414</v>
      </c>
      <c r="I13" s="396"/>
      <c r="J13" s="396"/>
      <c r="K13" s="397"/>
      <c r="L13" s="396"/>
      <c r="M13" s="396"/>
      <c r="N13" s="397"/>
    </row>
    <row r="14" customFormat="false" ht="12.75" hidden="false" customHeight="false" outlineLevel="0" collapsed="false">
      <c r="A14" s="0" t="s">
        <v>415</v>
      </c>
      <c r="K14" s="397"/>
      <c r="N14" s="397"/>
    </row>
    <row r="15" customFormat="false" ht="12.75" hidden="false" customHeight="false" outlineLevel="0" collapsed="false">
      <c r="A15" s="0" t="s">
        <v>416</v>
      </c>
      <c r="K15" s="397"/>
      <c r="N15" s="397"/>
    </row>
    <row r="16" customFormat="false" ht="12.75" hidden="false" customHeight="false" outlineLevel="0" collapsed="false">
      <c r="A16" s="0" t="s">
        <v>417</v>
      </c>
      <c r="O16" s="398" t="s">
        <v>405</v>
      </c>
      <c r="P16" s="394" t="s">
        <v>405</v>
      </c>
      <c r="Q16" s="394" t="s">
        <v>405</v>
      </c>
      <c r="R16" s="394" t="s">
        <v>405</v>
      </c>
      <c r="S16" s="398" t="s">
        <v>405</v>
      </c>
    </row>
    <row r="17" customFormat="false" ht="12.75" hidden="false" customHeight="false" outlineLevel="0" collapsed="false">
      <c r="A17" s="0" t="s">
        <v>418</v>
      </c>
      <c r="R17" s="399"/>
      <c r="S17" s="399"/>
    </row>
    <row r="19" customFormat="false" ht="12.75" hidden="false" customHeight="false" outlineLevel="0" collapsed="false">
      <c r="A19" s="0" t="s">
        <v>419</v>
      </c>
      <c r="N19" s="400"/>
    </row>
    <row r="20" customFormat="false" ht="12.75" hidden="false" customHeight="false" outlineLevel="0" collapsed="false">
      <c r="A20" s="0" t="s">
        <v>420</v>
      </c>
      <c r="O20" s="401"/>
      <c r="P20" s="401"/>
      <c r="Q20" s="401"/>
      <c r="R20" s="402"/>
      <c r="S20" s="401"/>
      <c r="T20" s="401"/>
      <c r="U20" s="401"/>
    </row>
    <row r="21" customFormat="false" ht="12.75" hidden="false" customHeight="false" outlineLevel="0" collapsed="false">
      <c r="A21" s="0" t="s">
        <v>421</v>
      </c>
      <c r="R21" s="402"/>
    </row>
    <row r="22" customFormat="false" ht="12.75" hidden="false" customHeight="false" outlineLevel="0" collapsed="false">
      <c r="A22" s="0" t="s">
        <v>422</v>
      </c>
      <c r="Q22" s="403"/>
      <c r="R22" s="403"/>
      <c r="S22" s="403"/>
      <c r="T22" s="403"/>
      <c r="U22" s="403"/>
      <c r="V22" s="403"/>
      <c r="W22" s="403"/>
      <c r="X22" s="403"/>
    </row>
    <row r="23" customFormat="false" ht="12.75" hidden="false" customHeight="false" outlineLevel="0" collapsed="false">
      <c r="A23" s="0" t="s">
        <v>421</v>
      </c>
      <c r="T23" s="404"/>
      <c r="X23" s="404"/>
    </row>
    <row r="24" customFormat="false" ht="12.75" hidden="false" customHeight="false" outlineLevel="0" collapsed="false">
      <c r="T24" s="404"/>
      <c r="X24" s="404"/>
    </row>
    <row r="25" customFormat="false" ht="12.75" hidden="false" customHeight="false" outlineLevel="0" collapsed="false">
      <c r="A25" s="405" t="s">
        <v>296</v>
      </c>
    </row>
    <row r="26" customFormat="false" ht="12.75" hidden="false" customHeight="false" outlineLevel="0" collapsed="false">
      <c r="A26" s="124" t="s">
        <v>302</v>
      </c>
      <c r="B26" s="124"/>
      <c r="C26" s="124"/>
      <c r="S26" s="406" t="s">
        <v>405</v>
      </c>
      <c r="T26" s="407"/>
      <c r="U26" s="407"/>
      <c r="V26" s="407"/>
    </row>
    <row r="27" customFormat="false" ht="12.75" hidden="false" customHeight="false" outlineLevel="0" collapsed="false">
      <c r="A27" s="124" t="s">
        <v>299</v>
      </c>
      <c r="B27" s="124"/>
      <c r="C27" s="124"/>
      <c r="V27" s="407"/>
    </row>
    <row r="28" customFormat="false" ht="12.75" hidden="false" customHeight="false" outlineLevel="0" collapsed="false">
      <c r="A28" s="124" t="s">
        <v>306</v>
      </c>
      <c r="B28" s="124"/>
      <c r="C28" s="124"/>
      <c r="W28" s="408"/>
      <c r="X28" s="409"/>
      <c r="Y28" s="409"/>
      <c r="Z28" s="409"/>
      <c r="AA28" s="409"/>
      <c r="AB28" s="409"/>
      <c r="AC28" s="409"/>
      <c r="AD28" s="409"/>
      <c r="AE28" s="409"/>
    </row>
    <row r="29" customFormat="false" ht="12.75" hidden="false" customHeight="false" outlineLevel="0" collapsed="false">
      <c r="A29" s="124" t="s">
        <v>307</v>
      </c>
      <c r="B29" s="124"/>
      <c r="C29" s="124"/>
      <c r="W29" s="408"/>
      <c r="X29" s="409"/>
      <c r="Y29" s="409"/>
      <c r="Z29" s="409"/>
      <c r="AA29" s="409"/>
      <c r="AB29" s="409"/>
      <c r="AC29" s="409"/>
      <c r="AD29" s="409"/>
      <c r="AE29" s="409"/>
    </row>
    <row r="30" customFormat="false" ht="12.75" hidden="false" customHeight="false" outlineLevel="0" collapsed="false">
      <c r="A30" s="124" t="s">
        <v>312</v>
      </c>
      <c r="B30" s="124"/>
      <c r="C30" s="124"/>
      <c r="W30" s="408"/>
      <c r="X30" s="409"/>
      <c r="Y30" s="409"/>
      <c r="Z30" s="409"/>
      <c r="AA30" s="409"/>
      <c r="AB30" s="409"/>
      <c r="AC30" s="409"/>
      <c r="AD30" s="409"/>
      <c r="AE30" s="409"/>
    </row>
    <row r="31" customFormat="false" ht="12.75" hidden="false" customHeight="false" outlineLevel="0" collapsed="false">
      <c r="A31" s="124" t="s">
        <v>313</v>
      </c>
      <c r="B31" s="124"/>
      <c r="C31" s="124"/>
      <c r="W31" s="408"/>
      <c r="X31" s="409"/>
      <c r="Y31" s="409"/>
      <c r="Z31" s="409"/>
      <c r="AA31" s="409"/>
      <c r="AB31" s="409"/>
      <c r="AC31" s="409"/>
      <c r="AD31" s="409"/>
      <c r="AE31" s="409"/>
    </row>
    <row r="32" customFormat="false" ht="12.75" hidden="false" customHeight="false" outlineLevel="0" collapsed="false">
      <c r="A32" s="124" t="s">
        <v>308</v>
      </c>
      <c r="B32" s="124"/>
      <c r="C32" s="124"/>
      <c r="W32" s="408"/>
      <c r="X32" s="409"/>
      <c r="Y32" s="409"/>
      <c r="Z32" s="409"/>
      <c r="AA32" s="409"/>
      <c r="AB32" s="409"/>
      <c r="AC32" s="409"/>
      <c r="AD32" s="409"/>
      <c r="AE32" s="409"/>
    </row>
    <row r="33" customFormat="false" ht="12.75" hidden="false" customHeight="false" outlineLevel="0" collapsed="false">
      <c r="A33" s="124" t="s">
        <v>310</v>
      </c>
      <c r="B33" s="124"/>
      <c r="C33" s="124"/>
      <c r="W33" s="408"/>
      <c r="X33" s="409"/>
      <c r="Y33" s="409"/>
      <c r="Z33" s="409"/>
      <c r="AA33" s="409"/>
      <c r="AB33" s="409"/>
      <c r="AC33" s="409"/>
      <c r="AD33" s="409"/>
      <c r="AE33" s="409"/>
    </row>
    <row r="34" customFormat="false" ht="12.75" hidden="false" customHeight="false" outlineLevel="0" collapsed="false">
      <c r="A34" s="124" t="s">
        <v>311</v>
      </c>
      <c r="B34" s="124"/>
      <c r="C34" s="124"/>
      <c r="W34" s="408"/>
      <c r="X34" s="409"/>
      <c r="Y34" s="409"/>
      <c r="Z34" s="409"/>
      <c r="AA34" s="409"/>
      <c r="AB34" s="409"/>
      <c r="AC34" s="409"/>
      <c r="AD34" s="409"/>
      <c r="AE34" s="409"/>
    </row>
    <row r="35" customFormat="false" ht="12.75" hidden="false" customHeight="false" outlineLevel="0" collapsed="false">
      <c r="A35" s="124" t="s">
        <v>314</v>
      </c>
      <c r="B35" s="124"/>
      <c r="C35" s="124"/>
      <c r="W35" s="408"/>
      <c r="X35" s="409"/>
      <c r="Y35" s="409"/>
      <c r="Z35" s="409"/>
      <c r="AA35" s="409"/>
      <c r="AB35" s="409"/>
      <c r="AC35" s="409"/>
      <c r="AD35" s="409"/>
      <c r="AE35" s="409"/>
    </row>
    <row r="36" customFormat="false" ht="12.75" hidden="false" customHeight="false" outlineLevel="0" collapsed="false">
      <c r="A36" s="124" t="s">
        <v>316</v>
      </c>
      <c r="B36" s="124"/>
      <c r="C36" s="124"/>
      <c r="Y36" s="410"/>
      <c r="Z36" s="410"/>
      <c r="AA36" s="410"/>
      <c r="AB36" s="410"/>
      <c r="AC36" s="410"/>
      <c r="AD36" s="410"/>
      <c r="AE36" s="410"/>
    </row>
    <row r="37" customFormat="false" ht="12.75" hidden="false" customHeight="false" outlineLevel="0" collapsed="false">
      <c r="A37" s="124" t="s">
        <v>327</v>
      </c>
      <c r="B37" s="124"/>
      <c r="C37" s="124"/>
      <c r="AD37" s="410"/>
      <c r="AE37" s="410"/>
      <c r="AF37" s="410"/>
    </row>
    <row r="38" customFormat="false" ht="12.75" hidden="false" customHeight="false" outlineLevel="0" collapsed="false">
      <c r="A38" s="124" t="s">
        <v>301</v>
      </c>
      <c r="B38" s="124"/>
      <c r="C38" s="124"/>
    </row>
    <row r="39" customFormat="false" ht="12.75" hidden="false" customHeight="false" outlineLevel="0" collapsed="false">
      <c r="A39" s="124" t="s">
        <v>304</v>
      </c>
      <c r="B39" s="124"/>
      <c r="C39" s="124"/>
    </row>
    <row r="40" customFormat="false" ht="12.75" hidden="false" customHeight="false" outlineLevel="0" collapsed="false">
      <c r="A40" s="124" t="s">
        <v>315</v>
      </c>
      <c r="B40" s="124"/>
      <c r="C40" s="124"/>
    </row>
    <row r="41" customFormat="false" ht="12.75" hidden="false" customHeight="false" outlineLevel="0" collapsed="false">
      <c r="A41" s="124"/>
      <c r="B41" s="124"/>
      <c r="C41" s="124"/>
    </row>
    <row r="42" customFormat="false" ht="12.75" hidden="false" customHeight="false" outlineLevel="0" collapsed="false">
      <c r="A42" s="405" t="s">
        <v>319</v>
      </c>
      <c r="B42" s="124"/>
      <c r="C42" s="124"/>
    </row>
    <row r="43" customFormat="false" ht="12.75" hidden="false" customHeight="false" outlineLevel="0" collapsed="false">
      <c r="A43" s="124" t="s">
        <v>423</v>
      </c>
    </row>
    <row r="44" customFormat="false" ht="12.75" hidden="false" customHeight="false" outlineLevel="0" collapsed="false">
      <c r="A44" s="124" t="s">
        <v>328</v>
      </c>
    </row>
    <row r="45" customFormat="false" ht="12.75" hidden="false" customHeight="false" outlineLevel="0" collapsed="false">
      <c r="A45" s="124" t="s">
        <v>331</v>
      </c>
    </row>
    <row r="46" customFormat="false" ht="12.75" hidden="false" customHeight="false" outlineLevel="0" collapsed="false">
      <c r="A46" s="124" t="s">
        <v>424</v>
      </c>
    </row>
    <row r="47" customFormat="false" ht="12.75" hidden="false" customHeight="false" outlineLevel="0" collapsed="false">
      <c r="A47" s="411" t="s">
        <v>425</v>
      </c>
    </row>
    <row r="48" customFormat="false" ht="12.75" hidden="false" customHeight="false" outlineLevel="0" collapsed="false">
      <c r="A48" s="124" t="s">
        <v>426</v>
      </c>
    </row>
    <row r="49" customFormat="false" ht="12.75" hidden="false" customHeight="false" outlineLevel="0" collapsed="false">
      <c r="A49" s="124" t="s">
        <v>427</v>
      </c>
    </row>
    <row r="50" customFormat="false" ht="12.75" hidden="false" customHeight="false" outlineLevel="0" collapsed="false">
      <c r="A50" s="124" t="s">
        <v>322</v>
      </c>
    </row>
    <row r="51" customFormat="false" ht="12.75" hidden="false" customHeight="false" outlineLevel="0" collapsed="false">
      <c r="A51" s="124" t="s">
        <v>324</v>
      </c>
    </row>
    <row r="53" customFormat="false" ht="12.75" hidden="false" customHeight="false" outlineLevel="0" collapsed="false">
      <c r="A53" s="18" t="s">
        <v>428</v>
      </c>
    </row>
    <row r="54" customFormat="false" ht="12.75" hidden="false" customHeight="false" outlineLevel="0" collapsed="false">
      <c r="A54" s="0" t="s">
        <v>429</v>
      </c>
      <c r="B54" s="0" t="n">
        <f aca="false">6*22</f>
        <v>132</v>
      </c>
      <c r="C54" s="0" t="s">
        <v>401</v>
      </c>
      <c r="W54" s="412" t="n">
        <v>3</v>
      </c>
      <c r="X54" s="412" t="n">
        <v>5</v>
      </c>
      <c r="Y54" s="412" t="n">
        <v>5</v>
      </c>
      <c r="Z54" s="412" t="n">
        <v>5</v>
      </c>
      <c r="AA54" s="412" t="n">
        <v>5</v>
      </c>
      <c r="AB54" s="412" t="n">
        <v>5</v>
      </c>
      <c r="AC54" s="412" t="n">
        <v>5</v>
      </c>
      <c r="AD54" s="412" t="n">
        <v>5</v>
      </c>
      <c r="AE54" s="412" t="n">
        <v>5</v>
      </c>
      <c r="AF54" s="412" t="n">
        <v>5</v>
      </c>
      <c r="AG54" s="412" t="n">
        <v>5</v>
      </c>
      <c r="AH54" s="412" t="n">
        <v>5</v>
      </c>
      <c r="AI54" s="412" t="n">
        <v>5</v>
      </c>
      <c r="AJ54" s="412" t="n">
        <v>5</v>
      </c>
      <c r="AK54" s="412" t="n">
        <v>5</v>
      </c>
      <c r="AL54" s="412" t="n">
        <v>5</v>
      </c>
      <c r="AM54" s="412" t="n">
        <v>5</v>
      </c>
      <c r="AN54" s="412" t="n">
        <v>5</v>
      </c>
      <c r="AO54" s="412" t="n">
        <v>5</v>
      </c>
      <c r="AP54" s="412" t="n">
        <v>5</v>
      </c>
      <c r="AQ54" s="412" t="n">
        <v>5</v>
      </c>
      <c r="AR54" s="412" t="n">
        <v>5</v>
      </c>
      <c r="AS54" s="412" t="n">
        <v>5</v>
      </c>
      <c r="AT54" s="412" t="n">
        <v>5</v>
      </c>
      <c r="AU54" s="412" t="n">
        <v>5</v>
      </c>
      <c r="AV54" s="412" t="n">
        <v>5</v>
      </c>
      <c r="AW54" s="412" t="n">
        <v>4</v>
      </c>
      <c r="AX54" s="412"/>
      <c r="AY54" s="412"/>
    </row>
    <row r="55" customFormat="false" ht="12.75" hidden="false" customHeight="false" outlineLevel="0" collapsed="false">
      <c r="A55" s="0" t="s">
        <v>430</v>
      </c>
      <c r="B55" s="0" t="n">
        <f aca="false">5*22</f>
        <v>110</v>
      </c>
      <c r="C55" s="0" t="s">
        <v>401</v>
      </c>
      <c r="AA55" s="412" t="n">
        <v>5</v>
      </c>
      <c r="AB55" s="412" t="n">
        <v>5</v>
      </c>
      <c r="AC55" s="412" t="n">
        <v>5</v>
      </c>
      <c r="AD55" s="412" t="n">
        <v>5</v>
      </c>
      <c r="AE55" s="412" t="n">
        <v>5</v>
      </c>
      <c r="AF55" s="412" t="n">
        <v>5</v>
      </c>
      <c r="AG55" s="412" t="n">
        <v>5</v>
      </c>
      <c r="AH55" s="412" t="n">
        <v>5</v>
      </c>
      <c r="AI55" s="412" t="n">
        <v>5</v>
      </c>
      <c r="AJ55" s="412" t="n">
        <v>5</v>
      </c>
      <c r="AK55" s="412" t="n">
        <v>5</v>
      </c>
      <c r="AL55" s="412" t="n">
        <v>5</v>
      </c>
      <c r="AM55" s="412" t="n">
        <v>5</v>
      </c>
      <c r="AN55" s="412" t="n">
        <v>5</v>
      </c>
      <c r="AO55" s="412" t="n">
        <v>5</v>
      </c>
      <c r="AP55" s="412" t="n">
        <v>5</v>
      </c>
      <c r="AQ55" s="412" t="n">
        <v>5</v>
      </c>
      <c r="AR55" s="412" t="n">
        <v>5</v>
      </c>
      <c r="AS55" s="412" t="n">
        <v>5</v>
      </c>
      <c r="AT55" s="412" t="n">
        <v>5</v>
      </c>
      <c r="AU55" s="412" t="n">
        <v>5</v>
      </c>
      <c r="AV55" s="412" t="n">
        <v>5</v>
      </c>
      <c r="AW55" s="412"/>
      <c r="AX55" s="412"/>
      <c r="AY55" s="412"/>
      <c r="AZ55" s="412"/>
    </row>
    <row r="56" customFormat="false" ht="12.75" hidden="false" customHeight="false" outlineLevel="0" collapsed="false">
      <c r="A56" s="0" t="s">
        <v>431</v>
      </c>
      <c r="B56" s="0" t="n">
        <f aca="false">5*22</f>
        <v>110</v>
      </c>
      <c r="C56" s="0" t="s">
        <v>401</v>
      </c>
      <c r="AC56" s="412"/>
      <c r="AD56" s="412" t="n">
        <v>5</v>
      </c>
      <c r="AE56" s="412" t="n">
        <v>5</v>
      </c>
      <c r="AF56" s="412" t="n">
        <v>5</v>
      </c>
      <c r="AG56" s="412" t="n">
        <v>5</v>
      </c>
      <c r="AH56" s="412" t="n">
        <v>5</v>
      </c>
      <c r="AI56" s="412" t="n">
        <v>5</v>
      </c>
      <c r="AJ56" s="412" t="n">
        <v>5</v>
      </c>
      <c r="AK56" s="412" t="n">
        <v>5</v>
      </c>
      <c r="AL56" s="412" t="n">
        <v>5</v>
      </c>
      <c r="AM56" s="412" t="n">
        <v>5</v>
      </c>
      <c r="AN56" s="412" t="n">
        <v>5</v>
      </c>
      <c r="AO56" s="412" t="n">
        <v>5</v>
      </c>
      <c r="AP56" s="412" t="n">
        <v>5</v>
      </c>
      <c r="AQ56" s="412" t="n">
        <v>5</v>
      </c>
      <c r="AR56" s="412" t="n">
        <v>5</v>
      </c>
      <c r="AS56" s="412" t="n">
        <v>5</v>
      </c>
      <c r="AT56" s="412" t="n">
        <v>5</v>
      </c>
      <c r="AU56" s="412" t="n">
        <v>5</v>
      </c>
      <c r="AV56" s="412" t="n">
        <v>5</v>
      </c>
      <c r="AW56" s="412" t="n">
        <v>5</v>
      </c>
      <c r="AX56" s="412" t="n">
        <v>5</v>
      </c>
      <c r="AY56" s="412" t="n">
        <v>5</v>
      </c>
    </row>
    <row r="57" customFormat="false" ht="12.75" hidden="false" customHeight="false" outlineLevel="0" collapsed="false">
      <c r="A57" s="0" t="s">
        <v>432</v>
      </c>
      <c r="B57" s="0" t="n">
        <f aca="false">5*22</f>
        <v>110</v>
      </c>
      <c r="C57" s="0" t="s">
        <v>401</v>
      </c>
      <c r="AG57" s="412" t="n">
        <v>5</v>
      </c>
      <c r="AH57" s="412" t="n">
        <v>5</v>
      </c>
      <c r="AI57" s="412" t="n">
        <v>5</v>
      </c>
      <c r="AJ57" s="412" t="n">
        <v>5</v>
      </c>
      <c r="AK57" s="412" t="n">
        <v>5</v>
      </c>
      <c r="AL57" s="412" t="n">
        <v>5</v>
      </c>
      <c r="AM57" s="412" t="n">
        <v>5</v>
      </c>
      <c r="AN57" s="412" t="n">
        <v>5</v>
      </c>
      <c r="AO57" s="412" t="n">
        <v>5</v>
      </c>
      <c r="AP57" s="412" t="n">
        <v>5</v>
      </c>
      <c r="AQ57" s="412" t="n">
        <v>5</v>
      </c>
      <c r="AR57" s="412" t="n">
        <v>5</v>
      </c>
      <c r="AS57" s="412" t="n">
        <v>5</v>
      </c>
      <c r="AT57" s="412" t="n">
        <v>5</v>
      </c>
      <c r="AU57" s="412" t="n">
        <v>5</v>
      </c>
      <c r="AV57" s="412" t="n">
        <v>5</v>
      </c>
      <c r="AW57" s="412" t="n">
        <v>5</v>
      </c>
      <c r="AX57" s="412" t="n">
        <v>5</v>
      </c>
      <c r="AY57" s="412" t="n">
        <v>5</v>
      </c>
      <c r="AZ57" s="412" t="n">
        <v>5</v>
      </c>
      <c r="BA57" s="412" t="n">
        <v>5</v>
      </c>
      <c r="BB57" s="412" t="n">
        <v>5</v>
      </c>
    </row>
    <row r="58" customFormat="false" ht="12.75" hidden="false" customHeight="false" outlineLevel="0" collapsed="false">
      <c r="A58" s="0" t="s">
        <v>433</v>
      </c>
      <c r="B58" s="0" t="n">
        <f aca="false">5*22</f>
        <v>110</v>
      </c>
      <c r="C58" s="0" t="s">
        <v>401</v>
      </c>
      <c r="AI58" s="412"/>
      <c r="AJ58" s="412" t="n">
        <v>5</v>
      </c>
      <c r="AK58" s="412" t="n">
        <v>5</v>
      </c>
      <c r="AL58" s="412" t="n">
        <v>5</v>
      </c>
      <c r="AM58" s="412" t="n">
        <v>5</v>
      </c>
      <c r="AN58" s="412" t="n">
        <v>5</v>
      </c>
      <c r="AO58" s="412" t="n">
        <v>5</v>
      </c>
      <c r="AP58" s="412" t="n">
        <v>5</v>
      </c>
      <c r="AQ58" s="412" t="n">
        <v>5</v>
      </c>
      <c r="AR58" s="412" t="n">
        <v>5</v>
      </c>
      <c r="AS58" s="412" t="n">
        <v>5</v>
      </c>
      <c r="AT58" s="412" t="n">
        <v>5</v>
      </c>
      <c r="AU58" s="412" t="n">
        <v>5</v>
      </c>
      <c r="AV58" s="412" t="n">
        <v>5</v>
      </c>
      <c r="AW58" s="412" t="n">
        <v>5</v>
      </c>
      <c r="AX58" s="412" t="n">
        <v>5</v>
      </c>
      <c r="AY58" s="412" t="n">
        <v>5</v>
      </c>
      <c r="AZ58" s="412" t="n">
        <v>5</v>
      </c>
      <c r="BA58" s="412" t="n">
        <v>5</v>
      </c>
      <c r="BB58" s="412" t="n">
        <v>5</v>
      </c>
      <c r="BC58" s="412" t="n">
        <v>5</v>
      </c>
      <c r="BD58" s="412" t="n">
        <v>5</v>
      </c>
      <c r="BE58" s="412" t="n">
        <v>5</v>
      </c>
    </row>
    <row r="59" customFormat="false" ht="12.75" hidden="false" customHeight="false" outlineLevel="0" collapsed="false">
      <c r="A59" s="0" t="s">
        <v>434</v>
      </c>
      <c r="B59" s="0" t="n">
        <f aca="false">5*22</f>
        <v>110</v>
      </c>
      <c r="C59" s="0" t="s">
        <v>401</v>
      </c>
      <c r="AL59" s="412"/>
      <c r="AM59" s="412" t="n">
        <v>5</v>
      </c>
      <c r="AN59" s="412" t="n">
        <v>5</v>
      </c>
      <c r="AO59" s="412" t="n">
        <v>5</v>
      </c>
      <c r="AP59" s="412" t="n">
        <v>5</v>
      </c>
      <c r="AQ59" s="412" t="n">
        <v>5</v>
      </c>
      <c r="AR59" s="412" t="n">
        <v>5</v>
      </c>
      <c r="AS59" s="412" t="n">
        <v>5</v>
      </c>
      <c r="AT59" s="412" t="n">
        <v>5</v>
      </c>
      <c r="AU59" s="412" t="n">
        <v>5</v>
      </c>
      <c r="AV59" s="412" t="n">
        <v>5</v>
      </c>
      <c r="AW59" s="412" t="n">
        <v>5</v>
      </c>
      <c r="AX59" s="412" t="n">
        <v>5</v>
      </c>
      <c r="AY59" s="412" t="n">
        <v>5</v>
      </c>
      <c r="AZ59" s="412" t="n">
        <v>5</v>
      </c>
      <c r="BA59" s="412" t="n">
        <v>5</v>
      </c>
      <c r="BB59" s="412" t="n">
        <v>5</v>
      </c>
      <c r="BC59" s="412" t="n">
        <v>5</v>
      </c>
      <c r="BD59" s="412" t="n">
        <v>5</v>
      </c>
      <c r="BE59" s="412" t="n">
        <v>5</v>
      </c>
      <c r="BF59" s="412" t="n">
        <v>5</v>
      </c>
      <c r="BG59" s="412" t="n">
        <v>5</v>
      </c>
      <c r="BH59" s="412" t="n">
        <v>5</v>
      </c>
    </row>
    <row r="60" customFormat="false" ht="12.75" hidden="false" customHeight="false" outlineLevel="0" collapsed="false">
      <c r="A60" s="0" t="s">
        <v>435</v>
      </c>
      <c r="B60" s="0" t="n">
        <f aca="false">5*22</f>
        <v>110</v>
      </c>
      <c r="C60" s="0" t="s">
        <v>401</v>
      </c>
      <c r="AN60" s="412"/>
      <c r="AO60" s="412"/>
      <c r="AP60" s="412" t="n">
        <v>5</v>
      </c>
      <c r="AQ60" s="412" t="n">
        <v>5</v>
      </c>
      <c r="AR60" s="412" t="n">
        <v>5</v>
      </c>
      <c r="AS60" s="412" t="n">
        <v>5</v>
      </c>
      <c r="AT60" s="412" t="n">
        <v>5</v>
      </c>
      <c r="AU60" s="412" t="n">
        <v>5</v>
      </c>
      <c r="AV60" s="412" t="n">
        <v>5</v>
      </c>
      <c r="AW60" s="412" t="n">
        <v>5</v>
      </c>
      <c r="AX60" s="412" t="n">
        <v>5</v>
      </c>
      <c r="AY60" s="412" t="n">
        <v>5</v>
      </c>
      <c r="AZ60" s="412" t="n">
        <v>5</v>
      </c>
      <c r="BA60" s="412" t="n">
        <v>5</v>
      </c>
      <c r="BB60" s="412" t="n">
        <v>5</v>
      </c>
      <c r="BC60" s="412" t="n">
        <v>5</v>
      </c>
      <c r="BD60" s="412" t="n">
        <v>5</v>
      </c>
      <c r="BE60" s="412" t="n">
        <v>5</v>
      </c>
      <c r="BF60" s="412" t="n">
        <v>5</v>
      </c>
      <c r="BG60" s="412" t="n">
        <v>5</v>
      </c>
      <c r="BH60" s="412" t="n">
        <v>5</v>
      </c>
      <c r="BI60" s="412" t="n">
        <v>5</v>
      </c>
      <c r="BJ60" s="412" t="n">
        <v>5</v>
      </c>
      <c r="BK60" s="412" t="n">
        <v>5</v>
      </c>
    </row>
    <row r="61" customFormat="false" ht="12.75" hidden="false" customHeight="false" outlineLevel="0" collapsed="false">
      <c r="A61" s="0" t="s">
        <v>436</v>
      </c>
      <c r="B61" s="0" t="n">
        <f aca="false">5*22</f>
        <v>110</v>
      </c>
      <c r="C61" s="0" t="s">
        <v>401</v>
      </c>
      <c r="AR61" s="412"/>
      <c r="AS61" s="412" t="n">
        <v>5</v>
      </c>
      <c r="AT61" s="412" t="n">
        <v>5</v>
      </c>
      <c r="AU61" s="412" t="n">
        <v>5</v>
      </c>
      <c r="AV61" s="412" t="n">
        <v>5</v>
      </c>
      <c r="AW61" s="412" t="n">
        <v>5</v>
      </c>
      <c r="AX61" s="412" t="n">
        <v>5</v>
      </c>
      <c r="AY61" s="412" t="n">
        <v>5</v>
      </c>
      <c r="AZ61" s="412" t="n">
        <v>5</v>
      </c>
      <c r="BA61" s="412" t="n">
        <v>5</v>
      </c>
      <c r="BB61" s="412" t="n">
        <v>5</v>
      </c>
      <c r="BC61" s="412" t="n">
        <v>5</v>
      </c>
      <c r="BD61" s="412" t="n">
        <v>5</v>
      </c>
      <c r="BE61" s="412" t="n">
        <v>5</v>
      </c>
      <c r="BF61" s="412" t="n">
        <v>5</v>
      </c>
      <c r="BG61" s="412" t="n">
        <v>5</v>
      </c>
      <c r="BH61" s="412" t="n">
        <v>5</v>
      </c>
      <c r="BI61" s="412" t="n">
        <v>5</v>
      </c>
      <c r="BJ61" s="412" t="n">
        <v>5</v>
      </c>
      <c r="BK61" s="412" t="n">
        <v>5</v>
      </c>
      <c r="BL61" s="412" t="n">
        <v>5</v>
      </c>
      <c r="BM61" s="412" t="n">
        <v>5</v>
      </c>
      <c r="BN61" s="412" t="n">
        <v>5</v>
      </c>
    </row>
    <row r="63" customFormat="false" ht="12.75" hidden="false" customHeight="false" outlineLevel="0" collapsed="false">
      <c r="A63" s="0" t="s">
        <v>437</v>
      </c>
      <c r="W63" s="0" t="n">
        <f aca="false">LoanPerU</f>
        <v>76529.4930995873</v>
      </c>
    </row>
    <row r="64" customFormat="false" ht="12.75" hidden="false" customHeight="false" outlineLevel="0" collapsed="false">
      <c r="A64" s="0" t="s">
        <v>438</v>
      </c>
      <c r="B64" s="0" t="n">
        <f aca="false">'UCost Final'!S169*0.8</f>
        <v>10178422.5822451</v>
      </c>
    </row>
    <row r="65" customFormat="false" ht="12.75" hidden="false" customHeight="false" outlineLevel="0" collapsed="false">
      <c r="A65" s="0" t="s">
        <v>439</v>
      </c>
      <c r="B65" s="0" t="n">
        <f aca="false">'UCost Final'!T169*0.8</f>
        <v>76529.4930995873</v>
      </c>
    </row>
    <row r="66" customFormat="false" ht="12.75" hidden="false" customHeight="false" outlineLevel="0" collapsed="false">
      <c r="A66" s="0" t="s">
        <v>440</v>
      </c>
    </row>
    <row r="76" customFormat="false" ht="12.75" hidden="false" customHeight="false" outlineLevel="0" collapsed="false">
      <c r="A76" s="413" t="s">
        <v>441</v>
      </c>
    </row>
    <row r="77" customFormat="false" ht="12.75" hidden="false" customHeight="false" outlineLevel="0" collapsed="false">
      <c r="A77" s="0" t="s">
        <v>442</v>
      </c>
      <c r="B77" s="0" t="n">
        <v>17</v>
      </c>
      <c r="C77" s="0" t="s">
        <v>443</v>
      </c>
      <c r="AB77" s="414"/>
      <c r="AD77" s="415" t="n">
        <v>17</v>
      </c>
      <c r="AT77" s="407"/>
      <c r="AU77" s="416"/>
      <c r="AV77" s="416"/>
      <c r="AW77" s="416"/>
      <c r="AX77" s="416"/>
      <c r="AY77" s="416"/>
      <c r="AZ77" s="416"/>
      <c r="BA77" s="416"/>
      <c r="BB77" s="416"/>
      <c r="BC77" s="416"/>
      <c r="BD77" s="416"/>
      <c r="BE77" s="416"/>
      <c r="BF77" s="416"/>
      <c r="BG77" s="416"/>
      <c r="BH77" s="416"/>
      <c r="BI77" s="416"/>
      <c r="BJ77" s="417"/>
    </row>
    <row r="78" customFormat="false" ht="12.75" hidden="false" customHeight="false" outlineLevel="0" collapsed="false">
      <c r="A78" s="0" t="s">
        <v>444</v>
      </c>
      <c r="B78" s="0" t="n">
        <v>17</v>
      </c>
      <c r="C78" s="0" t="s">
        <v>443</v>
      </c>
      <c r="AB78" s="414"/>
      <c r="AD78" s="415" t="n">
        <v>17</v>
      </c>
      <c r="AT78" s="407"/>
      <c r="AU78" s="416"/>
      <c r="AV78" s="416"/>
      <c r="AW78" s="416"/>
      <c r="AX78" s="416"/>
      <c r="AY78" s="416"/>
      <c r="AZ78" s="416"/>
      <c r="BA78" s="416"/>
      <c r="BB78" s="416"/>
      <c r="BC78" s="416"/>
      <c r="BD78" s="416"/>
      <c r="BE78" s="416"/>
      <c r="BF78" s="416"/>
      <c r="BG78" s="416"/>
      <c r="BH78" s="416"/>
      <c r="BI78" s="416"/>
      <c r="BJ78" s="417"/>
    </row>
    <row r="79" customFormat="false" ht="12.75" hidden="false" customHeight="false" outlineLevel="0" collapsed="false">
      <c r="A79" s="0" t="s">
        <v>445</v>
      </c>
      <c r="B79" s="0" t="n">
        <v>17</v>
      </c>
      <c r="C79" s="0" t="s">
        <v>443</v>
      </c>
      <c r="AC79" s="414"/>
      <c r="AH79" s="410" t="n">
        <v>17</v>
      </c>
      <c r="AI79" s="410"/>
      <c r="AV79" s="407"/>
      <c r="AW79" s="416"/>
      <c r="AX79" s="416"/>
      <c r="AY79" s="416"/>
      <c r="AZ79" s="416"/>
      <c r="BA79" s="416"/>
      <c r="BB79" s="416"/>
      <c r="BC79" s="416"/>
      <c r="BD79" s="416"/>
      <c r="BE79" s="416"/>
      <c r="BF79" s="416"/>
      <c r="BG79" s="416"/>
      <c r="BH79" s="416"/>
      <c r="BI79" s="416"/>
      <c r="BJ79" s="416"/>
      <c r="BK79" s="417"/>
    </row>
    <row r="80" customFormat="false" ht="12.75" hidden="false" customHeight="false" outlineLevel="0" collapsed="false">
      <c r="A80" s="0" t="s">
        <v>446</v>
      </c>
      <c r="B80" s="0" t="n">
        <v>17</v>
      </c>
      <c r="C80" s="0" t="s">
        <v>443</v>
      </c>
      <c r="AC80" s="414"/>
      <c r="AH80" s="410" t="n">
        <v>17</v>
      </c>
      <c r="AI80" s="410"/>
      <c r="AY80" s="407"/>
      <c r="AZ80" s="416"/>
      <c r="BA80" s="416"/>
      <c r="BB80" s="416"/>
      <c r="BC80" s="416"/>
      <c r="BD80" s="416"/>
      <c r="BE80" s="416"/>
      <c r="BF80" s="416"/>
      <c r="BG80" s="416"/>
      <c r="BH80" s="416"/>
      <c r="BI80" s="416"/>
      <c r="BJ80" s="416"/>
      <c r="BK80" s="416"/>
      <c r="BL80" s="416"/>
      <c r="BM80" s="416"/>
      <c r="BN80" s="417"/>
    </row>
    <row r="81" customFormat="false" ht="12.75" hidden="false" customHeight="false" outlineLevel="0" collapsed="false">
      <c r="A81" s="0" t="s">
        <v>447</v>
      </c>
      <c r="B81" s="0" t="n">
        <v>17</v>
      </c>
      <c r="C81" s="0" t="s">
        <v>443</v>
      </c>
      <c r="AD81" s="414"/>
      <c r="AH81" s="410" t="n">
        <v>17</v>
      </c>
      <c r="AI81" s="410"/>
      <c r="BB81" s="407"/>
      <c r="BC81" s="416"/>
      <c r="BD81" s="416"/>
      <c r="BE81" s="416"/>
      <c r="BF81" s="416"/>
      <c r="BG81" s="416"/>
      <c r="BH81" s="416"/>
      <c r="BI81" s="416"/>
      <c r="BJ81" s="416"/>
      <c r="BK81" s="416"/>
      <c r="BL81" s="416"/>
      <c r="BM81" s="416"/>
      <c r="BN81" s="416"/>
      <c r="BO81" s="416"/>
      <c r="BP81" s="416"/>
      <c r="BQ81" s="417"/>
    </row>
    <row r="82" customFormat="false" ht="12.75" hidden="false" customHeight="false" outlineLevel="0" collapsed="false">
      <c r="A82" s="0" t="s">
        <v>448</v>
      </c>
      <c r="B82" s="0" t="n">
        <v>16</v>
      </c>
      <c r="C82" s="0" t="s">
        <v>443</v>
      </c>
      <c r="AE82" s="414"/>
      <c r="AH82" s="410" t="n">
        <v>17</v>
      </c>
      <c r="AI82" s="410"/>
      <c r="BE82" s="407"/>
      <c r="BF82" s="416"/>
      <c r="BG82" s="416"/>
      <c r="BH82" s="416"/>
      <c r="BI82" s="416"/>
      <c r="BJ82" s="416"/>
      <c r="BK82" s="416"/>
      <c r="BL82" s="416"/>
      <c r="BM82" s="416"/>
      <c r="BN82" s="416"/>
      <c r="BO82" s="416"/>
      <c r="BP82" s="416"/>
      <c r="BQ82" s="416"/>
      <c r="BR82" s="416"/>
      <c r="BS82" s="416"/>
      <c r="BT82" s="417"/>
    </row>
    <row r="83" customFormat="false" ht="12.75" hidden="false" customHeight="false" outlineLevel="0" collapsed="false">
      <c r="A83" s="0" t="s">
        <v>449</v>
      </c>
      <c r="B83" s="0" t="n">
        <v>16</v>
      </c>
      <c r="C83" s="0" t="s">
        <v>443</v>
      </c>
      <c r="AF83" s="414"/>
      <c r="AH83" s="410" t="n">
        <v>17</v>
      </c>
      <c r="AI83" s="410"/>
      <c r="BH83" s="407"/>
      <c r="BI83" s="416"/>
      <c r="BJ83" s="416"/>
      <c r="BK83" s="416"/>
      <c r="BL83" s="416"/>
      <c r="BM83" s="416"/>
      <c r="BN83" s="416"/>
      <c r="BO83" s="416"/>
      <c r="BP83" s="416"/>
      <c r="BQ83" s="416"/>
      <c r="BR83" s="416"/>
      <c r="BS83" s="416"/>
      <c r="BT83" s="416"/>
      <c r="BU83" s="416"/>
      <c r="BV83" s="416"/>
      <c r="BW83" s="417"/>
    </row>
    <row r="84" customFormat="false" ht="12.75" hidden="false" customHeight="false" outlineLevel="0" collapsed="false">
      <c r="A84" s="0" t="s">
        <v>450</v>
      </c>
      <c r="B84" s="0" t="n">
        <v>16</v>
      </c>
      <c r="C84" s="0" t="s">
        <v>443</v>
      </c>
      <c r="AF84" s="414"/>
      <c r="AH84" s="410" t="n">
        <v>17</v>
      </c>
      <c r="AI84" s="410"/>
      <c r="BK84" s="407"/>
      <c r="BL84" s="416"/>
      <c r="BM84" s="416"/>
      <c r="BN84" s="416"/>
      <c r="BO84" s="416"/>
      <c r="BP84" s="416"/>
      <c r="BQ84" s="416"/>
      <c r="BR84" s="416"/>
      <c r="BS84" s="416"/>
      <c r="BT84" s="416"/>
      <c r="BU84" s="416"/>
      <c r="BV84" s="416"/>
      <c r="BW84" s="416"/>
      <c r="BX84" s="416"/>
      <c r="BY84" s="416"/>
      <c r="BZ84" s="417"/>
      <c r="CA84" s="417"/>
      <c r="CB84" s="417"/>
    </row>
    <row r="85" customFormat="false" ht="12.75" hidden="false" customHeight="false" outlineLevel="0" collapsed="false">
      <c r="B85" s="0" t="n">
        <f aca="false">SUM(B77:B84)</f>
        <v>133</v>
      </c>
      <c r="C85" s="0" t="s">
        <v>443</v>
      </c>
    </row>
    <row r="86" customFormat="false" ht="12.75" hidden="false" customHeight="false" outlineLevel="0" collapsed="false">
      <c r="A86" s="0" t="s">
        <v>451</v>
      </c>
      <c r="AU86" s="403"/>
    </row>
    <row r="87" customFormat="false" ht="12.75" hidden="false" customHeight="false" outlineLevel="0" collapsed="false">
      <c r="A87" s="0" t="s">
        <v>452</v>
      </c>
      <c r="AS87" s="418"/>
      <c r="AT87" s="418"/>
    </row>
    <row r="88" customFormat="false" ht="12.75" hidden="false" customHeight="false" outlineLevel="0" collapsed="false">
      <c r="A88" s="0" t="s">
        <v>453</v>
      </c>
      <c r="AU88" s="401"/>
    </row>
  </sheetData>
  <printOptions headings="false" gridLines="true" gridLinesSet="true" horizontalCentered="true" verticalCentered="false"/>
  <pageMargins left="0.25" right="0.25" top="0.984027777777778" bottom="0.984027777777778" header="0.511811023622047" footer="0.5"/>
  <pageSetup paperSize="1" scale="100" fitToWidth="4" fitToHeight="1" pageOrder="overThenDown" orientation="landscape" blackAndWhite="false" draft="false" cellComments="none" horizontalDpi="300" verticalDpi="300" copies="1"/>
  <headerFooter differentFirst="false" differentOddEven="false">
    <oddHeader/>
    <oddFooter>&amp;L&amp;8 &amp;F
 &amp;A&amp;C&amp;8 &amp;R&amp;8 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64"/>
  <sheetViews>
    <sheetView showFormulas="false" showGridLines="true" showRowColHeaders="true" showZeros="true" rightToLeft="false" tabSelected="false" showOutlineSymbols="true" defaultGridColor="true" view="normal" topLeftCell="L1" colorId="64" zoomScale="100" zoomScaleNormal="100" zoomScalePageLayoutView="100" workbookViewId="0">
      <pane xSplit="4650" ySplit="1110" topLeftCell="M1" activePane="bottomRight" state="split"/>
      <selection pane="topLeft" activeCell="L1" activeCellId="0" sqref="L1"/>
      <selection pane="topRight" activeCell="M1" activeCellId="0" sqref="M1"/>
      <selection pane="bottomLeft" activeCell="L1" activeCellId="0" sqref="L1"/>
      <selection pane="bottomRight" activeCell="Z9" activeCellId="0" sqref="Z9"/>
    </sheetView>
  </sheetViews>
  <sheetFormatPr defaultColWidth="7.65234375" defaultRowHeight="12" customHeight="true" zeroHeight="false" outlineLevelRow="0" outlineLevelCol="0"/>
  <cols>
    <col collapsed="false" customWidth="true" hidden="false" outlineLevel="0" max="1" min="1" style="123" width="8.65"/>
    <col collapsed="false" customWidth="true" hidden="false" outlineLevel="0" max="2" min="2" style="124" width="24.99"/>
    <col collapsed="false" customWidth="true" hidden="true" outlineLevel="0" max="3" min="3" style="124" width="5.99"/>
    <col collapsed="false" customWidth="true" hidden="true" outlineLevel="0" max="4" min="4" style="124" width="5.65"/>
    <col collapsed="false" customWidth="false" hidden="true" outlineLevel="0" max="11" min="5" style="124" width="7.65"/>
    <col collapsed="false" customWidth="true" hidden="false" outlineLevel="0" max="12" min="12" style="124" width="11.65"/>
    <col collapsed="false" customWidth="true" hidden="false" outlineLevel="0" max="14" min="13" style="124" width="9.99"/>
    <col collapsed="false" customWidth="true" hidden="false" outlineLevel="0" max="15" min="15" style="124" width="1.15"/>
    <col collapsed="false" customWidth="true" hidden="false" outlineLevel="0" max="16" min="16" style="124" width="11.99"/>
    <col collapsed="false" customWidth="true" hidden="false" outlineLevel="0" max="17" min="17" style="124" width="10.99"/>
    <col collapsed="false" customWidth="true" hidden="false" outlineLevel="0" max="18" min="18" style="124" width="12.65"/>
    <col collapsed="false" customWidth="true" hidden="false" outlineLevel="0" max="19" min="19" style="124" width="1.15"/>
    <col collapsed="false" customWidth="true" hidden="false" outlineLevel="0" max="20" min="20" style="124" width="13.65"/>
    <col collapsed="false" customWidth="true" hidden="false" outlineLevel="0" max="22" min="21" style="124" width="11.65"/>
    <col collapsed="false" customWidth="true" hidden="false" outlineLevel="0" max="23" min="23" style="124" width="1.15"/>
    <col collapsed="false" customWidth="true" hidden="false" outlineLevel="0" max="26" min="24" style="124" width="11.65"/>
    <col collapsed="false" customWidth="true" hidden="false" outlineLevel="0" max="27" min="27" style="124" width="1.15"/>
    <col collapsed="false" customWidth="true" hidden="false" outlineLevel="0" max="28" min="28" style="124" width="11.99"/>
    <col collapsed="false" customWidth="true" hidden="false" outlineLevel="0" max="29" min="29" style="124" width="8.65"/>
    <col collapsed="false" customWidth="false" hidden="false" outlineLevel="0" max="30" min="30" style="124" width="7.65"/>
    <col collapsed="false" customWidth="true" hidden="false" outlineLevel="0" max="31" min="31" style="124" width="1.15"/>
    <col collapsed="false" customWidth="true" hidden="false" outlineLevel="0" max="32" min="32" style="124" width="11.65"/>
    <col collapsed="false" customWidth="true" hidden="false" outlineLevel="0" max="33" min="33" style="124" width="3.65"/>
    <col collapsed="false" customWidth="true" hidden="false" outlineLevel="0" max="34" min="34" style="124" width="23.99"/>
    <col collapsed="false" customWidth="true" hidden="false" outlineLevel="0" max="35" min="35" style="124" width="7.82"/>
    <col collapsed="false" customWidth="true" hidden="false" outlineLevel="0" max="36" min="36" style="124" width="13.82"/>
    <col collapsed="false" customWidth="true" hidden="false" outlineLevel="0" max="38" min="37" style="124" width="9.65"/>
    <col collapsed="false" customWidth="false" hidden="false" outlineLevel="0" max="39" min="39" style="124" width="7.65"/>
    <col collapsed="false" customWidth="true" hidden="false" outlineLevel="0" max="40" min="40" style="124" width="11.65"/>
    <col collapsed="false" customWidth="true" hidden="false" outlineLevel="0" max="41" min="41" style="124" width="18.99"/>
    <col collapsed="false" customWidth="true" hidden="false" outlineLevel="0" max="42" min="42" style="124" width="16.49"/>
    <col collapsed="false" customWidth="true" hidden="false" outlineLevel="0" max="43" min="43" style="124" width="19.99"/>
    <col collapsed="false" customWidth="false" hidden="false" outlineLevel="0" max="257" min="44" style="124" width="7.65"/>
  </cols>
  <sheetData>
    <row r="1" customFormat="false" ht="12" hidden="false" customHeight="false" outlineLevel="0" collapsed="false">
      <c r="B1" s="124" t="s">
        <v>129</v>
      </c>
      <c r="P1" s="419" t="n">
        <v>1.125</v>
      </c>
    </row>
    <row r="2" customFormat="false" ht="12" hidden="false" customHeight="false" outlineLevel="0" collapsed="false">
      <c r="B2" s="124" t="s">
        <v>134</v>
      </c>
      <c r="L2" s="420" t="n">
        <v>14</v>
      </c>
      <c r="P2" s="124" t="s">
        <v>130</v>
      </c>
      <c r="Q2" s="124" t="n">
        <v>133</v>
      </c>
    </row>
    <row r="3" customFormat="false" ht="12.75" hidden="false" customHeight="false" outlineLevel="0" collapsed="false">
      <c r="A3" s="123" t="s">
        <v>139</v>
      </c>
      <c r="B3" s="124" t="s">
        <v>140</v>
      </c>
      <c r="L3" s="124" t="s">
        <v>141</v>
      </c>
    </row>
    <row r="4" customFormat="false" ht="12.75" hidden="false" customHeight="false" outlineLevel="0" collapsed="false">
      <c r="B4" s="421" t="s">
        <v>454</v>
      </c>
      <c r="C4" s="422"/>
      <c r="D4" s="422"/>
      <c r="E4" s="422"/>
      <c r="F4" s="422"/>
      <c r="G4" s="422"/>
      <c r="H4" s="422"/>
      <c r="I4" s="422"/>
      <c r="J4" s="422"/>
      <c r="K4" s="422"/>
      <c r="L4" s="422"/>
      <c r="M4" s="422"/>
      <c r="N4" s="423"/>
    </row>
    <row r="5" customFormat="false" ht="12" hidden="false" customHeight="false" outlineLevel="0" collapsed="false">
      <c r="E5" s="424" t="s">
        <v>455</v>
      </c>
      <c r="F5" s="424" t="s">
        <v>456</v>
      </c>
      <c r="G5" s="424" t="s">
        <v>457</v>
      </c>
      <c r="H5" s="424" t="s">
        <v>458</v>
      </c>
      <c r="I5" s="424" t="s">
        <v>459</v>
      </c>
      <c r="J5" s="424" t="s">
        <v>460</v>
      </c>
      <c r="K5" s="424" t="s">
        <v>461</v>
      </c>
      <c r="P5" s="425" t="s">
        <v>462</v>
      </c>
      <c r="Q5" s="425"/>
      <c r="R5" s="425"/>
      <c r="T5" s="425" t="s">
        <v>463</v>
      </c>
      <c r="U5" s="425"/>
      <c r="V5" s="425"/>
      <c r="W5" s="426"/>
      <c r="X5" s="425" t="s">
        <v>464</v>
      </c>
      <c r="Y5" s="425"/>
      <c r="Z5" s="425"/>
      <c r="AA5" s="426"/>
      <c r="AB5" s="425" t="s">
        <v>465</v>
      </c>
      <c r="AC5" s="425"/>
      <c r="AD5" s="425"/>
      <c r="AE5" s="426"/>
      <c r="AF5" s="426"/>
    </row>
    <row r="6" customFormat="false" ht="22.9" hidden="false" customHeight="true" outlineLevel="0" collapsed="false">
      <c r="B6" s="427" t="s">
        <v>149</v>
      </c>
      <c r="C6" s="428" t="s">
        <v>466</v>
      </c>
      <c r="D6" s="429" t="s">
        <v>467</v>
      </c>
      <c r="E6" s="424" t="s">
        <v>468</v>
      </c>
      <c r="F6" s="424" t="s">
        <v>469</v>
      </c>
      <c r="G6" s="424" t="s">
        <v>470</v>
      </c>
      <c r="H6" s="424" t="s">
        <v>471</v>
      </c>
      <c r="I6" s="424" t="s">
        <v>472</v>
      </c>
      <c r="J6" s="424" t="s">
        <v>473</v>
      </c>
      <c r="K6" s="424" t="s">
        <v>474</v>
      </c>
      <c r="L6" s="430" t="s">
        <v>150</v>
      </c>
      <c r="M6" s="430" t="s">
        <v>51</v>
      </c>
      <c r="N6" s="430" t="s">
        <v>6</v>
      </c>
      <c r="O6" s="430"/>
      <c r="P6" s="430" t="s">
        <v>150</v>
      </c>
      <c r="Q6" s="430" t="s">
        <v>51</v>
      </c>
      <c r="R6" s="430" t="s">
        <v>6</v>
      </c>
      <c r="T6" s="430" t="s">
        <v>150</v>
      </c>
      <c r="U6" s="430" t="s">
        <v>51</v>
      </c>
      <c r="V6" s="430" t="s">
        <v>6</v>
      </c>
      <c r="W6" s="430"/>
      <c r="X6" s="430" t="s">
        <v>150</v>
      </c>
      <c r="Y6" s="430" t="s">
        <v>51</v>
      </c>
      <c r="Z6" s="430" t="s">
        <v>6</v>
      </c>
      <c r="AA6" s="430"/>
      <c r="AB6" s="430" t="s">
        <v>150</v>
      </c>
      <c r="AC6" s="430" t="s">
        <v>51</v>
      </c>
      <c r="AD6" s="430" t="s">
        <v>6</v>
      </c>
      <c r="AE6" s="430"/>
      <c r="AF6" s="431"/>
      <c r="AH6" s="432" t="s">
        <v>149</v>
      </c>
      <c r="AI6" s="430" t="s">
        <v>475</v>
      </c>
      <c r="AJ6" s="430" t="s">
        <v>476</v>
      </c>
      <c r="AK6" s="430" t="s">
        <v>51</v>
      </c>
      <c r="AL6" s="430" t="s">
        <v>477</v>
      </c>
    </row>
    <row r="7" customFormat="false" ht="22.9" hidden="false" customHeight="true" outlineLevel="0" collapsed="false">
      <c r="B7" s="427" t="s">
        <v>478</v>
      </c>
      <c r="C7" s="428"/>
      <c r="D7" s="429"/>
      <c r="E7" s="424"/>
      <c r="F7" s="424"/>
      <c r="G7" s="424"/>
      <c r="H7" s="424"/>
      <c r="I7" s="424"/>
      <c r="J7" s="424"/>
      <c r="K7" s="424"/>
      <c r="L7" s="433" t="n">
        <f aca="false">TRUnits</f>
        <v>14</v>
      </c>
      <c r="M7" s="430"/>
      <c r="N7" s="430"/>
      <c r="O7" s="430"/>
      <c r="P7" s="433" t="n">
        <v>1</v>
      </c>
      <c r="Q7" s="430"/>
      <c r="R7" s="430"/>
      <c r="T7" s="433" t="n">
        <v>72</v>
      </c>
      <c r="U7" s="430"/>
      <c r="V7" s="430"/>
      <c r="W7" s="430"/>
      <c r="X7" s="433" t="n">
        <v>61</v>
      </c>
      <c r="Y7" s="430"/>
      <c r="Z7" s="430"/>
      <c r="AA7" s="430"/>
      <c r="AB7" s="433" t="n">
        <f aca="false">ROUND(X7+T7,0)</f>
        <v>133</v>
      </c>
      <c r="AC7" s="430"/>
      <c r="AD7" s="430"/>
      <c r="AE7" s="430"/>
      <c r="AF7" s="431"/>
      <c r="AH7" s="432"/>
      <c r="AI7" s="430"/>
      <c r="AJ7" s="430"/>
      <c r="AK7" s="433" t="n">
        <f aca="false">+AB7</f>
        <v>133</v>
      </c>
      <c r="AL7" s="434" t="n">
        <f aca="false">AB7*AC8</f>
        <v>159467</v>
      </c>
    </row>
    <row r="8" customFormat="false" ht="22.9" hidden="false" customHeight="true" outlineLevel="0" collapsed="false">
      <c r="B8" s="427" t="s">
        <v>160</v>
      </c>
      <c r="C8" s="428"/>
      <c r="D8" s="429"/>
      <c r="E8" s="424"/>
      <c r="F8" s="424"/>
      <c r="G8" s="424"/>
      <c r="H8" s="424"/>
      <c r="I8" s="424"/>
      <c r="J8" s="424"/>
      <c r="K8" s="424"/>
      <c r="L8" s="433"/>
      <c r="M8" s="430"/>
      <c r="N8" s="430"/>
      <c r="O8" s="430"/>
      <c r="P8" s="433"/>
      <c r="Q8" s="433" t="n">
        <v>1198</v>
      </c>
      <c r="R8" s="433" t="n">
        <f aca="false">+Q8+280+67</f>
        <v>1545</v>
      </c>
      <c r="T8" s="433"/>
      <c r="U8" s="433" t="n">
        <v>1107</v>
      </c>
      <c r="V8" s="433" t="n">
        <f aca="false">+U8</f>
        <v>1107</v>
      </c>
      <c r="W8" s="430"/>
      <c r="X8" s="433"/>
      <c r="Y8" s="433" t="n">
        <v>1287</v>
      </c>
      <c r="Z8" s="433" t="n">
        <f aca="false">+Y8+295+13</f>
        <v>1595</v>
      </c>
      <c r="AA8" s="430"/>
      <c r="AB8" s="430"/>
      <c r="AC8" s="433" t="n">
        <f aca="false">ROUND((Y8*$X7+U8*$T7+Q8*$P7)/$AB$7,0)</f>
        <v>1199</v>
      </c>
      <c r="AD8" s="433" t="n">
        <f aca="false">ROUND((Z8*$X7+V8*$T7+R8*$P7)/$AB$7,0)</f>
        <v>1342</v>
      </c>
      <c r="AE8" s="430"/>
      <c r="AF8" s="431"/>
      <c r="AH8" s="432"/>
      <c r="AI8" s="430"/>
      <c r="AJ8" s="430"/>
      <c r="AK8" s="430"/>
      <c r="AL8" s="430"/>
    </row>
    <row r="9" customFormat="false" ht="12" hidden="false" customHeight="false" outlineLevel="0" collapsed="false">
      <c r="A9" s="123" t="s">
        <v>165</v>
      </c>
      <c r="B9" s="124" t="s">
        <v>166</v>
      </c>
      <c r="C9" s="435"/>
      <c r="D9" s="436" t="n">
        <f aca="false">L9/$L$88</f>
        <v>0.0237164028413085</v>
      </c>
      <c r="E9" s="437" t="s">
        <v>479</v>
      </c>
      <c r="F9" s="437" t="s">
        <v>479</v>
      </c>
      <c r="G9" s="437" t="s">
        <v>479</v>
      </c>
      <c r="H9" s="437" t="s">
        <v>479</v>
      </c>
      <c r="I9" s="437" t="s">
        <v>479</v>
      </c>
      <c r="J9" s="437" t="s">
        <v>479</v>
      </c>
      <c r="K9" s="437" t="s">
        <v>479</v>
      </c>
      <c r="L9" s="438" t="n">
        <f aca="false">M9*TRUnits</f>
        <v>16673.3</v>
      </c>
      <c r="M9" s="438" t="n">
        <f aca="false">2381.9/2</f>
        <v>1190.95</v>
      </c>
      <c r="N9" s="439" t="n">
        <f aca="false">M9/1376</f>
        <v>0.865515988372093</v>
      </c>
      <c r="O9" s="439"/>
      <c r="P9" s="440" t="n">
        <f aca="false">Q9*P$7</f>
        <v>1166.49917332849</v>
      </c>
      <c r="Q9" s="440" t="n">
        <f aca="false">Q$8*$N9*CMF</f>
        <v>1166.49917332849</v>
      </c>
      <c r="R9" s="441" t="n">
        <f aca="false">+Q9/Q$8</f>
        <v>0.973705486918605</v>
      </c>
      <c r="S9" s="438"/>
      <c r="T9" s="440" t="n">
        <f aca="false">U9*T$7</f>
        <v>77608.2221293605</v>
      </c>
      <c r="U9" s="440" t="n">
        <f aca="false">U$8*$N9*CMF</f>
        <v>1077.8919740189</v>
      </c>
      <c r="V9" s="441" t="n">
        <f aca="false">+U9/U$8</f>
        <v>0.973705486918605</v>
      </c>
      <c r="W9" s="438"/>
      <c r="X9" s="440" t="n">
        <f aca="false">Y9*X$7</f>
        <v>76442.6966615189</v>
      </c>
      <c r="Y9" s="440" t="n">
        <f aca="false">Y$8*$N9*CMF</f>
        <v>1253.15896166424</v>
      </c>
      <c r="Z9" s="441" t="n">
        <f aca="false">+Y9/Y$8</f>
        <v>0.973705486918605</v>
      </c>
      <c r="AA9" s="438"/>
      <c r="AB9" s="440" t="n">
        <f aca="false">+X9+T9</f>
        <v>154050.918790879</v>
      </c>
      <c r="AC9" s="440" t="n">
        <f aca="false">AB9/AB$7</f>
        <v>1158.27758489383</v>
      </c>
      <c r="AD9" s="441" t="n">
        <f aca="false">+AC9/AC$8</f>
        <v>0.966036351037389</v>
      </c>
      <c r="AE9" s="438"/>
      <c r="AF9" s="442"/>
      <c r="AG9" s="443" t="s">
        <v>480</v>
      </c>
      <c r="AH9" s="124" t="s">
        <v>481</v>
      </c>
      <c r="AI9" s="436" t="n">
        <f aca="false">AJ9/$AJ$48</f>
        <v>0.0117034511869344</v>
      </c>
      <c r="AJ9" s="444" t="n">
        <f aca="false">+AB9</f>
        <v>154050.918790879</v>
      </c>
      <c r="AK9" s="444" t="n">
        <f aca="false">+AJ9/AK$7</f>
        <v>1158.27758489383</v>
      </c>
      <c r="AL9" s="441" t="n">
        <f aca="false">+AJ9/AL$7</f>
        <v>0.966036351037389</v>
      </c>
    </row>
    <row r="10" customFormat="false" ht="12" hidden="false" customHeight="false" outlineLevel="0" collapsed="false">
      <c r="A10" s="123" t="s">
        <v>168</v>
      </c>
      <c r="B10" s="124" t="s">
        <v>482</v>
      </c>
      <c r="C10" s="435"/>
      <c r="D10" s="436"/>
      <c r="E10" s="437"/>
      <c r="F10" s="437"/>
      <c r="G10" s="437"/>
      <c r="H10" s="437"/>
      <c r="I10" s="437"/>
      <c r="J10" s="437"/>
      <c r="K10" s="437"/>
      <c r="L10" s="438"/>
      <c r="M10" s="438"/>
      <c r="N10" s="439"/>
      <c r="O10" s="439"/>
      <c r="P10" s="445" t="n">
        <f aca="false">Q10*P$7</f>
        <v>969.263059701493</v>
      </c>
      <c r="Q10" s="445" t="n">
        <f aca="false">((68000+9450+28000+8000+2000)/134)*CMF</f>
        <v>969.263059701493</v>
      </c>
      <c r="R10" s="446" t="n">
        <f aca="false">+Q10/Q$8</f>
        <v>0.809067662522114</v>
      </c>
      <c r="S10" s="438"/>
      <c r="T10" s="445" t="n">
        <f aca="false">U10*T$7</f>
        <v>69786.9402985075</v>
      </c>
      <c r="U10" s="445" t="n">
        <f aca="false">((68000+9450+28000+8000+2000)/134)*CMF</f>
        <v>969.263059701493</v>
      </c>
      <c r="V10" s="446" t="n">
        <f aca="false">+U10/U$8</f>
        <v>0.875576386360878</v>
      </c>
      <c r="W10" s="438"/>
      <c r="X10" s="445" t="n">
        <f aca="false">Y10*X$7</f>
        <v>59125.046641791</v>
      </c>
      <c r="Y10" s="445" t="n">
        <f aca="false">((68000+9450+28000+8000+2000)/134)*CMF</f>
        <v>969.263059701493</v>
      </c>
      <c r="Z10" s="446" t="n">
        <f aca="false">+Y10/Y$8</f>
        <v>0.75311815050621</v>
      </c>
      <c r="AA10" s="438"/>
      <c r="AB10" s="445" t="n">
        <f aca="false">+X10+T10</f>
        <v>128911.986940298</v>
      </c>
      <c r="AC10" s="447" t="n">
        <f aca="false">+AB10/AB$7</f>
        <v>969.263059701493</v>
      </c>
      <c r="AD10" s="446" t="n">
        <f aca="false">+AC10/AC$8</f>
        <v>0.808392877148868</v>
      </c>
      <c r="AE10" s="438"/>
      <c r="AF10" s="442"/>
      <c r="AG10" s="443" t="s">
        <v>483</v>
      </c>
      <c r="AH10" s="124" t="s">
        <v>484</v>
      </c>
      <c r="AI10" s="436" t="n">
        <f aca="false">AJ10/$AJ$48</f>
        <v>0.00979361342605526</v>
      </c>
      <c r="AJ10" s="444" t="n">
        <f aca="false">+AB10</f>
        <v>128911.986940298</v>
      </c>
      <c r="AK10" s="444" t="n">
        <f aca="false">+AJ10/AK$7</f>
        <v>969.263059701493</v>
      </c>
      <c r="AL10" s="439" t="n">
        <f aca="false">+AJ10/AL$7</f>
        <v>0.808392877148868</v>
      </c>
    </row>
    <row r="11" customFormat="false" ht="12" hidden="false" customHeight="false" outlineLevel="0" collapsed="false">
      <c r="A11" s="123" t="s">
        <v>171</v>
      </c>
      <c r="B11" s="124" t="s">
        <v>172</v>
      </c>
      <c r="C11" s="435"/>
      <c r="D11" s="436" t="n">
        <f aca="false">L11/$L$88</f>
        <v>0.00261867162654357</v>
      </c>
      <c r="E11" s="437" t="s">
        <v>479</v>
      </c>
      <c r="F11" s="437" t="s">
        <v>479</v>
      </c>
      <c r="G11" s="437" t="s">
        <v>479</v>
      </c>
      <c r="H11" s="437" t="s">
        <v>479</v>
      </c>
      <c r="I11" s="437" t="s">
        <v>479</v>
      </c>
      <c r="J11" s="437" t="s">
        <v>479</v>
      </c>
      <c r="K11" s="437" t="s">
        <v>479</v>
      </c>
      <c r="L11" s="438" t="n">
        <f aca="false">M11*TRUnits</f>
        <v>1841</v>
      </c>
      <c r="M11" s="438" t="n">
        <f aca="false">263/2</f>
        <v>131.5</v>
      </c>
      <c r="N11" s="439" t="n">
        <f aca="false">M11/1376</f>
        <v>0.0955668604651163</v>
      </c>
      <c r="O11" s="439"/>
      <c r="P11" s="445" t="n">
        <f aca="false">Q11*P$7</f>
        <v>128.80023619186</v>
      </c>
      <c r="Q11" s="445" t="n">
        <f aca="false">Q$8*$N11*CMF</f>
        <v>128.80023619186</v>
      </c>
      <c r="R11" s="446" t="n">
        <f aca="false">+Q11/Q$8</f>
        <v>0.107512718023256</v>
      </c>
      <c r="S11" s="438"/>
      <c r="T11" s="445" t="n">
        <f aca="false">U11*T$7</f>
        <v>8569.19367732558</v>
      </c>
      <c r="U11" s="445" t="n">
        <f aca="false">U$8*$N11*CMF</f>
        <v>119.016578851744</v>
      </c>
      <c r="V11" s="446" t="n">
        <f aca="false">+U11/U$8</f>
        <v>0.107512718023256</v>
      </c>
      <c r="W11" s="438"/>
      <c r="X11" s="445" t="n">
        <f aca="false">Y11*X$7</f>
        <v>8440.50095385174</v>
      </c>
      <c r="Y11" s="445" t="n">
        <f aca="false">Y$8*$N11*CMF</f>
        <v>138.36886809593</v>
      </c>
      <c r="Z11" s="446" t="n">
        <f aca="false">+Y11/Y$8</f>
        <v>0.107512718023256</v>
      </c>
      <c r="AA11" s="438"/>
      <c r="AB11" s="445" t="n">
        <f aca="false">+X11+T11</f>
        <v>17009.6946311773</v>
      </c>
      <c r="AC11" s="447" t="n">
        <f aca="false">+AB11/AB$7</f>
        <v>127.89244083592</v>
      </c>
      <c r="AD11" s="446" t="n">
        <f aca="false">+AC11/AC$8</f>
        <v>0.106665922298515</v>
      </c>
      <c r="AE11" s="438"/>
      <c r="AF11" s="442"/>
      <c r="AG11" s="443" t="s">
        <v>485</v>
      </c>
      <c r="AH11" s="124" t="s">
        <v>486</v>
      </c>
      <c r="AI11" s="436" t="n">
        <f aca="false">AJ11/$AJ$48</f>
        <v>0</v>
      </c>
      <c r="AJ11" s="444" t="n">
        <v>0</v>
      </c>
      <c r="AK11" s="444" t="n">
        <f aca="false">+AJ11/AK$7</f>
        <v>0</v>
      </c>
      <c r="AL11" s="439" t="n">
        <f aca="false">+AJ11/AL$7</f>
        <v>0</v>
      </c>
    </row>
    <row r="12" customFormat="false" ht="12" hidden="false" customHeight="false" outlineLevel="0" collapsed="false">
      <c r="A12" s="123" t="s">
        <v>174</v>
      </c>
      <c r="B12" s="124" t="s">
        <v>175</v>
      </c>
      <c r="C12" s="435"/>
      <c r="D12" s="436" t="n">
        <f aca="false">L12/$L$88</f>
        <v>0.00174246210891683</v>
      </c>
      <c r="E12" s="437"/>
      <c r="F12" s="437"/>
      <c r="G12" s="437"/>
      <c r="H12" s="437"/>
      <c r="I12" s="437"/>
      <c r="J12" s="437"/>
      <c r="K12" s="437"/>
      <c r="L12" s="438" t="n">
        <f aca="false">M12*TRUnits</f>
        <v>1225</v>
      </c>
      <c r="M12" s="438" t="n">
        <f aca="false">175/2</f>
        <v>87.5</v>
      </c>
      <c r="N12" s="439" t="n">
        <f aca="false">M12/1376</f>
        <v>0.0635901162790698</v>
      </c>
      <c r="O12" s="439"/>
      <c r="P12" s="445" t="n">
        <f aca="false">Q12*P$7</f>
        <v>98.4375</v>
      </c>
      <c r="Q12" s="445" t="n">
        <f aca="false">+$M12*CMF</f>
        <v>98.4375</v>
      </c>
      <c r="R12" s="446" t="n">
        <f aca="false">+Q12/Q$8</f>
        <v>0.0821681969949917</v>
      </c>
      <c r="S12" s="438"/>
      <c r="T12" s="445" t="n">
        <f aca="false">U12*T$7</f>
        <v>7087.5</v>
      </c>
      <c r="U12" s="445" t="n">
        <f aca="false">+$M12*CMF</f>
        <v>98.4375</v>
      </c>
      <c r="V12" s="446" t="n">
        <f aca="false">+U12/U$8</f>
        <v>0.0889227642276423</v>
      </c>
      <c r="W12" s="438"/>
      <c r="X12" s="445" t="n">
        <f aca="false">Y12*X$7</f>
        <v>6004.6875</v>
      </c>
      <c r="Y12" s="445" t="n">
        <f aca="false">+$M12*CMF</f>
        <v>98.4375</v>
      </c>
      <c r="Z12" s="446" t="n">
        <f aca="false">+Y12/Y$8</f>
        <v>0.076486013986014</v>
      </c>
      <c r="AA12" s="438"/>
      <c r="AB12" s="445" t="n">
        <f aca="false">+X12+T12</f>
        <v>13092.1875</v>
      </c>
      <c r="AC12" s="447" t="n">
        <f aca="false">+AB12/AB$7</f>
        <v>98.4375</v>
      </c>
      <c r="AD12" s="446" t="n">
        <f aca="false">+AC12/AC$8</f>
        <v>0.0820996663886572</v>
      </c>
      <c r="AE12" s="438"/>
      <c r="AF12" s="442"/>
      <c r="AG12" s="443" t="s">
        <v>487</v>
      </c>
      <c r="AH12" s="124" t="s">
        <v>488</v>
      </c>
      <c r="AI12" s="436" t="n">
        <f aca="false">AJ12/$AJ$48</f>
        <v>0.0157898642824541</v>
      </c>
      <c r="AJ12" s="444" t="n">
        <f aca="false">AB12+AB13</f>
        <v>207839.8125</v>
      </c>
      <c r="AK12" s="444" t="n">
        <f aca="false">+AJ12/AK$7</f>
        <v>1562.70535714286</v>
      </c>
      <c r="AL12" s="439" t="n">
        <f aca="false">+AJ12/AL$7</f>
        <v>1.30334058143691</v>
      </c>
    </row>
    <row r="13" customFormat="false" ht="12" hidden="false" customHeight="false" outlineLevel="0" collapsed="false">
      <c r="A13" s="123" t="s">
        <v>174</v>
      </c>
      <c r="B13" s="124" t="s">
        <v>177</v>
      </c>
      <c r="C13" s="435"/>
      <c r="D13" s="436" t="n">
        <f aca="false">L13/$L$88</f>
        <v>0.0259193016723938</v>
      </c>
      <c r="E13" s="437" t="s">
        <v>479</v>
      </c>
      <c r="F13" s="437" t="s">
        <v>479</v>
      </c>
      <c r="G13" s="437" t="s">
        <v>479</v>
      </c>
      <c r="H13" s="437" t="s">
        <v>479</v>
      </c>
      <c r="I13" s="437" t="s">
        <v>479</v>
      </c>
      <c r="J13" s="437" t="s">
        <v>479</v>
      </c>
      <c r="K13" s="437" t="s">
        <v>479</v>
      </c>
      <c r="L13" s="438" t="n">
        <f aca="false">M13*TRUnits</f>
        <v>18222</v>
      </c>
      <c r="M13" s="438" t="n">
        <f aca="false">(6797+11425)/14</f>
        <v>1301.57142857143</v>
      </c>
      <c r="N13" s="439" t="n">
        <f aca="false">M13/1376</f>
        <v>0.945909468438538</v>
      </c>
      <c r="O13" s="439"/>
      <c r="P13" s="445" t="n">
        <f aca="false">Q13*P$7</f>
        <v>1464.26785714286</v>
      </c>
      <c r="Q13" s="445" t="n">
        <f aca="false">+$M13*CMF</f>
        <v>1464.26785714286</v>
      </c>
      <c r="R13" s="446" t="n">
        <f aca="false">+Q13/Q$8</f>
        <v>1.2222603148104</v>
      </c>
      <c r="S13" s="438"/>
      <c r="T13" s="445" t="n">
        <f aca="false">U13*T$7</f>
        <v>105427.285714286</v>
      </c>
      <c r="U13" s="445" t="n">
        <f aca="false">+$M13*CMF</f>
        <v>1464.26785714286</v>
      </c>
      <c r="V13" s="446" t="n">
        <f aca="false">+U13/U$8</f>
        <v>1.32273519163763</v>
      </c>
      <c r="W13" s="438"/>
      <c r="X13" s="445" t="n">
        <f aca="false">Y13*X$7</f>
        <v>89320.3392857143</v>
      </c>
      <c r="Y13" s="445" t="n">
        <f aca="false">+$M13*CMF</f>
        <v>1464.26785714286</v>
      </c>
      <c r="Z13" s="446" t="n">
        <f aca="false">+Y13/Y$8</f>
        <v>1.13773726273726</v>
      </c>
      <c r="AA13" s="438"/>
      <c r="AB13" s="445" t="n">
        <f aca="false">+X13+T13</f>
        <v>194747.625</v>
      </c>
      <c r="AC13" s="447" t="n">
        <f aca="false">+AB13/AB$7</f>
        <v>1464.26785714286</v>
      </c>
      <c r="AD13" s="446" t="n">
        <f aca="false">+AC13/AC$8</f>
        <v>1.22124091504825</v>
      </c>
      <c r="AE13" s="438"/>
      <c r="AF13" s="442"/>
      <c r="AG13" s="443" t="s">
        <v>489</v>
      </c>
      <c r="AH13" s="124" t="s">
        <v>490</v>
      </c>
      <c r="AI13" s="436" t="n">
        <f aca="false">AJ13/$AJ$48</f>
        <v>0.0969054508207382</v>
      </c>
      <c r="AJ13" s="444" t="n">
        <f aca="false">+AB15</f>
        <v>1275553.125</v>
      </c>
      <c r="AK13" s="444" t="n">
        <f aca="false">+AJ13/AK$7</f>
        <v>9590.625</v>
      </c>
      <c r="AL13" s="439" t="n">
        <f aca="false">+AJ13/AL$7</f>
        <v>7.99885321100917</v>
      </c>
    </row>
    <row r="14" customFormat="false" ht="12" hidden="false" customHeight="false" outlineLevel="0" collapsed="false">
      <c r="B14" s="427" t="s">
        <v>178</v>
      </c>
      <c r="C14" s="435"/>
      <c r="E14" s="437"/>
      <c r="F14" s="437"/>
      <c r="G14" s="437"/>
      <c r="H14" s="437"/>
      <c r="I14" s="437"/>
      <c r="J14" s="437"/>
      <c r="K14" s="437"/>
      <c r="L14" s="438"/>
      <c r="M14" s="438"/>
      <c r="N14" s="439"/>
      <c r="O14" s="439"/>
      <c r="P14" s="445"/>
      <c r="Q14" s="445"/>
      <c r="R14" s="446"/>
      <c r="S14" s="438"/>
      <c r="T14" s="445"/>
      <c r="U14" s="445"/>
      <c r="V14" s="446"/>
      <c r="W14" s="438"/>
      <c r="X14" s="445"/>
      <c r="Y14" s="445"/>
      <c r="Z14" s="446"/>
      <c r="AA14" s="438"/>
      <c r="AB14" s="445"/>
      <c r="AC14" s="447"/>
      <c r="AD14" s="446"/>
      <c r="AE14" s="438"/>
      <c r="AF14" s="442"/>
      <c r="AG14" s="443" t="s">
        <v>491</v>
      </c>
      <c r="AH14" s="124" t="s">
        <v>492</v>
      </c>
      <c r="AI14" s="436" t="n">
        <f aca="false">AJ14/$AJ$48</f>
        <v>0.0495324819979764</v>
      </c>
      <c r="AJ14" s="444" t="n">
        <f aca="false">+AB19+AB20</f>
        <v>651989.25</v>
      </c>
      <c r="AK14" s="444" t="n">
        <f aca="false">+AJ14/AK$7</f>
        <v>4902.17481203008</v>
      </c>
      <c r="AL14" s="439" t="n">
        <f aca="false">+AJ14/AL$7</f>
        <v>4.08855280402842</v>
      </c>
    </row>
    <row r="15" customFormat="false" ht="12" hidden="false" customHeight="false" outlineLevel="0" collapsed="false">
      <c r="A15" s="123" t="s">
        <v>179</v>
      </c>
      <c r="B15" s="124" t="s">
        <v>180</v>
      </c>
      <c r="C15" s="435"/>
      <c r="D15" s="436" t="n">
        <f aca="false">L15/$L$88</f>
        <v>0.0028875086376336</v>
      </c>
      <c r="E15" s="437" t="s">
        <v>479</v>
      </c>
      <c r="F15" s="437" t="s">
        <v>479</v>
      </c>
      <c r="G15" s="437" t="s">
        <v>479</v>
      </c>
      <c r="H15" s="437" t="s">
        <v>479</v>
      </c>
      <c r="I15" s="437" t="s">
        <v>479</v>
      </c>
      <c r="J15" s="437" t="s">
        <v>479</v>
      </c>
      <c r="K15" s="437" t="s">
        <v>479</v>
      </c>
      <c r="L15" s="438" t="n">
        <f aca="false">M15*TRUnits</f>
        <v>2030</v>
      </c>
      <c r="M15" s="438" t="n">
        <f aca="false">290/2</f>
        <v>145</v>
      </c>
      <c r="N15" s="439" t="n">
        <f aca="false">M15/1376</f>
        <v>0.105377906976744</v>
      </c>
      <c r="O15" s="439"/>
      <c r="P15" s="445" t="n">
        <f aca="false">Q15*P$7</f>
        <v>9559.6875</v>
      </c>
      <c r="Q15" s="445" t="n">
        <f aca="false">5.5*R8*CMF</f>
        <v>9559.6875</v>
      </c>
      <c r="R15" s="446" t="n">
        <f aca="false">+Q15/Q$8</f>
        <v>7.97970575959933</v>
      </c>
      <c r="S15" s="438"/>
      <c r="T15" s="445" t="n">
        <f aca="false">U15*T$7</f>
        <v>690525</v>
      </c>
      <c r="U15" s="445" t="n">
        <f aca="false">5.5*1550*CMF</f>
        <v>9590.625</v>
      </c>
      <c r="V15" s="446" t="n">
        <f aca="false">+U15/U$8</f>
        <v>8.66361788617886</v>
      </c>
      <c r="W15" s="438"/>
      <c r="X15" s="445" t="n">
        <f aca="false">Y15*X$7</f>
        <v>585028.125</v>
      </c>
      <c r="Y15" s="445" t="n">
        <f aca="false">5.5*1550*CMF</f>
        <v>9590.625</v>
      </c>
      <c r="Z15" s="446" t="n">
        <f aca="false">+Y15/Y$8</f>
        <v>7.45192307692308</v>
      </c>
      <c r="AA15" s="438"/>
      <c r="AB15" s="445" t="n">
        <f aca="false">+X15+T15</f>
        <v>1275553.125</v>
      </c>
      <c r="AC15" s="447" t="n">
        <f aca="false">+AB15/AB$7</f>
        <v>9590.625</v>
      </c>
      <c r="AD15" s="446" t="n">
        <f aca="false">+AC15/AC$8</f>
        <v>7.99885321100917</v>
      </c>
      <c r="AE15" s="438"/>
      <c r="AF15" s="442"/>
      <c r="AG15" s="443" t="s">
        <v>493</v>
      </c>
      <c r="AH15" s="124" t="s">
        <v>494</v>
      </c>
      <c r="AI15" s="436" t="n">
        <f aca="false">AJ15/$AJ$48</f>
        <v>0.16274097863682</v>
      </c>
      <c r="AJ15" s="444" t="n">
        <f aca="false">SUM(AB23:AB25)+SUM(AB28:AB32)+AB35</f>
        <v>2142137.12549315</v>
      </c>
      <c r="AK15" s="444" t="n">
        <f aca="false">+AJ15/AK$7</f>
        <v>16106.2941766402</v>
      </c>
      <c r="AL15" s="439" t="n">
        <f aca="false">+AJ15/AL$7</f>
        <v>13.4331060689243</v>
      </c>
    </row>
    <row r="16" customFormat="false" ht="12" hidden="false" customHeight="false" outlineLevel="0" collapsed="false">
      <c r="A16" s="123" t="s">
        <v>179</v>
      </c>
      <c r="B16" s="124" t="s">
        <v>189</v>
      </c>
      <c r="C16" s="435"/>
      <c r="D16" s="436" t="n">
        <f aca="false">L16/$L$88</f>
        <v>0.025937793107019</v>
      </c>
      <c r="E16" s="437" t="s">
        <v>479</v>
      </c>
      <c r="F16" s="437" t="s">
        <v>479</v>
      </c>
      <c r="G16" s="437" t="s">
        <v>479</v>
      </c>
      <c r="H16" s="437" t="s">
        <v>479</v>
      </c>
      <c r="I16" s="437" t="s">
        <v>479</v>
      </c>
      <c r="J16" s="437" t="s">
        <v>479</v>
      </c>
      <c r="K16" s="437" t="s">
        <v>479</v>
      </c>
      <c r="L16" s="438" t="n">
        <f aca="false">M16*TRUnits</f>
        <v>18235</v>
      </c>
      <c r="M16" s="438" t="n">
        <f aca="false">2605/2</f>
        <v>1302.5</v>
      </c>
      <c r="N16" s="439" t="n">
        <f aca="false">M16/1376</f>
        <v>0.946584302325581</v>
      </c>
      <c r="O16" s="439"/>
      <c r="P16" s="445"/>
      <c r="Q16" s="445"/>
      <c r="R16" s="446" t="n">
        <f aca="false">+Q16/Q$8</f>
        <v>0</v>
      </c>
      <c r="S16" s="438"/>
      <c r="T16" s="445"/>
      <c r="U16" s="445"/>
      <c r="V16" s="446" t="n">
        <f aca="false">+U16/U$8</f>
        <v>0</v>
      </c>
      <c r="W16" s="438"/>
      <c r="X16" s="445"/>
      <c r="Y16" s="445"/>
      <c r="Z16" s="446" t="n">
        <f aca="false">+Y16/Y$8</f>
        <v>0</v>
      </c>
      <c r="AA16" s="438"/>
      <c r="AB16" s="445" t="n">
        <f aca="false">+X16+T16</f>
        <v>0</v>
      </c>
      <c r="AC16" s="447" t="n">
        <f aca="false">+AB16/AB$7</f>
        <v>0</v>
      </c>
      <c r="AD16" s="446" t="n">
        <f aca="false">+AC16/AC$8</f>
        <v>0</v>
      </c>
      <c r="AE16" s="438"/>
      <c r="AF16" s="442"/>
      <c r="AG16" s="443" t="s">
        <v>495</v>
      </c>
      <c r="AH16" s="124" t="s">
        <v>496</v>
      </c>
      <c r="AI16" s="436" t="n">
        <f aca="false">AJ16/$AJ$48</f>
        <v>0.00807819341888192</v>
      </c>
      <c r="AJ16" s="444" t="n">
        <f aca="false">AB40+AB41</f>
        <v>106332.14925</v>
      </c>
      <c r="AK16" s="444" t="n">
        <f aca="false">+AJ16/AK$7</f>
        <v>799.489843984962</v>
      </c>
      <c r="AL16" s="439" t="n">
        <f aca="false">+AJ16/AL$7</f>
        <v>0.666797200988292</v>
      </c>
    </row>
    <row r="17" customFormat="false" ht="12" hidden="false" customHeight="false" outlineLevel="0" collapsed="false">
      <c r="A17" s="123" t="s">
        <v>179</v>
      </c>
      <c r="B17" s="124" t="s">
        <v>190</v>
      </c>
      <c r="C17" s="435"/>
      <c r="D17" s="436" t="n">
        <f aca="false">L17/$L$88</f>
        <v>0.0749557414624335</v>
      </c>
      <c r="E17" s="437" t="s">
        <v>479</v>
      </c>
      <c r="F17" s="437" t="s">
        <v>479</v>
      </c>
      <c r="G17" s="437" t="s">
        <v>479</v>
      </c>
      <c r="H17" s="437" t="s">
        <v>479</v>
      </c>
      <c r="I17" s="437" t="s">
        <v>479</v>
      </c>
      <c r="J17" s="437" t="s">
        <v>479</v>
      </c>
      <c r="K17" s="437" t="s">
        <v>479</v>
      </c>
      <c r="L17" s="438" t="n">
        <f aca="false">M17*TRUnits</f>
        <v>52696</v>
      </c>
      <c r="M17" s="438" t="n">
        <f aca="false">7528/2</f>
        <v>3764</v>
      </c>
      <c r="N17" s="439" t="n">
        <f aca="false">M17/1376</f>
        <v>2.73546511627907</v>
      </c>
      <c r="O17" s="439"/>
      <c r="P17" s="445"/>
      <c r="Q17" s="445"/>
      <c r="R17" s="446" t="n">
        <f aca="false">+Q17/Q$8</f>
        <v>0</v>
      </c>
      <c r="S17" s="438"/>
      <c r="T17" s="445"/>
      <c r="U17" s="445"/>
      <c r="V17" s="446" t="n">
        <f aca="false">+U17/U$8</f>
        <v>0</v>
      </c>
      <c r="W17" s="438"/>
      <c r="X17" s="445"/>
      <c r="Y17" s="445"/>
      <c r="Z17" s="446" t="n">
        <f aca="false">+Y17/Y$8</f>
        <v>0</v>
      </c>
      <c r="AA17" s="438"/>
      <c r="AB17" s="445" t="n">
        <f aca="false">+X17+T17</f>
        <v>0</v>
      </c>
      <c r="AC17" s="447" t="n">
        <f aca="false">+AB17/AB$7</f>
        <v>0</v>
      </c>
      <c r="AD17" s="446" t="n">
        <f aca="false">+AC17/AC$8</f>
        <v>0</v>
      </c>
      <c r="AE17" s="438"/>
      <c r="AF17" s="442"/>
      <c r="AG17" s="443" t="s">
        <v>497</v>
      </c>
      <c r="AH17" s="124" t="s">
        <v>498</v>
      </c>
      <c r="AI17" s="436" t="n">
        <f aca="false">AJ17/$AJ$48</f>
        <v>0.0166763983913914</v>
      </c>
      <c r="AJ17" s="444" t="n">
        <f aca="false">AB26+AB33</f>
        <v>219509.139080669</v>
      </c>
      <c r="AK17" s="444" t="n">
        <f aca="false">+AJ17/AK$7</f>
        <v>1650.44465474187</v>
      </c>
      <c r="AL17" s="439" t="n">
        <f aca="false">+AJ17/AL$7</f>
        <v>1.3765176436546</v>
      </c>
    </row>
    <row r="18" customFormat="false" ht="12" hidden="false" customHeight="false" outlineLevel="0" collapsed="false">
      <c r="B18" s="427" t="s">
        <v>191</v>
      </c>
      <c r="C18" s="435"/>
      <c r="E18" s="437"/>
      <c r="F18" s="437"/>
      <c r="G18" s="437"/>
      <c r="H18" s="437"/>
      <c r="I18" s="437"/>
      <c r="J18" s="437"/>
      <c r="K18" s="437"/>
      <c r="L18" s="438" t="n">
        <f aca="false">M18*TRUnits</f>
        <v>0</v>
      </c>
      <c r="M18" s="438"/>
      <c r="N18" s="439" t="n">
        <f aca="false">M18/1376</f>
        <v>0</v>
      </c>
      <c r="O18" s="439"/>
      <c r="P18" s="445"/>
      <c r="Q18" s="445"/>
      <c r="R18" s="446"/>
      <c r="S18" s="438"/>
      <c r="T18" s="445"/>
      <c r="U18" s="445"/>
      <c r="V18" s="446"/>
      <c r="W18" s="438"/>
      <c r="X18" s="445"/>
      <c r="Y18" s="445"/>
      <c r="Z18" s="446"/>
      <c r="AA18" s="438"/>
      <c r="AB18" s="445"/>
      <c r="AC18" s="447"/>
      <c r="AD18" s="446"/>
      <c r="AE18" s="438"/>
      <c r="AF18" s="442"/>
      <c r="AG18" s="443" t="s">
        <v>499</v>
      </c>
      <c r="AH18" s="124" t="s">
        <v>500</v>
      </c>
      <c r="AI18" s="436" t="n">
        <f aca="false">AJ18/$AJ$48</f>
        <v>0.00681605159786905</v>
      </c>
      <c r="AJ18" s="444" t="n">
        <f aca="false">+AB34</f>
        <v>89718.75</v>
      </c>
      <c r="AK18" s="444" t="n">
        <f aca="false">+AJ18/AK$7</f>
        <v>674.577067669173</v>
      </c>
      <c r="AL18" s="439" t="n">
        <f aca="false">+AJ18/AL$7</f>
        <v>0.562616403393806</v>
      </c>
    </row>
    <row r="19" customFormat="false" ht="12" hidden="false" customHeight="false" outlineLevel="0" collapsed="false">
      <c r="A19" s="123" t="s">
        <v>192</v>
      </c>
      <c r="B19" s="124" t="s">
        <v>193</v>
      </c>
      <c r="C19" s="435" t="n">
        <v>0.333</v>
      </c>
      <c r="D19" s="436" t="n">
        <f aca="false">L19/$L$88</f>
        <v>0.0454334548742142</v>
      </c>
      <c r="E19" s="437" t="s">
        <v>479</v>
      </c>
      <c r="F19" s="437" t="s">
        <v>479</v>
      </c>
      <c r="G19" s="437" t="s">
        <v>479</v>
      </c>
      <c r="H19" s="437" t="s">
        <v>479</v>
      </c>
      <c r="I19" s="437" t="s">
        <v>479</v>
      </c>
      <c r="J19" s="437" t="s">
        <v>479</v>
      </c>
      <c r="K19" s="437" t="s">
        <v>479</v>
      </c>
      <c r="L19" s="438" t="n">
        <f aca="false">M19*TRUnits</f>
        <v>31941</v>
      </c>
      <c r="M19" s="438" t="n">
        <f aca="false">4563/2</f>
        <v>2281.5</v>
      </c>
      <c r="N19" s="439" t="n">
        <f aca="false">M19/1376</f>
        <v>1.65806686046512</v>
      </c>
      <c r="O19" s="439"/>
      <c r="P19" s="445" t="n">
        <f aca="false">Q19*P$7</f>
        <v>2283.1875</v>
      </c>
      <c r="Q19" s="445" t="n">
        <f aca="false">(13500+300-1500)/2*0.33*CMF</f>
        <v>2283.1875</v>
      </c>
      <c r="R19" s="446" t="n">
        <f aca="false">+Q19/Q$8</f>
        <v>1.90583263772955</v>
      </c>
      <c r="S19" s="438"/>
      <c r="T19" s="445" t="n">
        <f aca="false">U19*T$7</f>
        <v>169735.5</v>
      </c>
      <c r="U19" s="445" t="n">
        <f aca="false">(13500+300-1100)/2*0.33*CMF</f>
        <v>2357.4375</v>
      </c>
      <c r="V19" s="446" t="n">
        <f aca="false">+U19/U$8</f>
        <v>2.12957317073171</v>
      </c>
      <c r="W19" s="438"/>
      <c r="X19" s="445" t="n">
        <f aca="false">Y19*X$7</f>
        <v>156259.125</v>
      </c>
      <c r="Y19" s="445" t="n">
        <f aca="false">(13500+300)/2*0.33*CMF</f>
        <v>2561.625</v>
      </c>
      <c r="Z19" s="446" t="n">
        <f aca="false">+Y19/Y$8</f>
        <v>1.99038461538462</v>
      </c>
      <c r="AA19" s="438"/>
      <c r="AB19" s="445" t="n">
        <f aca="false">+X19+T19</f>
        <v>325994.625</v>
      </c>
      <c r="AC19" s="447" t="n">
        <f aca="false">+AB19/AB$7</f>
        <v>2451.08740601504</v>
      </c>
      <c r="AD19" s="446" t="n">
        <f aca="false">+AC19/AC$8</f>
        <v>2.04427640201421</v>
      </c>
      <c r="AE19" s="438"/>
      <c r="AF19" s="442"/>
      <c r="AG19" s="443" t="s">
        <v>501</v>
      </c>
      <c r="AH19" s="124" t="s">
        <v>502</v>
      </c>
      <c r="AI19" s="436" t="n">
        <f aca="false">AJ19/$AJ$48</f>
        <v>0.0111781986860388</v>
      </c>
      <c r="AJ19" s="444" t="n">
        <f aca="false">+AB62</f>
        <v>147137.092341933</v>
      </c>
      <c r="AK19" s="444" t="n">
        <f aca="false">+AJ19/AK$7</f>
        <v>1106.29392738296</v>
      </c>
      <c r="AL19" s="439" t="n">
        <f aca="false">+AJ19/AL$7</f>
        <v>0.922680506574609</v>
      </c>
    </row>
    <row r="20" customFormat="false" ht="12.75" hidden="false" customHeight="false" outlineLevel="0" collapsed="false">
      <c r="A20" s="123" t="s">
        <v>194</v>
      </c>
      <c r="B20" s="124" t="s">
        <v>195</v>
      </c>
      <c r="C20" s="435" t="n">
        <v>0.333</v>
      </c>
      <c r="D20" s="436" t="n">
        <f aca="false">L20/$L$88</f>
        <v>0.0454334548742142</v>
      </c>
      <c r="E20" s="437" t="s">
        <v>479</v>
      </c>
      <c r="F20" s="437" t="s">
        <v>479</v>
      </c>
      <c r="G20" s="437" t="s">
        <v>479</v>
      </c>
      <c r="H20" s="437" t="s">
        <v>479</v>
      </c>
      <c r="I20" s="437" t="s">
        <v>479</v>
      </c>
      <c r="J20" s="437" t="s">
        <v>479</v>
      </c>
      <c r="K20" s="437" t="s">
        <v>479</v>
      </c>
      <c r="L20" s="438" t="n">
        <f aca="false">M20*TRUnits</f>
        <v>31941</v>
      </c>
      <c r="M20" s="438" t="n">
        <f aca="false">4563/2</f>
        <v>2281.5</v>
      </c>
      <c r="N20" s="439" t="n">
        <f aca="false">M20/1376</f>
        <v>1.65806686046512</v>
      </c>
      <c r="O20" s="439"/>
      <c r="P20" s="445" t="n">
        <f aca="false">Q20*P$7</f>
        <v>2283.1875</v>
      </c>
      <c r="Q20" s="445" t="n">
        <f aca="false">(13500+300-1500)/2*0.33*CMF</f>
        <v>2283.1875</v>
      </c>
      <c r="R20" s="446" t="n">
        <f aca="false">+Q20/Q$8</f>
        <v>1.90583263772955</v>
      </c>
      <c r="S20" s="438"/>
      <c r="T20" s="445" t="n">
        <f aca="false">U20*T$7</f>
        <v>169735.5</v>
      </c>
      <c r="U20" s="445" t="n">
        <f aca="false">(13500+300-1100)/2*0.33*CMF</f>
        <v>2357.4375</v>
      </c>
      <c r="V20" s="446" t="n">
        <f aca="false">+U20/U$8</f>
        <v>2.12957317073171</v>
      </c>
      <c r="W20" s="438"/>
      <c r="X20" s="445" t="n">
        <f aca="false">Y20*X$7</f>
        <v>156259.125</v>
      </c>
      <c r="Y20" s="445" t="n">
        <f aca="false">(13500+300)/2*0.33*CMF</f>
        <v>2561.625</v>
      </c>
      <c r="Z20" s="446" t="n">
        <f aca="false">+Y20/Y$8</f>
        <v>1.99038461538462</v>
      </c>
      <c r="AA20" s="438"/>
      <c r="AB20" s="445" t="n">
        <f aca="false">+X20+T20</f>
        <v>325994.625</v>
      </c>
      <c r="AC20" s="447" t="n">
        <f aca="false">+AB20/AB$7</f>
        <v>2451.08740601504</v>
      </c>
      <c r="AD20" s="446" t="n">
        <f aca="false">+AC20/AC$8</f>
        <v>2.04427640201421</v>
      </c>
      <c r="AE20" s="438"/>
      <c r="AF20" s="442"/>
      <c r="AG20" s="443" t="s">
        <v>503</v>
      </c>
      <c r="AH20" s="448" t="s">
        <v>504</v>
      </c>
      <c r="AI20" s="436" t="n">
        <f aca="false">AJ20/$AJ$48</f>
        <v>0.0176786464522332</v>
      </c>
      <c r="AJ20" s="444" t="n">
        <f aca="false">AB43+AB44</f>
        <v>232701.5925</v>
      </c>
      <c r="AK20" s="444" t="n">
        <f aca="false">+AJ20/AK$7</f>
        <v>1749.63603383459</v>
      </c>
      <c r="AL20" s="439" t="n">
        <f aca="false">+AJ20/AL$7</f>
        <v>1.45924606658431</v>
      </c>
    </row>
    <row r="21" customFormat="false" ht="12.75" hidden="false" customHeight="false" outlineLevel="0" collapsed="false">
      <c r="A21" s="123" t="s">
        <v>194</v>
      </c>
      <c r="B21" s="124" t="s">
        <v>196</v>
      </c>
      <c r="C21" s="435" t="n">
        <v>0.333</v>
      </c>
      <c r="D21" s="436" t="n">
        <f aca="false">L21/$L$88</f>
        <v>0.0454334548742142</v>
      </c>
      <c r="E21" s="437" t="s">
        <v>479</v>
      </c>
      <c r="F21" s="437" t="s">
        <v>479</v>
      </c>
      <c r="G21" s="449"/>
      <c r="H21" s="437" t="s">
        <v>479</v>
      </c>
      <c r="I21" s="437" t="s">
        <v>479</v>
      </c>
      <c r="J21" s="449"/>
      <c r="K21" s="450" t="s">
        <v>479</v>
      </c>
      <c r="L21" s="438" t="n">
        <f aca="false">M21*TRUnits</f>
        <v>31941</v>
      </c>
      <c r="M21" s="438" t="n">
        <f aca="false">4563/2</f>
        <v>2281.5</v>
      </c>
      <c r="N21" s="439" t="n">
        <f aca="false">M21/1376</f>
        <v>1.65806686046512</v>
      </c>
      <c r="O21" s="439"/>
      <c r="P21" s="445" t="n">
        <f aca="false">Q21*P$7</f>
        <v>2283.1875</v>
      </c>
      <c r="Q21" s="445" t="n">
        <f aca="false">(13500+300-1500)/2*0.33*CMF</f>
        <v>2283.1875</v>
      </c>
      <c r="R21" s="446" t="n">
        <f aca="false">+Q21/Q$8</f>
        <v>1.90583263772955</v>
      </c>
      <c r="S21" s="438"/>
      <c r="T21" s="445" t="n">
        <f aca="false">U21*T$7</f>
        <v>169735.5</v>
      </c>
      <c r="U21" s="445" t="n">
        <f aca="false">(13500+300-1100)/2*0.33*CMF</f>
        <v>2357.4375</v>
      </c>
      <c r="V21" s="446" t="n">
        <f aca="false">+U21/U$8</f>
        <v>2.12957317073171</v>
      </c>
      <c r="W21" s="438"/>
      <c r="X21" s="445" t="n">
        <f aca="false">Y21*X$7</f>
        <v>156259.125</v>
      </c>
      <c r="Y21" s="445" t="n">
        <f aca="false">(13500+300)/2*0.33*CMF</f>
        <v>2561.625</v>
      </c>
      <c r="Z21" s="446" t="n">
        <f aca="false">+Y21/Y$8</f>
        <v>1.99038461538462</v>
      </c>
      <c r="AA21" s="438"/>
      <c r="AB21" s="445" t="n">
        <f aca="false">+X21+T21</f>
        <v>325994.625</v>
      </c>
      <c r="AC21" s="447" t="n">
        <f aca="false">+AB21/AB$7</f>
        <v>2451.08740601504</v>
      </c>
      <c r="AD21" s="446" t="n">
        <f aca="false">+AC21/AC$8</f>
        <v>2.04427640201421</v>
      </c>
      <c r="AE21" s="438"/>
      <c r="AF21" s="442"/>
      <c r="AG21" s="443" t="s">
        <v>505</v>
      </c>
      <c r="AH21" s="124" t="s">
        <v>506</v>
      </c>
      <c r="AI21" s="436" t="n">
        <f aca="false">AJ21/$AJ$48</f>
        <v>0.0135219352896609</v>
      </c>
      <c r="AJ21" s="444" t="n">
        <f aca="false">AB50</f>
        <v>177987.375</v>
      </c>
      <c r="AK21" s="444" t="n">
        <f aca="false">+AJ21/AK$7</f>
        <v>1338.25093984962</v>
      </c>
      <c r="AL21" s="439" t="n">
        <f aca="false">+AJ21/AL$7</f>
        <v>1.11613923256849</v>
      </c>
    </row>
    <row r="22" customFormat="false" ht="12" hidden="false" customHeight="false" outlineLevel="0" collapsed="false">
      <c r="B22" s="427" t="s">
        <v>197</v>
      </c>
      <c r="C22" s="435"/>
      <c r="E22" s="437"/>
      <c r="F22" s="437"/>
      <c r="G22" s="437"/>
      <c r="H22" s="437"/>
      <c r="I22" s="437"/>
      <c r="J22" s="437"/>
      <c r="K22" s="437"/>
      <c r="L22" s="438"/>
      <c r="M22" s="438"/>
      <c r="N22" s="439" t="n">
        <f aca="false">M22/1376</f>
        <v>0</v>
      </c>
      <c r="O22" s="439"/>
      <c r="P22" s="445"/>
      <c r="Q22" s="445"/>
      <c r="R22" s="446"/>
      <c r="S22" s="438"/>
      <c r="T22" s="445"/>
      <c r="U22" s="445"/>
      <c r="V22" s="446"/>
      <c r="W22" s="438"/>
      <c r="X22" s="445"/>
      <c r="Y22" s="445"/>
      <c r="Z22" s="446"/>
      <c r="AA22" s="438"/>
      <c r="AB22" s="445"/>
      <c r="AC22" s="447"/>
      <c r="AD22" s="446"/>
      <c r="AE22" s="438"/>
      <c r="AF22" s="442"/>
      <c r="AG22" s="443" t="s">
        <v>507</v>
      </c>
      <c r="AH22" s="124" t="s">
        <v>508</v>
      </c>
      <c r="AI22" s="436" t="n">
        <f aca="false">AJ22/$AJ$48</f>
        <v>0.0135219352896609</v>
      </c>
      <c r="AJ22" s="444" t="n">
        <f aca="false">AB51</f>
        <v>177987.375</v>
      </c>
      <c r="AK22" s="444" t="n">
        <f aca="false">+AJ22/AK$7</f>
        <v>1338.25093984962</v>
      </c>
      <c r="AL22" s="439" t="n">
        <f aca="false">+AJ22/AL$7</f>
        <v>1.11613923256849</v>
      </c>
    </row>
    <row r="23" customFormat="false" ht="12" hidden="false" customHeight="false" outlineLevel="0" collapsed="false">
      <c r="A23" s="123" t="s">
        <v>198</v>
      </c>
      <c r="B23" s="124" t="s">
        <v>199</v>
      </c>
      <c r="C23" s="435" t="n">
        <v>0.15</v>
      </c>
      <c r="D23" s="436" t="n">
        <f aca="false">L23/$L$88</f>
        <v>0.0144873278198513</v>
      </c>
      <c r="E23" s="437" t="s">
        <v>479</v>
      </c>
      <c r="F23" s="437" t="s">
        <v>479</v>
      </c>
      <c r="G23" s="437" t="s">
        <v>479</v>
      </c>
      <c r="H23" s="437" t="s">
        <v>479</v>
      </c>
      <c r="I23" s="437" t="s">
        <v>479</v>
      </c>
      <c r="J23" s="437" t="s">
        <v>479</v>
      </c>
      <c r="K23" s="437" t="s">
        <v>479</v>
      </c>
      <c r="L23" s="438" t="n">
        <f aca="false">M23*TRUnits</f>
        <v>10185</v>
      </c>
      <c r="M23" s="438" t="n">
        <f aca="false">1455/2</f>
        <v>727.5</v>
      </c>
      <c r="N23" s="439" t="n">
        <f aca="false">M23/1376</f>
        <v>0.528706395348837</v>
      </c>
      <c r="O23" s="439"/>
      <c r="P23" s="445" t="n">
        <f aca="false">Q23*P$7</f>
        <v>712.564044331395</v>
      </c>
      <c r="Q23" s="445" t="n">
        <f aca="false">Q$8*$N23*CMF</f>
        <v>712.564044331395</v>
      </c>
      <c r="R23" s="446" t="n">
        <f aca="false">+Q23/Q$8</f>
        <v>0.594794694767442</v>
      </c>
      <c r="S23" s="438"/>
      <c r="T23" s="445" t="n">
        <f aca="false">U23*T$7</f>
        <v>47407.5163517442</v>
      </c>
      <c r="U23" s="445" t="n">
        <f aca="false">U$8*$N23*CMF</f>
        <v>658.437727107558</v>
      </c>
      <c r="V23" s="446" t="n">
        <f aca="false">+U23/U$8</f>
        <v>0.594794694767442</v>
      </c>
      <c r="W23" s="438"/>
      <c r="X23" s="445" t="n">
        <f aca="false">Y23*X$7</f>
        <v>46695.5471021076</v>
      </c>
      <c r="Y23" s="445" t="n">
        <f aca="false">Y$8*$N23*CMF</f>
        <v>765.500772165698</v>
      </c>
      <c r="Z23" s="446" t="n">
        <f aca="false">+Y23/Y$8</f>
        <v>0.594794694767442</v>
      </c>
      <c r="AA23" s="438"/>
      <c r="AB23" s="445" t="n">
        <f aca="false">+X23+T23</f>
        <v>94103.0634538518</v>
      </c>
      <c r="AC23" s="447" t="n">
        <f aca="false">+AB23/AB$7</f>
        <v>707.541830480088</v>
      </c>
      <c r="AD23" s="446" t="n">
        <f aca="false">+AC23/AC$8</f>
        <v>0.590109950358706</v>
      </c>
      <c r="AE23" s="438"/>
      <c r="AF23" s="442"/>
      <c r="AG23" s="443" t="s">
        <v>509</v>
      </c>
      <c r="AH23" s="124" t="s">
        <v>510</v>
      </c>
      <c r="AI23" s="436" t="n">
        <f aca="false">AJ23/$AJ$48</f>
        <v>0.0114936449962118</v>
      </c>
      <c r="AJ23" s="451" t="n">
        <f aca="false">AB52</f>
        <v>151289.26875</v>
      </c>
      <c r="AK23" s="444" t="n">
        <f aca="false">+AJ23/AK$7</f>
        <v>1137.51329887218</v>
      </c>
      <c r="AL23" s="439" t="n">
        <f aca="false">+AJ23/AL$7</f>
        <v>0.94871834768322</v>
      </c>
    </row>
    <row r="24" customFormat="false" ht="12" hidden="false" customHeight="false" outlineLevel="0" collapsed="false">
      <c r="A24" s="123" t="s">
        <v>198</v>
      </c>
      <c r="B24" s="124" t="s">
        <v>200</v>
      </c>
      <c r="C24" s="435" t="n">
        <v>0.25</v>
      </c>
      <c r="D24" s="436" t="n">
        <f aca="false">L24/$L$88</f>
        <v>0.0241455463664189</v>
      </c>
      <c r="E24" s="437" t="s">
        <v>479</v>
      </c>
      <c r="F24" s="437" t="s">
        <v>479</v>
      </c>
      <c r="G24" s="437" t="s">
        <v>479</v>
      </c>
      <c r="H24" s="437" t="s">
        <v>479</v>
      </c>
      <c r="I24" s="437" t="s">
        <v>479</v>
      </c>
      <c r="J24" s="437" t="s">
        <v>479</v>
      </c>
      <c r="K24" s="437" t="s">
        <v>479</v>
      </c>
      <c r="L24" s="438" t="n">
        <f aca="false">M24*TRUnits</f>
        <v>16975</v>
      </c>
      <c r="M24" s="438" t="n">
        <f aca="false">2425/2</f>
        <v>1212.5</v>
      </c>
      <c r="N24" s="439" t="n">
        <f aca="false">M24/1376</f>
        <v>0.881177325581395</v>
      </c>
      <c r="O24" s="439"/>
      <c r="P24" s="445" t="n">
        <f aca="false">Q24*P$7</f>
        <v>1187.60674055233</v>
      </c>
      <c r="Q24" s="445" t="n">
        <f aca="false">Q$8*$N24*CMF</f>
        <v>1187.60674055233</v>
      </c>
      <c r="R24" s="446" t="n">
        <f aca="false">+Q24/Q$8</f>
        <v>0.99132449127907</v>
      </c>
      <c r="S24" s="438"/>
      <c r="T24" s="445" t="n">
        <f aca="false">U24*T$7</f>
        <v>79012.527252907</v>
      </c>
      <c r="U24" s="445" t="n">
        <f aca="false">U$8*$N24*CMF</f>
        <v>1097.39621184593</v>
      </c>
      <c r="V24" s="446" t="n">
        <f aca="false">+U24/U$8</f>
        <v>0.99132449127907</v>
      </c>
      <c r="W24" s="438"/>
      <c r="X24" s="445" t="n">
        <f aca="false">Y24*X$7</f>
        <v>77825.9118368459</v>
      </c>
      <c r="Y24" s="445" t="n">
        <f aca="false">Y$8*$N24*CMF</f>
        <v>1275.83462027616</v>
      </c>
      <c r="Z24" s="446" t="n">
        <f aca="false">+Y24/Y$8</f>
        <v>0.99132449127907</v>
      </c>
      <c r="AA24" s="438"/>
      <c r="AB24" s="445" t="n">
        <f aca="false">+X24+T24</f>
        <v>156838.439089753</v>
      </c>
      <c r="AC24" s="447" t="n">
        <f aca="false">+AB24/AB$7</f>
        <v>1179.23638413348</v>
      </c>
      <c r="AD24" s="446" t="n">
        <f aca="false">+AC24/AC$8</f>
        <v>0.983516583931176</v>
      </c>
      <c r="AE24" s="438"/>
      <c r="AF24" s="442"/>
      <c r="AG24" s="443" t="s">
        <v>511</v>
      </c>
      <c r="AH24" s="124" t="s">
        <v>512</v>
      </c>
      <c r="AI24" s="124" t="s">
        <v>513</v>
      </c>
      <c r="AJ24" s="444"/>
      <c r="AK24" s="444" t="n">
        <f aca="false">+AJ24/AK$7</f>
        <v>0</v>
      </c>
      <c r="AL24" s="439" t="n">
        <f aca="false">+AJ24/AL$7</f>
        <v>0</v>
      </c>
    </row>
    <row r="25" customFormat="false" ht="12" hidden="false" customHeight="false" outlineLevel="0" collapsed="false">
      <c r="A25" s="123" t="s">
        <v>198</v>
      </c>
      <c r="B25" s="124" t="s">
        <v>201</v>
      </c>
      <c r="C25" s="435" t="n">
        <v>0.25</v>
      </c>
      <c r="D25" s="436" t="n">
        <f aca="false">L25/$L$88</f>
        <v>0.0241455463664189</v>
      </c>
      <c r="E25" s="437" t="s">
        <v>479</v>
      </c>
      <c r="F25" s="437" t="s">
        <v>479</v>
      </c>
      <c r="G25" s="437" t="s">
        <v>479</v>
      </c>
      <c r="H25" s="437" t="s">
        <v>479</v>
      </c>
      <c r="I25" s="437" t="s">
        <v>479</v>
      </c>
      <c r="J25" s="437" t="s">
        <v>479</v>
      </c>
      <c r="K25" s="437" t="s">
        <v>479</v>
      </c>
      <c r="L25" s="438" t="n">
        <f aca="false">M25*TRUnits</f>
        <v>16975</v>
      </c>
      <c r="M25" s="438" t="n">
        <f aca="false">2425/2</f>
        <v>1212.5</v>
      </c>
      <c r="N25" s="439" t="n">
        <f aca="false">M25/1376</f>
        <v>0.881177325581395</v>
      </c>
      <c r="O25" s="439"/>
      <c r="P25" s="445" t="n">
        <f aca="false">Q25*P$7</f>
        <v>1187.60674055233</v>
      </c>
      <c r="Q25" s="445" t="n">
        <f aca="false">Q$8*$N25*CMF</f>
        <v>1187.60674055233</v>
      </c>
      <c r="R25" s="446" t="n">
        <f aca="false">+Q25/Q$8</f>
        <v>0.99132449127907</v>
      </c>
      <c r="S25" s="438"/>
      <c r="T25" s="445" t="n">
        <f aca="false">U25*T$7</f>
        <v>79012.527252907</v>
      </c>
      <c r="U25" s="445" t="n">
        <f aca="false">U$8*$N25*CMF</f>
        <v>1097.39621184593</v>
      </c>
      <c r="V25" s="446" t="n">
        <f aca="false">+U25/U$8</f>
        <v>0.99132449127907</v>
      </c>
      <c r="W25" s="438"/>
      <c r="X25" s="445" t="n">
        <f aca="false">Y25*X$7</f>
        <v>77825.9118368459</v>
      </c>
      <c r="Y25" s="445" t="n">
        <f aca="false">Y$8*$N25*CMF</f>
        <v>1275.83462027616</v>
      </c>
      <c r="Z25" s="446" t="n">
        <f aca="false">+Y25/Y$8</f>
        <v>0.99132449127907</v>
      </c>
      <c r="AA25" s="438"/>
      <c r="AB25" s="445" t="n">
        <f aca="false">+X25+T25</f>
        <v>156838.439089753</v>
      </c>
      <c r="AC25" s="447" t="n">
        <f aca="false">+AB25/AB$7</f>
        <v>1179.23638413348</v>
      </c>
      <c r="AD25" s="446" t="n">
        <f aca="false">+AC25/AC$8</f>
        <v>0.983516583931176</v>
      </c>
      <c r="AE25" s="438"/>
      <c r="AF25" s="442"/>
      <c r="AG25" s="443" t="s">
        <v>514</v>
      </c>
      <c r="AH25" s="124" t="s">
        <v>515</v>
      </c>
      <c r="AI25" s="436" t="n">
        <f aca="false">AJ25/$AJ$48</f>
        <v>0.0247662409989882</v>
      </c>
      <c r="AJ25" s="444" t="n">
        <f aca="false">+AB21</f>
        <v>325994.625</v>
      </c>
      <c r="AK25" s="444" t="n">
        <f aca="false">+AJ25/AK$7</f>
        <v>2451.08740601504</v>
      </c>
      <c r="AL25" s="439" t="n">
        <f aca="false">+AJ25/AL$7</f>
        <v>2.04427640201421</v>
      </c>
    </row>
    <row r="26" customFormat="false" ht="12" hidden="false" customHeight="false" outlineLevel="0" collapsed="false">
      <c r="A26" s="123" t="s">
        <v>202</v>
      </c>
      <c r="B26" s="124" t="s">
        <v>203</v>
      </c>
      <c r="C26" s="435" t="n">
        <v>0.35</v>
      </c>
      <c r="D26" s="436" t="n">
        <f aca="false">L26/$L$88</f>
        <v>0.0337938079866498</v>
      </c>
      <c r="E26" s="437" t="s">
        <v>479</v>
      </c>
      <c r="F26" s="437" t="s">
        <v>479</v>
      </c>
      <c r="G26" s="437" t="s">
        <v>479</v>
      </c>
      <c r="H26" s="437" t="s">
        <v>479</v>
      </c>
      <c r="I26" s="437" t="s">
        <v>479</v>
      </c>
      <c r="J26" s="437" t="s">
        <v>479</v>
      </c>
      <c r="K26" s="437" t="s">
        <v>479</v>
      </c>
      <c r="L26" s="438" t="n">
        <f aca="false">M26*TRUnits</f>
        <v>23758</v>
      </c>
      <c r="M26" s="438" t="n">
        <f aca="false">3394/2</f>
        <v>1697</v>
      </c>
      <c r="N26" s="439" t="n">
        <f aca="false">M26/1376</f>
        <v>1.23328488372093</v>
      </c>
      <c r="O26" s="439"/>
      <c r="P26" s="445" t="n">
        <f aca="false">Q26*P$7</f>
        <v>1662.15970203488</v>
      </c>
      <c r="Q26" s="445" t="n">
        <f aca="false">Q$8*$N26*CMF</f>
        <v>1662.15970203488</v>
      </c>
      <c r="R26" s="446" t="n">
        <f aca="false">+Q26/Q$8</f>
        <v>1.38744549418605</v>
      </c>
      <c r="S26" s="438"/>
      <c r="T26" s="445" t="n">
        <f aca="false">U26*T$7</f>
        <v>110584.955668605</v>
      </c>
      <c r="U26" s="445" t="n">
        <f aca="false">U$8*$N26*CMF</f>
        <v>1535.90216206395</v>
      </c>
      <c r="V26" s="446" t="n">
        <f aca="false">+U26/U$8</f>
        <v>1.38744549418605</v>
      </c>
      <c r="W26" s="438"/>
      <c r="X26" s="445" t="n">
        <f aca="false">Y26*X$7</f>
        <v>108924.183412064</v>
      </c>
      <c r="Y26" s="445" t="n">
        <f aca="false">Y$8*$N26*CMF</f>
        <v>1785.64235101744</v>
      </c>
      <c r="Z26" s="446" t="n">
        <f aca="false">+Y26/Y$8</f>
        <v>1.38744549418605</v>
      </c>
      <c r="AA26" s="438"/>
      <c r="AB26" s="445" t="n">
        <f aca="false">+X26+T26</f>
        <v>219509.139080669</v>
      </c>
      <c r="AC26" s="447" t="n">
        <f aca="false">+AB26/AB$7</f>
        <v>1650.44465474187</v>
      </c>
      <c r="AD26" s="446" t="n">
        <f aca="false">+AC26/AC$8</f>
        <v>1.3765176436546</v>
      </c>
      <c r="AE26" s="438"/>
      <c r="AF26" s="442"/>
      <c r="AG26" s="443" t="s">
        <v>516</v>
      </c>
      <c r="AH26" s="124" t="s">
        <v>517</v>
      </c>
      <c r="AI26" s="436" t="n">
        <f aca="false">AJ26/$AJ$48</f>
        <v>0.00468897342680992</v>
      </c>
      <c r="AJ26" s="124" t="n">
        <f aca="false">+AB37+AB38</f>
        <v>61720.3125</v>
      </c>
      <c r="AK26" s="444" t="n">
        <f aca="false">+AJ26/AK$7</f>
        <v>464.0625</v>
      </c>
      <c r="AL26" s="439" t="n">
        <f aca="false">+AJ26/AL$7</f>
        <v>0.38704128440367</v>
      </c>
    </row>
    <row r="27" customFormat="false" ht="12" hidden="false" customHeight="false" outlineLevel="0" collapsed="false">
      <c r="B27" s="427" t="s">
        <v>204</v>
      </c>
      <c r="C27" s="435"/>
      <c r="E27" s="452"/>
      <c r="F27" s="452"/>
      <c r="G27" s="452"/>
      <c r="H27" s="452"/>
      <c r="I27" s="452"/>
      <c r="J27" s="452"/>
      <c r="K27" s="452"/>
      <c r="L27" s="438"/>
      <c r="M27" s="438"/>
      <c r="N27" s="439"/>
      <c r="O27" s="439"/>
      <c r="P27" s="445"/>
      <c r="Q27" s="445"/>
      <c r="R27" s="446"/>
      <c r="S27" s="438"/>
      <c r="T27" s="445"/>
      <c r="U27" s="445"/>
      <c r="V27" s="446"/>
      <c r="W27" s="438"/>
      <c r="X27" s="445"/>
      <c r="Y27" s="445"/>
      <c r="Z27" s="446"/>
      <c r="AA27" s="438"/>
      <c r="AB27" s="445"/>
      <c r="AC27" s="447"/>
      <c r="AD27" s="446"/>
      <c r="AE27" s="438"/>
      <c r="AF27" s="442"/>
      <c r="AG27" s="443" t="s">
        <v>518</v>
      </c>
      <c r="AH27" s="124" t="s">
        <v>519</v>
      </c>
      <c r="AI27" s="436" t="n">
        <f aca="false">AJ27/$AJ$48</f>
        <v>0</v>
      </c>
      <c r="AJ27" s="444" t="n">
        <v>0</v>
      </c>
      <c r="AK27" s="444" t="n">
        <f aca="false">+AJ27/AK$7</f>
        <v>0</v>
      </c>
      <c r="AL27" s="439" t="n">
        <f aca="false">+AJ27/AL$7</f>
        <v>0</v>
      </c>
    </row>
    <row r="28" customFormat="false" ht="12" hidden="false" customHeight="false" outlineLevel="0" collapsed="false">
      <c r="A28" s="123" t="s">
        <v>198</v>
      </c>
      <c r="B28" s="124" t="s">
        <v>205</v>
      </c>
      <c r="C28" s="435"/>
      <c r="D28" s="436" t="n">
        <f aca="false">L28/$L$88</f>
        <v>0.0649092027887359</v>
      </c>
      <c r="E28" s="437" t="s">
        <v>479</v>
      </c>
      <c r="F28" s="437" t="s">
        <v>479</v>
      </c>
      <c r="G28" s="437" t="s">
        <v>479</v>
      </c>
      <c r="H28" s="437" t="s">
        <v>479</v>
      </c>
      <c r="I28" s="437" t="s">
        <v>479</v>
      </c>
      <c r="J28" s="437" t="s">
        <v>479</v>
      </c>
      <c r="K28" s="437" t="s">
        <v>479</v>
      </c>
      <c r="L28" s="438" t="n">
        <f aca="false">M28*TRUnits</f>
        <v>45633</v>
      </c>
      <c r="M28" s="453" t="n">
        <f aca="false">(2975+(24808/7))/2</f>
        <v>3259.5</v>
      </c>
      <c r="N28" s="439" t="n">
        <f aca="false">M28/1376</f>
        <v>2.3688226744186</v>
      </c>
      <c r="O28" s="439"/>
      <c r="P28" s="445" t="n">
        <f aca="false">Q28*P$7</f>
        <v>3192.58075944767</v>
      </c>
      <c r="Q28" s="445" t="n">
        <f aca="false">Q$8*$N28*CMF</f>
        <v>3192.58075944767</v>
      </c>
      <c r="R28" s="446" t="n">
        <f aca="false">+Q28/Q$8</f>
        <v>2.66492550872093</v>
      </c>
      <c r="S28" s="438"/>
      <c r="T28" s="445" t="n">
        <f aca="false">U28*T$7</f>
        <v>212405.222747093</v>
      </c>
      <c r="U28" s="445" t="n">
        <f aca="false">U$8*$N28*CMF</f>
        <v>2950.07253815407</v>
      </c>
      <c r="V28" s="446" t="n">
        <f aca="false">+U28/U$8</f>
        <v>2.66492550872093</v>
      </c>
      <c r="W28" s="438"/>
      <c r="X28" s="445" t="n">
        <f aca="false">Y28*X$7</f>
        <v>209215.306913154</v>
      </c>
      <c r="Y28" s="445" t="n">
        <f aca="false">Y$8*$N28*CMF</f>
        <v>3429.75912972384</v>
      </c>
      <c r="Z28" s="446" t="n">
        <f aca="false">+Y28/Y$8</f>
        <v>2.66492550872093</v>
      </c>
      <c r="AA28" s="438"/>
      <c r="AB28" s="445" t="n">
        <f aca="false">+X28+T28</f>
        <v>421620.529660247</v>
      </c>
      <c r="AC28" s="447" t="n">
        <f aca="false">+AB28/AB$7</f>
        <v>3170.0791703778</v>
      </c>
      <c r="AD28" s="446" t="n">
        <f aca="false">+AC28/AC$8</f>
        <v>2.64393592191643</v>
      </c>
      <c r="AE28" s="438"/>
      <c r="AF28" s="442"/>
      <c r="AG28" s="443" t="s">
        <v>520</v>
      </c>
      <c r="AH28" s="124" t="s">
        <v>521</v>
      </c>
      <c r="AI28" s="436" t="n">
        <f aca="false">AJ28/$AJ$48</f>
        <v>0.0485895414532911</v>
      </c>
      <c r="AJ28" s="444" t="n">
        <f aca="false">+AB54+AB55</f>
        <v>639577.453261265</v>
      </c>
      <c r="AK28" s="444" t="n">
        <f aca="false">+AJ28/AK$7</f>
        <v>4808.85303203958</v>
      </c>
      <c r="AL28" s="439" t="n">
        <f aca="false">+AJ28/AL$7</f>
        <v>4.01071979319398</v>
      </c>
    </row>
    <row r="29" customFormat="false" ht="12" hidden="false" customHeight="false" outlineLevel="0" collapsed="false">
      <c r="A29" s="123" t="s">
        <v>198</v>
      </c>
      <c r="B29" s="124" t="s">
        <v>206</v>
      </c>
      <c r="C29" s="435"/>
      <c r="D29" s="436" t="n">
        <f aca="false">L29/$L$88</f>
        <v>0.0582266827987839</v>
      </c>
      <c r="E29" s="437" t="s">
        <v>479</v>
      </c>
      <c r="F29" s="437" t="s">
        <v>479</v>
      </c>
      <c r="G29" s="437" t="s">
        <v>479</v>
      </c>
      <c r="H29" s="437" t="s">
        <v>479</v>
      </c>
      <c r="I29" s="437" t="s">
        <v>479</v>
      </c>
      <c r="J29" s="437" t="s">
        <v>479</v>
      </c>
      <c r="K29" s="437" t="s">
        <v>479</v>
      </c>
      <c r="L29" s="438" t="n">
        <f aca="false">M29*TRUnits</f>
        <v>40935</v>
      </c>
      <c r="M29" s="453" t="n">
        <f aca="false">(2465+(23680/7))/2</f>
        <v>2923.92857142857</v>
      </c>
      <c r="N29" s="439" t="n">
        <f aca="false">M29/1376</f>
        <v>2.124948089701</v>
      </c>
      <c r="O29" s="439"/>
      <c r="P29" s="445" t="n">
        <f aca="false">Q29*P$7</f>
        <v>2863.89878789452</v>
      </c>
      <c r="Q29" s="445" t="n">
        <f aca="false">Q$8*$N29*CMF</f>
        <v>2863.89878789452</v>
      </c>
      <c r="R29" s="446" t="n">
        <f aca="false">+Q29/Q$8</f>
        <v>2.39056660091362</v>
      </c>
      <c r="S29" s="438"/>
      <c r="T29" s="445" t="n">
        <f aca="false">U29*T$7</f>
        <v>190537.720359219</v>
      </c>
      <c r="U29" s="445" t="n">
        <f aca="false">U$8*$N29*CMF</f>
        <v>2646.35722721138</v>
      </c>
      <c r="V29" s="446" t="n">
        <f aca="false">+U29/U$8</f>
        <v>2.39056660091362</v>
      </c>
      <c r="W29" s="438"/>
      <c r="X29" s="445" t="n">
        <f aca="false">Y29*X$7</f>
        <v>187676.212137926</v>
      </c>
      <c r="Y29" s="445" t="n">
        <f aca="false">Y$8*$N29*CMF</f>
        <v>3076.65921537583</v>
      </c>
      <c r="Z29" s="446" t="n">
        <f aca="false">+Y29/Y$8</f>
        <v>2.39056660091362</v>
      </c>
      <c r="AA29" s="438"/>
      <c r="AB29" s="445" t="n">
        <f aca="false">+X29+T29</f>
        <v>378213.932497145</v>
      </c>
      <c r="AC29" s="447" t="n">
        <f aca="false">+AB29/AB$7</f>
        <v>2843.71377817402</v>
      </c>
      <c r="AD29" s="446" t="n">
        <f aca="false">+AC29/AC$8</f>
        <v>2.37173793008676</v>
      </c>
      <c r="AE29" s="438"/>
      <c r="AF29" s="442"/>
      <c r="AG29" s="443" t="s">
        <v>522</v>
      </c>
      <c r="AH29" s="124" t="s">
        <v>523</v>
      </c>
      <c r="AI29" s="436" t="n">
        <f aca="false">AJ29/$AJ$48</f>
        <v>0.0251538141490195</v>
      </c>
      <c r="AJ29" s="444" t="n">
        <f aca="false">+AB56+SUM(AB58:AB60)+AB72</f>
        <v>331096.197083939</v>
      </c>
      <c r="AK29" s="444" t="n">
        <f aca="false">+AJ29/AK$7</f>
        <v>2489.44509085668</v>
      </c>
      <c r="AL29" s="439" t="n">
        <f aca="false">+AJ29/AL$7</f>
        <v>2.07626779887964</v>
      </c>
    </row>
    <row r="30" customFormat="false" ht="12" hidden="false" customHeight="false" outlineLevel="0" collapsed="false">
      <c r="A30" s="123" t="s">
        <v>198</v>
      </c>
      <c r="B30" s="124" t="s">
        <v>207</v>
      </c>
      <c r="C30" s="435"/>
      <c r="D30" s="436" t="n">
        <f aca="false">L30/$L$88</f>
        <v>0.131939230887182</v>
      </c>
      <c r="E30" s="437" t="s">
        <v>479</v>
      </c>
      <c r="F30" s="437" t="s">
        <v>479</v>
      </c>
      <c r="G30" s="437" t="s">
        <v>479</v>
      </c>
      <c r="H30" s="437" t="s">
        <v>479</v>
      </c>
      <c r="I30" s="437" t="s">
        <v>479</v>
      </c>
      <c r="J30" s="437" t="s">
        <v>479</v>
      </c>
      <c r="K30" s="437" t="s">
        <v>479</v>
      </c>
      <c r="L30" s="438" t="n">
        <f aca="false">M30*TRUnits</f>
        <v>92757</v>
      </c>
      <c r="M30" s="453" t="n">
        <f aca="false">13251/2</f>
        <v>6625.5</v>
      </c>
      <c r="N30" s="439" t="n">
        <f aca="false">M30/1376</f>
        <v>4.81504360465116</v>
      </c>
      <c r="O30" s="439"/>
      <c r="P30" s="445" t="n">
        <f aca="false">Q30*P$7</f>
        <v>6489.47501816861</v>
      </c>
      <c r="Q30" s="445" t="n">
        <f aca="false">Q$8*$N30*CMF</f>
        <v>6489.47501816861</v>
      </c>
      <c r="R30" s="446" t="n">
        <f aca="false">+Q30/Q$8</f>
        <v>5.41692405523256</v>
      </c>
      <c r="S30" s="438"/>
      <c r="T30" s="445" t="n">
        <f aca="false">U30*T$7</f>
        <v>431750.514898256</v>
      </c>
      <c r="U30" s="445" t="n">
        <f aca="false">U$8*$N30*CMF</f>
        <v>5996.53492914244</v>
      </c>
      <c r="V30" s="446" t="n">
        <f aca="false">+U30/U$8</f>
        <v>5.41692405523256</v>
      </c>
      <c r="W30" s="438"/>
      <c r="X30" s="445" t="n">
        <f aca="false">Y30*X$7</f>
        <v>425266.456804142</v>
      </c>
      <c r="Y30" s="445" t="n">
        <f aca="false">Y$8*$N30*CMF</f>
        <v>6971.5812590843</v>
      </c>
      <c r="Z30" s="446" t="n">
        <f aca="false">+Y30/Y$8</f>
        <v>5.41692405523256</v>
      </c>
      <c r="AA30" s="438"/>
      <c r="AB30" s="445" t="n">
        <f aca="false">+X30+T30</f>
        <v>857016.971702398</v>
      </c>
      <c r="AC30" s="447" t="n">
        <f aca="false">+AB30/AB$7</f>
        <v>6443.73662934134</v>
      </c>
      <c r="AD30" s="446" t="n">
        <f aca="false">+AC30/AC$8</f>
        <v>5.37425907367918</v>
      </c>
      <c r="AE30" s="438"/>
      <c r="AF30" s="442"/>
      <c r="AG30" s="443" t="s">
        <v>524</v>
      </c>
      <c r="AH30" s="124" t="s">
        <v>525</v>
      </c>
      <c r="AI30" s="436" t="n">
        <f aca="false">AJ30/$AJ$48</f>
        <v>0.0193242541226106</v>
      </c>
      <c r="AJ30" s="444" t="n">
        <f aca="false">AB66+AB67</f>
        <v>254362.5</v>
      </c>
      <c r="AK30" s="444" t="n">
        <f aca="false">+AJ30/AK$7</f>
        <v>1912.5</v>
      </c>
      <c r="AL30" s="439" t="n">
        <f aca="false">+AJ30/AL$7</f>
        <v>1.59507923269391</v>
      </c>
    </row>
    <row r="31" customFormat="false" ht="12" hidden="false" customHeight="false" outlineLevel="0" collapsed="false">
      <c r="A31" s="123" t="s">
        <v>198</v>
      </c>
      <c r="B31" s="124" t="s">
        <v>208</v>
      </c>
      <c r="C31" s="435"/>
      <c r="D31" s="436" t="n">
        <f aca="false">L31/$L$88</f>
        <v>0</v>
      </c>
      <c r="E31" s="437" t="s">
        <v>479</v>
      </c>
      <c r="F31" s="437" t="s">
        <v>479</v>
      </c>
      <c r="G31" s="437" t="s">
        <v>479</v>
      </c>
      <c r="H31" s="437" t="s">
        <v>479</v>
      </c>
      <c r="I31" s="437" t="s">
        <v>479</v>
      </c>
      <c r="J31" s="437" t="s">
        <v>479</v>
      </c>
      <c r="K31" s="437" t="s">
        <v>479</v>
      </c>
      <c r="L31" s="438" t="n">
        <f aca="false">M31*TRUnits</f>
        <v>0</v>
      </c>
      <c r="M31" s="438"/>
      <c r="N31" s="439" t="n">
        <f aca="false">M31/1376</f>
        <v>0</v>
      </c>
      <c r="O31" s="439"/>
      <c r="P31" s="445" t="n">
        <f aca="false">Q31*P$7</f>
        <v>0</v>
      </c>
      <c r="Q31" s="445" t="n">
        <f aca="false">Q$8*$N31*CMF</f>
        <v>0</v>
      </c>
      <c r="R31" s="446" t="n">
        <f aca="false">+Q31/Q$8</f>
        <v>0</v>
      </c>
      <c r="S31" s="438"/>
      <c r="T31" s="445" t="n">
        <f aca="false">U31*T$7</f>
        <v>0</v>
      </c>
      <c r="U31" s="445" t="n">
        <f aca="false">U$8*$N31*CMF</f>
        <v>0</v>
      </c>
      <c r="V31" s="446" t="n">
        <f aca="false">+U31/U$8</f>
        <v>0</v>
      </c>
      <c r="W31" s="438"/>
      <c r="X31" s="445" t="n">
        <f aca="false">Y31*X$7</f>
        <v>0</v>
      </c>
      <c r="Y31" s="445" t="n">
        <f aca="false">Y$8*$N31*CMF</f>
        <v>0</v>
      </c>
      <c r="Z31" s="446" t="n">
        <f aca="false">+Y31/Y$8</f>
        <v>0</v>
      </c>
      <c r="AA31" s="438"/>
      <c r="AB31" s="445" t="n">
        <f aca="false">+X31+T31</f>
        <v>0</v>
      </c>
      <c r="AC31" s="447" t="n">
        <f aca="false">+AB31/AB$7</f>
        <v>0</v>
      </c>
      <c r="AD31" s="446" t="n">
        <f aca="false">+AC31/AC$8</f>
        <v>0</v>
      </c>
      <c r="AE31" s="438"/>
      <c r="AF31" s="442"/>
      <c r="AG31" s="443" t="s">
        <v>526</v>
      </c>
      <c r="AH31" s="124" t="s">
        <v>527</v>
      </c>
      <c r="AI31" s="436" t="n">
        <f aca="false">AJ31/$AJ$48</f>
        <v>0</v>
      </c>
      <c r="AJ31" s="444" t="n">
        <v>0</v>
      </c>
      <c r="AK31" s="444" t="n">
        <f aca="false">+AJ31/AK$7</f>
        <v>0</v>
      </c>
      <c r="AL31" s="439" t="n">
        <f aca="false">+AJ31/AL$7</f>
        <v>0</v>
      </c>
    </row>
    <row r="32" customFormat="false" ht="12" hidden="false" customHeight="false" outlineLevel="0" collapsed="false">
      <c r="A32" s="123" t="s">
        <v>198</v>
      </c>
      <c r="B32" s="124" t="s">
        <v>209</v>
      </c>
      <c r="C32" s="435"/>
      <c r="D32" s="436" t="n">
        <f aca="false">L32/$L$88</f>
        <v>0</v>
      </c>
      <c r="E32" s="437" t="s">
        <v>479</v>
      </c>
      <c r="F32" s="437" t="s">
        <v>479</v>
      </c>
      <c r="G32" s="437" t="s">
        <v>479</v>
      </c>
      <c r="H32" s="437" t="s">
        <v>479</v>
      </c>
      <c r="I32" s="437" t="s">
        <v>479</v>
      </c>
      <c r="J32" s="437" t="s">
        <v>479</v>
      </c>
      <c r="K32" s="437" t="s">
        <v>479</v>
      </c>
      <c r="L32" s="438" t="n">
        <f aca="false">M32*TRUnits</f>
        <v>0</v>
      </c>
      <c r="M32" s="438"/>
      <c r="N32" s="439" t="n">
        <f aca="false">M32/1376</f>
        <v>0</v>
      </c>
      <c r="O32" s="439"/>
      <c r="P32" s="445" t="n">
        <f aca="false">Q32*P$7</f>
        <v>0</v>
      </c>
      <c r="Q32" s="445" t="n">
        <f aca="false">Q$8*$N32*CMF</f>
        <v>0</v>
      </c>
      <c r="R32" s="446" t="n">
        <f aca="false">+Q32/Q$8</f>
        <v>0</v>
      </c>
      <c r="S32" s="438"/>
      <c r="T32" s="445" t="n">
        <f aca="false">U32*T$7</f>
        <v>0</v>
      </c>
      <c r="U32" s="445" t="n">
        <f aca="false">U$8*$N32*CMF</f>
        <v>0</v>
      </c>
      <c r="V32" s="446" t="n">
        <f aca="false">+U32/U$8</f>
        <v>0</v>
      </c>
      <c r="W32" s="438"/>
      <c r="X32" s="445" t="n">
        <f aca="false">Y32*X$7</f>
        <v>0</v>
      </c>
      <c r="Y32" s="445" t="n">
        <f aca="false">Y$8*$N32*CMF</f>
        <v>0</v>
      </c>
      <c r="Z32" s="446" t="n">
        <f aca="false">+Y32/Y$8</f>
        <v>0</v>
      </c>
      <c r="AA32" s="438"/>
      <c r="AB32" s="445" t="n">
        <f aca="false">+X32+T32</f>
        <v>0</v>
      </c>
      <c r="AC32" s="447" t="n">
        <f aca="false">+AB32/AB$7</f>
        <v>0</v>
      </c>
      <c r="AD32" s="446" t="n">
        <f aca="false">+AC32/AC$8</f>
        <v>0</v>
      </c>
      <c r="AE32" s="438"/>
      <c r="AF32" s="442"/>
      <c r="AG32" s="443" t="s">
        <v>528</v>
      </c>
      <c r="AH32" s="124" t="s">
        <v>529</v>
      </c>
      <c r="AI32" s="436" t="n">
        <f aca="false">AJ32/$AJ$48</f>
        <v>0.0111781986860388</v>
      </c>
      <c r="AJ32" s="444" t="n">
        <f aca="false">AB63+AB64</f>
        <v>147137.092341933</v>
      </c>
      <c r="AK32" s="444" t="n">
        <f aca="false">+AJ32/AK$7</f>
        <v>1106.29392738296</v>
      </c>
      <c r="AL32" s="439" t="n">
        <f aca="false">+AJ32/AL$7</f>
        <v>0.922680506574609</v>
      </c>
    </row>
    <row r="33" customFormat="false" ht="12" hidden="false" customHeight="false" outlineLevel="0" collapsed="false">
      <c r="A33" s="123" t="s">
        <v>202</v>
      </c>
      <c r="B33" s="124" t="s">
        <v>210</v>
      </c>
      <c r="C33" s="435"/>
      <c r="D33" s="436" t="n">
        <f aca="false">L33/$L$88</f>
        <v>0</v>
      </c>
      <c r="E33" s="437" t="s">
        <v>479</v>
      </c>
      <c r="F33" s="437" t="s">
        <v>479</v>
      </c>
      <c r="G33" s="437" t="s">
        <v>479</v>
      </c>
      <c r="H33" s="437" t="s">
        <v>479</v>
      </c>
      <c r="I33" s="437" t="s">
        <v>479</v>
      </c>
      <c r="J33" s="437" t="s">
        <v>479</v>
      </c>
      <c r="K33" s="437" t="s">
        <v>479</v>
      </c>
      <c r="L33" s="438" t="n">
        <f aca="false">M33*TRUnits</f>
        <v>0</v>
      </c>
      <c r="N33" s="439" t="n">
        <f aca="false">M33/1376</f>
        <v>0</v>
      </c>
      <c r="O33" s="439"/>
      <c r="P33" s="445" t="n">
        <f aca="false">Q33*P$7</f>
        <v>0</v>
      </c>
      <c r="Q33" s="445" t="n">
        <f aca="false">Q$8*$N33*CMF</f>
        <v>0</v>
      </c>
      <c r="R33" s="446" t="n">
        <f aca="false">+Q33/Q$8</f>
        <v>0</v>
      </c>
      <c r="S33" s="438"/>
      <c r="T33" s="445" t="n">
        <f aca="false">U33*T$7</f>
        <v>0</v>
      </c>
      <c r="U33" s="445" t="n">
        <f aca="false">U$8*$N33*CMF</f>
        <v>0</v>
      </c>
      <c r="V33" s="446" t="n">
        <f aca="false">+U33/U$8</f>
        <v>0</v>
      </c>
      <c r="W33" s="438"/>
      <c r="X33" s="445" t="n">
        <f aca="false">Y33*X$7</f>
        <v>0</v>
      </c>
      <c r="Y33" s="445" t="n">
        <f aca="false">Y$8*$N33*CMF</f>
        <v>0</v>
      </c>
      <c r="Z33" s="446" t="n">
        <f aca="false">+Y33/Y$8</f>
        <v>0</v>
      </c>
      <c r="AA33" s="438"/>
      <c r="AB33" s="445" t="n">
        <f aca="false">+X33+T33</f>
        <v>0</v>
      </c>
      <c r="AC33" s="447" t="n">
        <f aca="false">+AB33/AB$7</f>
        <v>0</v>
      </c>
      <c r="AD33" s="446" t="n">
        <f aca="false">+AC33/AC$8</f>
        <v>0</v>
      </c>
      <c r="AE33" s="438"/>
      <c r="AF33" s="442"/>
      <c r="AG33" s="443" t="s">
        <v>530</v>
      </c>
      <c r="AH33" s="124" t="s">
        <v>531</v>
      </c>
      <c r="AI33" s="436" t="n">
        <f aca="false">AJ33/$AJ$48</f>
        <v>0</v>
      </c>
      <c r="AJ33" s="444" t="n">
        <v>0</v>
      </c>
      <c r="AK33" s="444" t="n">
        <f aca="false">+AJ33/AK$7</f>
        <v>0</v>
      </c>
      <c r="AL33" s="439" t="n">
        <f aca="false">+AJ33/AL$7</f>
        <v>0</v>
      </c>
    </row>
    <row r="34" customFormat="false" ht="12" hidden="false" customHeight="false" outlineLevel="0" collapsed="false">
      <c r="A34" s="123" t="s">
        <v>211</v>
      </c>
      <c r="B34" s="124" t="s">
        <v>212</v>
      </c>
      <c r="C34" s="435"/>
      <c r="D34" s="436" t="n">
        <f aca="false">L34/$L$88</f>
        <v>0.00890149214498081</v>
      </c>
      <c r="E34" s="437" t="s">
        <v>479</v>
      </c>
      <c r="F34" s="437" t="s">
        <v>479</v>
      </c>
      <c r="G34" s="437" t="s">
        <v>479</v>
      </c>
      <c r="H34" s="437" t="s">
        <v>479</v>
      </c>
      <c r="I34" s="437" t="s">
        <v>479</v>
      </c>
      <c r="J34" s="437" t="s">
        <v>479</v>
      </c>
      <c r="K34" s="437" t="s">
        <v>479</v>
      </c>
      <c r="L34" s="438" t="n">
        <f aca="false">M34*TRUnits</f>
        <v>6258</v>
      </c>
      <c r="M34" s="438" t="n">
        <f aca="false">894/2</f>
        <v>447</v>
      </c>
      <c r="N34" s="439" t="n">
        <f aca="false">M34/1376</f>
        <v>0.324854651162791</v>
      </c>
      <c r="O34" s="439"/>
      <c r="P34" s="445" t="n">
        <f aca="false">Q34*P$7</f>
        <v>348.75</v>
      </c>
      <c r="Q34" s="445" t="n">
        <f aca="false">(120+80+70+40)*CMF</f>
        <v>348.75</v>
      </c>
      <c r="R34" s="446" t="n">
        <f aca="false">+Q34/Q$8</f>
        <v>0.291110183639399</v>
      </c>
      <c r="S34" s="438"/>
      <c r="T34" s="445" t="n">
        <f aca="false">U34*T$7</f>
        <v>43740</v>
      </c>
      <c r="U34" s="445" t="n">
        <f aca="false">(120+3*70+2*65+2*40)*CMF</f>
        <v>607.5</v>
      </c>
      <c r="V34" s="446" t="n">
        <f aca="false">+U34/U$8</f>
        <v>0.548780487804878</v>
      </c>
      <c r="W34" s="438"/>
      <c r="X34" s="445" t="n">
        <f aca="false">Y34*X$7</f>
        <v>45978.75</v>
      </c>
      <c r="Y34" s="445" t="n">
        <f aca="false">(120+4*80+70+4*40)*CMF</f>
        <v>753.75</v>
      </c>
      <c r="Z34" s="446" t="n">
        <f aca="false">+Y34/Y$8</f>
        <v>0.585664335664336</v>
      </c>
      <c r="AA34" s="438"/>
      <c r="AB34" s="445" t="n">
        <f aca="false">+X34+T34</f>
        <v>89718.75</v>
      </c>
      <c r="AC34" s="447" t="n">
        <f aca="false">+AB34/AB$7</f>
        <v>674.577067669173</v>
      </c>
      <c r="AD34" s="446" t="n">
        <f aca="false">+AC34/AC$8</f>
        <v>0.562616403393806</v>
      </c>
      <c r="AE34" s="438"/>
      <c r="AF34" s="442"/>
      <c r="AG34" s="443" t="s">
        <v>532</v>
      </c>
      <c r="AH34" s="124" t="s">
        <v>533</v>
      </c>
      <c r="AI34" s="436" t="n">
        <f aca="false">AJ34/$AJ$48</f>
        <v>0.0102304874766762</v>
      </c>
      <c r="AJ34" s="444" t="n">
        <f aca="false">+AB70</f>
        <v>134662.5</v>
      </c>
      <c r="AK34" s="444" t="n">
        <f aca="false">+AJ34/AK$7</f>
        <v>1012.5</v>
      </c>
      <c r="AL34" s="439" t="n">
        <f aca="false">+AJ34/AL$7</f>
        <v>0.844453711426189</v>
      </c>
    </row>
    <row r="35" customFormat="false" ht="12" hidden="false" customHeight="false" outlineLevel="0" collapsed="false">
      <c r="A35" s="123" t="s">
        <v>198</v>
      </c>
      <c r="B35" s="124" t="s">
        <v>214</v>
      </c>
      <c r="C35" s="435"/>
      <c r="D35" s="436" t="n">
        <f aca="false">L35/$L$88</f>
        <v>0.00597415580200055</v>
      </c>
      <c r="E35" s="437" t="s">
        <v>479</v>
      </c>
      <c r="F35" s="437" t="s">
        <v>479</v>
      </c>
      <c r="G35" s="437" t="s">
        <v>479</v>
      </c>
      <c r="H35" s="437" t="s">
        <v>479</v>
      </c>
      <c r="I35" s="437" t="s">
        <v>479</v>
      </c>
      <c r="J35" s="437" t="s">
        <v>479</v>
      </c>
      <c r="K35" s="437" t="s">
        <v>479</v>
      </c>
      <c r="L35" s="438" t="n">
        <f aca="false">M35*TRUnits</f>
        <v>4200</v>
      </c>
      <c r="M35" s="454" t="n">
        <f aca="false">600/2</f>
        <v>300</v>
      </c>
      <c r="N35" s="439" t="n">
        <f aca="false">M35/1376</f>
        <v>0.218023255813954</v>
      </c>
      <c r="O35" s="439"/>
      <c r="P35" s="445" t="n">
        <f aca="false">Q35*P$7</f>
        <v>582.75</v>
      </c>
      <c r="Q35" s="445" t="n">
        <f aca="false">((75+46+13)*2+180+70)*CMF</f>
        <v>582.75</v>
      </c>
      <c r="R35" s="446" t="n">
        <f aca="false">+Q35/Q$8</f>
        <v>0.486435726210351</v>
      </c>
      <c r="S35" s="438"/>
      <c r="T35" s="445" t="n">
        <f aca="false">U35*T$7</f>
        <v>41958</v>
      </c>
      <c r="U35" s="445" t="n">
        <f aca="false">((75+46+13)*2+180+70)*CMF</f>
        <v>582.75</v>
      </c>
      <c r="V35" s="446" t="n">
        <f aca="false">+U35/U$8</f>
        <v>0.526422764227642</v>
      </c>
      <c r="W35" s="438"/>
      <c r="X35" s="445" t="n">
        <f aca="false">Y35*X$7</f>
        <v>35547.75</v>
      </c>
      <c r="Y35" s="445" t="n">
        <f aca="false">((75+46+13)*2+180+70)*CMF</f>
        <v>582.75</v>
      </c>
      <c r="Z35" s="446" t="n">
        <f aca="false">+Y35/Y$8</f>
        <v>0.452797202797203</v>
      </c>
      <c r="AA35" s="438"/>
      <c r="AB35" s="445" t="n">
        <f aca="false">+X35+T35</f>
        <v>77505.75</v>
      </c>
      <c r="AC35" s="447" t="n">
        <f aca="false">+AB35/AB$7</f>
        <v>582.75</v>
      </c>
      <c r="AD35" s="446" t="n">
        <f aca="false">+AC35/AC$8</f>
        <v>0.486030025020851</v>
      </c>
      <c r="AE35" s="438"/>
      <c r="AF35" s="442"/>
      <c r="AG35" s="443" t="s">
        <v>534</v>
      </c>
      <c r="AH35" s="124" t="s">
        <v>535</v>
      </c>
      <c r="AI35" s="436" t="n">
        <f aca="false">AJ35/$AJ$48</f>
        <v>0.0164967610533863</v>
      </c>
      <c r="AJ35" s="444" t="n">
        <f aca="false">+AB71</f>
        <v>217144.5975</v>
      </c>
      <c r="AK35" s="444" t="n">
        <f aca="false">+AJ35/AK$7</f>
        <v>1632.66614661654</v>
      </c>
      <c r="AL35" s="439" t="n">
        <f aca="false">+AJ35/AL$7</f>
        <v>1.36168986373356</v>
      </c>
    </row>
    <row r="36" customFormat="false" ht="12" hidden="false" customHeight="false" outlineLevel="0" collapsed="false">
      <c r="B36" s="427" t="s">
        <v>215</v>
      </c>
      <c r="C36" s="435"/>
      <c r="D36" s="436"/>
      <c r="E36" s="437"/>
      <c r="F36" s="437"/>
      <c r="G36" s="437"/>
      <c r="H36" s="437"/>
      <c r="I36" s="437"/>
      <c r="J36" s="437"/>
      <c r="K36" s="437"/>
      <c r="L36" s="438"/>
      <c r="M36" s="438"/>
      <c r="N36" s="439"/>
      <c r="O36" s="439"/>
      <c r="P36" s="445"/>
      <c r="Q36" s="445"/>
      <c r="R36" s="446"/>
      <c r="S36" s="438"/>
      <c r="T36" s="445"/>
      <c r="U36" s="445"/>
      <c r="V36" s="446"/>
      <c r="W36" s="438"/>
      <c r="X36" s="445"/>
      <c r="Y36" s="445"/>
      <c r="Z36" s="446"/>
      <c r="AA36" s="438"/>
      <c r="AB36" s="445"/>
      <c r="AC36" s="447"/>
      <c r="AD36" s="446"/>
      <c r="AE36" s="438"/>
      <c r="AF36" s="442"/>
      <c r="AG36" s="443" t="s">
        <v>536</v>
      </c>
      <c r="AH36" s="124" t="s">
        <v>537</v>
      </c>
      <c r="AI36" s="436" t="n">
        <f aca="false">AJ36/$AJ$48</f>
        <v>0.00383643280375357</v>
      </c>
      <c r="AJ36" s="444" t="n">
        <f aca="false">SUM(AB73:AB76)</f>
        <v>50498.4375</v>
      </c>
      <c r="AK36" s="444" t="n">
        <f aca="false">+AJ36/AK$7</f>
        <v>379.6875</v>
      </c>
      <c r="AL36" s="439" t="n">
        <f aca="false">+AJ36/AL$7</f>
        <v>0.316670141784821</v>
      </c>
    </row>
    <row r="37" customFormat="false" ht="12" hidden="false" customHeight="false" outlineLevel="0" collapsed="false">
      <c r="A37" s="123" t="s">
        <v>217</v>
      </c>
      <c r="B37" s="124" t="s">
        <v>218</v>
      </c>
      <c r="C37" s="435"/>
      <c r="D37" s="436"/>
      <c r="E37" s="437"/>
      <c r="F37" s="437"/>
      <c r="G37" s="437"/>
      <c r="H37" s="437"/>
      <c r="I37" s="437"/>
      <c r="J37" s="437"/>
      <c r="K37" s="437"/>
      <c r="L37" s="438" t="n">
        <v>0</v>
      </c>
      <c r="M37" s="438" t="n">
        <v>0</v>
      </c>
      <c r="N37" s="439"/>
      <c r="O37" s="439"/>
      <c r="P37" s="445" t="n">
        <f aca="false">Q37*P$7</f>
        <v>168.75</v>
      </c>
      <c r="Q37" s="445" t="n">
        <f aca="false">(28-3)*3*2*CMF</f>
        <v>168.75</v>
      </c>
      <c r="R37" s="446" t="n">
        <f aca="false">+Q37/Q$8</f>
        <v>0.140859766277129</v>
      </c>
      <c r="S37" s="438"/>
      <c r="T37" s="445" t="n">
        <f aca="false">U37*T$7</f>
        <v>12150</v>
      </c>
      <c r="U37" s="445" t="n">
        <f aca="false">(28-3)*3*2*CMF</f>
        <v>168.75</v>
      </c>
      <c r="V37" s="446" t="n">
        <f aca="false">+U37/U$8</f>
        <v>0.152439024390244</v>
      </c>
      <c r="W37" s="438"/>
      <c r="X37" s="445" t="n">
        <f aca="false">Y37*X$7</f>
        <v>10293.75</v>
      </c>
      <c r="Y37" s="445" t="n">
        <f aca="false">(28-3)*3*2*CMF</f>
        <v>168.75</v>
      </c>
      <c r="Z37" s="446" t="n">
        <f aca="false">+Y37/Y$8</f>
        <v>0.131118881118881</v>
      </c>
      <c r="AA37" s="438"/>
      <c r="AB37" s="445" t="n">
        <f aca="false">+X37+T37</f>
        <v>22443.75</v>
      </c>
      <c r="AC37" s="447" t="n">
        <f aca="false">+AB37/AB$7</f>
        <v>168.75</v>
      </c>
      <c r="AD37" s="446" t="n">
        <f aca="false">+AC37/AC$8</f>
        <v>0.140742285237698</v>
      </c>
      <c r="AE37" s="438"/>
      <c r="AF37" s="442"/>
      <c r="AG37" s="443" t="s">
        <v>538</v>
      </c>
      <c r="AH37" s="124" t="s">
        <v>539</v>
      </c>
      <c r="AI37" s="436" t="n">
        <f aca="false">AJ37/$AJ$48</f>
        <v>0.00697074185658383</v>
      </c>
      <c r="AJ37" s="444" t="n">
        <f aca="false">+AB68</f>
        <v>91754.9166061046</v>
      </c>
      <c r="AK37" s="444" t="n">
        <f aca="false">+AJ37/AK$7</f>
        <v>689.886591023343</v>
      </c>
      <c r="AL37" s="439" t="n">
        <f aca="false">+AJ37/AL$7</f>
        <v>0.575384980002788</v>
      </c>
    </row>
    <row r="38" customFormat="false" ht="12" hidden="false" customHeight="false" outlineLevel="0" collapsed="false">
      <c r="A38" s="123" t="s">
        <v>217</v>
      </c>
      <c r="B38" s="124" t="s">
        <v>219</v>
      </c>
      <c r="C38" s="435"/>
      <c r="D38" s="436"/>
      <c r="E38" s="437"/>
      <c r="F38" s="437"/>
      <c r="G38" s="437"/>
      <c r="H38" s="437"/>
      <c r="I38" s="437"/>
      <c r="J38" s="437"/>
      <c r="K38" s="437"/>
      <c r="L38" s="438" t="n">
        <v>0</v>
      </c>
      <c r="M38" s="438" t="n">
        <v>0</v>
      </c>
      <c r="N38" s="439"/>
      <c r="O38" s="439"/>
      <c r="P38" s="445" t="n">
        <f aca="false">Q38*P$7</f>
        <v>295.3125</v>
      </c>
      <c r="Q38" s="445" t="n">
        <f aca="false">(28-3)*3*3.5*CMF</f>
        <v>295.3125</v>
      </c>
      <c r="R38" s="446" t="n">
        <f aca="false">+Q38/Q$8</f>
        <v>0.246504590984975</v>
      </c>
      <c r="S38" s="438"/>
      <c r="T38" s="445" t="n">
        <f aca="false">U38*T$7</f>
        <v>21262.5</v>
      </c>
      <c r="U38" s="445" t="n">
        <f aca="false">(28-3)*3*3.5*CMF</f>
        <v>295.3125</v>
      </c>
      <c r="V38" s="446" t="n">
        <f aca="false">+U38/U$8</f>
        <v>0.266768292682927</v>
      </c>
      <c r="W38" s="438"/>
      <c r="X38" s="445" t="n">
        <f aca="false">Y38*X$7</f>
        <v>18014.0625</v>
      </c>
      <c r="Y38" s="445" t="n">
        <f aca="false">(28-3)*3*3.5*CMF</f>
        <v>295.3125</v>
      </c>
      <c r="Z38" s="446" t="n">
        <f aca="false">+Y38/Y$8</f>
        <v>0.229458041958042</v>
      </c>
      <c r="AA38" s="438"/>
      <c r="AB38" s="445" t="n">
        <f aca="false">+X38+T38</f>
        <v>39276.5625</v>
      </c>
      <c r="AC38" s="447" t="n">
        <f aca="false">+AB38/AB$7</f>
        <v>295.3125</v>
      </c>
      <c r="AD38" s="446" t="n">
        <f aca="false">+AC38/AC$8</f>
        <v>0.246298999165972</v>
      </c>
      <c r="AE38" s="438"/>
      <c r="AF38" s="442"/>
      <c r="AG38" s="443" t="s">
        <v>540</v>
      </c>
      <c r="AH38" s="124" t="s">
        <v>541</v>
      </c>
      <c r="AI38" s="436" t="n">
        <f aca="false">AJ38/$AJ$48</f>
        <v>0.0100249290353215</v>
      </c>
      <c r="AJ38" s="444" t="n">
        <f aca="false">SUM(AB77:AB79)</f>
        <v>131956.7625</v>
      </c>
      <c r="AK38" s="444" t="n">
        <f aca="false">+AJ38/AK$7</f>
        <v>992.156109022557</v>
      </c>
      <c r="AL38" s="439" t="n">
        <f aca="false">+AJ38/AL$7</f>
        <v>0.827486329460014</v>
      </c>
    </row>
    <row r="39" customFormat="false" ht="12" hidden="false" customHeight="false" outlineLevel="0" collapsed="false">
      <c r="B39" s="427" t="s">
        <v>220</v>
      </c>
      <c r="C39" s="435"/>
      <c r="D39" s="436"/>
      <c r="E39" s="437"/>
      <c r="F39" s="437"/>
      <c r="G39" s="437"/>
      <c r="H39" s="437"/>
      <c r="I39" s="437"/>
      <c r="J39" s="437"/>
      <c r="K39" s="437"/>
      <c r="L39" s="438"/>
      <c r="M39" s="438"/>
      <c r="N39" s="439"/>
      <c r="O39" s="439"/>
      <c r="P39" s="445"/>
      <c r="Q39" s="445"/>
      <c r="R39" s="446"/>
      <c r="S39" s="438"/>
      <c r="T39" s="445"/>
      <c r="U39" s="445"/>
      <c r="V39" s="446"/>
      <c r="W39" s="438"/>
      <c r="X39" s="445"/>
      <c r="Y39" s="445"/>
      <c r="Z39" s="446"/>
      <c r="AA39" s="438"/>
      <c r="AB39" s="445"/>
      <c r="AC39" s="447"/>
      <c r="AD39" s="446"/>
      <c r="AE39" s="438"/>
      <c r="AF39" s="442"/>
      <c r="AG39" s="443" t="s">
        <v>542</v>
      </c>
      <c r="AH39" s="124" t="s">
        <v>543</v>
      </c>
      <c r="AI39" s="436" t="n">
        <f aca="false">AJ39/$AJ$48</f>
        <v>0.0183385814202203</v>
      </c>
      <c r="AJ39" s="451" t="n">
        <f aca="false">SUM(AB81:AB85)</f>
        <v>241388.225744913</v>
      </c>
      <c r="AK39" s="444" t="n">
        <f aca="false">+AJ39/AK$7</f>
        <v>1814.94906575122</v>
      </c>
      <c r="AL39" s="439" t="n">
        <f aca="false">+AJ39/AL$7</f>
        <v>1.51371898728209</v>
      </c>
    </row>
    <row r="40" customFormat="false" ht="14.45" hidden="false" customHeight="true" outlineLevel="0" collapsed="false">
      <c r="A40" s="123" t="s">
        <v>221</v>
      </c>
      <c r="B40" s="124" t="s">
        <v>218</v>
      </c>
      <c r="C40" s="435"/>
      <c r="D40" s="436" t="n">
        <f aca="false">L40/$L$88</f>
        <v>0.00746769475250068</v>
      </c>
      <c r="E40" s="437" t="s">
        <v>479</v>
      </c>
      <c r="F40" s="437" t="s">
        <v>479</v>
      </c>
      <c r="G40" s="437" t="s">
        <v>479</v>
      </c>
      <c r="H40" s="437" t="s">
        <v>479</v>
      </c>
      <c r="I40" s="437" t="s">
        <v>479</v>
      </c>
      <c r="J40" s="437" t="s">
        <v>479</v>
      </c>
      <c r="K40" s="437" t="s">
        <v>479</v>
      </c>
      <c r="L40" s="438" t="n">
        <f aca="false">M40*TRUnits</f>
        <v>5250</v>
      </c>
      <c r="M40" s="438" t="n">
        <f aca="false">750/2</f>
        <v>375</v>
      </c>
      <c r="N40" s="439" t="n">
        <f aca="false">M40/1376</f>
        <v>0.272529069767442</v>
      </c>
      <c r="O40" s="439"/>
      <c r="P40" s="445" t="n">
        <f aca="false">Q40*P$7</f>
        <v>490.15125</v>
      </c>
      <c r="Q40" s="445" t="n">
        <f aca="false">((R$8*1.2)/100*23.5)*CMF</f>
        <v>490.15125</v>
      </c>
      <c r="R40" s="446" t="n">
        <f aca="false">+Q40/Q$8</f>
        <v>0.409141277128548</v>
      </c>
      <c r="S40" s="438"/>
      <c r="T40" s="445" t="n">
        <f aca="false">U40*T$7</f>
        <v>25286.094</v>
      </c>
      <c r="U40" s="445" t="n">
        <f aca="false">((V$8*1.2)/100*23.5)*CMF</f>
        <v>351.19575</v>
      </c>
      <c r="V40" s="446" t="n">
        <f aca="false">+U40/U$8</f>
        <v>0.31725</v>
      </c>
      <c r="W40" s="438"/>
      <c r="X40" s="445" t="n">
        <f aca="false">Y40*X$7</f>
        <v>30866.83875</v>
      </c>
      <c r="Y40" s="445" t="n">
        <f aca="false">((Z$8*1.2)/100*23.5)*CMF</f>
        <v>506.01375</v>
      </c>
      <c r="Z40" s="446" t="n">
        <f aca="false">+Y40/Y$8</f>
        <v>0.393173076923077</v>
      </c>
      <c r="AA40" s="438"/>
      <c r="AB40" s="445" t="n">
        <f aca="false">+X40+T40</f>
        <v>56152.93275</v>
      </c>
      <c r="AC40" s="447" t="n">
        <f aca="false">+AB40/AB$7</f>
        <v>422.202501879699</v>
      </c>
      <c r="AD40" s="446" t="n">
        <f aca="false">+AC40/AC$8</f>
        <v>0.352128858948873</v>
      </c>
      <c r="AE40" s="438"/>
      <c r="AF40" s="442"/>
      <c r="AG40" s="443" t="s">
        <v>544</v>
      </c>
      <c r="AH40" s="124" t="s">
        <v>545</v>
      </c>
      <c r="AI40" s="436" t="n">
        <f aca="false">AJ40/$AJ$48</f>
        <v>0</v>
      </c>
      <c r="AJ40" s="451"/>
      <c r="AK40" s="444" t="n">
        <f aca="false">+AJ40/AK$7</f>
        <v>0</v>
      </c>
      <c r="AL40" s="439" t="n">
        <f aca="false">+AJ40/AL$7</f>
        <v>0</v>
      </c>
    </row>
    <row r="41" customFormat="false" ht="12" hidden="false" customHeight="false" outlineLevel="0" collapsed="false">
      <c r="A41" s="123" t="s">
        <v>221</v>
      </c>
      <c r="B41" s="124" t="s">
        <v>219</v>
      </c>
      <c r="C41" s="435"/>
      <c r="D41" s="436" t="n">
        <f aca="false">L41/$L$88</f>
        <v>0.00706941769903398</v>
      </c>
      <c r="E41" s="437" t="s">
        <v>479</v>
      </c>
      <c r="F41" s="437" t="s">
        <v>479</v>
      </c>
      <c r="G41" s="437" t="s">
        <v>479</v>
      </c>
      <c r="H41" s="437" t="s">
        <v>479</v>
      </c>
      <c r="I41" s="437" t="s">
        <v>479</v>
      </c>
      <c r="J41" s="437" t="s">
        <v>479</v>
      </c>
      <c r="K41" s="437" t="s">
        <v>479</v>
      </c>
      <c r="L41" s="438" t="n">
        <f aca="false">M41*TRUnits</f>
        <v>4970</v>
      </c>
      <c r="M41" s="438" t="n">
        <f aca="false">710/2</f>
        <v>355</v>
      </c>
      <c r="N41" s="439" t="n">
        <f aca="false">M41/1376</f>
        <v>0.257994186046512</v>
      </c>
      <c r="O41" s="439"/>
      <c r="P41" s="445" t="n">
        <f aca="false">Q41*P$7</f>
        <v>438.0075</v>
      </c>
      <c r="Q41" s="445" t="n">
        <f aca="false">((R$8*1.2)/100*21)*CMF</f>
        <v>438.0075</v>
      </c>
      <c r="R41" s="446" t="n">
        <f aca="false">+Q41/Q$8</f>
        <v>0.365615609348915</v>
      </c>
      <c r="S41" s="438"/>
      <c r="T41" s="445" t="n">
        <f aca="false">U41*T$7</f>
        <v>22596.084</v>
      </c>
      <c r="U41" s="445" t="n">
        <f aca="false">((V$8*1.2)/100*21)*CMF</f>
        <v>313.8345</v>
      </c>
      <c r="V41" s="446" t="n">
        <f aca="false">+U41/U$8</f>
        <v>0.2835</v>
      </c>
      <c r="W41" s="438"/>
      <c r="X41" s="445" t="n">
        <f aca="false">Y41*X$7</f>
        <v>27583.1325</v>
      </c>
      <c r="Y41" s="445" t="n">
        <f aca="false">((Z$8*1.2)/100*21)*CMF</f>
        <v>452.1825</v>
      </c>
      <c r="Z41" s="446" t="n">
        <f aca="false">+Y41/Y$8</f>
        <v>0.351346153846154</v>
      </c>
      <c r="AA41" s="438"/>
      <c r="AB41" s="445" t="n">
        <f aca="false">+X41+T41</f>
        <v>50179.2165</v>
      </c>
      <c r="AC41" s="447" t="n">
        <f aca="false">+AB41/AB$7</f>
        <v>377.287342105263</v>
      </c>
      <c r="AD41" s="446" t="n">
        <f aca="false">+AC41/AC$8</f>
        <v>0.314668342039419</v>
      </c>
      <c r="AE41" s="438"/>
      <c r="AF41" s="442"/>
      <c r="AG41" s="443" t="s">
        <v>546</v>
      </c>
      <c r="AH41" s="124" t="s">
        <v>547</v>
      </c>
      <c r="AI41" s="436" t="n">
        <f aca="false">AJ41/$AJ$48</f>
        <v>0.0280442233065128</v>
      </c>
      <c r="AJ41" s="451" t="n">
        <f aca="false">(SUM(AJ9:AJ40)+SUM(AJ42:AJ45))*1.0125*0.7*0.095/12*6</f>
        <v>369142.255403087</v>
      </c>
      <c r="AK41" s="444" t="n">
        <f aca="false">+AJ41/AK$7</f>
        <v>2775.50567972246</v>
      </c>
      <c r="AL41" s="439" t="n">
        <f aca="false">+AJ41/AL$7</f>
        <v>2.31485044180355</v>
      </c>
    </row>
    <row r="42" customFormat="false" ht="12" hidden="false" customHeight="false" outlineLevel="0" collapsed="false">
      <c r="B42" s="427" t="s">
        <v>223</v>
      </c>
      <c r="C42" s="435"/>
      <c r="E42" s="437"/>
      <c r="F42" s="437"/>
      <c r="G42" s="437"/>
      <c r="H42" s="437"/>
      <c r="I42" s="437"/>
      <c r="J42" s="437"/>
      <c r="K42" s="437"/>
      <c r="L42" s="438"/>
      <c r="M42" s="438"/>
      <c r="N42" s="439"/>
      <c r="O42" s="439"/>
      <c r="P42" s="445"/>
      <c r="Q42" s="445"/>
      <c r="R42" s="446"/>
      <c r="S42" s="438"/>
      <c r="T42" s="445"/>
      <c r="U42" s="445"/>
      <c r="V42" s="446"/>
      <c r="W42" s="438"/>
      <c r="X42" s="445"/>
      <c r="Y42" s="445"/>
      <c r="Z42" s="446"/>
      <c r="AA42" s="438"/>
      <c r="AB42" s="445"/>
      <c r="AC42" s="447" t="s">
        <v>548</v>
      </c>
      <c r="AD42" s="446"/>
      <c r="AE42" s="438"/>
      <c r="AF42" s="442"/>
      <c r="AG42" s="443" t="s">
        <v>549</v>
      </c>
      <c r="AH42" s="124" t="s">
        <v>550</v>
      </c>
      <c r="AI42" s="436" t="n">
        <f aca="false">AJ42/$AJ$48</f>
        <v>0.143902589538258</v>
      </c>
      <c r="AJ42" s="451" t="n">
        <f aca="false">(2.5*43560+75000)*10.3</f>
        <v>1894170</v>
      </c>
      <c r="AK42" s="444" t="n">
        <f aca="false">+AJ42/AK$7</f>
        <v>14241.8796992481</v>
      </c>
      <c r="AL42" s="439" t="n">
        <f aca="false">+AJ42/AL$7</f>
        <v>11.8781315256448</v>
      </c>
    </row>
    <row r="43" customFormat="false" ht="12" hidden="false" customHeight="false" outlineLevel="0" collapsed="false">
      <c r="A43" s="123" t="s">
        <v>224</v>
      </c>
      <c r="B43" s="124" t="s">
        <v>225</v>
      </c>
      <c r="C43" s="435" t="n">
        <v>0.1</v>
      </c>
      <c r="D43" s="436" t="n">
        <f aca="false">L43/$L$88</f>
        <v>0.00298707790100027</v>
      </c>
      <c r="E43" s="437" t="s">
        <v>479</v>
      </c>
      <c r="F43" s="437" t="s">
        <v>479</v>
      </c>
      <c r="G43" s="437" t="s">
        <v>479</v>
      </c>
      <c r="H43" s="437" t="s">
        <v>479</v>
      </c>
      <c r="I43" s="437" t="s">
        <v>479</v>
      </c>
      <c r="J43" s="437" t="s">
        <v>479</v>
      </c>
      <c r="K43" s="437" t="s">
        <v>479</v>
      </c>
      <c r="L43" s="438" t="n">
        <f aca="false">M43*TRUnits</f>
        <v>2100</v>
      </c>
      <c r="M43" s="438" t="n">
        <f aca="false">300/2</f>
        <v>150</v>
      </c>
      <c r="N43" s="439" t="n">
        <f aca="false">M43/1376</f>
        <v>0.109011627906977</v>
      </c>
      <c r="O43" s="439"/>
      <c r="P43" s="445" t="n">
        <f aca="false">Q43*P$7</f>
        <v>63.4398496240602</v>
      </c>
      <c r="Q43" s="445" t="n">
        <f aca="false">7500/SM134Units*CMF</f>
        <v>63.4398496240602</v>
      </c>
      <c r="R43" s="446" t="n">
        <f aca="false">+Q43/Q$8</f>
        <v>0.052954799352304</v>
      </c>
      <c r="S43" s="438"/>
      <c r="T43" s="445" t="n">
        <f aca="false">U43*T$7</f>
        <v>4567.66917293233</v>
      </c>
      <c r="U43" s="445" t="n">
        <f aca="false">7500/SM134Units*CMF</f>
        <v>63.4398496240602</v>
      </c>
      <c r="V43" s="446" t="n">
        <f aca="false">+U43/U$8</f>
        <v>0.0573079039061067</v>
      </c>
      <c r="W43" s="438"/>
      <c r="X43" s="445" t="n">
        <f aca="false">Y43*X$7</f>
        <v>3869.83082706767</v>
      </c>
      <c r="Y43" s="445" t="n">
        <f aca="false">7500/SM134Units*CMF</f>
        <v>63.4398496240602</v>
      </c>
      <c r="Z43" s="446" t="n">
        <f aca="false">+Y43/Y$8</f>
        <v>0.0492928124507072</v>
      </c>
      <c r="AA43" s="438"/>
      <c r="AB43" s="445" t="n">
        <f aca="false">+X43+T43</f>
        <v>8437.5</v>
      </c>
      <c r="AC43" s="447" t="n">
        <f aca="false">+AB43/AB$7</f>
        <v>63.4398496240602</v>
      </c>
      <c r="AD43" s="446" t="n">
        <f aca="false">+AC43/AC$8</f>
        <v>0.0529106335480068</v>
      </c>
      <c r="AE43" s="438"/>
      <c r="AF43" s="442"/>
      <c r="AG43" s="443" t="s">
        <v>551</v>
      </c>
      <c r="AH43" s="124" t="s">
        <v>552</v>
      </c>
      <c r="AI43" s="436" t="n">
        <f aca="false">AJ43/$AJ$48</f>
        <v>0.0126594572104633</v>
      </c>
      <c r="AJ43" s="451" t="n">
        <f aca="false">AB11+AB86</f>
        <v>166634.694631177</v>
      </c>
      <c r="AK43" s="444" t="n">
        <f aca="false">+AJ43/AK$7</f>
        <v>1252.89244083592</v>
      </c>
      <c r="AL43" s="439" t="n">
        <f aca="false">+AJ43/AL$7</f>
        <v>1.04494782388317</v>
      </c>
    </row>
    <row r="44" customFormat="false" ht="12.75" hidden="false" customHeight="false" outlineLevel="0" collapsed="false">
      <c r="A44" s="123" t="s">
        <v>224</v>
      </c>
      <c r="B44" s="124" t="s">
        <v>193</v>
      </c>
      <c r="C44" s="435" t="n">
        <v>0.5</v>
      </c>
      <c r="D44" s="436" t="n">
        <f aca="false">L44/$L$88</f>
        <v>0.0309759978333728</v>
      </c>
      <c r="E44" s="437" t="s">
        <v>479</v>
      </c>
      <c r="F44" s="437" t="s">
        <v>479</v>
      </c>
      <c r="G44" s="437" t="s">
        <v>479</v>
      </c>
      <c r="H44" s="437" t="s">
        <v>479</v>
      </c>
      <c r="I44" s="437" t="s">
        <v>479</v>
      </c>
      <c r="J44" s="437" t="s">
        <v>479</v>
      </c>
      <c r="K44" s="437" t="s">
        <v>479</v>
      </c>
      <c r="L44" s="438" t="n">
        <f aca="false">M44*TRUnits</f>
        <v>21777</v>
      </c>
      <c r="M44" s="438" t="n">
        <f aca="false">3111/2</f>
        <v>1555.5</v>
      </c>
      <c r="N44" s="439" t="n">
        <f aca="false">M44/1376</f>
        <v>1.13045058139535</v>
      </c>
      <c r="O44" s="439"/>
      <c r="P44" s="445" t="n">
        <f aca="false">Q44*P$7</f>
        <v>1698.165</v>
      </c>
      <c r="Q44" s="445" t="n">
        <f aca="false">2.1*CMF*60%*Q$8</f>
        <v>1698.165</v>
      </c>
      <c r="R44" s="446" t="n">
        <f aca="false">+Q44/Q$8</f>
        <v>1.4175</v>
      </c>
      <c r="S44" s="438"/>
      <c r="T44" s="445" t="n">
        <f aca="false">U44*T$7</f>
        <v>112980.42</v>
      </c>
      <c r="U44" s="445" t="n">
        <f aca="false">2.1*CMF*60%*U$8</f>
        <v>1569.1725</v>
      </c>
      <c r="V44" s="446" t="n">
        <f aca="false">+U44/U$8</f>
        <v>1.4175</v>
      </c>
      <c r="W44" s="438"/>
      <c r="X44" s="445" t="n">
        <f aca="false">Y44*X$7</f>
        <v>111283.6725</v>
      </c>
      <c r="Y44" s="445" t="n">
        <f aca="false">2.1*CMF*60%*Y$8</f>
        <v>1824.3225</v>
      </c>
      <c r="Z44" s="446" t="n">
        <f aca="false">+Y44/Y$8</f>
        <v>1.4175</v>
      </c>
      <c r="AA44" s="438"/>
      <c r="AB44" s="445" t="n">
        <f aca="false">+X44+T44</f>
        <v>224264.0925</v>
      </c>
      <c r="AC44" s="447" t="n">
        <f aca="false">+AB44/AB$7</f>
        <v>1686.19618421053</v>
      </c>
      <c r="AD44" s="446" t="n">
        <f aca="false">+AC44/AC$8</f>
        <v>1.4063354330363</v>
      </c>
      <c r="AE44" s="438"/>
      <c r="AF44" s="442"/>
      <c r="AG44" s="443" t="s">
        <v>553</v>
      </c>
      <c r="AH44" s="124" t="s">
        <v>554</v>
      </c>
      <c r="AI44" s="436" t="n">
        <f aca="false">AJ44/$AJ$48</f>
        <v>0.0175528354592862</v>
      </c>
      <c r="AJ44" s="451" t="n">
        <f aca="false">AB45+AB47+AB48+AB69</f>
        <v>231045.559698401</v>
      </c>
      <c r="AK44" s="444" t="n">
        <f aca="false">+AJ44/AK$7</f>
        <v>1737.18465938648</v>
      </c>
      <c r="AL44" s="439" t="n">
        <f aca="false">+AJ44/AL$7</f>
        <v>1.44886126721141</v>
      </c>
    </row>
    <row r="45" customFormat="false" ht="12.75" hidden="false" customHeight="false" outlineLevel="0" collapsed="false">
      <c r="A45" s="123" t="s">
        <v>226</v>
      </c>
      <c r="B45" s="455" t="s">
        <v>227</v>
      </c>
      <c r="C45" s="435" t="n">
        <v>0.4</v>
      </c>
      <c r="D45" s="436" t="n">
        <f aca="false">L45/$L$88</f>
        <v>0.0247827896519656</v>
      </c>
      <c r="E45" s="437" t="s">
        <v>479</v>
      </c>
      <c r="F45" s="437" t="s">
        <v>479</v>
      </c>
      <c r="G45" s="449"/>
      <c r="H45" s="437" t="s">
        <v>479</v>
      </c>
      <c r="I45" s="437" t="s">
        <v>479</v>
      </c>
      <c r="J45" s="449"/>
      <c r="K45" s="450" t="s">
        <v>479</v>
      </c>
      <c r="L45" s="438" t="n">
        <f aca="false">M45*TRUnits</f>
        <v>17423</v>
      </c>
      <c r="M45" s="438" t="n">
        <f aca="false">2489/2</f>
        <v>1244.5</v>
      </c>
      <c r="N45" s="439" t="n">
        <f aca="false">M45/1376</f>
        <v>0.904433139534884</v>
      </c>
      <c r="O45" s="439"/>
      <c r="P45" s="445" t="n">
        <f aca="false">Q45*P$7</f>
        <v>1132.11</v>
      </c>
      <c r="Q45" s="445" t="n">
        <f aca="false">2.1*CMF*40%*Q$8</f>
        <v>1132.11</v>
      </c>
      <c r="R45" s="446" t="n">
        <f aca="false">+Q45/Q$8</f>
        <v>0.945</v>
      </c>
      <c r="S45" s="438"/>
      <c r="T45" s="445" t="n">
        <f aca="false">U45*T$7</f>
        <v>75320.28</v>
      </c>
      <c r="U45" s="445" t="n">
        <f aca="false">2.1*CMF*40%*U$8</f>
        <v>1046.115</v>
      </c>
      <c r="V45" s="446" t="n">
        <f aca="false">+U45/U$8</f>
        <v>0.945</v>
      </c>
      <c r="W45" s="438"/>
      <c r="X45" s="445" t="n">
        <f aca="false">Y45*X$7</f>
        <v>74189.115</v>
      </c>
      <c r="Y45" s="445" t="n">
        <f aca="false">2.1*CMF*40%*Y$8</f>
        <v>1216.215</v>
      </c>
      <c r="Z45" s="446" t="n">
        <f aca="false">+Y45/Y$8</f>
        <v>0.945</v>
      </c>
      <c r="AA45" s="438"/>
      <c r="AB45" s="445" t="n">
        <f aca="false">+X45+T45</f>
        <v>149509.395</v>
      </c>
      <c r="AC45" s="447" t="n">
        <f aca="false">+AB45/AB$7</f>
        <v>1124.13078947368</v>
      </c>
      <c r="AD45" s="446" t="n">
        <f aca="false">+AC45/AC$8</f>
        <v>0.937556955357535</v>
      </c>
      <c r="AE45" s="438"/>
      <c r="AF45" s="442"/>
      <c r="AG45" s="443" t="s">
        <v>555</v>
      </c>
      <c r="AH45" s="124" t="s">
        <v>556</v>
      </c>
      <c r="AI45" s="436" t="n">
        <f aca="false">AJ45/$AJ$48</f>
        <v>0.0138778229241879</v>
      </c>
      <c r="AJ45" s="123" t="n">
        <f aca="false">+AB87</f>
        <v>182671.875</v>
      </c>
      <c r="AK45" s="444" t="n">
        <f aca="false">+AJ45/AK$7</f>
        <v>1373.4727443609</v>
      </c>
      <c r="AL45" s="439" t="n">
        <f aca="false">+AJ45/AL$7</f>
        <v>1.14551521631435</v>
      </c>
    </row>
    <row r="46" customFormat="false" ht="12" hidden="false" customHeight="false" outlineLevel="0" collapsed="false">
      <c r="B46" s="427" t="s">
        <v>228</v>
      </c>
      <c r="C46" s="435"/>
      <c r="E46" s="437"/>
      <c r="F46" s="437"/>
      <c r="G46" s="437"/>
      <c r="H46" s="437"/>
      <c r="I46" s="437"/>
      <c r="J46" s="437"/>
      <c r="K46" s="437"/>
      <c r="L46" s="438"/>
      <c r="N46" s="439"/>
      <c r="O46" s="439"/>
      <c r="P46" s="445"/>
      <c r="Q46" s="456"/>
      <c r="R46" s="446"/>
      <c r="S46" s="438"/>
      <c r="T46" s="445"/>
      <c r="U46" s="445"/>
      <c r="V46" s="446"/>
      <c r="W46" s="438"/>
      <c r="X46" s="445"/>
      <c r="Y46" s="445"/>
      <c r="Z46" s="446"/>
      <c r="AA46" s="438"/>
      <c r="AB46" s="445"/>
      <c r="AC46" s="447" t="s">
        <v>548</v>
      </c>
      <c r="AD46" s="446"/>
      <c r="AE46" s="438"/>
      <c r="AF46" s="442"/>
      <c r="AG46" s="443" t="s">
        <v>551</v>
      </c>
      <c r="AH46" s="124" t="s">
        <v>557</v>
      </c>
      <c r="AI46" s="436" t="n">
        <f aca="false">AJ46/$AJ$48</f>
        <v>0.0309263331506356</v>
      </c>
      <c r="AJ46" s="123" t="n">
        <f aca="false">(SUM(AJ$43:AJ45)+SUM(AJ$9:AJ$40))*0.1-500000</f>
        <v>407079.071001466</v>
      </c>
      <c r="AK46" s="444" t="n">
        <f aca="false">+AJ46/AK$7</f>
        <v>3060.74489474786</v>
      </c>
      <c r="AL46" s="439" t="n">
        <f aca="false">+AJ46/AL$7</f>
        <v>2.55274803565293</v>
      </c>
    </row>
    <row r="47" customFormat="false" ht="12" hidden="false" customHeight="false" outlineLevel="0" collapsed="false">
      <c r="A47" s="123" t="s">
        <v>226</v>
      </c>
      <c r="B47" s="124" t="s">
        <v>193</v>
      </c>
      <c r="C47" s="435" t="n">
        <v>0.75</v>
      </c>
      <c r="D47" s="436" t="n">
        <f aca="false">L47/$L$88</f>
        <v>0</v>
      </c>
      <c r="E47" s="437" t="s">
        <v>479</v>
      </c>
      <c r="F47" s="437" t="s">
        <v>479</v>
      </c>
      <c r="G47" s="437" t="s">
        <v>479</v>
      </c>
      <c r="H47" s="437" t="s">
        <v>479</v>
      </c>
      <c r="I47" s="437" t="s">
        <v>479</v>
      </c>
      <c r="J47" s="437" t="s">
        <v>479</v>
      </c>
      <c r="K47" s="437" t="s">
        <v>479</v>
      </c>
      <c r="L47" s="438" t="n">
        <f aca="false">M47*TRUnits</f>
        <v>0</v>
      </c>
      <c r="M47" s="438" t="n">
        <v>0</v>
      </c>
      <c r="N47" s="439" t="n">
        <f aca="false">M47/1376</f>
        <v>0</v>
      </c>
      <c r="O47" s="439"/>
      <c r="P47" s="445" t="n">
        <f aca="false">Q47*P$7</f>
        <v>0</v>
      </c>
      <c r="Q47" s="445" t="n">
        <f aca="false">0*CMF</f>
        <v>0</v>
      </c>
      <c r="R47" s="446" t="n">
        <f aca="false">+Q47/Q$8</f>
        <v>0</v>
      </c>
      <c r="S47" s="438"/>
      <c r="T47" s="445" t="n">
        <f aca="false">U47*T$7</f>
        <v>0</v>
      </c>
      <c r="U47" s="445" t="n">
        <f aca="false">0*CMF</f>
        <v>0</v>
      </c>
      <c r="V47" s="446" t="n">
        <f aca="false">+U47/U$8</f>
        <v>0</v>
      </c>
      <c r="W47" s="438"/>
      <c r="X47" s="445" t="n">
        <f aca="false">Y47*X$7</f>
        <v>0</v>
      </c>
      <c r="Y47" s="445" t="n">
        <f aca="false">0*CMF</f>
        <v>0</v>
      </c>
      <c r="Z47" s="446" t="n">
        <f aca="false">+Y47/Y$8</f>
        <v>0</v>
      </c>
      <c r="AA47" s="438"/>
      <c r="AB47" s="445" t="n">
        <f aca="false">+X47+T47</f>
        <v>0</v>
      </c>
      <c r="AC47" s="447" t="n">
        <f aca="false">+AB47/AB$7</f>
        <v>0</v>
      </c>
      <c r="AD47" s="446" t="n">
        <f aca="false">+AC47/AC$8</f>
        <v>0</v>
      </c>
      <c r="AE47" s="438"/>
      <c r="AF47" s="442"/>
      <c r="AG47" s="443" t="s">
        <v>553</v>
      </c>
      <c r="AH47" s="124" t="s">
        <v>558</v>
      </c>
      <c r="AI47" s="436" t="n">
        <f aca="false">AJ47/$AJ$48</f>
        <v>0.10800693745503</v>
      </c>
      <c r="AJ47" s="123" t="n">
        <f aca="false">(SUM(AJ$43:AJ46)+SUM(AJ$9:AJ$40))*0.15</f>
        <v>1421680.46715242</v>
      </c>
      <c r="AK47" s="444" t="n">
        <f aca="false">+AJ47/AK$7</f>
        <v>10689.3268206949</v>
      </c>
      <c r="AL47" s="439" t="n">
        <f aca="false">+AJ47/AL$7</f>
        <v>8.91520168531683</v>
      </c>
    </row>
    <row r="48" customFormat="false" ht="12.75" hidden="false" customHeight="false" outlineLevel="0" collapsed="false">
      <c r="A48" s="123" t="s">
        <v>226</v>
      </c>
      <c r="B48" s="124" t="s">
        <v>227</v>
      </c>
      <c r="C48" s="435" t="n">
        <v>0.25</v>
      </c>
      <c r="D48" s="436" t="n">
        <f aca="false">L48/$L$88</f>
        <v>0.00398277053466703</v>
      </c>
      <c r="E48" s="437" t="s">
        <v>479</v>
      </c>
      <c r="F48" s="437" t="s">
        <v>479</v>
      </c>
      <c r="G48" s="437" t="s">
        <v>479</v>
      </c>
      <c r="H48" s="437" t="s">
        <v>479</v>
      </c>
      <c r="I48" s="437" t="s">
        <v>479</v>
      </c>
      <c r="J48" s="437" t="s">
        <v>479</v>
      </c>
      <c r="K48" s="437" t="s">
        <v>479</v>
      </c>
      <c r="L48" s="438" t="n">
        <f aca="false">M48*TRUnits</f>
        <v>2800</v>
      </c>
      <c r="M48" s="438" t="n">
        <f aca="false">400/2</f>
        <v>200</v>
      </c>
      <c r="N48" s="439" t="n">
        <f aca="false">M48/1376</f>
        <v>0.145348837209302</v>
      </c>
      <c r="O48" s="439"/>
      <c r="P48" s="445" t="n">
        <f aca="false">Q48*P$7</f>
        <v>225</v>
      </c>
      <c r="Q48" s="445" t="n">
        <f aca="false">$M48*CMF</f>
        <v>225</v>
      </c>
      <c r="R48" s="446" t="n">
        <f aca="false">+Q48/Q$8</f>
        <v>0.187813021702838</v>
      </c>
      <c r="S48" s="438"/>
      <c r="T48" s="445" t="n">
        <f aca="false">U48*T$7</f>
        <v>16200</v>
      </c>
      <c r="U48" s="445" t="n">
        <f aca="false">$M48*CMF</f>
        <v>225</v>
      </c>
      <c r="V48" s="446" t="n">
        <f aca="false">+U48/U$8</f>
        <v>0.203252032520325</v>
      </c>
      <c r="W48" s="438"/>
      <c r="X48" s="445" t="n">
        <f aca="false">Y48*X$7</f>
        <v>13725</v>
      </c>
      <c r="Y48" s="445" t="n">
        <f aca="false">$M48*CMF</f>
        <v>225</v>
      </c>
      <c r="Z48" s="446" t="n">
        <f aca="false">+Y48/Y$8</f>
        <v>0.174825174825175</v>
      </c>
      <c r="AA48" s="438"/>
      <c r="AB48" s="445" t="n">
        <f aca="false">+X48+T48</f>
        <v>29925</v>
      </c>
      <c r="AC48" s="447" t="n">
        <f aca="false">+AB48/AB$7</f>
        <v>225</v>
      </c>
      <c r="AD48" s="446" t="n">
        <f aca="false">+AC48/AC$8</f>
        <v>0.187656380316931</v>
      </c>
      <c r="AE48" s="438"/>
      <c r="AF48" s="442"/>
      <c r="AG48" s="443"/>
      <c r="AH48" s="457" t="s">
        <v>150</v>
      </c>
      <c r="AI48" s="458" t="n">
        <f aca="false">SUM(AI9:AI47)</f>
        <v>1</v>
      </c>
      <c r="AJ48" s="459" t="n">
        <f aca="false">SUM(AJ9:AJ47)</f>
        <v>13162862.5035716</v>
      </c>
      <c r="AK48" s="459" t="n">
        <f aca="false">+AJ48/AK$7</f>
        <v>98968.891004298</v>
      </c>
      <c r="AL48" s="460" t="n">
        <f aca="false">+AJ48/AL$7</f>
        <v>82.5428615548774</v>
      </c>
    </row>
    <row r="49" customFormat="false" ht="12.75" hidden="false" customHeight="false" outlineLevel="0" collapsed="false">
      <c r="B49" s="427" t="s">
        <v>229</v>
      </c>
      <c r="C49" s="435"/>
      <c r="D49" s="436"/>
      <c r="E49" s="437"/>
      <c r="F49" s="437"/>
      <c r="G49" s="437"/>
      <c r="H49" s="437"/>
      <c r="I49" s="437"/>
      <c r="J49" s="437"/>
      <c r="K49" s="437"/>
      <c r="L49" s="438" t="n">
        <f aca="false">M49*TRUnits</f>
        <v>0</v>
      </c>
      <c r="M49" s="438"/>
      <c r="N49" s="439"/>
      <c r="O49" s="439"/>
      <c r="P49" s="445"/>
      <c r="Q49" s="445"/>
      <c r="R49" s="446"/>
      <c r="S49" s="438"/>
      <c r="T49" s="445"/>
      <c r="U49" s="445"/>
      <c r="V49" s="446"/>
      <c r="W49" s="438"/>
      <c r="X49" s="445"/>
      <c r="Y49" s="445"/>
      <c r="Z49" s="446"/>
      <c r="AA49" s="438"/>
      <c r="AB49" s="445"/>
      <c r="AC49" s="447" t="s">
        <v>548</v>
      </c>
      <c r="AD49" s="446"/>
      <c r="AE49" s="438"/>
      <c r="AF49" s="442"/>
      <c r="AG49" s="443"/>
      <c r="AH49" s="405" t="s">
        <v>559</v>
      </c>
    </row>
    <row r="50" customFormat="false" ht="12.75" hidden="false" customHeight="false" outlineLevel="0" collapsed="false">
      <c r="A50" s="123" t="s">
        <v>230</v>
      </c>
      <c r="B50" s="124" t="s">
        <v>193</v>
      </c>
      <c r="C50" s="435" t="n">
        <v>0.6</v>
      </c>
      <c r="D50" s="436" t="n">
        <f aca="false">L50/$L$88</f>
        <v>0.0238966232080022</v>
      </c>
      <c r="E50" s="437" t="s">
        <v>479</v>
      </c>
      <c r="F50" s="437" t="s">
        <v>479</v>
      </c>
      <c r="G50" s="437" t="s">
        <v>479</v>
      </c>
      <c r="H50" s="437" t="s">
        <v>479</v>
      </c>
      <c r="I50" s="437" t="s">
        <v>479</v>
      </c>
      <c r="J50" s="437" t="s">
        <v>479</v>
      </c>
      <c r="K50" s="437" t="s">
        <v>479</v>
      </c>
      <c r="L50" s="438" t="n">
        <f aca="false">M50*TRUnits</f>
        <v>16800</v>
      </c>
      <c r="M50" s="438" t="n">
        <f aca="false">2400/2</f>
        <v>1200</v>
      </c>
      <c r="N50" s="439" t="n">
        <f aca="false">M50/1376</f>
        <v>0.872093023255814</v>
      </c>
      <c r="O50" s="439"/>
      <c r="P50" s="445" t="n">
        <f aca="false">Q50*P$7</f>
        <v>1347.75</v>
      </c>
      <c r="Q50" s="445" t="n">
        <f aca="false">1*Q$8*CMF</f>
        <v>1347.75</v>
      </c>
      <c r="R50" s="446" t="n">
        <f aca="false">+Q50/Q$8</f>
        <v>1.125</v>
      </c>
      <c r="S50" s="438"/>
      <c r="T50" s="445" t="n">
        <f aca="false">U50*T$7</f>
        <v>89667</v>
      </c>
      <c r="U50" s="445" t="n">
        <f aca="false">1*U$8*CMF</f>
        <v>1245.375</v>
      </c>
      <c r="V50" s="446" t="n">
        <f aca="false">+U50/U$8</f>
        <v>1.125</v>
      </c>
      <c r="W50" s="438"/>
      <c r="X50" s="445" t="n">
        <f aca="false">Y50*X$7</f>
        <v>88320.375</v>
      </c>
      <c r="Y50" s="445" t="n">
        <f aca="false">1*Y$8*CMF</f>
        <v>1447.875</v>
      </c>
      <c r="Z50" s="446" t="n">
        <f aca="false">+Y50/Y$8</f>
        <v>1.125</v>
      </c>
      <c r="AA50" s="438"/>
      <c r="AB50" s="445" t="n">
        <f aca="false">+X50+T50</f>
        <v>177987.375</v>
      </c>
      <c r="AC50" s="447" t="n">
        <f aca="false">+AB50/AB$7</f>
        <v>1338.25093984962</v>
      </c>
      <c r="AD50" s="446" t="n">
        <f aca="false">+AC50/AC$8</f>
        <v>1.11613923256849</v>
      </c>
      <c r="AE50" s="438"/>
      <c r="AF50" s="442"/>
      <c r="AG50" s="443"/>
      <c r="AH50" s="124" t="s">
        <v>560</v>
      </c>
      <c r="AI50" s="436" t="n">
        <f aca="false">AJ50/$AJ$48</f>
        <v>-0.143902589538258</v>
      </c>
      <c r="AJ50" s="124" t="n">
        <f aca="false">-AJ42</f>
        <v>-1894170</v>
      </c>
      <c r="AK50" s="438" t="n">
        <f aca="false">AJ50/AK$7</f>
        <v>-14241.8796992481</v>
      </c>
      <c r="AL50" s="461" t="n">
        <f aca="false">AK50/AL$7</f>
        <v>-0.0893092595913143</v>
      </c>
    </row>
    <row r="51" customFormat="false" ht="12.75" hidden="false" customHeight="false" outlineLevel="0" collapsed="false">
      <c r="A51" s="123" t="s">
        <v>231</v>
      </c>
      <c r="B51" s="124" t="s">
        <v>232</v>
      </c>
      <c r="C51" s="435" t="n">
        <v>0.4</v>
      </c>
      <c r="D51" s="436" t="n">
        <f aca="false">L51/$L$88</f>
        <v>0.0159310821386681</v>
      </c>
      <c r="E51" s="437" t="s">
        <v>479</v>
      </c>
      <c r="F51" s="437" t="s">
        <v>479</v>
      </c>
      <c r="G51" s="449"/>
      <c r="H51" s="437" t="s">
        <v>479</v>
      </c>
      <c r="I51" s="437" t="s">
        <v>479</v>
      </c>
      <c r="J51" s="450" t="s">
        <v>479</v>
      </c>
      <c r="K51" s="437" t="s">
        <v>479</v>
      </c>
      <c r="L51" s="438" t="n">
        <f aca="false">M51*TRUnits</f>
        <v>11200</v>
      </c>
      <c r="M51" s="438" t="n">
        <f aca="false">1600/2</f>
        <v>800</v>
      </c>
      <c r="N51" s="439" t="n">
        <f aca="false">M51/1376</f>
        <v>0.581395348837209</v>
      </c>
      <c r="O51" s="439"/>
      <c r="P51" s="445" t="n">
        <f aca="false">Q51*P$7</f>
        <v>1347.75</v>
      </c>
      <c r="Q51" s="445" t="n">
        <f aca="false">1*Q$8*CMF</f>
        <v>1347.75</v>
      </c>
      <c r="R51" s="446" t="n">
        <f aca="false">+Q51/Q$8</f>
        <v>1.125</v>
      </c>
      <c r="S51" s="438"/>
      <c r="T51" s="445" t="n">
        <f aca="false">U51*T$7</f>
        <v>89667</v>
      </c>
      <c r="U51" s="445" t="n">
        <f aca="false">1*U$8*CMF</f>
        <v>1245.375</v>
      </c>
      <c r="V51" s="446" t="n">
        <f aca="false">+U51/U$8</f>
        <v>1.125</v>
      </c>
      <c r="W51" s="438"/>
      <c r="X51" s="445" t="n">
        <f aca="false">Y51*X$7</f>
        <v>88320.375</v>
      </c>
      <c r="Y51" s="445" t="n">
        <f aca="false">1*Y$8*CMF</f>
        <v>1447.875</v>
      </c>
      <c r="Z51" s="446" t="n">
        <f aca="false">+Y51/Y$8</f>
        <v>1.125</v>
      </c>
      <c r="AA51" s="438"/>
      <c r="AB51" s="445" t="n">
        <f aca="false">+X51+T51</f>
        <v>177987.375</v>
      </c>
      <c r="AC51" s="447" t="n">
        <f aca="false">+AB51/AB$7</f>
        <v>1338.25093984962</v>
      </c>
      <c r="AD51" s="446" t="n">
        <f aca="false">+AC51/AC$8</f>
        <v>1.11613923256849</v>
      </c>
      <c r="AE51" s="438"/>
      <c r="AF51" s="442"/>
      <c r="AG51" s="443"/>
      <c r="AH51" s="124" t="s">
        <v>561</v>
      </c>
      <c r="AI51" s="436" t="n">
        <f aca="false">AJ51/$AJ$48</f>
        <v>-0.0280442233065128</v>
      </c>
      <c r="AJ51" s="124" t="n">
        <f aca="false">-AJ41</f>
        <v>-369142.255403087</v>
      </c>
      <c r="AK51" s="438" t="n">
        <f aca="false">AJ51/AK$7</f>
        <v>-2775.50567972246</v>
      </c>
      <c r="AL51" s="461" t="n">
        <f aca="false">AK51/AL$7</f>
        <v>-0.0174048905398763</v>
      </c>
    </row>
    <row r="52" customFormat="false" ht="12" hidden="false" customHeight="false" outlineLevel="0" collapsed="false">
      <c r="A52" s="123" t="s">
        <v>233</v>
      </c>
      <c r="B52" s="427" t="s">
        <v>234</v>
      </c>
      <c r="C52" s="435"/>
      <c r="D52" s="436" t="n">
        <f aca="false">L52/$L$88</f>
        <v>0.00959051144747821</v>
      </c>
      <c r="E52" s="437" t="s">
        <v>479</v>
      </c>
      <c r="F52" s="437" t="s">
        <v>479</v>
      </c>
      <c r="G52" s="437" t="s">
        <v>479</v>
      </c>
      <c r="H52" s="437" t="s">
        <v>479</v>
      </c>
      <c r="I52" s="437" t="s">
        <v>479</v>
      </c>
      <c r="J52" s="437" t="s">
        <v>479</v>
      </c>
      <c r="K52" s="437" t="s">
        <v>479</v>
      </c>
      <c r="L52" s="438" t="n">
        <f aca="false">M52*TRUnits</f>
        <v>6742.4</v>
      </c>
      <c r="M52" s="438" t="n">
        <f aca="false">(1376*0.7)/2</f>
        <v>481.6</v>
      </c>
      <c r="N52" s="439" t="n">
        <f aca="false">M52/1376</f>
        <v>0.35</v>
      </c>
      <c r="O52" s="439"/>
      <c r="P52" s="445" t="n">
        <f aca="false">Q52*P$7</f>
        <v>1145.5875</v>
      </c>
      <c r="Q52" s="445" t="n">
        <f aca="false">Q$8*0.85*CMF</f>
        <v>1145.5875</v>
      </c>
      <c r="R52" s="446" t="n">
        <f aca="false">+Q52/Q$8</f>
        <v>0.95625</v>
      </c>
      <c r="S52" s="438"/>
      <c r="T52" s="445" t="n">
        <f aca="false">U52*T$7</f>
        <v>76216.95</v>
      </c>
      <c r="U52" s="445" t="n">
        <f aca="false">U$8*0.85*CMF</f>
        <v>1058.56875</v>
      </c>
      <c r="V52" s="446" t="n">
        <f aca="false">+U52/U$8</f>
        <v>0.95625</v>
      </c>
      <c r="W52" s="438"/>
      <c r="X52" s="445" t="n">
        <f aca="false">Y52*X$7</f>
        <v>75072.31875</v>
      </c>
      <c r="Y52" s="445" t="n">
        <f aca="false">Y$8*0.85*CMF</f>
        <v>1230.69375</v>
      </c>
      <c r="Z52" s="446" t="n">
        <f aca="false">+Y52/Y$8</f>
        <v>0.95625</v>
      </c>
      <c r="AA52" s="438"/>
      <c r="AB52" s="445" t="n">
        <f aca="false">+X52+T52</f>
        <v>151289.26875</v>
      </c>
      <c r="AC52" s="447" t="n">
        <f aca="false">+AB52/AB$7</f>
        <v>1137.51329887218</v>
      </c>
      <c r="AD52" s="446" t="n">
        <f aca="false">+AC52/AC$8</f>
        <v>0.94871834768322</v>
      </c>
      <c r="AE52" s="438"/>
      <c r="AF52" s="442"/>
      <c r="AG52" s="443"/>
      <c r="AH52" s="124" t="s">
        <v>557</v>
      </c>
      <c r="AI52" s="436" t="n">
        <f aca="false">AJ52/$AJ$48</f>
        <v>-0.0309263331506356</v>
      </c>
      <c r="AJ52" s="124" t="n">
        <f aca="false">-AJ46</f>
        <v>-407079.071001466</v>
      </c>
      <c r="AK52" s="438" t="n">
        <f aca="false">AJ52/AK$7</f>
        <v>-3060.74489474786</v>
      </c>
      <c r="AL52" s="461" t="n">
        <f aca="false">AK52/AL$7</f>
        <v>-0.0191935942530296</v>
      </c>
    </row>
    <row r="53" customFormat="false" ht="12" hidden="false" customHeight="false" outlineLevel="0" collapsed="false">
      <c r="A53" s="123" t="s">
        <v>235</v>
      </c>
      <c r="B53" s="427" t="s">
        <v>236</v>
      </c>
      <c r="C53" s="435"/>
      <c r="E53" s="437"/>
      <c r="F53" s="437"/>
      <c r="G53" s="437"/>
      <c r="H53" s="437"/>
      <c r="I53" s="437"/>
      <c r="K53" s="437"/>
      <c r="L53" s="438"/>
      <c r="M53" s="438"/>
      <c r="N53" s="439"/>
      <c r="O53" s="439"/>
      <c r="P53" s="445"/>
      <c r="Q53" s="445"/>
      <c r="R53" s="446"/>
      <c r="S53" s="438"/>
      <c r="T53" s="445"/>
      <c r="U53" s="445"/>
      <c r="V53" s="446"/>
      <c r="W53" s="438"/>
      <c r="X53" s="445"/>
      <c r="Y53" s="445"/>
      <c r="Z53" s="446"/>
      <c r="AA53" s="438"/>
      <c r="AB53" s="445"/>
      <c r="AC53" s="447" t="s">
        <v>548</v>
      </c>
      <c r="AD53" s="446"/>
      <c r="AE53" s="438"/>
      <c r="AF53" s="442"/>
      <c r="AG53" s="443"/>
      <c r="AH53" s="124" t="s">
        <v>15</v>
      </c>
      <c r="AI53" s="436" t="n">
        <f aca="false">AJ53/$AJ$48</f>
        <v>-0.10800693745503</v>
      </c>
      <c r="AJ53" s="124" t="n">
        <f aca="false">-AJ47</f>
        <v>-1421680.46715242</v>
      </c>
      <c r="AK53" s="438" t="n">
        <f aca="false">AJ53/AK$7</f>
        <v>-10689.3268206949</v>
      </c>
      <c r="AL53" s="461" t="n">
        <f aca="false">AK53/AL$7</f>
        <v>-0.0670315916189235</v>
      </c>
    </row>
    <row r="54" customFormat="false" ht="12.75" hidden="false" customHeight="false" outlineLevel="0" collapsed="false">
      <c r="A54" s="123" t="s">
        <v>235</v>
      </c>
      <c r="B54" s="124" t="s">
        <v>237</v>
      </c>
      <c r="C54" s="435"/>
      <c r="D54" s="436" t="n">
        <f aca="false">L54/$L$88</f>
        <v>0.029069246439901</v>
      </c>
      <c r="E54" s="437" t="s">
        <v>479</v>
      </c>
      <c r="F54" s="437" t="s">
        <v>479</v>
      </c>
      <c r="G54" s="437" t="s">
        <v>479</v>
      </c>
      <c r="H54" s="437" t="s">
        <v>479</v>
      </c>
      <c r="I54" s="437" t="s">
        <v>479</v>
      </c>
      <c r="J54" s="437" t="s">
        <v>479</v>
      </c>
      <c r="K54" s="437" t="s">
        <v>479</v>
      </c>
      <c r="L54" s="438" t="n">
        <f aca="false">7*M54</f>
        <v>20436.5</v>
      </c>
      <c r="M54" s="438" t="n">
        <f aca="false">(2739+(21700/7))/2</f>
        <v>2919.5</v>
      </c>
      <c r="N54" s="439" t="n">
        <f aca="false">M54/1376</f>
        <v>2.12172965116279</v>
      </c>
      <c r="O54" s="439"/>
      <c r="P54" s="445" t="n">
        <f aca="false">Q54*P$7</f>
        <v>2859.56113735465</v>
      </c>
      <c r="Q54" s="445" t="n">
        <f aca="false">Q$8*$N54*CMF</f>
        <v>2859.56113735465</v>
      </c>
      <c r="R54" s="446" t="n">
        <f aca="false">+Q54/Q$8</f>
        <v>2.38694585755814</v>
      </c>
      <c r="S54" s="438"/>
      <c r="T54" s="445" t="n">
        <f aca="false">U54*T$7</f>
        <v>190249.132630814</v>
      </c>
      <c r="U54" s="445" t="n">
        <f aca="false">U$8*$N54*CMF</f>
        <v>2642.34906431686</v>
      </c>
      <c r="V54" s="446" t="n">
        <f aca="false">+U54/U$8</f>
        <v>2.38694585755814</v>
      </c>
      <c r="W54" s="438"/>
      <c r="X54" s="445" t="n">
        <f aca="false">Y54*X$7</f>
        <v>187391.958439317</v>
      </c>
      <c r="Y54" s="445" t="n">
        <f aca="false">Y$8*$N54*CMF</f>
        <v>3071.99931867733</v>
      </c>
      <c r="Z54" s="446" t="n">
        <f aca="false">+Y54/Y$8</f>
        <v>2.38694585755814</v>
      </c>
      <c r="AA54" s="438"/>
      <c r="AB54" s="445" t="n">
        <f aca="false">+X54+T54</f>
        <v>377641.091070131</v>
      </c>
      <c r="AC54" s="447" t="n">
        <f aca="false">+AB54/AB$7</f>
        <v>2839.40669977542</v>
      </c>
      <c r="AD54" s="446" t="n">
        <f aca="false">+AC54/AC$8</f>
        <v>2.36814570456666</v>
      </c>
      <c r="AE54" s="438"/>
      <c r="AF54" s="442"/>
      <c r="AG54" s="443"/>
      <c r="AH54" s="457" t="s">
        <v>562</v>
      </c>
      <c r="AI54" s="458" t="n">
        <f aca="false">AJ54/$AJ$48</f>
        <v>0.689119916549563</v>
      </c>
      <c r="AJ54" s="459" t="n">
        <f aca="false">SUM(AJ48:AJ53)</f>
        <v>9070790.71001466</v>
      </c>
      <c r="AK54" s="459" t="n">
        <f aca="false">+AJ54/AK$7</f>
        <v>68201.4339098847</v>
      </c>
      <c r="AL54" s="460" t="n">
        <f aca="false">+AJ54/AL$7</f>
        <v>56.8819298664593</v>
      </c>
    </row>
    <row r="55" customFormat="false" ht="13.5" hidden="false" customHeight="false" outlineLevel="0" collapsed="false">
      <c r="A55" s="123" t="s">
        <v>235</v>
      </c>
      <c r="B55" s="124" t="s">
        <v>238</v>
      </c>
      <c r="C55" s="435"/>
      <c r="D55" s="436" t="n">
        <f aca="false">L55/$L$88</f>
        <v>0.0201627758317518</v>
      </c>
      <c r="E55" s="437" t="s">
        <v>479</v>
      </c>
      <c r="F55" s="437" t="s">
        <v>479</v>
      </c>
      <c r="G55" s="450" t="s">
        <v>479</v>
      </c>
      <c r="H55" s="437" t="s">
        <v>479</v>
      </c>
      <c r="I55" s="437" t="s">
        <v>479</v>
      </c>
      <c r="J55" s="450" t="s">
        <v>479</v>
      </c>
      <c r="K55" s="450" t="s">
        <v>479</v>
      </c>
      <c r="L55" s="438" t="n">
        <f aca="false">7*M55</f>
        <v>14175</v>
      </c>
      <c r="M55" s="438" t="n">
        <f aca="false">4050/2</f>
        <v>2025</v>
      </c>
      <c r="N55" s="439" t="n">
        <f aca="false">M55/1376</f>
        <v>1.47165697674419</v>
      </c>
      <c r="O55" s="439"/>
      <c r="P55" s="445" t="n">
        <f aca="false">Q55*P$7</f>
        <v>1983.42569040698</v>
      </c>
      <c r="Q55" s="445" t="n">
        <f aca="false">Q$8*$N55*CMF</f>
        <v>1983.42569040698</v>
      </c>
      <c r="R55" s="446" t="n">
        <f aca="false">+Q55/Q$8</f>
        <v>1.65561409883721</v>
      </c>
      <c r="S55" s="438"/>
      <c r="T55" s="445" t="n">
        <f aca="false">U55*T$7</f>
        <v>131959.066133721</v>
      </c>
      <c r="U55" s="445" t="n">
        <f aca="false">U$8*$N55*CMF</f>
        <v>1832.76480741279</v>
      </c>
      <c r="V55" s="446" t="n">
        <f aca="false">+U55/U$8</f>
        <v>1.65561409883721</v>
      </c>
      <c r="W55" s="438"/>
      <c r="X55" s="445" t="n">
        <f aca="false">Y55*X$7</f>
        <v>129977.296057413</v>
      </c>
      <c r="Y55" s="445" t="n">
        <f aca="false">Y$8*$N55*CMF</f>
        <v>2130.77534520349</v>
      </c>
      <c r="Z55" s="446" t="n">
        <f aca="false">+Y55/Y$8</f>
        <v>1.65561409883721</v>
      </c>
      <c r="AA55" s="438"/>
      <c r="AB55" s="445" t="n">
        <f aca="false">+X55+T55</f>
        <v>261936.362191134</v>
      </c>
      <c r="AC55" s="447" t="n">
        <f aca="false">+AB55/AB$7</f>
        <v>1969.44633226416</v>
      </c>
      <c r="AD55" s="446" t="n">
        <f aca="false">+AC55/AC$8</f>
        <v>1.64257408862733</v>
      </c>
      <c r="AE55" s="438"/>
      <c r="AF55" s="442"/>
      <c r="AG55" s="443"/>
    </row>
    <row r="56" customFormat="false" ht="12.75" hidden="false" customHeight="false" outlineLevel="0" collapsed="false">
      <c r="A56" s="123" t="s">
        <v>239</v>
      </c>
      <c r="B56" s="462" t="s">
        <v>240</v>
      </c>
      <c r="C56" s="435"/>
      <c r="D56" s="436" t="n">
        <f aca="false">L56/$L$88</f>
        <v>0.00363427811288367</v>
      </c>
      <c r="E56" s="437" t="s">
        <v>479</v>
      </c>
      <c r="F56" s="437" t="s">
        <v>479</v>
      </c>
      <c r="G56" s="449"/>
      <c r="H56" s="437" t="s">
        <v>479</v>
      </c>
      <c r="I56" s="437" t="s">
        <v>479</v>
      </c>
      <c r="J56" s="450" t="s">
        <v>479</v>
      </c>
      <c r="K56" s="450" t="s">
        <v>479</v>
      </c>
      <c r="L56" s="438" t="n">
        <f aca="false">7*M56</f>
        <v>2555</v>
      </c>
      <c r="M56" s="438" t="n">
        <f aca="false">730/2</f>
        <v>365</v>
      </c>
      <c r="N56" s="439" t="n">
        <f aca="false">M56/1376</f>
        <v>0.265261627906977</v>
      </c>
      <c r="O56" s="439"/>
      <c r="P56" s="445" t="n">
        <f aca="false">Q56*P$7</f>
        <v>225</v>
      </c>
      <c r="Q56" s="445" t="n">
        <f aca="false">200*CMF</f>
        <v>225</v>
      </c>
      <c r="R56" s="446" t="n">
        <f aca="false">+Q56/Q$8</f>
        <v>0.187813021702838</v>
      </c>
      <c r="S56" s="438"/>
      <c r="T56" s="445" t="n">
        <f aca="false">U56*T$7</f>
        <v>0</v>
      </c>
      <c r="U56" s="445" t="n">
        <v>0</v>
      </c>
      <c r="V56" s="446" t="n">
        <f aca="false">+U56/U$8</f>
        <v>0</v>
      </c>
      <c r="W56" s="438"/>
      <c r="X56" s="445" t="n">
        <f aca="false">Y56*X$7</f>
        <v>13725</v>
      </c>
      <c r="Y56" s="445" t="n">
        <f aca="false">200*CMF</f>
        <v>225</v>
      </c>
      <c r="Z56" s="446" t="n">
        <f aca="false">+Y56/Y$8</f>
        <v>0.174825174825175</v>
      </c>
      <c r="AA56" s="438"/>
      <c r="AB56" s="445" t="n">
        <f aca="false">+X56+T56</f>
        <v>13725</v>
      </c>
      <c r="AC56" s="447" t="n">
        <f aca="false">+AB56/AB$7</f>
        <v>103.195488721805</v>
      </c>
      <c r="AD56" s="446" t="n">
        <f aca="false">+AC56/AC$8</f>
        <v>0.0860679639047577</v>
      </c>
      <c r="AE56" s="438"/>
      <c r="AF56" s="442"/>
      <c r="AG56" s="443"/>
      <c r="AJ56" s="124" t="n">
        <f aca="false">0.75*AJ48</f>
        <v>9872146.87767872</v>
      </c>
    </row>
    <row r="57" customFormat="false" ht="12.75" hidden="false" customHeight="false" outlineLevel="0" collapsed="false">
      <c r="A57" s="123" t="s">
        <v>239</v>
      </c>
      <c r="B57" s="427" t="s">
        <v>245</v>
      </c>
      <c r="C57" s="435"/>
      <c r="D57" s="436"/>
      <c r="E57" s="437"/>
      <c r="F57" s="437"/>
      <c r="G57" s="437"/>
      <c r="H57" s="437"/>
      <c r="I57" s="437"/>
      <c r="J57" s="437"/>
      <c r="K57" s="437"/>
      <c r="L57" s="438"/>
      <c r="M57" s="463"/>
      <c r="N57" s="439"/>
      <c r="O57" s="439"/>
      <c r="P57" s="445"/>
      <c r="Q57" s="445"/>
      <c r="R57" s="446"/>
      <c r="S57" s="438"/>
      <c r="T57" s="445"/>
      <c r="U57" s="445"/>
      <c r="V57" s="446"/>
      <c r="W57" s="438"/>
      <c r="X57" s="445"/>
      <c r="Y57" s="445"/>
      <c r="Z57" s="446"/>
      <c r="AA57" s="438"/>
      <c r="AB57" s="445"/>
      <c r="AC57" s="447" t="s">
        <v>548</v>
      </c>
      <c r="AD57" s="446"/>
      <c r="AE57" s="438"/>
      <c r="AF57" s="442"/>
      <c r="AG57" s="443"/>
      <c r="AJ57" s="124" t="n">
        <f aca="false">+AJ48-AJ56</f>
        <v>3290715.62589291</v>
      </c>
    </row>
    <row r="58" customFormat="false" ht="12.75" hidden="false" customHeight="false" outlineLevel="0" collapsed="false">
      <c r="A58" s="123" t="s">
        <v>239</v>
      </c>
      <c r="B58" s="124" t="s">
        <v>246</v>
      </c>
      <c r="C58" s="435"/>
      <c r="D58" s="436" t="n">
        <f aca="false">L58/$L$88</f>
        <v>0.00734323317329234</v>
      </c>
      <c r="E58" s="437" t="s">
        <v>479</v>
      </c>
      <c r="F58" s="437" t="s">
        <v>479</v>
      </c>
      <c r="G58" s="449"/>
      <c r="H58" s="437" t="s">
        <v>479</v>
      </c>
      <c r="I58" s="437" t="s">
        <v>479</v>
      </c>
      <c r="J58" s="450" t="s">
        <v>479</v>
      </c>
      <c r="K58" s="450" t="s">
        <v>479</v>
      </c>
      <c r="L58" s="438" t="n">
        <f aca="false">7*M58</f>
        <v>5162.5</v>
      </c>
      <c r="M58" s="438" t="n">
        <f aca="false">1475/2</f>
        <v>737.5</v>
      </c>
      <c r="N58" s="439" t="n">
        <f aca="false">M58/1376</f>
        <v>0.535973837209302</v>
      </c>
      <c r="O58" s="439"/>
      <c r="P58" s="445" t="n">
        <f aca="false">Q58*P$7</f>
        <v>1012.5</v>
      </c>
      <c r="Q58" s="445" t="n">
        <f aca="false">12*75*CMF</f>
        <v>1012.5</v>
      </c>
      <c r="R58" s="446" t="n">
        <f aca="false">+Q58/Q$8</f>
        <v>0.845158597662771</v>
      </c>
      <c r="S58" s="438"/>
      <c r="T58" s="445" t="n">
        <f aca="false">U58*T$7</f>
        <v>72900</v>
      </c>
      <c r="U58" s="445" t="n">
        <f aca="false">12*75*CMF</f>
        <v>1012.5</v>
      </c>
      <c r="V58" s="446" t="n">
        <f aca="false">+U58/U$8</f>
        <v>0.914634146341463</v>
      </c>
      <c r="W58" s="438"/>
      <c r="X58" s="445" t="n">
        <f aca="false">Y58*X$7</f>
        <v>61762.5</v>
      </c>
      <c r="Y58" s="445" t="n">
        <f aca="false">12*75*CMF</f>
        <v>1012.5</v>
      </c>
      <c r="Z58" s="446" t="n">
        <f aca="false">+Y58/Y$8</f>
        <v>0.786713286713287</v>
      </c>
      <c r="AA58" s="438"/>
      <c r="AB58" s="445" t="n">
        <f aca="false">+X58+T58</f>
        <v>134662.5</v>
      </c>
      <c r="AC58" s="447" t="n">
        <f aca="false">+AB58/AB$7</f>
        <v>1012.5</v>
      </c>
      <c r="AD58" s="446" t="n">
        <f aca="false">+AC58/AC$8</f>
        <v>0.844453711426189</v>
      </c>
      <c r="AE58" s="438"/>
      <c r="AF58" s="442"/>
      <c r="AG58" s="443"/>
      <c r="AI58" s="436"/>
      <c r="AJ58" s="444" t="n">
        <f aca="false">AJ57-AJ47-AJ46</f>
        <v>1461956.08773902</v>
      </c>
    </row>
    <row r="59" customFormat="false" ht="12.75" hidden="false" customHeight="false" outlineLevel="0" collapsed="false">
      <c r="A59" s="123" t="s">
        <v>239</v>
      </c>
      <c r="B59" s="124" t="s">
        <v>247</v>
      </c>
      <c r="C59" s="435"/>
      <c r="D59" s="436" t="n">
        <f aca="false">L59/$L$88</f>
        <v>0.00629775590794224</v>
      </c>
      <c r="E59" s="437" t="s">
        <v>479</v>
      </c>
      <c r="F59" s="437" t="s">
        <v>479</v>
      </c>
      <c r="G59" s="449"/>
      <c r="H59" s="437" t="s">
        <v>479</v>
      </c>
      <c r="I59" s="437" t="s">
        <v>479</v>
      </c>
      <c r="J59" s="450" t="s">
        <v>479</v>
      </c>
      <c r="K59" s="450" t="s">
        <v>479</v>
      </c>
      <c r="L59" s="438" t="n">
        <f aca="false">7*M59</f>
        <v>4427.5</v>
      </c>
      <c r="M59" s="438" t="n">
        <f aca="false">1265/2</f>
        <v>632.5</v>
      </c>
      <c r="N59" s="439" t="n">
        <f aca="false">M59/1376</f>
        <v>0.459665697674419</v>
      </c>
      <c r="O59" s="439"/>
      <c r="P59" s="445" t="n">
        <f aca="false">Q59*P$7</f>
        <v>619.514444040698</v>
      </c>
      <c r="Q59" s="445" t="n">
        <f aca="false">Q$8*$N59*CMF</f>
        <v>619.514444040698</v>
      </c>
      <c r="R59" s="446" t="n">
        <f aca="false">+Q59/Q$8</f>
        <v>0.517123909883721</v>
      </c>
      <c r="S59" s="438"/>
      <c r="T59" s="445" t="n">
        <f aca="false">U59*T$7</f>
        <v>41216.8441133721</v>
      </c>
      <c r="U59" s="445" t="n">
        <f aca="false">U$8*$N59*CMF</f>
        <v>572.456168241279</v>
      </c>
      <c r="V59" s="446" t="n">
        <f aca="false">+U59/U$8</f>
        <v>0.517123909883721</v>
      </c>
      <c r="W59" s="438"/>
      <c r="X59" s="445" t="n">
        <f aca="false">Y59*X$7</f>
        <v>40597.8467932413</v>
      </c>
      <c r="Y59" s="445" t="n">
        <f aca="false">Y$8*$N59*CMF</f>
        <v>665.538472020349</v>
      </c>
      <c r="Z59" s="446" t="n">
        <f aca="false">+Y59/Y$8</f>
        <v>0.517123909883721</v>
      </c>
      <c r="AA59" s="438"/>
      <c r="AB59" s="445" t="n">
        <f aca="false">+X59+T59</f>
        <v>81814.6909066134</v>
      </c>
      <c r="AC59" s="447" t="n">
        <f aca="false">+AB59/AB$7</f>
        <v>615.148051929424</v>
      </c>
      <c r="AD59" s="446" t="n">
        <f aca="false">+AC59/AC$8</f>
        <v>0.513050919040387</v>
      </c>
      <c r="AE59" s="438"/>
      <c r="AF59" s="442"/>
      <c r="AG59" s="443"/>
      <c r="AI59" s="436"/>
      <c r="AJ59" s="444"/>
    </row>
    <row r="60" customFormat="false" ht="12.75" hidden="false" customHeight="false" outlineLevel="0" collapsed="false">
      <c r="A60" s="123" t="s">
        <v>239</v>
      </c>
      <c r="B60" s="124" t="s">
        <v>219</v>
      </c>
      <c r="C60" s="435"/>
      <c r="D60" s="436" t="n">
        <f aca="false">L60/$L$88</f>
        <v>0.00620814357091223</v>
      </c>
      <c r="E60" s="437" t="s">
        <v>479</v>
      </c>
      <c r="F60" s="437" t="s">
        <v>479</v>
      </c>
      <c r="G60" s="449"/>
      <c r="H60" s="437" t="s">
        <v>479</v>
      </c>
      <c r="I60" s="437" t="s">
        <v>479</v>
      </c>
      <c r="J60" s="450" t="s">
        <v>479</v>
      </c>
      <c r="K60" s="450" t="s">
        <v>479</v>
      </c>
      <c r="L60" s="438" t="n">
        <f aca="false">7*M60</f>
        <v>4364.5</v>
      </c>
      <c r="M60" s="438" t="n">
        <f aca="false">1247/2</f>
        <v>623.5</v>
      </c>
      <c r="N60" s="439" t="n">
        <f aca="false">M60/1376</f>
        <v>0.453125</v>
      </c>
      <c r="O60" s="439"/>
      <c r="P60" s="445" t="n">
        <f aca="false">Q60*P$7</f>
        <v>610.69921875</v>
      </c>
      <c r="Q60" s="445" t="n">
        <f aca="false">Q$8*$N60*CMF</f>
        <v>610.69921875</v>
      </c>
      <c r="R60" s="446" t="n">
        <f aca="false">+Q60/Q$8</f>
        <v>0.509765625</v>
      </c>
      <c r="S60" s="438"/>
      <c r="T60" s="445" t="n">
        <f aca="false">U60*T$7</f>
        <v>40630.359375</v>
      </c>
      <c r="U60" s="445" t="n">
        <f aca="false">U$8*$N60*CMF</f>
        <v>564.310546875</v>
      </c>
      <c r="V60" s="446" t="n">
        <f aca="false">+U60/U$8</f>
        <v>0.509765625</v>
      </c>
      <c r="W60" s="438"/>
      <c r="X60" s="445" t="n">
        <f aca="false">Y60*X$7</f>
        <v>40020.169921875</v>
      </c>
      <c r="Y60" s="445" t="n">
        <f aca="false">Y$8*$N60*CMF</f>
        <v>656.068359375</v>
      </c>
      <c r="Z60" s="446" t="n">
        <f aca="false">+Y60/Y$8</f>
        <v>0.509765625</v>
      </c>
      <c r="AA60" s="438"/>
      <c r="AB60" s="445" t="n">
        <f aca="false">+X60+T60</f>
        <v>80650.529296875</v>
      </c>
      <c r="AC60" s="447" t="n">
        <f aca="false">+AB60/AB$7</f>
        <v>606.394957119361</v>
      </c>
      <c r="AD60" s="446" t="n">
        <f aca="false">+AC60/AC$8</f>
        <v>0.505750589757599</v>
      </c>
      <c r="AE60" s="438"/>
      <c r="AF60" s="442"/>
      <c r="AG60" s="443"/>
      <c r="AI60" s="436"/>
      <c r="AJ60" s="438" t="n">
        <f aca="false">X7</f>
        <v>61</v>
      </c>
      <c r="AK60" s="124" t="n">
        <f aca="false">475*3</f>
        <v>1425</v>
      </c>
      <c r="AL60" s="124" t="n">
        <f aca="false">AK60*AJ60</f>
        <v>86925</v>
      </c>
      <c r="AN60" s="441" t="n">
        <f aca="false">AK60/AC$8</f>
        <v>1.1884904086739</v>
      </c>
    </row>
    <row r="61" customFormat="false" ht="12" hidden="false" customHeight="false" outlineLevel="0" collapsed="false">
      <c r="B61" s="427" t="s">
        <v>248</v>
      </c>
      <c r="C61" s="435"/>
      <c r="D61" s="436" t="n">
        <f aca="false">L61/$L$88</f>
        <v>0</v>
      </c>
      <c r="E61" s="437"/>
      <c r="F61" s="437"/>
      <c r="G61" s="437"/>
      <c r="H61" s="437"/>
      <c r="I61" s="437"/>
      <c r="J61" s="437"/>
      <c r="K61" s="437"/>
      <c r="L61" s="438"/>
      <c r="M61" s="438"/>
      <c r="N61" s="439"/>
      <c r="O61" s="439"/>
      <c r="P61" s="445"/>
      <c r="Q61" s="445"/>
      <c r="R61" s="446"/>
      <c r="S61" s="438"/>
      <c r="T61" s="445"/>
      <c r="U61" s="445"/>
      <c r="V61" s="446"/>
      <c r="W61" s="438"/>
      <c r="X61" s="445"/>
      <c r="Y61" s="445"/>
      <c r="Z61" s="446"/>
      <c r="AA61" s="438"/>
      <c r="AB61" s="445"/>
      <c r="AC61" s="447" t="s">
        <v>548</v>
      </c>
      <c r="AD61" s="446"/>
      <c r="AE61" s="438"/>
      <c r="AF61" s="442"/>
      <c r="AG61" s="443"/>
      <c r="AI61" s="436"/>
      <c r="AJ61" s="438" t="n">
        <f aca="false">T7</f>
        <v>72</v>
      </c>
      <c r="AK61" s="124" t="n">
        <v>1200</v>
      </c>
      <c r="AL61" s="124" t="n">
        <f aca="false">AK61*AJ61</f>
        <v>86400</v>
      </c>
      <c r="AN61" s="441" t="n">
        <f aca="false">AK61/U$8</f>
        <v>1.0840108401084</v>
      </c>
    </row>
    <row r="62" customFormat="false" ht="12.75" hidden="false" customHeight="false" outlineLevel="0" collapsed="false">
      <c r="A62" s="123" t="s">
        <v>249</v>
      </c>
      <c r="B62" s="124" t="s">
        <v>250</v>
      </c>
      <c r="C62" s="435"/>
      <c r="D62" s="436" t="n">
        <f aca="false">L62/$L$88</f>
        <v>0.0113260037079594</v>
      </c>
      <c r="E62" s="437" t="s">
        <v>479</v>
      </c>
      <c r="F62" s="437" t="s">
        <v>479</v>
      </c>
      <c r="G62" s="437" t="s">
        <v>479</v>
      </c>
      <c r="H62" s="437" t="s">
        <v>479</v>
      </c>
      <c r="I62" s="437" t="s">
        <v>479</v>
      </c>
      <c r="J62" s="437" t="s">
        <v>479</v>
      </c>
      <c r="K62" s="437" t="s">
        <v>479</v>
      </c>
      <c r="L62" s="438" t="n">
        <f aca="false">7*M62</f>
        <v>7962.5</v>
      </c>
      <c r="M62" s="438" t="n">
        <f aca="false">2275/2</f>
        <v>1137.5</v>
      </c>
      <c r="N62" s="439" t="n">
        <f aca="false">M62/1376</f>
        <v>0.826671511627907</v>
      </c>
      <c r="O62" s="439"/>
      <c r="P62" s="445" t="n">
        <f aca="false">Q62*P$7</f>
        <v>1003.7671875</v>
      </c>
      <c r="Q62" s="445" t="n">
        <f aca="false">1.75*R$8*0.33*CMF</f>
        <v>1003.7671875</v>
      </c>
      <c r="R62" s="446" t="n">
        <f aca="false">+Q62/Q$8</f>
        <v>0.83786910475793</v>
      </c>
      <c r="S62" s="438"/>
      <c r="T62" s="445" t="n">
        <f aca="false">U62*T$7</f>
        <v>74125.1544331395</v>
      </c>
      <c r="U62" s="445" t="n">
        <f aca="false">U$8*$N62*CMF</f>
        <v>1029.5160337936</v>
      </c>
      <c r="V62" s="446" t="n">
        <f aca="false">+U62/U$8</f>
        <v>0.930005450581395</v>
      </c>
      <c r="W62" s="438"/>
      <c r="X62" s="445" t="n">
        <f aca="false">Y62*X$7</f>
        <v>73011.9379087936</v>
      </c>
      <c r="Y62" s="445" t="n">
        <f aca="false">Y$8*$N62*CMF</f>
        <v>1196.91701489826</v>
      </c>
      <c r="Z62" s="446" t="n">
        <f aca="false">+Y62/Y$8</f>
        <v>0.930005450581395</v>
      </c>
      <c r="AA62" s="438"/>
      <c r="AB62" s="445" t="n">
        <f aca="false">+X62+T62</f>
        <v>147137.092341933</v>
      </c>
      <c r="AC62" s="447" t="n">
        <f aca="false">+AB62/AB$7</f>
        <v>1106.29392738296</v>
      </c>
      <c r="AD62" s="446" t="n">
        <f aca="false">+AC62/AC$8</f>
        <v>0.922680506574609</v>
      </c>
      <c r="AE62" s="438"/>
      <c r="AF62" s="442"/>
      <c r="AG62" s="443"/>
      <c r="AI62" s="436"/>
      <c r="AJ62" s="124" t="n">
        <f aca="false">P7</f>
        <v>1</v>
      </c>
      <c r="AK62" s="438" t="n">
        <v>1250</v>
      </c>
      <c r="AL62" s="124" t="n">
        <f aca="false">AK62*AJ62</f>
        <v>1250</v>
      </c>
      <c r="AM62" s="124" t="n">
        <f aca="false">SUM(AL60:AL62)</f>
        <v>174575</v>
      </c>
      <c r="AN62" s="441" t="n">
        <f aca="false">AK62/Q$8</f>
        <v>1.04340567612688</v>
      </c>
    </row>
    <row r="63" customFormat="false" ht="12.75" hidden="false" customHeight="false" outlineLevel="0" collapsed="false">
      <c r="A63" s="123" t="s">
        <v>252</v>
      </c>
      <c r="B63" s="124" t="s">
        <v>253</v>
      </c>
      <c r="C63" s="435"/>
      <c r="D63" s="436" t="n">
        <f aca="false">L63/$L$88</f>
        <v>0.00906080296636749</v>
      </c>
      <c r="E63" s="437" t="s">
        <v>479</v>
      </c>
      <c r="F63" s="437" t="s">
        <v>479</v>
      </c>
      <c r="G63" s="449"/>
      <c r="H63" s="437" t="s">
        <v>479</v>
      </c>
      <c r="I63" s="437" t="s">
        <v>479</v>
      </c>
      <c r="J63" s="450" t="s">
        <v>479</v>
      </c>
      <c r="K63" s="450" t="s">
        <v>479</v>
      </c>
      <c r="L63" s="438" t="n">
        <f aca="false">7*M63</f>
        <v>6370</v>
      </c>
      <c r="M63" s="438" t="n">
        <f aca="false">1820/2</f>
        <v>910</v>
      </c>
      <c r="N63" s="439" t="n">
        <f aca="false">M63/1376</f>
        <v>0.661337209302326</v>
      </c>
      <c r="O63" s="439"/>
      <c r="P63" s="445" t="n">
        <f aca="false">Q63*P$7</f>
        <v>2037.9515625</v>
      </c>
      <c r="Q63" s="445" t="n">
        <f aca="false">1.75*R$8*0.67*CMF</f>
        <v>2037.9515625</v>
      </c>
      <c r="R63" s="446" t="n">
        <f aca="false">+Q63/Q$8</f>
        <v>1.70112818238731</v>
      </c>
      <c r="S63" s="438"/>
      <c r="T63" s="445" t="n">
        <f aca="false">U63*T$7</f>
        <v>59300.1235465116</v>
      </c>
      <c r="U63" s="445" t="n">
        <f aca="false">U$8*$N63*CMF</f>
        <v>823.612827034884</v>
      </c>
      <c r="V63" s="446" t="n">
        <f aca="false">+U63/U$8</f>
        <v>0.744004360465116</v>
      </c>
      <c r="W63" s="438"/>
      <c r="X63" s="445" t="n">
        <f aca="false">Y63*X$7</f>
        <v>58409.5503270349</v>
      </c>
      <c r="Y63" s="445" t="n">
        <f aca="false">Y$8*$N63*CMF</f>
        <v>957.533611918605</v>
      </c>
      <c r="Z63" s="446" t="n">
        <f aca="false">+Y63/Y$8</f>
        <v>0.744004360465116</v>
      </c>
      <c r="AA63" s="438"/>
      <c r="AB63" s="445" t="n">
        <f aca="false">+X63+T63</f>
        <v>117709.673873547</v>
      </c>
      <c r="AC63" s="447" t="n">
        <f aca="false">+AB63/AB$7</f>
        <v>885.035141906365</v>
      </c>
      <c r="AD63" s="446" t="n">
        <f aca="false">+AC63/AC$8</f>
        <v>0.738144405259687</v>
      </c>
      <c r="AE63" s="438"/>
      <c r="AF63" s="442"/>
      <c r="AG63" s="443"/>
      <c r="AI63" s="436"/>
      <c r="AJ63" s="124" t="n">
        <f aca="false">2900000/28</f>
        <v>103571.428571429</v>
      </c>
      <c r="AK63" s="441" t="n">
        <f aca="false">AJ63/1343</f>
        <v>77.1194553770875</v>
      </c>
      <c r="AL63" s="438"/>
    </row>
    <row r="64" customFormat="false" ht="12.75" hidden="false" customHeight="false" outlineLevel="0" collapsed="false">
      <c r="A64" s="123" t="s">
        <v>252</v>
      </c>
      <c r="B64" s="124" t="s">
        <v>254</v>
      </c>
      <c r="C64" s="435"/>
      <c r="D64" s="436" t="n">
        <f aca="false">L64/$L$88</f>
        <v>0.00226520074159187</v>
      </c>
      <c r="E64" s="437" t="s">
        <v>479</v>
      </c>
      <c r="F64" s="437" t="s">
        <v>479</v>
      </c>
      <c r="G64" s="449"/>
      <c r="H64" s="437" t="s">
        <v>479</v>
      </c>
      <c r="I64" s="437" t="s">
        <v>479</v>
      </c>
      <c r="J64" s="450" t="s">
        <v>479</v>
      </c>
      <c r="K64" s="450" t="s">
        <v>479</v>
      </c>
      <c r="L64" s="438" t="n">
        <f aca="false">7*M64</f>
        <v>1592.5</v>
      </c>
      <c r="M64" s="438" t="n">
        <f aca="false">455/2</f>
        <v>227.5</v>
      </c>
      <c r="N64" s="439" t="n">
        <f aca="false">M64/1376</f>
        <v>0.165334302325581</v>
      </c>
      <c r="O64" s="439"/>
      <c r="P64" s="445" t="n">
        <f aca="false">Q64*P$7</f>
        <v>222.829305959302</v>
      </c>
      <c r="Q64" s="445" t="n">
        <f aca="false">Q$8*$N64*CMF</f>
        <v>222.829305959302</v>
      </c>
      <c r="R64" s="446" t="n">
        <f aca="false">+Q64/Q$8</f>
        <v>0.186001090116279</v>
      </c>
      <c r="S64" s="438"/>
      <c r="T64" s="445" t="n">
        <f aca="false">U64*T$7</f>
        <v>14825.0308866279</v>
      </c>
      <c r="U64" s="445" t="n">
        <f aca="false">U$8*$N64*CMF</f>
        <v>205.903206758721</v>
      </c>
      <c r="V64" s="446" t="n">
        <f aca="false">+U64/U$8</f>
        <v>0.186001090116279</v>
      </c>
      <c r="W64" s="438"/>
      <c r="X64" s="445" t="n">
        <f aca="false">Y64*X$7</f>
        <v>14602.3875817587</v>
      </c>
      <c r="Y64" s="445" t="n">
        <f aca="false">Y$8*$N64*CMF</f>
        <v>239.383402979651</v>
      </c>
      <c r="Z64" s="446" t="n">
        <f aca="false">+Y64/Y$8</f>
        <v>0.186001090116279</v>
      </c>
      <c r="AA64" s="438"/>
      <c r="AB64" s="445" t="n">
        <f aca="false">+X64+T64</f>
        <v>29427.4184683866</v>
      </c>
      <c r="AC64" s="447" t="n">
        <f aca="false">+AB64/AB$7</f>
        <v>221.258785476591</v>
      </c>
      <c r="AD64" s="446" t="n">
        <f aca="false">+AC64/AC$8</f>
        <v>0.184536101314922</v>
      </c>
      <c r="AE64" s="438"/>
      <c r="AF64" s="442"/>
      <c r="AG64" s="443"/>
      <c r="AJ64" s="124" t="n">
        <f aca="false">2700000/28</f>
        <v>96428.5714285714</v>
      </c>
      <c r="AK64" s="441" t="n">
        <f aca="false">AJ64/1343</f>
        <v>71.8008722476332</v>
      </c>
    </row>
    <row r="65" customFormat="false" ht="12" hidden="false" customHeight="false" outlineLevel="0" collapsed="false">
      <c r="B65" s="427" t="s">
        <v>255</v>
      </c>
      <c r="C65" s="435"/>
      <c r="D65" s="436"/>
      <c r="E65" s="437"/>
      <c r="F65" s="437"/>
      <c r="G65" s="437"/>
      <c r="H65" s="437"/>
      <c r="I65" s="437"/>
      <c r="J65" s="437"/>
      <c r="K65" s="437"/>
      <c r="L65" s="438"/>
      <c r="M65" s="438"/>
      <c r="N65" s="439" t="n">
        <f aca="false">M65/1376</f>
        <v>0</v>
      </c>
      <c r="O65" s="439"/>
      <c r="P65" s="445"/>
      <c r="Q65" s="445"/>
      <c r="R65" s="446"/>
      <c r="S65" s="438"/>
      <c r="T65" s="445"/>
      <c r="U65" s="445"/>
      <c r="V65" s="446"/>
      <c r="W65" s="438"/>
      <c r="X65" s="445"/>
      <c r="Y65" s="445"/>
      <c r="Z65" s="446"/>
      <c r="AA65" s="438"/>
      <c r="AB65" s="445"/>
      <c r="AC65" s="447" t="s">
        <v>548</v>
      </c>
      <c r="AD65" s="446"/>
      <c r="AE65" s="438"/>
      <c r="AF65" s="442"/>
      <c r="AG65" s="443"/>
    </row>
    <row r="66" customFormat="false" ht="12.75" hidden="false" customHeight="false" outlineLevel="0" collapsed="false">
      <c r="A66" s="123" t="s">
        <v>256</v>
      </c>
      <c r="B66" s="124" t="s">
        <v>257</v>
      </c>
      <c r="C66" s="435"/>
      <c r="D66" s="436" t="n">
        <f aca="false">L66/$L$88</f>
        <v>0.00943916616716086</v>
      </c>
      <c r="E66" s="437" t="s">
        <v>479</v>
      </c>
      <c r="F66" s="437" t="s">
        <v>479</v>
      </c>
      <c r="G66" s="437" t="s">
        <v>479</v>
      </c>
      <c r="H66" s="437" t="s">
        <v>479</v>
      </c>
      <c r="I66" s="437" t="s">
        <v>479</v>
      </c>
      <c r="J66" s="437" t="s">
        <v>479</v>
      </c>
      <c r="K66" s="437" t="s">
        <v>479</v>
      </c>
      <c r="L66" s="438" t="n">
        <f aca="false">7*M66</f>
        <v>6636</v>
      </c>
      <c r="M66" s="438" t="n">
        <f aca="false">1896/2</f>
        <v>948</v>
      </c>
      <c r="N66" s="439" t="n">
        <f aca="false">M66/1376</f>
        <v>0.688953488372093</v>
      </c>
      <c r="O66" s="439"/>
      <c r="P66" s="445" t="n">
        <f aca="false">Q66*P$7</f>
        <v>1237.5</v>
      </c>
      <c r="Q66" s="445" t="n">
        <f aca="false">1100*CMF</f>
        <v>1237.5</v>
      </c>
      <c r="R66" s="446" t="n">
        <f aca="false">+Q66/Q$8</f>
        <v>1.03297161936561</v>
      </c>
      <c r="S66" s="438"/>
      <c r="T66" s="445" t="n">
        <f aca="false">U66*T$7</f>
        <v>89100</v>
      </c>
      <c r="U66" s="445" t="n">
        <f aca="false">1100*CMF</f>
        <v>1237.5</v>
      </c>
      <c r="V66" s="446" t="n">
        <f aca="false">+U66/U$8</f>
        <v>1.11788617886179</v>
      </c>
      <c r="W66" s="438"/>
      <c r="X66" s="445" t="n">
        <f aca="false">Y66*X$7</f>
        <v>75487.5</v>
      </c>
      <c r="Y66" s="445" t="n">
        <f aca="false">1100*CMF</f>
        <v>1237.5</v>
      </c>
      <c r="Z66" s="446" t="n">
        <f aca="false">+Y66/Y$8</f>
        <v>0.961538461538462</v>
      </c>
      <c r="AA66" s="438"/>
      <c r="AB66" s="445" t="n">
        <f aca="false">+X66+T66</f>
        <v>164587.5</v>
      </c>
      <c r="AC66" s="447" t="n">
        <f aca="false">+AB66/AB$7</f>
        <v>1237.5</v>
      </c>
      <c r="AD66" s="446" t="n">
        <f aca="false">+AC66/AC$8</f>
        <v>1.03211009174312</v>
      </c>
      <c r="AE66" s="438"/>
      <c r="AF66" s="442"/>
      <c r="AG66" s="443"/>
      <c r="AJ66" s="464" t="n">
        <f aca="false">0.0725/12</f>
        <v>0.00604166666666667</v>
      </c>
    </row>
    <row r="67" customFormat="false" ht="12.75" hidden="false" customHeight="false" outlineLevel="0" collapsed="false">
      <c r="A67" s="123" t="s">
        <v>256</v>
      </c>
      <c r="B67" s="123" t="s">
        <v>258</v>
      </c>
      <c r="C67" s="435"/>
      <c r="D67" s="436" t="n">
        <f aca="false">L67/$L$88</f>
        <v>0.00588454346497054</v>
      </c>
      <c r="E67" s="437" t="s">
        <v>479</v>
      </c>
      <c r="F67" s="437" t="s">
        <v>479</v>
      </c>
      <c r="G67" s="449"/>
      <c r="H67" s="437" t="s">
        <v>479</v>
      </c>
      <c r="I67" s="437" t="s">
        <v>479</v>
      </c>
      <c r="J67" s="449"/>
      <c r="K67" s="465" t="s">
        <v>405</v>
      </c>
      <c r="L67" s="438" t="n">
        <f aca="false">7*M67</f>
        <v>4137</v>
      </c>
      <c r="M67" s="438" t="n">
        <f aca="false">1182/2</f>
        <v>591</v>
      </c>
      <c r="N67" s="439" t="n">
        <f aca="false">M67/1376</f>
        <v>0.429505813953488</v>
      </c>
      <c r="O67" s="439"/>
      <c r="P67" s="445" t="n">
        <f aca="false">Q67*P$7</f>
        <v>675</v>
      </c>
      <c r="Q67" s="445" t="n">
        <f aca="false">600*CMF</f>
        <v>675</v>
      </c>
      <c r="R67" s="446" t="n">
        <f aca="false">+Q67/Q$8</f>
        <v>0.563439065108514</v>
      </c>
      <c r="S67" s="438"/>
      <c r="T67" s="445" t="n">
        <f aca="false">U67*T$7</f>
        <v>48600</v>
      </c>
      <c r="U67" s="445" t="n">
        <f aca="false">600*CMF</f>
        <v>675</v>
      </c>
      <c r="V67" s="446" t="n">
        <f aca="false">+U67/U$8</f>
        <v>0.609756097560976</v>
      </c>
      <c r="W67" s="438"/>
      <c r="X67" s="445" t="n">
        <f aca="false">Y67*X$7</f>
        <v>41175</v>
      </c>
      <c r="Y67" s="445" t="n">
        <f aca="false">600*CMF</f>
        <v>675</v>
      </c>
      <c r="Z67" s="446" t="n">
        <f aca="false">+Y67/Y$8</f>
        <v>0.524475524475525</v>
      </c>
      <c r="AA67" s="438"/>
      <c r="AB67" s="445" t="n">
        <f aca="false">+X67+T67</f>
        <v>89775</v>
      </c>
      <c r="AC67" s="447" t="n">
        <f aca="false">+AB67/AB$7</f>
        <v>675</v>
      </c>
      <c r="AD67" s="446" t="n">
        <f aca="false">+AC67/AC$8</f>
        <v>0.562969140950792</v>
      </c>
      <c r="AE67" s="438"/>
      <c r="AF67" s="442"/>
      <c r="AG67" s="443"/>
      <c r="AJ67" s="124" t="n">
        <v>360</v>
      </c>
    </row>
    <row r="68" customFormat="false" ht="12.75" hidden="false" customHeight="false" outlineLevel="0" collapsed="false">
      <c r="A68" s="123" t="s">
        <v>259</v>
      </c>
      <c r="B68" s="123" t="s">
        <v>260</v>
      </c>
      <c r="C68" s="435"/>
      <c r="D68" s="436" t="n">
        <f aca="false">L68/$L$88</f>
        <v>0.0047594107889271</v>
      </c>
      <c r="E68" s="437" t="s">
        <v>479</v>
      </c>
      <c r="F68" s="437" t="s">
        <v>479</v>
      </c>
      <c r="G68" s="449"/>
      <c r="H68" s="437" t="s">
        <v>479</v>
      </c>
      <c r="I68" s="437" t="s">
        <v>479</v>
      </c>
      <c r="J68" s="449"/>
      <c r="K68" s="450" t="s">
        <v>479</v>
      </c>
      <c r="L68" s="438" t="n">
        <f aca="false">7*M68</f>
        <v>3346</v>
      </c>
      <c r="M68" s="438" t="n">
        <f aca="false">956/2</f>
        <v>478</v>
      </c>
      <c r="N68" s="439" t="n">
        <f aca="false">M68/1376</f>
        <v>0.347383720930233</v>
      </c>
      <c r="O68" s="439"/>
      <c r="P68" s="445" t="n">
        <f aca="false">Q68*P$7</f>
        <v>693.186409883721</v>
      </c>
      <c r="Q68" s="445" t="n">
        <f aca="false">(Q$8*$N68+200)*CMF</f>
        <v>693.186409883721</v>
      </c>
      <c r="R68" s="446" t="n">
        <f aca="false">+Q68/Q$8</f>
        <v>0.57861970774935</v>
      </c>
      <c r="S68" s="438"/>
      <c r="T68" s="445" t="n">
        <f aca="false">U68*T$7</f>
        <v>47348.8561046512</v>
      </c>
      <c r="U68" s="445" t="n">
        <f aca="false">(U$8*$N68+200)*CMF</f>
        <v>657.623001453488</v>
      </c>
      <c r="V68" s="446" t="n">
        <f aca="false">+U68/U$8</f>
        <v>0.594058718566837</v>
      </c>
      <c r="W68" s="438"/>
      <c r="X68" s="445" t="n">
        <f aca="false">Y68*X$7</f>
        <v>44406.0605014535</v>
      </c>
      <c r="Y68" s="445" t="n">
        <f aca="false">(Y$8*$N68+200)*CMF</f>
        <v>727.96820494186</v>
      </c>
      <c r="Z68" s="446" t="n">
        <f aca="false">+Y68/Y$8</f>
        <v>0.565631860871687</v>
      </c>
      <c r="AA68" s="438"/>
      <c r="AB68" s="445" t="n">
        <f aca="false">+X68+T68</f>
        <v>91754.9166061046</v>
      </c>
      <c r="AC68" s="447" t="n">
        <f aca="false">+AB68/AB$7</f>
        <v>689.886591023343</v>
      </c>
      <c r="AD68" s="446" t="n">
        <f aca="false">+AC68/AC$8</f>
        <v>0.575384980002788</v>
      </c>
      <c r="AE68" s="438"/>
      <c r="AF68" s="442"/>
      <c r="AG68" s="443"/>
      <c r="AI68" s="436"/>
      <c r="AJ68" s="438" t="n">
        <f aca="false">PMT(AJ66,AJ67,AJ48)</f>
        <v>-89793.9257757763</v>
      </c>
      <c r="AK68" s="438"/>
    </row>
    <row r="69" customFormat="false" ht="12.75" hidden="false" customHeight="false" outlineLevel="0" collapsed="false">
      <c r="A69" s="123" t="s">
        <v>226</v>
      </c>
      <c r="B69" s="123" t="s">
        <v>262</v>
      </c>
      <c r="C69" s="435"/>
      <c r="D69" s="436" t="n">
        <f aca="false">L69/$L$88</f>
        <v>0.00397281360833036</v>
      </c>
      <c r="E69" s="437" t="s">
        <v>479</v>
      </c>
      <c r="F69" s="437" t="s">
        <v>479</v>
      </c>
      <c r="G69" s="449"/>
      <c r="H69" s="437" t="s">
        <v>479</v>
      </c>
      <c r="I69" s="437" t="s">
        <v>479</v>
      </c>
      <c r="J69" s="450" t="s">
        <v>479</v>
      </c>
      <c r="K69" s="450" t="s">
        <v>479</v>
      </c>
      <c r="L69" s="438" t="n">
        <f aca="false">7*M69</f>
        <v>2793</v>
      </c>
      <c r="M69" s="438" t="n">
        <f aca="false">798/2</f>
        <v>399</v>
      </c>
      <c r="N69" s="439" t="n">
        <f aca="false">M69/1376</f>
        <v>0.289970930232558</v>
      </c>
      <c r="O69" s="439"/>
      <c r="P69" s="445" t="n">
        <f aca="false">Q69*P$7</f>
        <v>390.80832122093</v>
      </c>
      <c r="Q69" s="445" t="n">
        <f aca="false">Q$8*$N69*CMF</f>
        <v>390.80832122093</v>
      </c>
      <c r="R69" s="446" t="n">
        <f aca="false">+Q69/Q$8</f>
        <v>0.326217296511628</v>
      </c>
      <c r="S69" s="438"/>
      <c r="T69" s="445" t="n">
        <f aca="false">U69*T$7</f>
        <v>26000.8234011628</v>
      </c>
      <c r="U69" s="445" t="n">
        <f aca="false">U$8*$N69*CMF</f>
        <v>361.122547238372</v>
      </c>
      <c r="V69" s="446" t="n">
        <f aca="false">+U69/U$8</f>
        <v>0.326217296511628</v>
      </c>
      <c r="W69" s="438"/>
      <c r="X69" s="445" t="n">
        <f aca="false">Y69*X$7</f>
        <v>25610.3412972384</v>
      </c>
      <c r="Y69" s="445" t="n">
        <f aca="false">Y$8*$N69*CMF</f>
        <v>419.841660610465</v>
      </c>
      <c r="Z69" s="446" t="n">
        <f aca="false">+Y69/Y$8</f>
        <v>0.326217296511628</v>
      </c>
      <c r="AA69" s="438"/>
      <c r="AB69" s="445" t="n">
        <f aca="false">+X69+T69</f>
        <v>51611.1646984012</v>
      </c>
      <c r="AC69" s="447" t="n">
        <f aca="false">+AB69/AB$7</f>
        <v>388.053869912791</v>
      </c>
      <c r="AD69" s="446" t="n">
        <f aca="false">+AC69/AC$8</f>
        <v>0.32364793153694</v>
      </c>
      <c r="AE69" s="438"/>
      <c r="AF69" s="442"/>
      <c r="AG69" s="443"/>
      <c r="AI69" s="436" t="s">
        <v>393</v>
      </c>
      <c r="AJ69" s="438" t="n">
        <f aca="false">+AM62</f>
        <v>174575</v>
      </c>
      <c r="AK69" s="438"/>
      <c r="AL69" s="438" t="n">
        <f aca="false">2700000*0.105</f>
        <v>283500</v>
      </c>
    </row>
    <row r="70" customFormat="false" ht="12.75" hidden="false" customHeight="false" outlineLevel="0" collapsed="false">
      <c r="A70" s="123" t="s">
        <v>263</v>
      </c>
      <c r="B70" s="123" t="s">
        <v>533</v>
      </c>
      <c r="C70" s="435"/>
      <c r="D70" s="436" t="n">
        <f aca="false">L70/$L$88</f>
        <v>0.0103850741691443</v>
      </c>
      <c r="E70" s="437" t="s">
        <v>479</v>
      </c>
      <c r="F70" s="437" t="s">
        <v>479</v>
      </c>
      <c r="G70" s="449"/>
      <c r="H70" s="437" t="s">
        <v>479</v>
      </c>
      <c r="I70" s="437" t="s">
        <v>479</v>
      </c>
      <c r="J70" s="450" t="s">
        <v>479</v>
      </c>
      <c r="K70" s="450" t="s">
        <v>479</v>
      </c>
      <c r="L70" s="438" t="n">
        <f aca="false">7*M70</f>
        <v>7301</v>
      </c>
      <c r="M70" s="438" t="n">
        <f aca="false">2086/2</f>
        <v>1043</v>
      </c>
      <c r="N70" s="439" t="n">
        <f aca="false">M70/1376</f>
        <v>0.757994186046512</v>
      </c>
      <c r="O70" s="439"/>
      <c r="P70" s="445" t="n">
        <f aca="false">Q70*P$7</f>
        <v>1012.5</v>
      </c>
      <c r="Q70" s="445" t="n">
        <f aca="false">(250+300+250+100)*CMF</f>
        <v>1012.5</v>
      </c>
      <c r="R70" s="446" t="n">
        <f aca="false">+Q70/Q$8</f>
        <v>0.845158597662771</v>
      </c>
      <c r="S70" s="438"/>
      <c r="T70" s="445" t="n">
        <f aca="false">U70*T$7</f>
        <v>72900</v>
      </c>
      <c r="U70" s="445" t="n">
        <f aca="false">(250+300+250+100)*CMF</f>
        <v>1012.5</v>
      </c>
      <c r="V70" s="446" t="n">
        <f aca="false">+U70/U$8</f>
        <v>0.914634146341463</v>
      </c>
      <c r="W70" s="438"/>
      <c r="X70" s="445" t="n">
        <f aca="false">Y70*X$7</f>
        <v>61762.5</v>
      </c>
      <c r="Y70" s="445" t="n">
        <f aca="false">(250+300+250+100)*CMF</f>
        <v>1012.5</v>
      </c>
      <c r="Z70" s="446" t="n">
        <f aca="false">+Y70/Y$8</f>
        <v>0.786713286713287</v>
      </c>
      <c r="AA70" s="438"/>
      <c r="AB70" s="445" t="n">
        <f aca="false">+X70+T70</f>
        <v>134662.5</v>
      </c>
      <c r="AC70" s="447" t="n">
        <f aca="false">+AB70/AB$7</f>
        <v>1012.5</v>
      </c>
      <c r="AD70" s="446" t="n">
        <f aca="false">+AC70/AC$8</f>
        <v>0.844453711426189</v>
      </c>
      <c r="AE70" s="438"/>
      <c r="AF70" s="442"/>
      <c r="AG70" s="443"/>
      <c r="AH70" s="432"/>
      <c r="AJ70" s="438" t="n">
        <f aca="false">0.9*AJ69</f>
        <v>157117.5</v>
      </c>
      <c r="AK70" s="438"/>
      <c r="AL70" s="438" t="n">
        <f aca="false">AL69/12</f>
        <v>23625</v>
      </c>
    </row>
    <row r="71" customFormat="false" ht="12.75" hidden="false" customHeight="false" outlineLevel="0" collapsed="false">
      <c r="A71" s="123" t="s">
        <v>265</v>
      </c>
      <c r="B71" s="123" t="s">
        <v>266</v>
      </c>
      <c r="C71" s="435"/>
      <c r="D71" s="436" t="n">
        <f aca="false">L71/$L$88</f>
        <v>0.0159310821386681</v>
      </c>
      <c r="E71" s="437" t="s">
        <v>479</v>
      </c>
      <c r="F71" s="437" t="s">
        <v>479</v>
      </c>
      <c r="G71" s="449"/>
      <c r="H71" s="437" t="s">
        <v>479</v>
      </c>
      <c r="I71" s="437" t="s">
        <v>479</v>
      </c>
      <c r="J71" s="449"/>
      <c r="K71" s="450" t="s">
        <v>479</v>
      </c>
      <c r="L71" s="438" t="n">
        <f aca="false">7*M71</f>
        <v>11200</v>
      </c>
      <c r="M71" s="438" t="n">
        <f aca="false">3200/2</f>
        <v>1600</v>
      </c>
      <c r="N71" s="439" t="n">
        <f aca="false">M71/1376</f>
        <v>1.16279069767442</v>
      </c>
      <c r="O71" s="439"/>
      <c r="P71" s="445" t="n">
        <f aca="false">Q71*P$7</f>
        <v>1644.255</v>
      </c>
      <c r="Q71" s="445" t="n">
        <f aca="false">1.22*Q$8*CMF</f>
        <v>1644.255</v>
      </c>
      <c r="R71" s="446" t="n">
        <f aca="false">+Q71/Q$8</f>
        <v>1.3725</v>
      </c>
      <c r="S71" s="438"/>
      <c r="T71" s="445" t="n">
        <f aca="false">U71*T$7</f>
        <v>109393.74</v>
      </c>
      <c r="U71" s="445" t="n">
        <f aca="false">1.22*U$8*CMF</f>
        <v>1519.3575</v>
      </c>
      <c r="V71" s="446" t="n">
        <f aca="false">+U71/U$8</f>
        <v>1.3725</v>
      </c>
      <c r="W71" s="438"/>
      <c r="X71" s="445" t="n">
        <f aca="false">Y71*X$7</f>
        <v>107750.8575</v>
      </c>
      <c r="Y71" s="445" t="n">
        <f aca="false">1.22*Y$8*CMF</f>
        <v>1766.4075</v>
      </c>
      <c r="Z71" s="446" t="n">
        <f aca="false">+Y71/Y$8</f>
        <v>1.3725</v>
      </c>
      <c r="AA71" s="438"/>
      <c r="AB71" s="445" t="n">
        <f aca="false">+X71+T71</f>
        <v>217144.5975</v>
      </c>
      <c r="AC71" s="447" t="n">
        <f aca="false">+AB71/AB$7</f>
        <v>1632.66614661654</v>
      </c>
      <c r="AD71" s="446" t="n">
        <f aca="false">+AC71/AC$8</f>
        <v>1.36168986373356</v>
      </c>
      <c r="AE71" s="438"/>
      <c r="AF71" s="442"/>
      <c r="AG71" s="443"/>
      <c r="AI71" s="436"/>
      <c r="AJ71" s="466" t="n">
        <f aca="false">((110000/28/1343)*1187*134)/12</f>
        <v>38773.3131227174</v>
      </c>
      <c r="AK71" s="438"/>
      <c r="AL71" s="438"/>
    </row>
    <row r="72" customFormat="false" ht="12.75" hidden="false" customHeight="false" outlineLevel="0" collapsed="false">
      <c r="A72" s="123" t="s">
        <v>239</v>
      </c>
      <c r="B72" s="123" t="s">
        <v>267</v>
      </c>
      <c r="C72" s="435"/>
      <c r="D72" s="436" t="n">
        <f aca="false">L72/$L$88</f>
        <v>0.00155825897168848</v>
      </c>
      <c r="E72" s="437" t="s">
        <v>479</v>
      </c>
      <c r="F72" s="437" t="s">
        <v>479</v>
      </c>
      <c r="G72" s="465" t="s">
        <v>405</v>
      </c>
      <c r="H72" s="437" t="s">
        <v>479</v>
      </c>
      <c r="I72" s="437" t="s">
        <v>479</v>
      </c>
      <c r="J72" s="449"/>
      <c r="K72" s="465" t="s">
        <v>405</v>
      </c>
      <c r="L72" s="438" t="n">
        <f aca="false">7*M72</f>
        <v>1095.5</v>
      </c>
      <c r="M72" s="438" t="n">
        <f aca="false">313/2</f>
        <v>156.5</v>
      </c>
      <c r="N72" s="439" t="n">
        <f aca="false">M72/1376</f>
        <v>0.113735465116279</v>
      </c>
      <c r="O72" s="439"/>
      <c r="P72" s="445" t="n">
        <f aca="false">Q72*P$7</f>
        <v>153.286973110465</v>
      </c>
      <c r="Q72" s="445" t="n">
        <f aca="false">Q$8*$N72*CMF</f>
        <v>153.286973110465</v>
      </c>
      <c r="R72" s="446" t="n">
        <f aca="false">+Q72/Q$8</f>
        <v>0.127952398255814</v>
      </c>
      <c r="S72" s="438"/>
      <c r="T72" s="445" t="n">
        <f aca="false">U72*T$7</f>
        <v>10198.3179505814</v>
      </c>
      <c r="U72" s="445" t="n">
        <f aca="false">U$8*$N72*CMF</f>
        <v>141.643304869186</v>
      </c>
      <c r="V72" s="446" t="n">
        <f aca="false">+U72/U$8</f>
        <v>0.127952398255814</v>
      </c>
      <c r="W72" s="438"/>
      <c r="X72" s="445" t="n">
        <f aca="false">Y72*X$7</f>
        <v>10045.1589298692</v>
      </c>
      <c r="Y72" s="445" t="n">
        <f aca="false">Y$8*$N72*CMF</f>
        <v>164.674736555233</v>
      </c>
      <c r="Z72" s="446" t="n">
        <f aca="false">+Y72/Y$8</f>
        <v>0.127952398255814</v>
      </c>
      <c r="AA72" s="438"/>
      <c r="AB72" s="445" t="n">
        <f aca="false">+X72+T72</f>
        <v>20243.4768804506</v>
      </c>
      <c r="AC72" s="447" t="n">
        <f aca="false">+AB72/AB$7</f>
        <v>152.206593086095</v>
      </c>
      <c r="AD72" s="446" t="n">
        <f aca="false">+AC72/AC$8</f>
        <v>0.126944614750704</v>
      </c>
      <c r="AE72" s="438"/>
      <c r="AF72" s="442"/>
      <c r="AG72" s="443"/>
      <c r="AI72" s="436"/>
      <c r="AJ72" s="438" t="n">
        <f aca="false">+AJ70-AJ71</f>
        <v>118344.186877283</v>
      </c>
      <c r="AK72" s="438"/>
      <c r="AL72" s="438"/>
    </row>
    <row r="73" customFormat="false" ht="12" hidden="false" customHeight="false" outlineLevel="0" collapsed="false">
      <c r="A73" s="123" t="s">
        <v>268</v>
      </c>
      <c r="B73" s="462" t="s">
        <v>269</v>
      </c>
      <c r="C73" s="435"/>
      <c r="D73" s="436" t="n">
        <f aca="false">L73/$L$88</f>
        <v>0.0157070512960931</v>
      </c>
      <c r="E73" s="437"/>
      <c r="F73" s="437"/>
      <c r="G73" s="437"/>
      <c r="H73" s="437"/>
      <c r="I73" s="437"/>
      <c r="J73" s="437"/>
      <c r="K73" s="437"/>
      <c r="L73" s="438" t="n">
        <f aca="false">7*M73</f>
        <v>11042.5</v>
      </c>
      <c r="M73" s="438" t="n">
        <f aca="false">3155/2</f>
        <v>1577.5</v>
      </c>
      <c r="N73" s="439" t="n">
        <f aca="false">M73/1376</f>
        <v>1.14643895348837</v>
      </c>
      <c r="O73" s="439"/>
      <c r="P73" s="445" t="n">
        <f aca="false">Q73*P$7</f>
        <v>379.6875</v>
      </c>
      <c r="Q73" s="445" t="n">
        <f aca="false">15*10*2.25*CMF</f>
        <v>379.6875</v>
      </c>
      <c r="R73" s="446" t="n">
        <f aca="false">+Q73/Q$8</f>
        <v>0.316934474123539</v>
      </c>
      <c r="S73" s="438"/>
      <c r="T73" s="445" t="n">
        <f aca="false">U73*T$7</f>
        <v>27337.5</v>
      </c>
      <c r="U73" s="445" t="n">
        <f aca="false">15*10*2.25*CMF</f>
        <v>379.6875</v>
      </c>
      <c r="V73" s="446" t="n">
        <f aca="false">+U73/U$8</f>
        <v>0.342987804878049</v>
      </c>
      <c r="W73" s="438"/>
      <c r="X73" s="445" t="n">
        <f aca="false">Y73*X$7</f>
        <v>23160.9375</v>
      </c>
      <c r="Y73" s="445" t="n">
        <f aca="false">15*10*2.25*CMF</f>
        <v>379.6875</v>
      </c>
      <c r="Z73" s="446" t="n">
        <f aca="false">+Y73/Y$8</f>
        <v>0.295017482517483</v>
      </c>
      <c r="AA73" s="438"/>
      <c r="AB73" s="445" t="n">
        <f aca="false">+X73+T73</f>
        <v>50498.4375</v>
      </c>
      <c r="AC73" s="447" t="n">
        <f aca="false">+AB73/AB$7</f>
        <v>379.6875</v>
      </c>
      <c r="AD73" s="446" t="n">
        <f aca="false">+AC73/AC$8</f>
        <v>0.316670141784821</v>
      </c>
      <c r="AE73" s="438"/>
      <c r="AF73" s="442"/>
      <c r="AG73" s="443"/>
      <c r="AI73" s="436"/>
      <c r="AJ73" s="466" t="n">
        <f aca="false">+AJ72/-AJ68</f>
        <v>1.31795314499111</v>
      </c>
      <c r="AK73" s="438"/>
      <c r="AL73" s="438"/>
    </row>
    <row r="74" customFormat="false" ht="12.75" hidden="false" customHeight="false" outlineLevel="0" collapsed="false">
      <c r="A74" s="123" t="s">
        <v>268</v>
      </c>
      <c r="B74" s="123" t="s">
        <v>270</v>
      </c>
      <c r="C74" s="435"/>
      <c r="D74" s="436" t="n">
        <f aca="false">L74/$L$88</f>
        <v>0</v>
      </c>
      <c r="E74" s="437" t="s">
        <v>479</v>
      </c>
      <c r="F74" s="437" t="s">
        <v>479</v>
      </c>
      <c r="G74" s="437" t="s">
        <v>479</v>
      </c>
      <c r="H74" s="437" t="s">
        <v>479</v>
      </c>
      <c r="I74" s="437" t="s">
        <v>479</v>
      </c>
      <c r="J74" s="437" t="s">
        <v>479</v>
      </c>
      <c r="K74" s="437" t="s">
        <v>479</v>
      </c>
      <c r="L74" s="438" t="n">
        <f aca="false">7*M74</f>
        <v>0</v>
      </c>
      <c r="M74" s="438"/>
      <c r="N74" s="439" t="n">
        <f aca="false">M74/1376</f>
        <v>0</v>
      </c>
      <c r="O74" s="439"/>
      <c r="P74" s="445" t="n">
        <f aca="false">Q74*P$7</f>
        <v>0</v>
      </c>
      <c r="Q74" s="445" t="n">
        <f aca="false">$M74*CMF</f>
        <v>0</v>
      </c>
      <c r="R74" s="446" t="n">
        <f aca="false">+Q74/Q$8</f>
        <v>0</v>
      </c>
      <c r="S74" s="438"/>
      <c r="T74" s="445" t="n">
        <f aca="false">U74*T$7</f>
        <v>0</v>
      </c>
      <c r="U74" s="445" t="n">
        <f aca="false">$M74*CMF</f>
        <v>0</v>
      </c>
      <c r="V74" s="446" t="n">
        <f aca="false">+U74/U$8</f>
        <v>0</v>
      </c>
      <c r="W74" s="438"/>
      <c r="X74" s="445" t="n">
        <f aca="false">Y74*X$7</f>
        <v>0</v>
      </c>
      <c r="Y74" s="445" t="n">
        <f aca="false">$M74*CMF</f>
        <v>0</v>
      </c>
      <c r="Z74" s="446" t="n">
        <f aca="false">+Y74/Y$8</f>
        <v>0</v>
      </c>
      <c r="AA74" s="438"/>
      <c r="AB74" s="445" t="n">
        <f aca="false">+X74+T74</f>
        <v>0</v>
      </c>
      <c r="AC74" s="447" t="n">
        <f aca="false">+AB74/AB$7</f>
        <v>0</v>
      </c>
      <c r="AD74" s="446" t="n">
        <f aca="false">+AC74/AC$8</f>
        <v>0</v>
      </c>
      <c r="AE74" s="438"/>
      <c r="AF74" s="442"/>
      <c r="AG74" s="443"/>
      <c r="AH74" s="432"/>
      <c r="AI74" s="436"/>
      <c r="AJ74" s="438"/>
      <c r="AK74" s="438"/>
      <c r="AL74" s="438"/>
    </row>
    <row r="75" customFormat="false" ht="12.75" hidden="false" customHeight="false" outlineLevel="0" collapsed="false">
      <c r="A75" s="123" t="s">
        <v>268</v>
      </c>
      <c r="B75" s="123" t="s">
        <v>272</v>
      </c>
      <c r="C75" s="435"/>
      <c r="D75" s="436" t="n">
        <f aca="false">L75/$L$88</f>
        <v>0</v>
      </c>
      <c r="E75" s="437" t="s">
        <v>479</v>
      </c>
      <c r="F75" s="437" t="s">
        <v>479</v>
      </c>
      <c r="G75" s="449"/>
      <c r="H75" s="437" t="s">
        <v>479</v>
      </c>
      <c r="I75" s="437" t="s">
        <v>479</v>
      </c>
      <c r="J75" s="449"/>
      <c r="K75" s="465" t="s">
        <v>405</v>
      </c>
      <c r="L75" s="438" t="n">
        <f aca="false">7*M75</f>
        <v>0</v>
      </c>
      <c r="M75" s="438"/>
      <c r="N75" s="439" t="n">
        <f aca="false">M75/1376</f>
        <v>0</v>
      </c>
      <c r="O75" s="439"/>
      <c r="P75" s="445" t="n">
        <f aca="false">Q75*P$7</f>
        <v>0</v>
      </c>
      <c r="Q75" s="445" t="n">
        <f aca="false">$M75*CMF</f>
        <v>0</v>
      </c>
      <c r="R75" s="446" t="n">
        <f aca="false">+Q75/Q$8</f>
        <v>0</v>
      </c>
      <c r="S75" s="438"/>
      <c r="T75" s="445" t="n">
        <f aca="false">U75*T$7</f>
        <v>0</v>
      </c>
      <c r="U75" s="445" t="n">
        <f aca="false">$M75*CMF</f>
        <v>0</v>
      </c>
      <c r="V75" s="446" t="n">
        <f aca="false">+U75/U$8</f>
        <v>0</v>
      </c>
      <c r="W75" s="438"/>
      <c r="X75" s="445" t="n">
        <f aca="false">Y75*X$7</f>
        <v>0</v>
      </c>
      <c r="Y75" s="445" t="n">
        <f aca="false">$M75*CMF</f>
        <v>0</v>
      </c>
      <c r="Z75" s="446" t="n">
        <f aca="false">+Y75/Y$8</f>
        <v>0</v>
      </c>
      <c r="AA75" s="438"/>
      <c r="AB75" s="445" t="n">
        <f aca="false">+X75+T75</f>
        <v>0</v>
      </c>
      <c r="AC75" s="447" t="n">
        <f aca="false">+AB75/AB$7</f>
        <v>0</v>
      </c>
      <c r="AD75" s="446" t="n">
        <f aca="false">+AC75/AC$8</f>
        <v>0</v>
      </c>
      <c r="AE75" s="438"/>
      <c r="AF75" s="442"/>
      <c r="AG75" s="443"/>
      <c r="AJ75" s="438" t="n">
        <f aca="false">+AJ69-AJ71+0.05*AJ69</f>
        <v>144530.436877283</v>
      </c>
      <c r="AK75" s="438"/>
      <c r="AL75" s="124" t="n">
        <f aca="false">AO75*12</f>
        <v>16517764.2145466</v>
      </c>
      <c r="AO75" s="420" t="n">
        <f aca="false">AJ75/0.105</f>
        <v>1376480.35121222</v>
      </c>
    </row>
    <row r="76" customFormat="false" ht="12.75" hidden="false" customHeight="false" outlineLevel="0" collapsed="false">
      <c r="A76" s="123" t="s">
        <v>268</v>
      </c>
      <c r="B76" s="123" t="s">
        <v>273</v>
      </c>
      <c r="C76" s="435"/>
      <c r="D76" s="436" t="n">
        <f aca="false">L76/$L$88</f>
        <v>0</v>
      </c>
      <c r="E76" s="437" t="s">
        <v>479</v>
      </c>
      <c r="F76" s="437" t="s">
        <v>479</v>
      </c>
      <c r="G76" s="449"/>
      <c r="H76" s="437" t="s">
        <v>479</v>
      </c>
      <c r="I76" s="437" t="s">
        <v>479</v>
      </c>
      <c r="J76" s="449"/>
      <c r="K76" s="465" t="s">
        <v>405</v>
      </c>
      <c r="L76" s="438" t="n">
        <f aca="false">7*M76</f>
        <v>0</v>
      </c>
      <c r="M76" s="438"/>
      <c r="N76" s="439" t="n">
        <f aca="false">M76/1376</f>
        <v>0</v>
      </c>
      <c r="O76" s="439"/>
      <c r="P76" s="445" t="n">
        <f aca="false">Q76*P$7</f>
        <v>0</v>
      </c>
      <c r="Q76" s="445" t="n">
        <f aca="false">$M76*CMF</f>
        <v>0</v>
      </c>
      <c r="R76" s="446" t="n">
        <f aca="false">+Q76/Q$8</f>
        <v>0</v>
      </c>
      <c r="S76" s="438"/>
      <c r="T76" s="445" t="n">
        <f aca="false">U76*T$7</f>
        <v>0</v>
      </c>
      <c r="U76" s="445" t="n">
        <f aca="false">$M76*CMF</f>
        <v>0</v>
      </c>
      <c r="V76" s="446" t="n">
        <f aca="false">+U76/U$8</f>
        <v>0</v>
      </c>
      <c r="W76" s="438"/>
      <c r="X76" s="445" t="n">
        <f aca="false">Y76*X$7</f>
        <v>0</v>
      </c>
      <c r="Y76" s="445" t="n">
        <f aca="false">$M76*CMF</f>
        <v>0</v>
      </c>
      <c r="Z76" s="446" t="n">
        <f aca="false">+Y76/Y$8</f>
        <v>0</v>
      </c>
      <c r="AA76" s="438"/>
      <c r="AB76" s="445" t="n">
        <f aca="false">+X76+T76</f>
        <v>0</v>
      </c>
      <c r="AC76" s="447" t="n">
        <f aca="false">+AB76/AB$7</f>
        <v>0</v>
      </c>
      <c r="AD76" s="446" t="n">
        <f aca="false">+AC76/AC$8</f>
        <v>0</v>
      </c>
      <c r="AE76" s="438"/>
      <c r="AF76" s="442"/>
      <c r="AG76" s="443"/>
      <c r="AI76" s="436"/>
      <c r="AJ76" s="438" t="n">
        <f aca="false">+AJ68</f>
        <v>-89793.9257757763</v>
      </c>
      <c r="AK76" s="438"/>
      <c r="AL76" s="438" t="n">
        <f aca="false">0.8*AL75</f>
        <v>13214211.3716373</v>
      </c>
    </row>
    <row r="77" customFormat="false" ht="12.75" hidden="false" customHeight="false" outlineLevel="0" collapsed="false">
      <c r="A77" s="123" t="s">
        <v>274</v>
      </c>
      <c r="B77" s="462" t="s">
        <v>275</v>
      </c>
      <c r="C77" s="435"/>
      <c r="D77" s="436" t="n">
        <f aca="false">L77/$L$88</f>
        <v>0.00792073490081906</v>
      </c>
      <c r="E77" s="437" t="s">
        <v>479</v>
      </c>
      <c r="F77" s="437" t="s">
        <v>479</v>
      </c>
      <c r="G77" s="437" t="s">
        <v>479</v>
      </c>
      <c r="H77" s="437" t="s">
        <v>479</v>
      </c>
      <c r="I77" s="437" t="s">
        <v>479</v>
      </c>
      <c r="J77" s="437" t="s">
        <v>479</v>
      </c>
      <c r="K77" s="437" t="s">
        <v>479</v>
      </c>
      <c r="L77" s="438" t="n">
        <f aca="false">7*M77</f>
        <v>5568.5</v>
      </c>
      <c r="M77" s="438" t="n">
        <f aca="false">1591/2</f>
        <v>795.5</v>
      </c>
      <c r="N77" s="439" t="n">
        <f aca="false">M77/1376</f>
        <v>0.578125</v>
      </c>
      <c r="O77" s="439"/>
      <c r="P77" s="445" t="n">
        <f aca="false">Q77*P$7</f>
        <v>810</v>
      </c>
      <c r="Q77" s="445" t="n">
        <f aca="false">(28+20)*15*CMF</f>
        <v>810</v>
      </c>
      <c r="R77" s="446" t="n">
        <f aca="false">+Q77/Q$8</f>
        <v>0.676126878130217</v>
      </c>
      <c r="S77" s="438"/>
      <c r="T77" s="445" t="n">
        <f aca="false">U77*T$7</f>
        <v>43533.45</v>
      </c>
      <c r="U77" s="445" t="n">
        <f aca="false">(15.83+20)*15*CMF</f>
        <v>604.63125</v>
      </c>
      <c r="V77" s="446" t="n">
        <f aca="false">+U77/U$8</f>
        <v>0.546189024390244</v>
      </c>
      <c r="W77" s="438"/>
      <c r="X77" s="445" t="n">
        <f aca="false">Y77*X$7</f>
        <v>47351.25</v>
      </c>
      <c r="Y77" s="445" t="n">
        <f aca="false">(26+20)*15*CMF</f>
        <v>776.25</v>
      </c>
      <c r="Z77" s="446" t="n">
        <f aca="false">+Y77/Y$8</f>
        <v>0.603146853146853</v>
      </c>
      <c r="AA77" s="438"/>
      <c r="AB77" s="445" t="n">
        <f aca="false">+X77+T77</f>
        <v>90884.7</v>
      </c>
      <c r="AC77" s="447" t="n">
        <f aca="false">+AB77/AB$7</f>
        <v>683.343609022556</v>
      </c>
      <c r="AD77" s="446" t="n">
        <f aca="false">+AC77/AC$8</f>
        <v>0.569927947475026</v>
      </c>
      <c r="AE77" s="438"/>
      <c r="AF77" s="442"/>
      <c r="AG77" s="443"/>
      <c r="AH77" s="432"/>
      <c r="AJ77" s="438" t="n">
        <f aca="false">+AJ76+AJ75</f>
        <v>54736.5111015063</v>
      </c>
      <c r="AK77" s="438"/>
      <c r="AL77" s="438"/>
    </row>
    <row r="78" customFormat="false" ht="12.75" hidden="false" customHeight="false" outlineLevel="0" collapsed="false">
      <c r="A78" s="123" t="s">
        <v>274</v>
      </c>
      <c r="B78" s="462" t="s">
        <v>277</v>
      </c>
      <c r="C78" s="435"/>
      <c r="D78" s="436" t="n">
        <f aca="false">L78/$L$88</f>
        <v>0.00273317627941525</v>
      </c>
      <c r="E78" s="437" t="s">
        <v>479</v>
      </c>
      <c r="F78" s="437" t="s">
        <v>479</v>
      </c>
      <c r="G78" s="449"/>
      <c r="H78" s="437" t="s">
        <v>479</v>
      </c>
      <c r="I78" s="437" t="s">
        <v>479</v>
      </c>
      <c r="J78" s="449"/>
      <c r="K78" s="449"/>
      <c r="L78" s="438" t="n">
        <f aca="false">7*M78</f>
        <v>1921.5</v>
      </c>
      <c r="M78" s="438" t="n">
        <f aca="false">549/2</f>
        <v>274.5</v>
      </c>
      <c r="N78" s="439" t="n">
        <f aca="false">M78/1376</f>
        <v>0.199491279069767</v>
      </c>
      <c r="O78" s="439"/>
      <c r="P78" s="445" t="n">
        <f aca="false">Q78*P$7</f>
        <v>0</v>
      </c>
      <c r="Q78" s="438" t="n">
        <v>0</v>
      </c>
      <c r="R78" s="446" t="n">
        <f aca="false">+Q78/Q$8</f>
        <v>0</v>
      </c>
      <c r="S78" s="438"/>
      <c r="T78" s="445" t="n">
        <f aca="false">U78*T$7</f>
        <v>22234.5</v>
      </c>
      <c r="U78" s="445" t="n">
        <f aca="false">$M78*CMF</f>
        <v>308.8125</v>
      </c>
      <c r="V78" s="446" t="n">
        <f aca="false">+U78/U$8</f>
        <v>0.278963414634146</v>
      </c>
      <c r="W78" s="438"/>
      <c r="X78" s="445" t="n">
        <f aca="false">Y78*X$7</f>
        <v>18837.5625</v>
      </c>
      <c r="Y78" s="445" t="n">
        <f aca="false">$M78*CMF</f>
        <v>308.8125</v>
      </c>
      <c r="Z78" s="446" t="n">
        <f aca="false">+Y78/Y$8</f>
        <v>0.239947552447552</v>
      </c>
      <c r="AA78" s="438"/>
      <c r="AB78" s="445" t="n">
        <f aca="false">+X78+T78</f>
        <v>41072.0625</v>
      </c>
      <c r="AC78" s="447" t="n">
        <f aca="false">+AB78/AB$7</f>
        <v>308.8125</v>
      </c>
      <c r="AD78" s="446" t="n">
        <f aca="false">+AC78/AC$8</f>
        <v>0.257558381984988</v>
      </c>
      <c r="AE78" s="438"/>
      <c r="AF78" s="442"/>
      <c r="AG78" s="443"/>
      <c r="AI78" s="436"/>
      <c r="AJ78" s="438" t="n">
        <f aca="false">AJ77*12</f>
        <v>656838.133218075</v>
      </c>
      <c r="AK78" s="438"/>
      <c r="AL78" s="438"/>
    </row>
    <row r="79" customFormat="false" ht="12" hidden="false" customHeight="false" outlineLevel="0" collapsed="false">
      <c r="A79" s="123" t="s">
        <v>274</v>
      </c>
      <c r="B79" s="124" t="s">
        <v>278</v>
      </c>
      <c r="C79" s="435"/>
      <c r="D79" s="436" t="n">
        <f aca="false">L79/$L$88</f>
        <v>0</v>
      </c>
      <c r="E79" s="437" t="s">
        <v>563</v>
      </c>
      <c r="F79" s="437"/>
      <c r="G79" s="437"/>
      <c r="H79" s="437"/>
      <c r="I79" s="437"/>
      <c r="J79" s="437"/>
      <c r="K79" s="437"/>
      <c r="L79" s="438" t="n">
        <f aca="false">7*M79</f>
        <v>0</v>
      </c>
      <c r="M79" s="438" t="n">
        <f aca="false">0/2</f>
        <v>0</v>
      </c>
      <c r="N79" s="439" t="n">
        <f aca="false">M79/1376</f>
        <v>0</v>
      </c>
      <c r="O79" s="439"/>
      <c r="P79" s="445" t="n">
        <f aca="false">Q79*P$7</f>
        <v>0</v>
      </c>
      <c r="Q79" s="445"/>
      <c r="R79" s="446" t="n">
        <f aca="false">+Q79/Q$8</f>
        <v>0</v>
      </c>
      <c r="S79" s="438"/>
      <c r="T79" s="445" t="n">
        <f aca="false">U79*T$7</f>
        <v>0</v>
      </c>
      <c r="U79" s="445"/>
      <c r="V79" s="446" t="n">
        <f aca="false">+U79/U$8</f>
        <v>0</v>
      </c>
      <c r="W79" s="438"/>
      <c r="X79" s="445" t="n">
        <f aca="false">Y79*X$7</f>
        <v>0</v>
      </c>
      <c r="Y79" s="445"/>
      <c r="Z79" s="446" t="n">
        <f aca="false">+Y79/Y$8</f>
        <v>0</v>
      </c>
      <c r="AA79" s="438"/>
      <c r="AB79" s="445" t="n">
        <f aca="false">+X79+T79</f>
        <v>0</v>
      </c>
      <c r="AC79" s="447" t="n">
        <f aca="false">+AB79/AB$7</f>
        <v>0</v>
      </c>
      <c r="AD79" s="446" t="n">
        <f aca="false">+AC79/AC$8</f>
        <v>0</v>
      </c>
      <c r="AE79" s="438"/>
      <c r="AF79" s="442"/>
      <c r="AG79" s="443"/>
      <c r="AI79" s="436"/>
      <c r="AJ79" s="438" t="n">
        <f aca="false">AJ78/0.105</f>
        <v>6255601.26874358</v>
      </c>
      <c r="AK79" s="461"/>
      <c r="AL79" s="438"/>
    </row>
    <row r="80" customFormat="false" ht="12.75" hidden="false" customHeight="false" outlineLevel="0" collapsed="false">
      <c r="B80" s="427" t="s">
        <v>279</v>
      </c>
      <c r="C80" s="435"/>
      <c r="D80" s="436"/>
      <c r="E80" s="437"/>
      <c r="F80" s="437"/>
      <c r="G80" s="437"/>
      <c r="H80" s="437"/>
      <c r="I80" s="437"/>
      <c r="J80" s="437"/>
      <c r="K80" s="437"/>
      <c r="L80" s="438"/>
      <c r="M80" s="438"/>
      <c r="N80" s="439" t="n">
        <f aca="false">M80/1376</f>
        <v>0</v>
      </c>
      <c r="O80" s="439"/>
      <c r="P80" s="445"/>
      <c r="Q80" s="445"/>
      <c r="R80" s="446"/>
      <c r="S80" s="438"/>
      <c r="T80" s="445"/>
      <c r="U80" s="445"/>
      <c r="V80" s="446"/>
      <c r="W80" s="438"/>
      <c r="X80" s="445"/>
      <c r="Y80" s="445"/>
      <c r="Z80" s="446"/>
      <c r="AA80" s="438"/>
      <c r="AB80" s="445"/>
      <c r="AC80" s="447" t="s">
        <v>548</v>
      </c>
      <c r="AD80" s="446"/>
      <c r="AE80" s="438"/>
      <c r="AF80" s="442"/>
      <c r="AG80" s="443"/>
      <c r="AI80" s="436"/>
      <c r="AJ80" s="438"/>
      <c r="AK80" s="438"/>
      <c r="AL80" s="438"/>
    </row>
    <row r="81" customFormat="false" ht="12.75" hidden="false" customHeight="false" outlineLevel="0" collapsed="false">
      <c r="A81" s="123" t="s">
        <v>280</v>
      </c>
      <c r="B81" s="124" t="s">
        <v>281</v>
      </c>
      <c r="C81" s="435"/>
      <c r="D81" s="436" t="n">
        <f aca="false">L81/$L$88</f>
        <v>0.00478430310476877</v>
      </c>
      <c r="E81" s="437" t="s">
        <v>479</v>
      </c>
      <c r="F81" s="437" t="s">
        <v>479</v>
      </c>
      <c r="G81" s="449"/>
      <c r="H81" s="437" t="s">
        <v>479</v>
      </c>
      <c r="I81" s="437" t="s">
        <v>479</v>
      </c>
      <c r="J81" s="449"/>
      <c r="K81" s="450" t="s">
        <v>479</v>
      </c>
      <c r="L81" s="438" t="n">
        <f aca="false">7*M81</f>
        <v>3363.5</v>
      </c>
      <c r="M81" s="438" t="n">
        <f aca="false">961/2</f>
        <v>480.5</v>
      </c>
      <c r="N81" s="439" t="n">
        <f aca="false">M81/1376</f>
        <v>0.349200581395349</v>
      </c>
      <c r="O81" s="439"/>
      <c r="P81" s="445" t="n">
        <f aca="false">Q81*P$7</f>
        <v>540.5625</v>
      </c>
      <c r="Q81" s="445" t="n">
        <f aca="false">$M81*CMF</f>
        <v>540.5625</v>
      </c>
      <c r="R81" s="446" t="n">
        <f aca="false">+Q81/Q$8</f>
        <v>0.451220784641068</v>
      </c>
      <c r="S81" s="438"/>
      <c r="T81" s="445" t="n">
        <f aca="false">U81*T$7</f>
        <v>38920.5</v>
      </c>
      <c r="U81" s="445" t="n">
        <f aca="false">$M81*CMF</f>
        <v>540.5625</v>
      </c>
      <c r="V81" s="446" t="n">
        <f aca="false">+U81/U$8</f>
        <v>0.488313008130081</v>
      </c>
      <c r="W81" s="438"/>
      <c r="X81" s="445" t="n">
        <f aca="false">Y81*X$7</f>
        <v>32974.3125</v>
      </c>
      <c r="Y81" s="445" t="n">
        <f aca="false">$M81*CMF</f>
        <v>540.5625</v>
      </c>
      <c r="Z81" s="446" t="n">
        <f aca="false">+Y81/Y$8</f>
        <v>0.420017482517483</v>
      </c>
      <c r="AA81" s="438"/>
      <c r="AB81" s="445" t="n">
        <f aca="false">+X81+T81</f>
        <v>71894.8125</v>
      </c>
      <c r="AC81" s="447" t="n">
        <f aca="false">+AB81/AB$7</f>
        <v>540.5625</v>
      </c>
      <c r="AD81" s="446" t="n">
        <f aca="false">+AC81/AC$8</f>
        <v>0.450844453711426</v>
      </c>
      <c r="AE81" s="438"/>
      <c r="AF81" s="442"/>
      <c r="AG81" s="443"/>
      <c r="AH81" s="432"/>
      <c r="AJ81" s="438" t="n">
        <v>7000</v>
      </c>
      <c r="AK81" s="438"/>
      <c r="AL81" s="438"/>
    </row>
    <row r="82" customFormat="false" ht="12.75" hidden="false" customHeight="false" outlineLevel="0" collapsed="false">
      <c r="A82" s="123" t="s">
        <v>280</v>
      </c>
      <c r="B82" s="124" t="s">
        <v>283</v>
      </c>
      <c r="C82" s="435"/>
      <c r="D82" s="436" t="n">
        <f aca="false">L82/$L$88</f>
        <v>0.00174246210891683</v>
      </c>
      <c r="E82" s="437" t="s">
        <v>479</v>
      </c>
      <c r="F82" s="437" t="s">
        <v>479</v>
      </c>
      <c r="G82" s="449"/>
      <c r="H82" s="437" t="s">
        <v>479</v>
      </c>
      <c r="I82" s="437" t="s">
        <v>479</v>
      </c>
      <c r="J82" s="449"/>
      <c r="K82" s="450" t="s">
        <v>479</v>
      </c>
      <c r="L82" s="438" t="n">
        <f aca="false">7*M82</f>
        <v>1225</v>
      </c>
      <c r="M82" s="438" t="n">
        <f aca="false">350/2</f>
        <v>175</v>
      </c>
      <c r="N82" s="439" t="n">
        <f aca="false">M82/1376</f>
        <v>0.12718023255814</v>
      </c>
      <c r="O82" s="439"/>
      <c r="P82" s="445" t="n">
        <f aca="false">Q82*P$7</f>
        <v>171.407158430233</v>
      </c>
      <c r="Q82" s="445" t="n">
        <f aca="false">Q$8*$N82*CMF</f>
        <v>171.407158430233</v>
      </c>
      <c r="R82" s="446" t="n">
        <f aca="false">+Q82/Q$8</f>
        <v>0.143077761627907</v>
      </c>
      <c r="S82" s="438"/>
      <c r="T82" s="445" t="n">
        <f aca="false">U82*T$7</f>
        <v>11403.8699127907</v>
      </c>
      <c r="U82" s="445" t="n">
        <f aca="false">U$8*$N82*CMF</f>
        <v>158.387082122093</v>
      </c>
      <c r="V82" s="446" t="n">
        <f aca="false">+U82/U$8</f>
        <v>0.143077761627907</v>
      </c>
      <c r="W82" s="438"/>
      <c r="X82" s="445" t="n">
        <f aca="false">Y82*X$7</f>
        <v>11232.6058321221</v>
      </c>
      <c r="Y82" s="445" t="n">
        <f aca="false">Y$8*$N82*CMF</f>
        <v>184.141079215116</v>
      </c>
      <c r="Z82" s="446" t="n">
        <f aca="false">+Y82/Y$8</f>
        <v>0.143077761627907</v>
      </c>
      <c r="AA82" s="438"/>
      <c r="AB82" s="445" t="n">
        <f aca="false">+X82+T82</f>
        <v>22636.4757449128</v>
      </c>
      <c r="AC82" s="447" t="n">
        <f aca="false">+AB82/AB$7</f>
        <v>170.199065751224</v>
      </c>
      <c r="AD82" s="446" t="n">
        <f aca="false">+AC82/AC$8</f>
        <v>0.141950847165324</v>
      </c>
      <c r="AE82" s="438"/>
      <c r="AF82" s="442"/>
      <c r="AG82" s="443"/>
      <c r="AI82" s="436"/>
      <c r="AJ82" s="438" t="n">
        <f aca="false">1250*14+1220*14</f>
        <v>34580</v>
      </c>
      <c r="AK82" s="438"/>
      <c r="AL82" s="438"/>
    </row>
    <row r="83" customFormat="false" ht="12.75" hidden="false" customHeight="false" outlineLevel="0" collapsed="false">
      <c r="A83" s="123" t="s">
        <v>280</v>
      </c>
      <c r="B83" s="124" t="s">
        <v>284</v>
      </c>
      <c r="C83" s="435"/>
      <c r="D83" s="436" t="n">
        <f aca="false">L83/$L$88</f>
        <v>0.00488387236813545</v>
      </c>
      <c r="E83" s="437" t="s">
        <v>479</v>
      </c>
      <c r="F83" s="437" t="s">
        <v>479</v>
      </c>
      <c r="G83" s="449"/>
      <c r="H83" s="437" t="s">
        <v>479</v>
      </c>
      <c r="I83" s="437" t="s">
        <v>479</v>
      </c>
      <c r="J83" s="449"/>
      <c r="K83" s="450" t="s">
        <v>479</v>
      </c>
      <c r="L83" s="438" t="n">
        <f aca="false">7*M83</f>
        <v>3433.5</v>
      </c>
      <c r="M83" s="438" t="n">
        <f aca="false">981/2</f>
        <v>490.5</v>
      </c>
      <c r="N83" s="439" t="n">
        <f aca="false">M83/1376</f>
        <v>0.356468023255814</v>
      </c>
      <c r="O83" s="439"/>
      <c r="P83" s="445" t="n">
        <f aca="false">Q83*P$7</f>
        <v>551.8125</v>
      </c>
      <c r="Q83" s="445" t="n">
        <f aca="false">$M83*CMF</f>
        <v>551.8125</v>
      </c>
      <c r="R83" s="446" t="n">
        <f aca="false">+Q83/Q$8</f>
        <v>0.46061143572621</v>
      </c>
      <c r="S83" s="438"/>
      <c r="T83" s="445" t="n">
        <f aca="false">U83*T$7</f>
        <v>39730.5</v>
      </c>
      <c r="U83" s="445" t="n">
        <f aca="false">$M83*CMF</f>
        <v>551.8125</v>
      </c>
      <c r="V83" s="446" t="n">
        <f aca="false">+U83/U$8</f>
        <v>0.498475609756098</v>
      </c>
      <c r="W83" s="438"/>
      <c r="X83" s="445" t="n">
        <f aca="false">Y83*X$7</f>
        <v>33660.5625</v>
      </c>
      <c r="Y83" s="445" t="n">
        <f aca="false">$M83*CMF</f>
        <v>551.8125</v>
      </c>
      <c r="Z83" s="446" t="n">
        <f aca="false">+Y83/Y$8</f>
        <v>0.428758741258741</v>
      </c>
      <c r="AA83" s="438"/>
      <c r="AB83" s="445" t="n">
        <f aca="false">+X83+T83</f>
        <v>73391.0625</v>
      </c>
      <c r="AC83" s="447" t="n">
        <f aca="false">+AB83/AB$7</f>
        <v>551.8125</v>
      </c>
      <c r="AD83" s="446" t="n">
        <f aca="false">+AC83/AC$8</f>
        <v>0.460227272727273</v>
      </c>
      <c r="AE83" s="438"/>
      <c r="AF83" s="442"/>
      <c r="AG83" s="443"/>
      <c r="AI83" s="436"/>
      <c r="AJ83" s="438" t="n">
        <f aca="false">28*3*475</f>
        <v>39900</v>
      </c>
      <c r="AK83" s="438"/>
      <c r="AL83" s="438"/>
    </row>
    <row r="84" customFormat="false" ht="12.75" hidden="false" customHeight="false" outlineLevel="0" collapsed="false">
      <c r="A84" s="123" t="s">
        <v>280</v>
      </c>
      <c r="B84" s="124" t="s">
        <v>285</v>
      </c>
      <c r="C84" s="435"/>
      <c r="D84" s="436" t="n">
        <f aca="false">L84/$L$88</f>
        <v>0.00439598297763874</v>
      </c>
      <c r="E84" s="437" t="s">
        <v>479</v>
      </c>
      <c r="F84" s="437" t="s">
        <v>479</v>
      </c>
      <c r="G84" s="449"/>
      <c r="H84" s="437" t="s">
        <v>479</v>
      </c>
      <c r="I84" s="437" t="s">
        <v>479</v>
      </c>
      <c r="J84" s="449"/>
      <c r="K84" s="450" t="s">
        <v>479</v>
      </c>
      <c r="L84" s="438" t="n">
        <f aca="false">7*M84</f>
        <v>3090.5</v>
      </c>
      <c r="M84" s="438" t="n">
        <f aca="false">883/2</f>
        <v>441.5</v>
      </c>
      <c r="N84" s="439" t="n">
        <f aca="false">M84/1376</f>
        <v>0.320857558139535</v>
      </c>
      <c r="O84" s="439"/>
      <c r="P84" s="445" t="n">
        <f aca="false">Q84*P$7</f>
        <v>496.6875</v>
      </c>
      <c r="Q84" s="445" t="n">
        <f aca="false">$M84*CMF</f>
        <v>496.6875</v>
      </c>
      <c r="R84" s="446" t="n">
        <f aca="false">+Q84/Q$8</f>
        <v>0.414597245409015</v>
      </c>
      <c r="S84" s="438"/>
      <c r="T84" s="445" t="n">
        <f aca="false">U84*T$7</f>
        <v>35761.5</v>
      </c>
      <c r="U84" s="445" t="n">
        <f aca="false">$M84*CMF</f>
        <v>496.6875</v>
      </c>
      <c r="V84" s="446" t="n">
        <f aca="false">+U84/U$8</f>
        <v>0.448678861788618</v>
      </c>
      <c r="W84" s="438"/>
      <c r="X84" s="445" t="n">
        <f aca="false">Y84*X$7</f>
        <v>30297.9375</v>
      </c>
      <c r="Y84" s="445" t="n">
        <f aca="false">$M84*CMF</f>
        <v>496.6875</v>
      </c>
      <c r="Z84" s="446" t="n">
        <f aca="false">+Y84/Y$8</f>
        <v>0.385926573426573</v>
      </c>
      <c r="AA84" s="438"/>
      <c r="AB84" s="445" t="n">
        <f aca="false">+X84+T84</f>
        <v>66059.4375</v>
      </c>
      <c r="AC84" s="447" t="n">
        <f aca="false">+AB84/AB$7</f>
        <v>496.6875</v>
      </c>
      <c r="AD84" s="446" t="n">
        <f aca="false">+AC84/AC$8</f>
        <v>0.414251459549625</v>
      </c>
      <c r="AE84" s="438"/>
      <c r="AF84" s="442"/>
      <c r="AH84" s="432"/>
      <c r="AJ84" s="438" t="n">
        <f aca="false">+AJ83-AJ82</f>
        <v>5320</v>
      </c>
      <c r="AK84" s="438"/>
      <c r="AL84" s="438"/>
    </row>
    <row r="85" customFormat="false" ht="12.75" hidden="false" customHeight="false" outlineLevel="0" collapsed="false">
      <c r="A85" s="123" t="s">
        <v>280</v>
      </c>
      <c r="B85" s="124" t="s">
        <v>286</v>
      </c>
      <c r="C85" s="435"/>
      <c r="D85" s="436" t="n">
        <f aca="false">L85/$L$88</f>
        <v>0.000492867853665045</v>
      </c>
      <c r="E85" s="437" t="s">
        <v>479</v>
      </c>
      <c r="F85" s="437" t="s">
        <v>479</v>
      </c>
      <c r="G85" s="449"/>
      <c r="H85" s="437" t="s">
        <v>479</v>
      </c>
      <c r="I85" s="437" t="s">
        <v>479</v>
      </c>
      <c r="J85" s="449"/>
      <c r="K85" s="450" t="s">
        <v>479</v>
      </c>
      <c r="L85" s="438" t="n">
        <f aca="false">7*M85</f>
        <v>346.5</v>
      </c>
      <c r="M85" s="438" t="n">
        <f aca="false">99/2</f>
        <v>49.5</v>
      </c>
      <c r="N85" s="439" t="n">
        <f aca="false">M85/1376</f>
        <v>0.0359738372093023</v>
      </c>
      <c r="O85" s="439"/>
      <c r="P85" s="445" t="n">
        <f aca="false">Q85*P$7</f>
        <v>55.6875</v>
      </c>
      <c r="Q85" s="445" t="n">
        <f aca="false">$M85*CMF</f>
        <v>55.6875</v>
      </c>
      <c r="R85" s="446" t="n">
        <f aca="false">+Q85/Q$8</f>
        <v>0.0464837228714524</v>
      </c>
      <c r="S85" s="438"/>
      <c r="T85" s="445" t="n">
        <f aca="false">U85*T$7</f>
        <v>4009.5</v>
      </c>
      <c r="U85" s="445" t="n">
        <f aca="false">$M85*CMF</f>
        <v>55.6875</v>
      </c>
      <c r="V85" s="446" t="n">
        <f aca="false">+U85/U$8</f>
        <v>0.0503048780487805</v>
      </c>
      <c r="W85" s="438"/>
      <c r="X85" s="445" t="n">
        <f aca="false">Y85*X$7</f>
        <v>3396.9375</v>
      </c>
      <c r="Y85" s="445" t="n">
        <f aca="false">$M85*CMF</f>
        <v>55.6875</v>
      </c>
      <c r="Z85" s="446" t="n">
        <f aca="false">+Y85/Y$8</f>
        <v>0.0432692307692308</v>
      </c>
      <c r="AA85" s="438"/>
      <c r="AB85" s="445" t="n">
        <f aca="false">+X85+T85</f>
        <v>7406.4375</v>
      </c>
      <c r="AC85" s="447" t="n">
        <f aca="false">+AB85/AB$7</f>
        <v>55.6875</v>
      </c>
      <c r="AD85" s="446" t="n">
        <f aca="false">+AC85/AC$8</f>
        <v>0.0464449541284404</v>
      </c>
      <c r="AE85" s="438"/>
      <c r="AF85" s="442"/>
      <c r="AG85" s="438"/>
      <c r="AI85" s="436"/>
      <c r="AJ85" s="438" t="n">
        <f aca="false">+AJ84+AJ81</f>
        <v>12320</v>
      </c>
      <c r="AK85" s="438"/>
      <c r="AL85" s="438"/>
    </row>
    <row r="86" customFormat="false" ht="12.75" hidden="false" customHeight="false" outlineLevel="0" collapsed="false">
      <c r="A86" s="123" t="s">
        <v>171</v>
      </c>
      <c r="B86" s="427" t="s">
        <v>287</v>
      </c>
      <c r="C86" s="435"/>
      <c r="D86" s="436" t="n">
        <f aca="false">L86/$L$88</f>
        <v>0.00995692633666758</v>
      </c>
      <c r="E86" s="437" t="s">
        <v>479</v>
      </c>
      <c r="F86" s="437" t="s">
        <v>479</v>
      </c>
      <c r="G86" s="449"/>
      <c r="H86" s="437" t="s">
        <v>479</v>
      </c>
      <c r="I86" s="437" t="s">
        <v>479</v>
      </c>
      <c r="J86" s="449"/>
      <c r="K86" s="450" t="s">
        <v>479</v>
      </c>
      <c r="L86" s="438" t="n">
        <f aca="false">7*M86</f>
        <v>7000</v>
      </c>
      <c r="M86" s="438" t="n">
        <f aca="false">2000/2</f>
        <v>1000</v>
      </c>
      <c r="N86" s="439" t="n">
        <f aca="false">M86/1376</f>
        <v>0.726744186046512</v>
      </c>
      <c r="O86" s="439"/>
      <c r="P86" s="445" t="n">
        <f aca="false">Q86*P$7</f>
        <v>1125</v>
      </c>
      <c r="Q86" s="445" t="n">
        <f aca="false">$M86*CMF</f>
        <v>1125</v>
      </c>
      <c r="R86" s="446" t="n">
        <f aca="false">+Q86/Q$8</f>
        <v>0.93906510851419</v>
      </c>
      <c r="S86" s="438"/>
      <c r="T86" s="445" t="n">
        <f aca="false">U86*T$7</f>
        <v>81000</v>
      </c>
      <c r="U86" s="445" t="n">
        <f aca="false">$M86*CMF</f>
        <v>1125</v>
      </c>
      <c r="V86" s="446" t="n">
        <f aca="false">+U86/U$8</f>
        <v>1.01626016260163</v>
      </c>
      <c r="W86" s="438"/>
      <c r="X86" s="445" t="n">
        <f aca="false">Y86*X$7</f>
        <v>68625</v>
      </c>
      <c r="Y86" s="445" t="n">
        <f aca="false">$M86*CMF</f>
        <v>1125</v>
      </c>
      <c r="Z86" s="446" t="n">
        <f aca="false">+Y86/Y$8</f>
        <v>0.874125874125874</v>
      </c>
      <c r="AA86" s="438"/>
      <c r="AB86" s="445" t="n">
        <f aca="false">+X86+T86</f>
        <v>149625</v>
      </c>
      <c r="AC86" s="447" t="n">
        <f aca="false">+AB86/AB$7</f>
        <v>1125</v>
      </c>
      <c r="AD86" s="446" t="n">
        <f aca="false">+AC86/AC$8</f>
        <v>0.938281901584654</v>
      </c>
      <c r="AE86" s="438"/>
      <c r="AF86" s="442"/>
      <c r="AI86" s="436"/>
      <c r="AJ86" s="438" t="n">
        <f aca="false">AJ85*0.58</f>
        <v>7145.6</v>
      </c>
      <c r="AK86" s="438"/>
      <c r="AL86" s="438"/>
    </row>
    <row r="87" customFormat="false" ht="12.75" hidden="false" customHeight="false" outlineLevel="0" collapsed="false">
      <c r="A87" s="123" t="s">
        <v>288</v>
      </c>
      <c r="B87" s="427" t="s">
        <v>289</v>
      </c>
      <c r="C87" s="435"/>
      <c r="D87" s="436" t="n">
        <f aca="false">L87/$L$88</f>
        <v>0.0127996288057862</v>
      </c>
      <c r="E87" s="437" t="s">
        <v>479</v>
      </c>
      <c r="F87" s="437" t="s">
        <v>479</v>
      </c>
      <c r="G87" s="449"/>
      <c r="H87" s="437" t="s">
        <v>479</v>
      </c>
      <c r="I87" s="437" t="s">
        <v>479</v>
      </c>
      <c r="J87" s="449"/>
      <c r="K87" s="450" t="s">
        <v>479</v>
      </c>
      <c r="L87" s="438" t="n">
        <f aca="false">7*M87</f>
        <v>8998.5</v>
      </c>
      <c r="M87" s="438" t="n">
        <f aca="false">2571/2</f>
        <v>1285.5</v>
      </c>
      <c r="N87" s="439" t="n">
        <f aca="false">M87/1376</f>
        <v>0.934229651162791</v>
      </c>
      <c r="O87" s="439"/>
      <c r="P87" s="445" t="n">
        <f aca="false">Q87*P$7</f>
        <v>1373.4727443609</v>
      </c>
      <c r="Q87" s="445" t="n">
        <f aca="false">(((1000+500+500+500)*4.33*15)*CMF)/SM134Units</f>
        <v>1373.4727443609</v>
      </c>
      <c r="R87" s="446" t="n">
        <f aca="false">+Q87/Q$8</f>
        <v>1.14647140597738</v>
      </c>
      <c r="S87" s="438"/>
      <c r="T87" s="445" t="n">
        <f aca="false">U87*T$7</f>
        <v>98890.037593985</v>
      </c>
      <c r="U87" s="445" t="n">
        <f aca="false">(((1000+500+500+500)*4.33*15)*CMF)/SM134Units</f>
        <v>1373.4727443609</v>
      </c>
      <c r="V87" s="446" t="n">
        <f aca="false">+U87/U$8</f>
        <v>1.24071611956721</v>
      </c>
      <c r="W87" s="438"/>
      <c r="X87" s="445" t="n">
        <f aca="false">Y87*X$7</f>
        <v>83781.837406015</v>
      </c>
      <c r="Y87" s="445" t="n">
        <f aca="false">(((1000+500+500+500)*4.33*15)*CMF)/SM134Units</f>
        <v>1373.4727443609</v>
      </c>
      <c r="Z87" s="446" t="n">
        <f aca="false">+Y87/Y$8</f>
        <v>1.06718938955781</v>
      </c>
      <c r="AA87" s="438"/>
      <c r="AB87" s="445" t="n">
        <f aca="false">+X87+T87</f>
        <v>182671.875</v>
      </c>
      <c r="AC87" s="447" t="n">
        <f aca="false">+AB87/AB$7</f>
        <v>1373.4727443609</v>
      </c>
      <c r="AD87" s="446" t="n">
        <f aca="false">+AC87/AC$8</f>
        <v>1.14551521631435</v>
      </c>
      <c r="AE87" s="438"/>
      <c r="AF87" s="442"/>
      <c r="AH87" s="438"/>
      <c r="AJ87" s="124" t="n">
        <f aca="false">0.5*AJ78/12</f>
        <v>27368.2555507531</v>
      </c>
      <c r="AL87" s="438"/>
    </row>
    <row r="88" customFormat="false" ht="12.75" hidden="false" customHeight="false" outlineLevel="0" collapsed="false">
      <c r="A88" s="467"/>
      <c r="B88" s="468" t="s">
        <v>564</v>
      </c>
      <c r="C88" s="468"/>
      <c r="D88" s="469" t="n">
        <f aca="false">SUM(D9:D87)</f>
        <v>1</v>
      </c>
      <c r="E88" s="470" t="s">
        <v>565</v>
      </c>
      <c r="F88" s="470" t="s">
        <v>565</v>
      </c>
      <c r="G88" s="470"/>
      <c r="H88" s="470" t="s">
        <v>565</v>
      </c>
      <c r="I88" s="470" t="s">
        <v>565</v>
      </c>
      <c r="J88" s="470"/>
      <c r="K88" s="470"/>
      <c r="L88" s="471" t="n">
        <f aca="false">+SUM(L9:L87)</f>
        <v>703028.2</v>
      </c>
      <c r="M88" s="471" t="n">
        <f aca="false">+SUM(M9:M87)</f>
        <v>60898.05</v>
      </c>
      <c r="N88" s="472" t="n">
        <f aca="false">M88/1376</f>
        <v>44.2573037790698</v>
      </c>
      <c r="O88" s="472"/>
      <c r="P88" s="473" t="n">
        <f aca="false">+SUM(P9:P87)</f>
        <v>68702.0358724884</v>
      </c>
      <c r="Q88" s="471" t="n">
        <f aca="false">+SUM(Q9:Q87)</f>
        <v>68702.0358724884</v>
      </c>
      <c r="R88" s="473" t="n">
        <f aca="false">+Q88/Q$8</f>
        <v>57.3472753526614</v>
      </c>
      <c r="S88" s="474"/>
      <c r="T88" s="471" t="n">
        <f aca="false">+SUM(T9:T87)</f>
        <v>4682102.4296055</v>
      </c>
      <c r="U88" s="471" t="n">
        <f aca="false">+SUM(U9:U87)</f>
        <v>65029.2004111875</v>
      </c>
      <c r="V88" s="473" t="n">
        <f aca="false">+U88/U$8</f>
        <v>58.7436318077574</v>
      </c>
      <c r="W88" s="475"/>
      <c r="X88" s="471" t="n">
        <f aca="false">+SUM(X9:X87)</f>
        <v>4388688.28040916</v>
      </c>
      <c r="Y88" s="471" t="n">
        <f aca="false">+SUM(Y9:Y87)</f>
        <v>71945.7095149043</v>
      </c>
      <c r="Z88" s="473" t="n">
        <f aca="false">+Y88/Y$8</f>
        <v>55.9018721949528</v>
      </c>
      <c r="AA88" s="475"/>
      <c r="AB88" s="476" t="n">
        <f aca="false">+SUM(AB9:AB87)</f>
        <v>9070790.71001466</v>
      </c>
      <c r="AC88" s="471" t="n">
        <f aca="false">+SUM(AC9:AC87)</f>
        <v>68201.4339098847</v>
      </c>
      <c r="AD88" s="473" t="n">
        <f aca="false">+AC88/AC$8</f>
        <v>56.8819298664593</v>
      </c>
      <c r="AE88" s="477"/>
      <c r="AF88" s="478"/>
      <c r="AJ88" s="124" t="n">
        <f aca="false">+AJ87+AJ86</f>
        <v>34513.8555507531</v>
      </c>
    </row>
    <row r="89" customFormat="false" ht="12.75" hidden="false" customHeight="false" outlineLevel="0" collapsed="false">
      <c r="L89" s="444"/>
      <c r="T89" s="438"/>
      <c r="U89" s="438"/>
      <c r="V89" s="438"/>
      <c r="W89" s="438"/>
      <c r="X89" s="438"/>
      <c r="Y89" s="438"/>
      <c r="Z89" s="438"/>
      <c r="AA89" s="438"/>
      <c r="AB89" s="438"/>
      <c r="AC89" s="438"/>
      <c r="AD89" s="438"/>
      <c r="AE89" s="438"/>
      <c r="AF89" s="442"/>
    </row>
    <row r="90" customFormat="false" ht="12" hidden="false" customHeight="false" outlineLevel="0" collapsed="false">
      <c r="L90" s="479" t="s">
        <v>58</v>
      </c>
      <c r="M90" s="479" t="s">
        <v>293</v>
      </c>
    </row>
    <row r="91" customFormat="false" ht="12" hidden="false" customHeight="false" outlineLevel="0" collapsed="false">
      <c r="B91" s="427" t="s">
        <v>294</v>
      </c>
      <c r="L91" s="124" t="n">
        <f aca="false">10.3*43560*2.5</f>
        <v>1121670</v>
      </c>
      <c r="M91" s="124" t="n">
        <f aca="false">L91/10.3</f>
        <v>108900</v>
      </c>
      <c r="P91" s="480" t="n">
        <f aca="false">Q91*P$7</f>
        <v>8433.60902255639</v>
      </c>
      <c r="Q91" s="480" t="n">
        <f aca="false">+$L91/SM134Units</f>
        <v>8433.60902255639</v>
      </c>
      <c r="R91" s="441" t="n">
        <f aca="false">+Q91/Q$8</f>
        <v>7.03974041949615</v>
      </c>
      <c r="T91" s="480" t="n">
        <f aca="false">U91*T$7</f>
        <v>607219.84962406</v>
      </c>
      <c r="U91" s="480" t="n">
        <f aca="false">+$L91/SM134Units</f>
        <v>8433.60902255639</v>
      </c>
      <c r="V91" s="441" t="n">
        <f aca="false">+U91/U$8</f>
        <v>7.61843633473929</v>
      </c>
      <c r="X91" s="480" t="n">
        <f aca="false">Y91*X$7</f>
        <v>514450.15037594</v>
      </c>
      <c r="Y91" s="480" t="n">
        <f aca="false">+$L91/SM134Units</f>
        <v>8433.60902255639</v>
      </c>
      <c r="Z91" s="441" t="n">
        <f aca="false">+Y91/Y$8</f>
        <v>6.55292076344708</v>
      </c>
      <c r="AB91" s="440" t="n">
        <f aca="false">+X91+T91</f>
        <v>1121670</v>
      </c>
      <c r="AC91" s="480" t="n">
        <f aca="false">+AB91/AB$7</f>
        <v>8433.60902255639</v>
      </c>
      <c r="AD91" s="441" t="n">
        <f aca="false">+AC91/AC$8</f>
        <v>7.03386907636063</v>
      </c>
    </row>
    <row r="92" customFormat="false" ht="12" hidden="false" customHeight="false" outlineLevel="0" collapsed="false">
      <c r="B92" s="405" t="s">
        <v>296</v>
      </c>
      <c r="P92" s="481"/>
      <c r="R92" s="439"/>
    </row>
    <row r="93" customFormat="false" ht="12" hidden="false" customHeight="false" outlineLevel="0" collapsed="false">
      <c r="B93" s="124" t="s">
        <v>566</v>
      </c>
      <c r="L93" s="124" t="n">
        <f aca="false">+L148*CMF</f>
        <v>294300</v>
      </c>
      <c r="M93" s="124" t="n">
        <f aca="false">L93/10.3</f>
        <v>28572.8155339806</v>
      </c>
      <c r="P93" s="481" t="n">
        <f aca="false">Q93*P$7</f>
        <v>2212.78195488722</v>
      </c>
      <c r="Q93" s="124" t="n">
        <f aca="false">+$L93/SM134Units</f>
        <v>2212.78195488722</v>
      </c>
      <c r="R93" s="441" t="n">
        <f aca="false">+Q93/Q$8</f>
        <v>1.84706340140836</v>
      </c>
      <c r="T93" s="480" t="n">
        <f aca="false">U93*T$7</f>
        <v>159320.30075188</v>
      </c>
      <c r="U93" s="124" t="n">
        <f aca="false">+$L93/SM134Units</f>
        <v>2212.78195488722</v>
      </c>
      <c r="V93" s="441" t="n">
        <f aca="false">+U93/U$8</f>
        <v>1.998899688245</v>
      </c>
      <c r="X93" s="480" t="n">
        <f aca="false">Y93*X$7</f>
        <v>134979.69924812</v>
      </c>
      <c r="Y93" s="124" t="n">
        <f aca="false">+$L93/SM134Units</f>
        <v>2212.78195488722</v>
      </c>
      <c r="Z93" s="441" t="n">
        <f aca="false">+Y93/Y$8</f>
        <v>1.71933329828067</v>
      </c>
      <c r="AB93" s="440" t="n">
        <f aca="false">+X93+T93</f>
        <v>294300</v>
      </c>
      <c r="AC93" s="480" t="n">
        <f aca="false">+AB93/AB$7</f>
        <v>2212.78195488722</v>
      </c>
      <c r="AD93" s="441" t="n">
        <f aca="false">+AC93/AC$8</f>
        <v>1.84552289815448</v>
      </c>
    </row>
    <row r="94" customFormat="false" ht="12" hidden="false" customHeight="false" outlineLevel="0" collapsed="false">
      <c r="B94" s="124" t="s">
        <v>567</v>
      </c>
      <c r="L94" s="124" t="n">
        <f aca="false">+L149*8*CMF</f>
        <v>41202</v>
      </c>
      <c r="M94" s="124" t="n">
        <f aca="false">L94/10.3</f>
        <v>4000.19417475728</v>
      </c>
      <c r="P94" s="481" t="n">
        <f aca="false">Q94*P$7</f>
        <v>309.789473684211</v>
      </c>
      <c r="Q94" s="124" t="n">
        <f aca="false">+$L94/SM134Units</f>
        <v>309.789473684211</v>
      </c>
      <c r="R94" s="439" t="n">
        <f aca="false">+Q94/Q$8</f>
        <v>0.258588876197171</v>
      </c>
      <c r="T94" s="481" t="n">
        <f aca="false">U94*T$7</f>
        <v>22304.8421052632</v>
      </c>
      <c r="U94" s="124" t="n">
        <f aca="false">+$L94/SM134Units</f>
        <v>309.789473684211</v>
      </c>
      <c r="V94" s="439" t="n">
        <f aca="false">+U94/U$8</f>
        <v>0.2798459563543</v>
      </c>
      <c r="X94" s="481" t="n">
        <f aca="false">Y94*X$7</f>
        <v>18897.1578947368</v>
      </c>
      <c r="Y94" s="124" t="n">
        <f aca="false">+$L94/SM134Units</f>
        <v>309.789473684211</v>
      </c>
      <c r="Z94" s="439" t="n">
        <f aca="false">+Y94/Y$8</f>
        <v>0.240706661759293</v>
      </c>
      <c r="AB94" s="438" t="n">
        <f aca="false">+X94+T94</f>
        <v>41202</v>
      </c>
      <c r="AC94" s="420" t="n">
        <f aca="false">+AB94/AB$7</f>
        <v>309.789473684211</v>
      </c>
      <c r="AD94" s="439" t="n">
        <f aca="false">+AC94/AC$8</f>
        <v>0.258373205741627</v>
      </c>
    </row>
    <row r="95" customFormat="false" ht="12" hidden="false" customHeight="false" outlineLevel="0" collapsed="false">
      <c r="B95" s="124" t="s">
        <v>315</v>
      </c>
      <c r="L95" s="124" t="n">
        <f aca="false">L147*0.5*CMF</f>
        <v>73575</v>
      </c>
      <c r="M95" s="124" t="n">
        <f aca="false">L95/10.3</f>
        <v>7143.20388349515</v>
      </c>
      <c r="P95" s="481" t="n">
        <f aca="false">Q95*P$7</f>
        <v>553.195488721805</v>
      </c>
      <c r="Q95" s="124" t="n">
        <f aca="false">+$L95/SM134Units</f>
        <v>553.195488721805</v>
      </c>
      <c r="R95" s="439" t="n">
        <f aca="false">+Q95/Q$8</f>
        <v>0.461765850352091</v>
      </c>
      <c r="T95" s="481" t="n">
        <f aca="false">U95*T$7</f>
        <v>39830.0751879699</v>
      </c>
      <c r="U95" s="124" t="n">
        <f aca="false">+$L95/SM134Units</f>
        <v>553.195488721805</v>
      </c>
      <c r="V95" s="439" t="n">
        <f aca="false">+U95/U$8</f>
        <v>0.499724922061251</v>
      </c>
      <c r="X95" s="481" t="n">
        <f aca="false">Y95*X$7</f>
        <v>33744.9248120301</v>
      </c>
      <c r="Y95" s="124" t="n">
        <f aca="false">+$L95/SM134Units</f>
        <v>553.195488721805</v>
      </c>
      <c r="Z95" s="439" t="n">
        <f aca="false">+Y95/Y$8</f>
        <v>0.429833324570167</v>
      </c>
      <c r="AB95" s="438" t="n">
        <f aca="false">+X95+T95</f>
        <v>73575</v>
      </c>
      <c r="AC95" s="420" t="n">
        <f aca="false">+AB95/AB$7</f>
        <v>553.195488721805</v>
      </c>
      <c r="AD95" s="439" t="n">
        <f aca="false">+AC95/AC$8</f>
        <v>0.461380724538619</v>
      </c>
    </row>
    <row r="96" customFormat="false" ht="12" hidden="false" customHeight="false" outlineLevel="0" collapsed="false">
      <c r="B96" s="124" t="s">
        <v>568</v>
      </c>
      <c r="L96" s="124" t="n">
        <f aca="false">545*4*35*CMF</f>
        <v>85837.5</v>
      </c>
      <c r="M96" s="124" t="n">
        <f aca="false">L96/10.3</f>
        <v>8333.73786407767</v>
      </c>
      <c r="P96" s="481" t="n">
        <f aca="false">Q96*P$7</f>
        <v>645.394736842105</v>
      </c>
      <c r="Q96" s="124" t="n">
        <f aca="false">+$L96/SM134Units</f>
        <v>645.394736842105</v>
      </c>
      <c r="R96" s="439" t="n">
        <f aca="false">+Q96/Q$8</f>
        <v>0.538726825410772</v>
      </c>
      <c r="T96" s="481" t="n">
        <f aca="false">U96*T$7</f>
        <v>46468.4210526316</v>
      </c>
      <c r="U96" s="124" t="n">
        <f aca="false">+$L96/SM134Units</f>
        <v>645.394736842105</v>
      </c>
      <c r="V96" s="439" t="n">
        <f aca="false">+U96/U$8</f>
        <v>0.583012409071459</v>
      </c>
      <c r="X96" s="481" t="n">
        <f aca="false">Y96*X$7</f>
        <v>39369.0789473684</v>
      </c>
      <c r="Y96" s="124" t="n">
        <f aca="false">+$L96/SM134Units</f>
        <v>645.394736842105</v>
      </c>
      <c r="Z96" s="439" t="n">
        <f aca="false">+Y96/Y$8</f>
        <v>0.501472211998528</v>
      </c>
      <c r="AB96" s="438" t="n">
        <f aca="false">+X96+T96</f>
        <v>85837.5</v>
      </c>
      <c r="AC96" s="420" t="n">
        <f aca="false">+AB96/AB$7</f>
        <v>645.394736842105</v>
      </c>
      <c r="AD96" s="439" t="n">
        <f aca="false">+AC96/AC$8</f>
        <v>0.538277511961723</v>
      </c>
    </row>
    <row r="97" customFormat="false" ht="12" hidden="false" customHeight="false" outlineLevel="0" collapsed="false">
      <c r="B97" s="124" t="s">
        <v>569</v>
      </c>
      <c r="L97" s="124" t="n">
        <f aca="false">N141*1.5*CMF</f>
        <v>237908.279806215</v>
      </c>
      <c r="M97" s="124" t="n">
        <f aca="false">L97/10.3</f>
        <v>23097.8912433218</v>
      </c>
      <c r="P97" s="481" t="n">
        <f aca="false">Q97*P$7</f>
        <v>1788.78405869334</v>
      </c>
      <c r="Q97" s="124" t="n">
        <f aca="false">+$L97/SM134Units</f>
        <v>1788.78405869334</v>
      </c>
      <c r="R97" s="439" t="n">
        <f aca="false">+Q97/Q$8</f>
        <v>1.49314195216473</v>
      </c>
      <c r="T97" s="481" t="n">
        <f aca="false">U97*T$7</f>
        <v>128792.452225921</v>
      </c>
      <c r="U97" s="124" t="n">
        <f aca="false">+$L97/SM134Units</f>
        <v>1788.78405869334</v>
      </c>
      <c r="V97" s="439" t="n">
        <f aca="false">+U97/U$8</f>
        <v>1.61588442519724</v>
      </c>
      <c r="X97" s="481" t="n">
        <f aca="false">Y97*X$7</f>
        <v>109115.827580294</v>
      </c>
      <c r="Y97" s="124" t="n">
        <f aca="false">+$L97/SM134Units</f>
        <v>1788.78405869334</v>
      </c>
      <c r="Z97" s="439" t="n">
        <f aca="false">+Y97/Y$8</f>
        <v>1.38988660349133</v>
      </c>
      <c r="AB97" s="438" t="n">
        <f aca="false">+X97+T97</f>
        <v>237908.279806215</v>
      </c>
      <c r="AC97" s="420" t="n">
        <f aca="false">+AB97/AB$7</f>
        <v>1788.78405869334</v>
      </c>
      <c r="AD97" s="439" t="n">
        <f aca="false">+AC97/AC$8</f>
        <v>1.49189662943565</v>
      </c>
    </row>
    <row r="98" customFormat="false" ht="12" hidden="false" customHeight="false" outlineLevel="0" collapsed="false">
      <c r="B98" s="124" t="s">
        <v>324</v>
      </c>
      <c r="L98" s="124" t="n">
        <f aca="false">+L158*CMF</f>
        <v>11250</v>
      </c>
      <c r="M98" s="124" t="n">
        <f aca="false">L98/10.3</f>
        <v>1092.23300970874</v>
      </c>
      <c r="P98" s="481" t="n">
        <f aca="false">Q98*P$7</f>
        <v>84.5864661654135</v>
      </c>
      <c r="Q98" s="124" t="n">
        <f aca="false">+$L98/SM134Units</f>
        <v>84.5864661654135</v>
      </c>
      <c r="R98" s="439" t="n">
        <f aca="false">+Q98/Q$8</f>
        <v>0.0706063991364053</v>
      </c>
      <c r="T98" s="481" t="n">
        <f aca="false">U98*T$7</f>
        <v>6090.22556390978</v>
      </c>
      <c r="U98" s="124" t="n">
        <f aca="false">+$L98/SM134Units</f>
        <v>84.5864661654135</v>
      </c>
      <c r="V98" s="439" t="n">
        <f aca="false">+U98/U$8</f>
        <v>0.0764105385414756</v>
      </c>
      <c r="X98" s="481" t="n">
        <f aca="false">Y98*X$7</f>
        <v>5159.77443609023</v>
      </c>
      <c r="Y98" s="124" t="n">
        <f aca="false">+$L98/SM134Units</f>
        <v>84.5864661654135</v>
      </c>
      <c r="Z98" s="439" t="n">
        <f aca="false">+Y98/Y$8</f>
        <v>0.0657237499342763</v>
      </c>
      <c r="AB98" s="438" t="n">
        <f aca="false">+X98+T98</f>
        <v>11250</v>
      </c>
      <c r="AC98" s="420" t="n">
        <f aca="false">+AB98/AB$7</f>
        <v>84.5864661654135</v>
      </c>
      <c r="AD98" s="439" t="n">
        <f aca="false">+AC98/AC$8</f>
        <v>0.0705475113973424</v>
      </c>
    </row>
    <row r="99" customFormat="false" ht="12" hidden="false" customHeight="false" outlineLevel="0" collapsed="false">
      <c r="B99" s="124" t="s">
        <v>320</v>
      </c>
      <c r="L99" s="124" t="n">
        <f aca="false">+L161*CMF</f>
        <v>35437.5</v>
      </c>
      <c r="M99" s="124" t="n">
        <f aca="false">L99/10.3</f>
        <v>3440.53398058252</v>
      </c>
      <c r="P99" s="481" t="n">
        <f aca="false">Q99*P$7</f>
        <v>266.447368421053</v>
      </c>
      <c r="Q99" s="124" t="n">
        <f aca="false">+$L99/SM134Units</f>
        <v>266.447368421053</v>
      </c>
      <c r="R99" s="439" t="n">
        <f aca="false">+Q99/Q$8</f>
        <v>0.222410157279677</v>
      </c>
      <c r="T99" s="481" t="n">
        <f aca="false">U99*T$7</f>
        <v>19184.2105263158</v>
      </c>
      <c r="U99" s="124" t="n">
        <f aca="false">+$L99/SM134Units</f>
        <v>266.447368421053</v>
      </c>
      <c r="V99" s="439" t="n">
        <f aca="false">+U99/U$8</f>
        <v>0.240693196405648</v>
      </c>
      <c r="X99" s="481" t="n">
        <f aca="false">Y99*X$7</f>
        <v>16253.2894736842</v>
      </c>
      <c r="Y99" s="124" t="n">
        <f aca="false">+$L99/SM134Units</f>
        <v>266.447368421053</v>
      </c>
      <c r="Z99" s="439" t="n">
        <f aca="false">+Y99/Y$8</f>
        <v>0.20702981229297</v>
      </c>
      <c r="AB99" s="438" t="n">
        <f aca="false">+X99+T99</f>
        <v>35437.5</v>
      </c>
      <c r="AC99" s="420" t="n">
        <f aca="false">+AB99/AB$7</f>
        <v>266.447368421053</v>
      </c>
      <c r="AD99" s="439" t="n">
        <f aca="false">+AC99/AC$8</f>
        <v>0.222224660901629</v>
      </c>
    </row>
    <row r="100" customFormat="false" ht="12" hidden="false" customHeight="false" outlineLevel="0" collapsed="false">
      <c r="B100" s="124" t="s">
        <v>570</v>
      </c>
      <c r="L100" s="124" t="n">
        <f aca="false">+L157*CMF</f>
        <v>28125</v>
      </c>
      <c r="M100" s="124" t="n">
        <f aca="false">L100/10.3</f>
        <v>2730.58252427184</v>
      </c>
      <c r="P100" s="481" t="n">
        <f aca="false">Q100*P$7</f>
        <v>211.466165413534</v>
      </c>
      <c r="Q100" s="124" t="n">
        <f aca="false">+$L100/SM134Units</f>
        <v>211.466165413534</v>
      </c>
      <c r="R100" s="439" t="n">
        <f aca="false">+Q100/Q$8</f>
        <v>0.176515997841013</v>
      </c>
      <c r="T100" s="481" t="n">
        <f aca="false">U100*T$7</f>
        <v>15225.5639097744</v>
      </c>
      <c r="U100" s="124" t="n">
        <f aca="false">+$L100/SM134Units</f>
        <v>211.466165413534</v>
      </c>
      <c r="V100" s="439" t="n">
        <f aca="false">+U100/U$8</f>
        <v>0.191026346353689</v>
      </c>
      <c r="X100" s="481" t="n">
        <f aca="false">Y100*X$7</f>
        <v>12899.4360902256</v>
      </c>
      <c r="Y100" s="124" t="n">
        <f aca="false">+$L100/SM134Units</f>
        <v>211.466165413534</v>
      </c>
      <c r="Z100" s="439" t="n">
        <f aca="false">+Y100/Y$8</f>
        <v>0.164309374835691</v>
      </c>
      <c r="AB100" s="438" t="n">
        <f aca="false">+X100+T100</f>
        <v>28125</v>
      </c>
      <c r="AC100" s="420" t="n">
        <f aca="false">+AB100/AB$7</f>
        <v>211.466165413534</v>
      </c>
      <c r="AD100" s="439" t="n">
        <f aca="false">+AC100/AC$8</f>
        <v>0.176368778493356</v>
      </c>
    </row>
    <row r="101" customFormat="false" ht="12" hidden="false" customHeight="false" outlineLevel="0" collapsed="false">
      <c r="B101" s="124" t="s">
        <v>571</v>
      </c>
      <c r="L101" s="124" t="n">
        <f aca="false">+L160*CMF</f>
        <v>16875</v>
      </c>
      <c r="M101" s="124" t="n">
        <f aca="false">L101/10.3</f>
        <v>1638.34951456311</v>
      </c>
      <c r="P101" s="481" t="n">
        <f aca="false">Q101*P$7</f>
        <v>126.87969924812</v>
      </c>
      <c r="Q101" s="124" t="n">
        <f aca="false">+$L101/SM134Units</f>
        <v>126.87969924812</v>
      </c>
      <c r="R101" s="439" t="n">
        <f aca="false">+Q101/Q$8</f>
        <v>0.105909598704608</v>
      </c>
      <c r="T101" s="481" t="n">
        <f aca="false">U101*T$7</f>
        <v>9135.33834586466</v>
      </c>
      <c r="U101" s="124" t="n">
        <f aca="false">+$L101/SM134Units</f>
        <v>126.87969924812</v>
      </c>
      <c r="V101" s="439" t="n">
        <f aca="false">+U101/U$8</f>
        <v>0.114615807812213</v>
      </c>
      <c r="X101" s="481" t="n">
        <f aca="false">Y101*X$7</f>
        <v>7739.66165413534</v>
      </c>
      <c r="Y101" s="124" t="n">
        <f aca="false">+$L101/SM134Units</f>
        <v>126.87969924812</v>
      </c>
      <c r="Z101" s="439" t="n">
        <f aca="false">+Y101/Y$8</f>
        <v>0.0985856249014144</v>
      </c>
      <c r="AB101" s="438" t="n">
        <f aca="false">+X101+T101</f>
        <v>16875</v>
      </c>
      <c r="AC101" s="420" t="n">
        <f aca="false">+AB101/AB$7</f>
        <v>126.87969924812</v>
      </c>
      <c r="AD101" s="439" t="n">
        <f aca="false">+AC101/AC$8</f>
        <v>0.105821267096014</v>
      </c>
    </row>
    <row r="102" customFormat="false" ht="12" hidden="false" customHeight="false" outlineLevel="0" collapsed="false">
      <c r="B102" s="124" t="s">
        <v>326</v>
      </c>
      <c r="L102" s="124" t="n">
        <f aca="false">15000*CMF</f>
        <v>16875</v>
      </c>
      <c r="M102" s="124" t="n">
        <f aca="false">L102/10.3</f>
        <v>1638.34951456311</v>
      </c>
      <c r="P102" s="481" t="n">
        <f aca="false">Q102*P$7</f>
        <v>126.87969924812</v>
      </c>
      <c r="Q102" s="124" t="n">
        <f aca="false">+$L102/SM134Units</f>
        <v>126.87969924812</v>
      </c>
      <c r="R102" s="439" t="n">
        <f aca="false">+Q102/Q$8</f>
        <v>0.105909598704608</v>
      </c>
      <c r="T102" s="481" t="n">
        <f aca="false">U102*T$7</f>
        <v>9135.33834586466</v>
      </c>
      <c r="U102" s="124" t="n">
        <f aca="false">+$L102/SM134Units</f>
        <v>126.87969924812</v>
      </c>
      <c r="V102" s="439" t="n">
        <f aca="false">+U102/U$8</f>
        <v>0.114615807812213</v>
      </c>
      <c r="X102" s="481" t="n">
        <f aca="false">Y102*X$7</f>
        <v>7739.66165413534</v>
      </c>
      <c r="Y102" s="124" t="n">
        <f aca="false">+$L102/SM134Units</f>
        <v>126.87969924812</v>
      </c>
      <c r="Z102" s="439" t="n">
        <f aca="false">+Y102/Y$8</f>
        <v>0.0985856249014144</v>
      </c>
      <c r="AB102" s="438" t="n">
        <f aca="false">+X102+T102</f>
        <v>16875</v>
      </c>
      <c r="AC102" s="420" t="n">
        <f aca="false">+AB102/AB$7</f>
        <v>126.87969924812</v>
      </c>
      <c r="AD102" s="439" t="n">
        <f aca="false">+AC102/AC$8</f>
        <v>0.105821267096014</v>
      </c>
    </row>
    <row r="103" customFormat="false" ht="12" hidden="false" customHeight="false" outlineLevel="0" collapsed="false">
      <c r="B103" s="482" t="s">
        <v>318</v>
      </c>
      <c r="C103" s="482"/>
      <c r="D103" s="482"/>
      <c r="E103" s="482"/>
      <c r="F103" s="482"/>
      <c r="G103" s="482"/>
      <c r="H103" s="482"/>
      <c r="I103" s="482"/>
      <c r="J103" s="482"/>
      <c r="K103" s="482"/>
      <c r="L103" s="482" t="n">
        <f aca="false">SUM(L93:L101)</f>
        <v>824510.279806215</v>
      </c>
      <c r="M103" s="482" t="n">
        <f aca="false">SUM(M93:M101)</f>
        <v>80049.5417287587</v>
      </c>
      <c r="P103" s="483" t="n">
        <f aca="false">SUM(P93:P102)</f>
        <v>6326.20511132492</v>
      </c>
      <c r="Q103" s="483" t="n">
        <f aca="false">SUM(Q93:Q102)</f>
        <v>6326.20511132492</v>
      </c>
      <c r="R103" s="484" t="n">
        <f aca="false">SUM(R93:R102)</f>
        <v>5.28063865719943</v>
      </c>
      <c r="T103" s="483" t="n">
        <f aca="false">SUM(T93:T102)</f>
        <v>455486.768015394</v>
      </c>
      <c r="U103" s="483" t="n">
        <f aca="false">SUM(U93:U102)</f>
        <v>6326.20511132492</v>
      </c>
      <c r="V103" s="484" t="n">
        <f aca="false">SUM(V93:V102)</f>
        <v>5.71472909785449</v>
      </c>
      <c r="X103" s="483" t="n">
        <f aca="false">SUM(X93:X102)</f>
        <v>385898.51179082</v>
      </c>
      <c r="Y103" s="483" t="n">
        <f aca="false">SUM(Y93:Y102)</f>
        <v>6326.20511132492</v>
      </c>
      <c r="Z103" s="484" t="n">
        <f aca="false">SUM(Z93:Z102)</f>
        <v>4.91546628696575</v>
      </c>
      <c r="AB103" s="483" t="n">
        <f aca="false">SUM(AB93:AB102)</f>
        <v>841385.279806215</v>
      </c>
      <c r="AC103" s="483" t="n">
        <f aca="false">SUM(AC93:AC102)</f>
        <v>6326.20511132492</v>
      </c>
      <c r="AD103" s="484" t="n">
        <f aca="false">SUM(AD93:AD102)</f>
        <v>5.27623445481645</v>
      </c>
    </row>
    <row r="104" customFormat="false" ht="12" hidden="false" customHeight="false" outlineLevel="0" collapsed="false">
      <c r="P104" s="481"/>
      <c r="R104" s="439"/>
      <c r="U104" s="124" t="n">
        <f aca="false">+$L104/SM134Units</f>
        <v>0</v>
      </c>
      <c r="Y104" s="124" t="n">
        <f aca="false">+$L104/SM134Units</f>
        <v>0</v>
      </c>
    </row>
    <row r="105" customFormat="false" ht="12" hidden="false" customHeight="false" outlineLevel="0" collapsed="false">
      <c r="B105" s="405" t="s">
        <v>572</v>
      </c>
      <c r="P105" s="481"/>
      <c r="R105" s="439"/>
      <c r="U105" s="124" t="n">
        <f aca="false">+$L105/SM134Units</f>
        <v>0</v>
      </c>
      <c r="Y105" s="124" t="n">
        <f aca="false">+$L105/SM134Units</f>
        <v>0</v>
      </c>
    </row>
    <row r="106" customFormat="false" ht="12" hidden="false" customHeight="false" outlineLevel="0" collapsed="false">
      <c r="B106" s="124" t="s">
        <v>328</v>
      </c>
      <c r="L106" s="124" t="n">
        <f aca="false">75000*CMF</f>
        <v>84375</v>
      </c>
      <c r="M106" s="124" t="n">
        <f aca="false">L106/10.3</f>
        <v>8191.74757281553</v>
      </c>
      <c r="P106" s="480" t="n">
        <f aca="false">Q106*P$7</f>
        <v>634.398496240602</v>
      </c>
      <c r="Q106" s="480" t="n">
        <f aca="false">+$L106/SM134Units</f>
        <v>634.398496240602</v>
      </c>
      <c r="R106" s="441" t="n">
        <f aca="false">+Q106/Q$8</f>
        <v>0.52954799352304</v>
      </c>
      <c r="T106" s="480" t="n">
        <f aca="false">U106*T$7</f>
        <v>45676.6917293233</v>
      </c>
      <c r="U106" s="480" t="n">
        <f aca="false">+$L106/SM134Units</f>
        <v>634.398496240602</v>
      </c>
      <c r="V106" s="441" t="n">
        <f aca="false">+U106/U$8</f>
        <v>0.573079039061067</v>
      </c>
      <c r="X106" s="480" t="n">
        <f aca="false">Y106*X$7</f>
        <v>38698.3082706767</v>
      </c>
      <c r="Y106" s="480" t="n">
        <f aca="false">+$L106/SM134Units</f>
        <v>634.398496240602</v>
      </c>
      <c r="Z106" s="441" t="n">
        <f aca="false">+Y106/Y$8</f>
        <v>0.492928124507072</v>
      </c>
      <c r="AB106" s="440" t="n">
        <f aca="false">+X106+T106</f>
        <v>84375</v>
      </c>
      <c r="AC106" s="420" t="n">
        <f aca="false">+AB106/AB$7</f>
        <v>634.398496240602</v>
      </c>
      <c r="AD106" s="439" t="n">
        <f aca="false">+AC106/AC$8</f>
        <v>0.529106335480068</v>
      </c>
    </row>
    <row r="107" customFormat="false" ht="12" hidden="false" customHeight="false" outlineLevel="0" collapsed="false">
      <c r="B107" s="124" t="s">
        <v>573</v>
      </c>
      <c r="L107" s="124" t="n">
        <f aca="false">4000*CMF</f>
        <v>4500</v>
      </c>
      <c r="M107" s="124" t="n">
        <f aca="false">L107/10.3</f>
        <v>436.893203883495</v>
      </c>
      <c r="P107" s="481" t="n">
        <f aca="false">Q107*P$7</f>
        <v>33.8345864661654</v>
      </c>
      <c r="Q107" s="124" t="n">
        <f aca="false">+$L107/SM134Units</f>
        <v>33.8345864661654</v>
      </c>
      <c r="R107" s="439" t="n">
        <f aca="false">+Q107/Q$8</f>
        <v>0.0282425596545621</v>
      </c>
      <c r="T107" s="481" t="n">
        <f aca="false">U107*T$7</f>
        <v>2436.09022556391</v>
      </c>
      <c r="U107" s="124" t="n">
        <f aca="false">+$L107/SM134Units</f>
        <v>33.8345864661654</v>
      </c>
      <c r="V107" s="439" t="n">
        <f aca="false">+U107/U$8</f>
        <v>0.0305642154165903</v>
      </c>
      <c r="X107" s="481" t="n">
        <f aca="false">Y107*X$7</f>
        <v>2063.90977443609</v>
      </c>
      <c r="Y107" s="124" t="n">
        <f aca="false">+$L107/SM134Units</f>
        <v>33.8345864661654</v>
      </c>
      <c r="Z107" s="439" t="n">
        <f aca="false">+Y107/Y$8</f>
        <v>0.0262894999737105</v>
      </c>
      <c r="AB107" s="438" t="n">
        <f aca="false">+X107+T107</f>
        <v>4500</v>
      </c>
      <c r="AC107" s="420" t="n">
        <f aca="false">+AB107/AB$7</f>
        <v>33.8345864661654</v>
      </c>
      <c r="AD107" s="439" t="n">
        <f aca="false">+AC107/AC$8</f>
        <v>0.028219004558937</v>
      </c>
    </row>
    <row r="108" customFormat="false" ht="12" hidden="false" customHeight="false" outlineLevel="0" collapsed="false">
      <c r="B108" s="124" t="s">
        <v>330</v>
      </c>
      <c r="L108" s="124" t="n">
        <f aca="false">4000*CMF</f>
        <v>4500</v>
      </c>
      <c r="M108" s="124" t="n">
        <f aca="false">L108/10.3</f>
        <v>436.893203883495</v>
      </c>
      <c r="P108" s="481" t="n">
        <f aca="false">Q108*P$7</f>
        <v>33.8345864661654</v>
      </c>
      <c r="Q108" s="124" t="n">
        <f aca="false">+$L108/SM134Units</f>
        <v>33.8345864661654</v>
      </c>
      <c r="R108" s="439" t="n">
        <f aca="false">+Q108/Q$8</f>
        <v>0.0282425596545621</v>
      </c>
      <c r="T108" s="481" t="n">
        <f aca="false">U108*T$7</f>
        <v>2436.09022556391</v>
      </c>
      <c r="U108" s="124" t="n">
        <f aca="false">+$L108/SM134Units</f>
        <v>33.8345864661654</v>
      </c>
      <c r="V108" s="439" t="n">
        <f aca="false">+U108/U$8</f>
        <v>0.0305642154165903</v>
      </c>
      <c r="X108" s="481" t="n">
        <f aca="false">Y108*X$7</f>
        <v>2063.90977443609</v>
      </c>
      <c r="Y108" s="124" t="n">
        <f aca="false">+$L108/SM134Units</f>
        <v>33.8345864661654</v>
      </c>
      <c r="Z108" s="439" t="n">
        <f aca="false">+Y108/Y$8</f>
        <v>0.0262894999737105</v>
      </c>
      <c r="AB108" s="438" t="n">
        <f aca="false">+X108+T108</f>
        <v>4500</v>
      </c>
      <c r="AC108" s="420" t="n">
        <f aca="false">+AB108/AB$7</f>
        <v>33.8345864661654</v>
      </c>
      <c r="AD108" s="439" t="n">
        <f aca="false">+AC108/AC$8</f>
        <v>0.028219004558937</v>
      </c>
    </row>
    <row r="109" customFormat="false" ht="12" hidden="false" customHeight="false" outlineLevel="0" collapsed="false">
      <c r="B109" s="124" t="s">
        <v>574</v>
      </c>
      <c r="P109" s="481" t="n">
        <v>0</v>
      </c>
      <c r="Q109" s="124" t="n">
        <v>0</v>
      </c>
      <c r="R109" s="439" t="n">
        <f aca="false">+Q109/Q$8</f>
        <v>0</v>
      </c>
      <c r="T109" s="481" t="n">
        <f aca="false">U109*T$7</f>
        <v>53687.7121945924</v>
      </c>
      <c r="U109" s="124" t="n">
        <f aca="false">+$Q123/SM134Units</f>
        <v>745.662669369339</v>
      </c>
      <c r="V109" s="439" t="n">
        <f aca="false">+U109/U$8</f>
        <v>0.673588680550442</v>
      </c>
      <c r="X109" s="481" t="n">
        <f aca="false">Y109*X$7</f>
        <v>45485.4228315297</v>
      </c>
      <c r="Y109" s="124" t="n">
        <f aca="false">+$Q123/SM134Units</f>
        <v>745.662669369339</v>
      </c>
      <c r="Z109" s="439" t="n">
        <f aca="false">+Y109/Y$8</f>
        <v>0.57938047348045</v>
      </c>
      <c r="AB109" s="438" t="n">
        <f aca="false">+X109+T109</f>
        <v>99173.1350261221</v>
      </c>
      <c r="AC109" s="420" t="n">
        <f aca="false">+AB109/AB$7</f>
        <v>745.662669369339</v>
      </c>
      <c r="AD109" s="439" t="n">
        <f aca="false">+AC109/AC$8</f>
        <v>0.621903810983602</v>
      </c>
    </row>
    <row r="110" customFormat="false" ht="12" hidden="false" customHeight="false" outlineLevel="0" collapsed="false">
      <c r="B110" s="482" t="s">
        <v>332</v>
      </c>
      <c r="C110" s="482"/>
      <c r="D110" s="482"/>
      <c r="E110" s="482"/>
      <c r="F110" s="482"/>
      <c r="G110" s="482"/>
      <c r="H110" s="482"/>
      <c r="I110" s="482"/>
      <c r="J110" s="482"/>
      <c r="K110" s="482"/>
      <c r="L110" s="482" t="n">
        <f aca="false">SUM(L106:L108)</f>
        <v>93375</v>
      </c>
      <c r="M110" s="482" t="n">
        <f aca="false">SUM(M106:M108)</f>
        <v>9065.53398058252</v>
      </c>
      <c r="P110" s="483" t="n">
        <f aca="false">SUM(P106:P109)</f>
        <v>702.067669172932</v>
      </c>
      <c r="Q110" s="483" t="n">
        <f aca="false">SUM(Q106:Q108)</f>
        <v>702.067669172932</v>
      </c>
      <c r="R110" s="484" t="n">
        <f aca="false">+Q110/Q$8</f>
        <v>0.586033112832164</v>
      </c>
      <c r="T110" s="483" t="n">
        <f aca="false">SUM(T106:T109)</f>
        <v>104236.584375044</v>
      </c>
      <c r="U110" s="483" t="n">
        <f aca="false">SUM(U106:U108)</f>
        <v>702.067669172932</v>
      </c>
      <c r="V110" s="484" t="n">
        <f aca="false">+U110/U$8</f>
        <v>0.634207469894248</v>
      </c>
      <c r="X110" s="483" t="n">
        <f aca="false">SUM(X106:X109)</f>
        <v>88311.5506510786</v>
      </c>
      <c r="Y110" s="483" t="n">
        <f aca="false">SUM(Y106:Y108)</f>
        <v>702.067669172932</v>
      </c>
      <c r="Z110" s="484" t="n">
        <f aca="false">+Y110/Y$8</f>
        <v>0.545507124454493</v>
      </c>
      <c r="AB110" s="483" t="n">
        <f aca="false">SUM(AB106:AB109)</f>
        <v>192548.135026122</v>
      </c>
      <c r="AC110" s="483" t="n">
        <f aca="false">SUM(AC106:AC108)</f>
        <v>702.067669172932</v>
      </c>
      <c r="AD110" s="484" t="n">
        <f aca="false">SUM(AD106:AD108)</f>
        <v>0.585544344597942</v>
      </c>
    </row>
    <row r="111" customFormat="false" ht="12" hidden="false" customHeight="false" outlineLevel="0" collapsed="false">
      <c r="B111" s="485" t="s">
        <v>333</v>
      </c>
      <c r="C111" s="482"/>
      <c r="D111" s="482"/>
      <c r="E111" s="482"/>
      <c r="F111" s="482"/>
      <c r="G111" s="482"/>
      <c r="H111" s="482"/>
      <c r="I111" s="482"/>
      <c r="J111" s="482"/>
      <c r="K111" s="482"/>
      <c r="L111" s="482" t="n">
        <f aca="false">+L110+L103</f>
        <v>917885.279806215</v>
      </c>
      <c r="M111" s="482" t="n">
        <f aca="false">+M110+M103</f>
        <v>89115.0757093412</v>
      </c>
      <c r="P111" s="483" t="n">
        <f aca="false">+P110+P103</f>
        <v>7028.27278049785</v>
      </c>
      <c r="Q111" s="483" t="n">
        <f aca="false">+Q110+Q103</f>
        <v>7028.27278049785</v>
      </c>
      <c r="R111" s="484" t="n">
        <f aca="false">+Q111/Q$8</f>
        <v>5.8666717700316</v>
      </c>
      <c r="T111" s="483" t="n">
        <f aca="false">+T110+T103</f>
        <v>559723.352390438</v>
      </c>
      <c r="U111" s="483" t="n">
        <f aca="false">+U110+U103</f>
        <v>7028.27278049785</v>
      </c>
      <c r="V111" s="484" t="n">
        <f aca="false">+U111/U$8</f>
        <v>6.34893656774874</v>
      </c>
      <c r="X111" s="483" t="n">
        <f aca="false">+X110+X103</f>
        <v>474210.062441899</v>
      </c>
      <c r="Y111" s="483" t="n">
        <f aca="false">+Y110+Y103</f>
        <v>7028.27278049785</v>
      </c>
      <c r="Z111" s="484" t="n">
        <f aca="false">+Y111/Y$8</f>
        <v>5.46097341142024</v>
      </c>
      <c r="AB111" s="483" t="n">
        <f aca="false">+AB110+AB103</f>
        <v>1033933.41483234</v>
      </c>
      <c r="AC111" s="483" t="n">
        <f aca="false">+AC110+AC103</f>
        <v>7028.27278049785</v>
      </c>
      <c r="AD111" s="484" t="n">
        <f aca="false">+AD110+AD103</f>
        <v>5.86177879941439</v>
      </c>
    </row>
    <row r="112" customFormat="false" ht="12" hidden="false" customHeight="false" outlineLevel="0" collapsed="false">
      <c r="B112" s="485" t="s">
        <v>334</v>
      </c>
      <c r="C112" s="485"/>
      <c r="D112" s="486"/>
      <c r="E112" s="487"/>
      <c r="F112" s="487"/>
      <c r="G112" s="487"/>
      <c r="H112" s="487"/>
      <c r="I112" s="487"/>
      <c r="J112" s="487"/>
      <c r="K112" s="487"/>
      <c r="L112" s="488" t="n">
        <f aca="false">+L111+L91</f>
        <v>2039555.27980621</v>
      </c>
      <c r="M112" s="488" t="n">
        <f aca="false">+M111+M91</f>
        <v>198015.075709341</v>
      </c>
      <c r="N112" s="489"/>
      <c r="O112" s="489"/>
      <c r="P112" s="488" t="n">
        <f aca="false">+P111+P91</f>
        <v>15461.8818030542</v>
      </c>
      <c r="Q112" s="488" t="n">
        <f aca="false">+Q111+Q91</f>
        <v>15461.8818030542</v>
      </c>
      <c r="R112" s="490" t="n">
        <f aca="false">+Q112/Q$8</f>
        <v>12.9064121895278</v>
      </c>
      <c r="S112" s="491"/>
      <c r="T112" s="488" t="n">
        <f aca="false">+T111+T91</f>
        <v>1166943.2020145</v>
      </c>
      <c r="U112" s="488" t="n">
        <f aca="false">+U111+U91</f>
        <v>15461.8818030542</v>
      </c>
      <c r="V112" s="490" t="n">
        <f aca="false">+U112/U$8</f>
        <v>13.967372902488</v>
      </c>
      <c r="W112" s="491"/>
      <c r="X112" s="488" t="n">
        <f aca="false">+X111+X91</f>
        <v>988660.212817839</v>
      </c>
      <c r="Y112" s="488" t="n">
        <f aca="false">+Y111+Y91</f>
        <v>15461.8818030542</v>
      </c>
      <c r="Z112" s="490" t="n">
        <f aca="false">+Y112/Y$8</f>
        <v>12.0138941748673</v>
      </c>
      <c r="AA112" s="491"/>
      <c r="AB112" s="492" t="n">
        <f aca="false">+AB111+AB91</f>
        <v>2155603.41483234</v>
      </c>
      <c r="AC112" s="488" t="n">
        <f aca="false">+AC111+AC91</f>
        <v>15461.8818030542</v>
      </c>
      <c r="AD112" s="490" t="n">
        <f aca="false">+AD111+AD91</f>
        <v>12.895647875775</v>
      </c>
    </row>
    <row r="113" customFormat="false" ht="12" hidden="false" customHeight="false" outlineLevel="0" collapsed="false">
      <c r="B113" s="455" t="s">
        <v>15</v>
      </c>
      <c r="L113" s="124" t="n">
        <f aca="false">0.15*(L111+L88)</f>
        <v>243137.021970932</v>
      </c>
      <c r="P113" s="124" t="n">
        <f aca="false">0.15*(P111+P88)</f>
        <v>11359.5462979479</v>
      </c>
      <c r="Q113" s="124" t="n">
        <f aca="false">0.15*(Q111+Q88)</f>
        <v>11359.5462979479</v>
      </c>
      <c r="R113" s="461" t="n">
        <f aca="false">+Q113/Q$8</f>
        <v>9.48209206840395</v>
      </c>
      <c r="T113" s="124" t="n">
        <f aca="false">0.15*(T111+T88)</f>
        <v>786273.867299391</v>
      </c>
      <c r="U113" s="124" t="n">
        <f aca="false">0.15*(U111+U88)</f>
        <v>10808.6209787528</v>
      </c>
      <c r="V113" s="461" t="n">
        <f aca="false">+U113/U$8</f>
        <v>9.76388525632593</v>
      </c>
      <c r="X113" s="124" t="n">
        <f aca="false">0.15*(X111+X88)</f>
        <v>729434.751427659</v>
      </c>
      <c r="Y113" s="124" t="n">
        <f aca="false">0.15*(Y111+Y88)</f>
        <v>11846.0973443103</v>
      </c>
      <c r="Z113" s="461" t="n">
        <f aca="false">+Y113/Y$8</f>
        <v>9.20442684095596</v>
      </c>
      <c r="AB113" s="124" t="n">
        <f aca="false">+X113+T113</f>
        <v>1515708.61872705</v>
      </c>
      <c r="AC113" s="124" t="n">
        <f aca="false">0.15*(AC111+AC88)</f>
        <v>11284.4560035574</v>
      </c>
      <c r="AD113" s="124" t="n">
        <f aca="false">0.15*(AD111+AD88)</f>
        <v>9.41155629988105</v>
      </c>
    </row>
    <row r="114" customFormat="false" ht="12" hidden="false" customHeight="false" outlineLevel="0" collapsed="false">
      <c r="B114" s="485" t="s">
        <v>335</v>
      </c>
      <c r="C114" s="485"/>
      <c r="D114" s="486"/>
      <c r="E114" s="487"/>
      <c r="F114" s="487"/>
      <c r="G114" s="487"/>
      <c r="H114" s="487"/>
      <c r="I114" s="487"/>
      <c r="J114" s="487"/>
      <c r="K114" s="487"/>
      <c r="L114" s="488" t="n">
        <f aca="false">+L113+L112+L88</f>
        <v>2985720.50177715</v>
      </c>
      <c r="M114" s="488"/>
      <c r="N114" s="489"/>
      <c r="O114" s="489"/>
      <c r="P114" s="488" t="n">
        <f aca="false">+P113+P112+P88</f>
        <v>95523.4639734906</v>
      </c>
      <c r="Q114" s="488" t="n">
        <f aca="false">+Q113+Q112+Q88</f>
        <v>95523.4639734906</v>
      </c>
      <c r="R114" s="490" t="n">
        <f aca="false">+Q114/Q$8</f>
        <v>79.7357796105931</v>
      </c>
      <c r="S114" s="491"/>
      <c r="T114" s="488" t="n">
        <f aca="false">+T113+T112+T88</f>
        <v>6635319.49891939</v>
      </c>
      <c r="U114" s="488" t="n">
        <f aca="false">+U113+U112+U88</f>
        <v>91299.7031929945</v>
      </c>
      <c r="V114" s="490" t="n">
        <f aca="false">+U114/U$8</f>
        <v>82.4748899665714</v>
      </c>
      <c r="W114" s="491"/>
      <c r="X114" s="488" t="n">
        <f aca="false">+X113+X112+X88</f>
        <v>6106783.24465466</v>
      </c>
      <c r="Y114" s="488" t="n">
        <f aca="false">+Y113+Y112+Y88</f>
        <v>99253.6886622688</v>
      </c>
      <c r="Z114" s="490" t="n">
        <f aca="false">+Y114/Y$8</f>
        <v>77.1201932107761</v>
      </c>
      <c r="AA114" s="491"/>
      <c r="AB114" s="492" t="n">
        <f aca="false">+AB113+AB112+AB88</f>
        <v>12742102.743574</v>
      </c>
      <c r="AC114" s="488" t="n">
        <f aca="false">+AC113+AC112+AC88</f>
        <v>94947.7717164963</v>
      </c>
      <c r="AD114" s="490" t="n">
        <f aca="false">+AD113+AD112+AD88</f>
        <v>79.1891340421153</v>
      </c>
    </row>
    <row r="115" customFormat="false" ht="12" hidden="false" customHeight="false" outlineLevel="0" collapsed="false">
      <c r="B115" s="455"/>
      <c r="R115" s="439"/>
    </row>
    <row r="116" customFormat="false" ht="12" hidden="false" customHeight="false" outlineLevel="0" collapsed="false">
      <c r="B116" s="405" t="s">
        <v>336</v>
      </c>
    </row>
    <row r="117" customFormat="false" ht="12" hidden="false" customHeight="false" outlineLevel="0" collapsed="false">
      <c r="B117" s="124" t="s">
        <v>337</v>
      </c>
      <c r="L117" s="124" t="n">
        <v>4000</v>
      </c>
      <c r="P117" s="480" t="n">
        <f aca="false">Q117*P$7</f>
        <v>30.0751879699248</v>
      </c>
      <c r="Q117" s="480" t="n">
        <f aca="false">+$L117/SM134Units</f>
        <v>30.0751879699248</v>
      </c>
      <c r="R117" s="441" t="n">
        <f aca="false">+Q117/Q$8</f>
        <v>0.0251044974707219</v>
      </c>
      <c r="T117" s="480" t="n">
        <f aca="false">U117*T$7</f>
        <v>2165.41353383459</v>
      </c>
      <c r="U117" s="480" t="n">
        <f aca="false">+$L117/SM134Units</f>
        <v>30.0751879699248</v>
      </c>
      <c r="V117" s="441" t="n">
        <f aca="false">+U117/U$8</f>
        <v>0.0271681914814136</v>
      </c>
      <c r="X117" s="480" t="n">
        <f aca="false">Y117*X$7</f>
        <v>1834.58646616541</v>
      </c>
      <c r="Y117" s="480" t="n">
        <f aca="false">+$L117/SM134Units</f>
        <v>30.0751879699248</v>
      </c>
      <c r="Z117" s="441" t="n">
        <f aca="false">+Y117/Y$8</f>
        <v>0.023368444421076</v>
      </c>
      <c r="AB117" s="440" t="n">
        <f aca="false">+X117+T117</f>
        <v>4000</v>
      </c>
      <c r="AC117" s="420" t="n">
        <f aca="false">+AB117/AB$7</f>
        <v>30.0751879699248</v>
      </c>
      <c r="AD117" s="439" t="n">
        <f aca="false">+AC117/AC$8</f>
        <v>0.025083559607944</v>
      </c>
    </row>
    <row r="118" customFormat="false" ht="12" hidden="false" customHeight="false" outlineLevel="0" collapsed="false">
      <c r="B118" s="124" t="s">
        <v>339</v>
      </c>
      <c r="L118" s="124" t="n">
        <f aca="false">0.0075*0.75*13000000</f>
        <v>73125</v>
      </c>
      <c r="P118" s="481" t="n">
        <f aca="false">Q118*P$7</f>
        <v>549.812030075188</v>
      </c>
      <c r="Q118" s="124" t="n">
        <f aca="false">+$L118/SM134Units</f>
        <v>549.812030075188</v>
      </c>
      <c r="R118" s="439" t="n">
        <f aca="false">+Q118/Q$8</f>
        <v>0.458941594386634</v>
      </c>
      <c r="T118" s="481" t="n">
        <f aca="false">U118*T$7</f>
        <v>39586.4661654135</v>
      </c>
      <c r="U118" s="124" t="n">
        <f aca="false">+$L118/SM134Units</f>
        <v>549.812030075188</v>
      </c>
      <c r="V118" s="439" t="n">
        <f aca="false">+U118/U$8</f>
        <v>0.496668500519592</v>
      </c>
      <c r="X118" s="481" t="n">
        <f aca="false">Y118*X$7</f>
        <v>33538.5338345865</v>
      </c>
      <c r="Y118" s="124" t="n">
        <f aca="false">+$L118/SM134Units</f>
        <v>549.812030075188</v>
      </c>
      <c r="Z118" s="439" t="n">
        <f aca="false">+Y118/Y$8</f>
        <v>0.427204374572796</v>
      </c>
      <c r="AB118" s="438" t="n">
        <f aca="false">+X118+T118</f>
        <v>73125</v>
      </c>
      <c r="AC118" s="420" t="n">
        <f aca="false">+AB118/AB$7</f>
        <v>549.812030075188</v>
      </c>
      <c r="AD118" s="439" t="n">
        <f aca="false">+AC118/AC$8</f>
        <v>0.458558824082726</v>
      </c>
    </row>
    <row r="119" customFormat="false" ht="12" hidden="false" customHeight="false" outlineLevel="0" collapsed="false">
      <c r="B119" s="124" t="s">
        <v>340</v>
      </c>
      <c r="L119" s="124" t="n">
        <f aca="false">0.0025*0.75*13000000</f>
        <v>24375</v>
      </c>
      <c r="P119" s="481" t="n">
        <f aca="false">Q119*P$7</f>
        <v>183.270676691729</v>
      </c>
      <c r="Q119" s="124" t="n">
        <f aca="false">+$L119/SM134Units</f>
        <v>183.270676691729</v>
      </c>
      <c r="R119" s="439" t="n">
        <f aca="false">+Q119/Q$8</f>
        <v>0.152980531462211</v>
      </c>
      <c r="T119" s="481" t="n">
        <f aca="false">U119*T$7</f>
        <v>13195.4887218045</v>
      </c>
      <c r="U119" s="124" t="n">
        <f aca="false">+$L119/SM134Units</f>
        <v>183.270676691729</v>
      </c>
      <c r="V119" s="439" t="n">
        <f aca="false">+U119/U$8</f>
        <v>0.165556166839864</v>
      </c>
      <c r="X119" s="481" t="n">
        <f aca="false">Y119*X$7</f>
        <v>11179.5112781955</v>
      </c>
      <c r="Y119" s="124" t="n">
        <f aca="false">+$L119/SM134Units</f>
        <v>183.270676691729</v>
      </c>
      <c r="Z119" s="439" t="n">
        <f aca="false">+Y119/Y$8</f>
        <v>0.142401458190932</v>
      </c>
      <c r="AB119" s="438" t="n">
        <f aca="false">+X119+T119</f>
        <v>24375</v>
      </c>
      <c r="AC119" s="420" t="n">
        <f aca="false">+AB119/AB$7</f>
        <v>183.270676691729</v>
      </c>
      <c r="AD119" s="439" t="n">
        <f aca="false">+AC119/AC$8</f>
        <v>0.152852941360909</v>
      </c>
    </row>
    <row r="120" customFormat="false" ht="12" hidden="false" customHeight="false" outlineLevel="0" collapsed="false">
      <c r="B120" s="124" t="s">
        <v>575</v>
      </c>
      <c r="L120" s="124" t="n">
        <f aca="false">13000000*0.75*0.75*0.105*0.5</f>
        <v>383906.25</v>
      </c>
      <c r="P120" s="481" t="n">
        <f aca="false">Q120*P$7</f>
        <v>2886.51315789474</v>
      </c>
      <c r="Q120" s="124" t="n">
        <f aca="false">+$L120/SM134Units</f>
        <v>2886.51315789474</v>
      </c>
      <c r="R120" s="439" t="n">
        <f aca="false">+Q120/Q$8</f>
        <v>2.40944337052983</v>
      </c>
      <c r="T120" s="481" t="n">
        <f aca="false">U120*T$7</f>
        <v>207828.947368421</v>
      </c>
      <c r="U120" s="124" t="n">
        <f aca="false">+$L120/SM134Units</f>
        <v>2886.51315789474</v>
      </c>
      <c r="V120" s="439" t="n">
        <f aca="false">+U120/U$8</f>
        <v>2.60750962772786</v>
      </c>
      <c r="X120" s="481" t="n">
        <f aca="false">Y120*X$7</f>
        <v>176077.302631579</v>
      </c>
      <c r="Y120" s="124" t="n">
        <f aca="false">+$L120/SM134Units</f>
        <v>2886.51315789474</v>
      </c>
      <c r="Z120" s="439" t="n">
        <f aca="false">+Y120/Y$8</f>
        <v>2.24282296650718</v>
      </c>
      <c r="AB120" s="438" t="n">
        <f aca="false">+X120+T120</f>
        <v>383906.25</v>
      </c>
      <c r="AC120" s="420" t="n">
        <f aca="false">+AB120/AB$7</f>
        <v>2886.51315789474</v>
      </c>
      <c r="AD120" s="439" t="n">
        <f aca="false">+AC120/AC$8</f>
        <v>2.40743382643431</v>
      </c>
    </row>
    <row r="121" customFormat="false" ht="12" hidden="false" customHeight="false" outlineLevel="0" collapsed="false">
      <c r="B121" s="493" t="s">
        <v>345</v>
      </c>
      <c r="L121" s="493" t="n">
        <f aca="false">SUM(L117:L120)</f>
        <v>485406.25</v>
      </c>
      <c r="M121" s="493"/>
      <c r="P121" s="494" t="n">
        <f aca="false">SUM(P117:P120)</f>
        <v>3649.67105263158</v>
      </c>
      <c r="Q121" s="494" t="n">
        <f aca="false">SUM(Q117:Q120)</f>
        <v>3649.67105263158</v>
      </c>
      <c r="R121" s="495" t="n">
        <f aca="false">SUM(R117:R120)</f>
        <v>3.0464699938494</v>
      </c>
      <c r="T121" s="494" t="n">
        <f aca="false">SUM(T117:T120)</f>
        <v>262776.315789474</v>
      </c>
      <c r="U121" s="494" t="n">
        <f aca="false">SUM(U117:U120)</f>
        <v>3649.67105263158</v>
      </c>
      <c r="V121" s="495" t="n">
        <f aca="false">SUM(V117:V120)</f>
        <v>3.29690248656873</v>
      </c>
      <c r="X121" s="494" t="n">
        <f aca="false">SUM(X117:X120)</f>
        <v>222629.934210526</v>
      </c>
      <c r="Y121" s="494" t="n">
        <f aca="false">SUM(Y117:Y120)</f>
        <v>3649.67105263158</v>
      </c>
      <c r="Z121" s="495" t="n">
        <f aca="false">SUM(Z117:Z120)</f>
        <v>2.83579724369198</v>
      </c>
      <c r="AB121" s="494" t="n">
        <f aca="false">SUM(AB117:AB120)</f>
        <v>485406.25</v>
      </c>
      <c r="AC121" s="494" t="n">
        <f aca="false">SUM(AC117:AC120)</f>
        <v>3649.67105263158</v>
      </c>
      <c r="AD121" s="495" t="n">
        <f aca="false">SUM(AD117:AD120)</f>
        <v>3.04392915148589</v>
      </c>
    </row>
    <row r="122" customFormat="false" ht="12" hidden="false" customHeight="false" outlineLevel="0" collapsed="false">
      <c r="B122" s="482"/>
      <c r="L122" s="482"/>
      <c r="M122" s="482"/>
      <c r="P122" s="483"/>
      <c r="Q122" s="483"/>
      <c r="R122" s="496"/>
      <c r="T122" s="483"/>
      <c r="U122" s="483"/>
      <c r="V122" s="496"/>
      <c r="X122" s="483"/>
      <c r="Y122" s="483"/>
      <c r="Z122" s="496"/>
      <c r="AB122" s="483"/>
      <c r="AC122" s="483"/>
      <c r="AD122" s="496"/>
    </row>
    <row r="123" customFormat="false" ht="12.75" hidden="false" customHeight="false" outlineLevel="0" collapsed="false">
      <c r="B123" s="457" t="s">
        <v>16</v>
      </c>
      <c r="L123" s="457" t="n">
        <f aca="false">+L121+L114+L88</f>
        <v>4174154.95177715</v>
      </c>
      <c r="M123" s="457"/>
      <c r="P123" s="459" t="n">
        <f aca="false">+P121+P114</f>
        <v>99173.1350261221</v>
      </c>
      <c r="Q123" s="459" t="n">
        <f aca="false">+Q121+Q114</f>
        <v>99173.1350261221</v>
      </c>
      <c r="R123" s="460" t="n">
        <f aca="false">+R121+R114</f>
        <v>82.7822496044425</v>
      </c>
      <c r="T123" s="459" t="n">
        <f aca="false">+T121+T114</f>
        <v>6898095.81470886</v>
      </c>
      <c r="U123" s="459" t="n">
        <f aca="false">+U121+U114</f>
        <v>94949.3742456261</v>
      </c>
      <c r="V123" s="460" t="n">
        <f aca="false">+V121+V114</f>
        <v>85.7717924531401</v>
      </c>
      <c r="X123" s="459" t="n">
        <f aca="false">+X121+X114</f>
        <v>6329413.17886519</v>
      </c>
      <c r="Y123" s="459" t="n">
        <f aca="false">+Y121+Y114</f>
        <v>102903.3597149</v>
      </c>
      <c r="Z123" s="460" t="n">
        <f aca="false">+Z121+Z114</f>
        <v>79.9559904544681</v>
      </c>
      <c r="AB123" s="459" t="n">
        <f aca="false">+AB121+AB114</f>
        <v>13227508.993574</v>
      </c>
      <c r="AC123" s="459" t="n">
        <f aca="false">+AC121+AC114</f>
        <v>98597.4427691279</v>
      </c>
      <c r="AD123" s="460" t="n">
        <f aca="false">+AD121+AD114</f>
        <v>82.2330631936012</v>
      </c>
    </row>
    <row r="124" customFormat="false" ht="12.75" hidden="false" customHeight="false" outlineLevel="0" collapsed="false"/>
    <row r="125" customFormat="false" ht="12" hidden="false" customHeight="false" outlineLevel="0" collapsed="false">
      <c r="B125" s="124" t="s">
        <v>576</v>
      </c>
      <c r="L125" s="419" t="n">
        <v>0.75</v>
      </c>
      <c r="M125" s="124" t="s">
        <v>155</v>
      </c>
      <c r="T125" s="124" t="n">
        <f aca="false">0.75*T123</f>
        <v>5173571.86103165</v>
      </c>
      <c r="U125" s="124" t="n">
        <f aca="false">0.75*U123</f>
        <v>71212.0306842196</v>
      </c>
      <c r="V125" s="124" t="n">
        <f aca="false">0.75*V123</f>
        <v>64.3288443398551</v>
      </c>
      <c r="X125" s="124" t="n">
        <f aca="false">0.75*X123</f>
        <v>4747059.88414889</v>
      </c>
      <c r="Y125" s="124" t="n">
        <f aca="false">0.75*Y123</f>
        <v>77177.5197861753</v>
      </c>
      <c r="Z125" s="124" t="n">
        <f aca="false">0.75*Z123</f>
        <v>59.9669928408511</v>
      </c>
      <c r="AB125" s="124" t="n">
        <f aca="false">0.75*AB123</f>
        <v>9920631.74518053</v>
      </c>
      <c r="AC125" s="124" t="n">
        <f aca="false">0.75*AC123</f>
        <v>73948.0820768459</v>
      </c>
      <c r="AD125" s="124" t="n">
        <f aca="false">0.75*AD123</f>
        <v>61.6747973952009</v>
      </c>
    </row>
    <row r="126" customFormat="false" ht="12" hidden="false" customHeight="false" outlineLevel="0" collapsed="false">
      <c r="B126" s="413" t="s">
        <v>28</v>
      </c>
    </row>
    <row r="127" customFormat="false" ht="12" hidden="false" customHeight="false" outlineLevel="0" collapsed="false">
      <c r="B127" s="124" t="s">
        <v>58</v>
      </c>
      <c r="T127" s="124" t="n">
        <f aca="false">+T123-T125</f>
        <v>1724523.95367722</v>
      </c>
      <c r="X127" s="124" t="n">
        <f aca="false">+X123-X125</f>
        <v>1582353.2947163</v>
      </c>
      <c r="AB127" s="124" t="n">
        <f aca="false">+AB123-AB125</f>
        <v>3306877.24839351</v>
      </c>
    </row>
    <row r="128" customFormat="false" ht="12" hidden="false" customHeight="false" outlineLevel="0" collapsed="false">
      <c r="B128" s="124" t="s">
        <v>349</v>
      </c>
      <c r="T128" s="124" t="n">
        <f aca="false">-T113</f>
        <v>-786273.867299391</v>
      </c>
      <c r="X128" s="124" t="n">
        <f aca="false">-X113</f>
        <v>-729434.751427659</v>
      </c>
      <c r="AB128" s="124" t="n">
        <f aca="false">-AB113</f>
        <v>-1515708.61872705</v>
      </c>
    </row>
    <row r="129" customFormat="false" ht="12" hidden="false" customHeight="false" outlineLevel="0" collapsed="false">
      <c r="B129" s="124" t="s">
        <v>577</v>
      </c>
      <c r="T129" s="124" t="n">
        <f aca="false">+T128+T127</f>
        <v>938250.086377825</v>
      </c>
      <c r="X129" s="124" t="n">
        <f aca="false">+X128+X127</f>
        <v>852918.543288638</v>
      </c>
      <c r="AB129" s="124" t="n">
        <f aca="false">+AB128+AB127</f>
        <v>1791168.62966646</v>
      </c>
    </row>
    <row r="135" customFormat="false" ht="12" hidden="false" customHeight="false" outlineLevel="0" collapsed="false">
      <c r="L135" s="124" t="n">
        <f aca="false">10.3*43560</f>
        <v>448668</v>
      </c>
      <c r="P135" s="124" t="n">
        <f aca="false">P$7*28</f>
        <v>28</v>
      </c>
      <c r="T135" s="124" t="n">
        <f aca="false">T7*15.83</f>
        <v>1139.76</v>
      </c>
      <c r="X135" s="124" t="n">
        <f aca="false">X7*26</f>
        <v>1586</v>
      </c>
    </row>
    <row r="136" customFormat="false" ht="12" hidden="false" customHeight="false" outlineLevel="0" collapsed="false">
      <c r="L136" s="124" t="n">
        <f aca="false">SQRT(L135)</f>
        <v>669.826843296087</v>
      </c>
      <c r="M136" s="124" t="n">
        <f aca="false">L136*25</f>
        <v>16745.6710824022</v>
      </c>
      <c r="N136" s="124" t="n">
        <f aca="false">M136*4</f>
        <v>66982.6843296086</v>
      </c>
      <c r="P136" s="124" t="n">
        <f aca="false">P$7*20</f>
        <v>20</v>
      </c>
      <c r="T136" s="124" t="n">
        <f aca="false">T$7*20</f>
        <v>1440</v>
      </c>
      <c r="X136" s="124" t="n">
        <f aca="false">X$7*20</f>
        <v>1220</v>
      </c>
    </row>
    <row r="137" customFormat="false" ht="12" hidden="false" customHeight="false" outlineLevel="0" collapsed="false">
      <c r="L137" s="124" t="n">
        <f aca="false">L136*4-120</f>
        <v>2559.30737318435</v>
      </c>
      <c r="N137" s="124" t="n">
        <f aca="false">300*300</f>
        <v>90000</v>
      </c>
      <c r="P137" s="124" t="n">
        <f aca="false">+P136+P135</f>
        <v>48</v>
      </c>
      <c r="T137" s="124" t="n">
        <f aca="false">+T136+T135</f>
        <v>2579.76</v>
      </c>
      <c r="X137" s="124" t="n">
        <f aca="false">+X136+X135</f>
        <v>2806</v>
      </c>
    </row>
    <row r="138" customFormat="false" ht="12" hidden="false" customHeight="false" outlineLevel="0" collapsed="false">
      <c r="L138" s="124" t="n">
        <f aca="false">30*L137</f>
        <v>76779.2211955304</v>
      </c>
      <c r="N138" s="124" t="n">
        <f aca="false">+N137+N136</f>
        <v>156982.684329609</v>
      </c>
    </row>
    <row r="139" customFormat="false" ht="12" hidden="false" customHeight="false" outlineLevel="0" collapsed="false">
      <c r="N139" s="124" t="n">
        <f aca="false">-2.5*60*80</f>
        <v>-12000</v>
      </c>
    </row>
    <row r="140" customFormat="false" ht="12" hidden="false" customHeight="false" outlineLevel="0" collapsed="false">
      <c r="N140" s="124" t="n">
        <f aca="false">-4000</f>
        <v>-4000</v>
      </c>
    </row>
    <row r="141" customFormat="false" ht="12" hidden="false" customHeight="false" outlineLevel="0" collapsed="false">
      <c r="N141" s="124" t="n">
        <f aca="false">SUM(N138:N140)</f>
        <v>140982.684329609</v>
      </c>
    </row>
    <row r="142" customFormat="false" ht="12" hidden="false" customHeight="false" outlineLevel="0" collapsed="false">
      <c r="N142" s="124" t="n">
        <f aca="false">N141/134</f>
        <v>1052.10958454932</v>
      </c>
    </row>
    <row r="143" customFormat="false" ht="12" hidden="false" customHeight="false" outlineLevel="0" collapsed="false">
      <c r="N143" s="124" t="n">
        <f aca="false">6500*12</f>
        <v>78000</v>
      </c>
    </row>
    <row r="144" customFormat="false" ht="12" hidden="false" customHeight="false" outlineLevel="0" collapsed="false">
      <c r="L144" s="124" t="n">
        <f aca="false">670-(37.5*2+25*2)</f>
        <v>545</v>
      </c>
    </row>
    <row r="145" customFormat="false" ht="12" hidden="false" customHeight="false" outlineLevel="0" collapsed="false">
      <c r="L145" s="124" t="n">
        <v>60</v>
      </c>
    </row>
    <row r="146" customFormat="false" ht="12" hidden="false" customHeight="false" outlineLevel="0" collapsed="false">
      <c r="L146" s="124" t="n">
        <v>4</v>
      </c>
    </row>
    <row r="147" customFormat="false" ht="12" hidden="false" customHeight="false" outlineLevel="0" collapsed="false">
      <c r="L147" s="124" t="n">
        <f aca="false">L146*L145*L144</f>
        <v>130800</v>
      </c>
    </row>
    <row r="148" customFormat="false" ht="12" hidden="false" customHeight="false" outlineLevel="0" collapsed="false">
      <c r="L148" s="124" t="n">
        <f aca="false">2*L147</f>
        <v>261600</v>
      </c>
    </row>
    <row r="149" customFormat="false" ht="12" hidden="false" customHeight="false" outlineLevel="0" collapsed="false">
      <c r="L149" s="124" t="n">
        <f aca="false">L144*L146*2.1</f>
        <v>4578</v>
      </c>
    </row>
    <row r="150" customFormat="false" ht="12" hidden="false" customHeight="false" outlineLevel="0" collapsed="false">
      <c r="L150" s="124" t="n">
        <f aca="false">10*L149</f>
        <v>45780</v>
      </c>
    </row>
    <row r="151" customFormat="false" ht="12" hidden="false" customHeight="false" outlineLevel="0" collapsed="false">
      <c r="L151" s="124" t="n">
        <f aca="false">+L150+L148</f>
        <v>307380</v>
      </c>
      <c r="M151" s="124" t="n">
        <f aca="false">75000*10.3</f>
        <v>772500</v>
      </c>
      <c r="N151" s="419" t="n">
        <f aca="false">+L151/M151</f>
        <v>0.397902912621359</v>
      </c>
    </row>
    <row r="152" customFormat="false" ht="12" hidden="false" customHeight="false" outlineLevel="0" collapsed="false">
      <c r="L152" s="124" t="n">
        <f aca="false">+N141*1.5</f>
        <v>211474.026494413</v>
      </c>
    </row>
    <row r="153" customFormat="false" ht="12" hidden="false" customHeight="false" outlineLevel="0" collapsed="false">
      <c r="B153" s="124" t="s">
        <v>578</v>
      </c>
      <c r="L153" s="124" t="n">
        <f aca="false">545*4*35</f>
        <v>76300</v>
      </c>
      <c r="M153" s="124" t="n">
        <v>16</v>
      </c>
    </row>
    <row r="154" customFormat="false" ht="12" hidden="false" customHeight="false" outlineLevel="0" collapsed="false">
      <c r="B154" s="124" t="s">
        <v>579</v>
      </c>
    </row>
    <row r="155" customFormat="false" ht="12" hidden="false" customHeight="false" outlineLevel="0" collapsed="false">
      <c r="B155" s="124" t="s">
        <v>580</v>
      </c>
    </row>
    <row r="156" customFormat="false" ht="12" hidden="false" customHeight="false" outlineLevel="0" collapsed="false">
      <c r="B156" s="124" t="s">
        <v>581</v>
      </c>
    </row>
    <row r="157" customFormat="false" ht="12" hidden="false" customHeight="false" outlineLevel="0" collapsed="false">
      <c r="B157" s="124" t="s">
        <v>570</v>
      </c>
      <c r="L157" s="124" t="n">
        <v>25000</v>
      </c>
    </row>
    <row r="158" customFormat="false" ht="12" hidden="false" customHeight="false" outlineLevel="0" collapsed="false">
      <c r="B158" s="124" t="s">
        <v>582</v>
      </c>
      <c r="L158" s="124" t="n">
        <f aca="false">10000</f>
        <v>10000</v>
      </c>
    </row>
    <row r="159" customFormat="false" ht="12" hidden="false" customHeight="false" outlineLevel="0" collapsed="false">
      <c r="B159" s="124" t="s">
        <v>583</v>
      </c>
      <c r="L159" s="124" t="n">
        <v>15000</v>
      </c>
    </row>
    <row r="160" customFormat="false" ht="12" hidden="false" customHeight="false" outlineLevel="0" collapsed="false">
      <c r="B160" s="124" t="s">
        <v>571</v>
      </c>
      <c r="L160" s="124" t="n">
        <v>15000</v>
      </c>
    </row>
    <row r="161" customFormat="false" ht="12" hidden="false" customHeight="false" outlineLevel="0" collapsed="false">
      <c r="B161" s="124" t="s">
        <v>584</v>
      </c>
      <c r="L161" s="124" t="n">
        <f aca="false">900*35</f>
        <v>31500</v>
      </c>
      <c r="M161" s="124" t="n">
        <f aca="false">SUM(L151:L161)</f>
        <v>691654.026494413</v>
      </c>
      <c r="N161" s="124" t="n">
        <f aca="false">M161/10.3</f>
        <v>67150.8763586809</v>
      </c>
    </row>
    <row r="162" customFormat="false" ht="12" hidden="false" customHeight="false" outlineLevel="0" collapsed="false">
      <c r="B162" s="124" t="s">
        <v>142</v>
      </c>
      <c r="L162" s="124" t="n">
        <v>75000</v>
      </c>
    </row>
    <row r="163" customFormat="false" ht="12" hidden="false" customHeight="false" outlineLevel="0" collapsed="false">
      <c r="B163" s="124" t="s">
        <v>424</v>
      </c>
      <c r="L163" s="124" t="n">
        <v>4000</v>
      </c>
    </row>
    <row r="164" customFormat="false" ht="12" hidden="false" customHeight="false" outlineLevel="0" collapsed="false">
      <c r="B164" s="124" t="s">
        <v>585</v>
      </c>
      <c r="L164" s="124" t="n">
        <v>4000</v>
      </c>
      <c r="M164" s="124" t="n">
        <f aca="false">SUM(L151:L164)</f>
        <v>774654.026494413</v>
      </c>
      <c r="N164" s="124" t="n">
        <f aca="false">M164/10.3</f>
        <v>75209.1287858653</v>
      </c>
    </row>
  </sheetData>
  <mergeCells count="4">
    <mergeCell ref="P5:R5"/>
    <mergeCell ref="T5:V5"/>
    <mergeCell ref="X5:Z5"/>
    <mergeCell ref="AB5:AD5"/>
  </mergeCells>
  <printOptions headings="false" gridLines="true" gridLinesSet="true" horizontalCentered="true" verticalCentered="false"/>
  <pageMargins left="0.5" right="0.5" top="1.80972222222222" bottom="0.8" header="0.5" footer="0.5"/>
  <pageSetup paperSize="1" scale="100" fitToWidth="1" fitToHeight="3" pageOrder="downThenOver" orientation="landscape" blackAndWhite="false" draft="false" cellComments="none" horizontalDpi="300" verticalDpi="300" copies="1"/>
  <headerFooter differentFirst="false" differentOddEven="false">
    <oddHeader>&amp;C&amp;"Arial,Bold"&amp;11&amp;UConstruction Cost Summary
By Unit</oddHeader>
    <oddFooter>&amp;L&amp;F&amp;C&amp;D&amp;RPage 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1998-01-21T01:49:53Z</dcterms:created>
  <dc:creator>George W. Richards</dc:creator>
  <dc:description/>
  <dc:language>en-US</dc:language>
  <cp:lastModifiedBy>pallen</cp:lastModifiedBy>
  <cp:lastPrinted>2001-02-23T14:56:50Z</cp:lastPrinted>
  <dcterms:modified xsi:type="dcterms:W3CDTF">2001-02-26T04:13:48Z</dcterms:modified>
  <cp:revision>0</cp:revision>
  <dc:subject/>
  <dc:title/>
</cp:coreProperties>
</file>