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forma" sheetId="2" state="visible" r:id="rId4"/>
    <sheet name="UCost Final" sheetId="3" state="visible" r:id="rId5"/>
    <sheet name="Comps" sheetId="4" state="visible" r:id="rId6"/>
    <sheet name="Project Schedule" sheetId="5" state="visible" r:id="rId7"/>
    <sheet name="Initial Mix" sheetId="6" state="hidden" r:id="rId8"/>
  </sheets>
  <definedNames>
    <definedName function="false" hidden="false" localSheetId="3" name="_xlnm.Print_Area" vbProcedure="false">Comps!$A$5:$AL$13</definedName>
    <definedName function="false" hidden="false" localSheetId="5" name="_xlnm.Print_Area" vbProcedure="false">'Initial Mix'!$P$9:$AD$88</definedName>
    <definedName function="false" hidden="false" localSheetId="5" name="_xlnm.Print_Titles" vbProcedure="false">'Initial Mix'!$B:$B,'Initial Mix'!$5:$8</definedName>
    <definedName function="false" hidden="false" localSheetId="1" name="_xlnm.Print_Area" vbProcedure="false">Proforma!$K$14:$X$42</definedName>
    <definedName function="false" hidden="false" localSheetId="1" name="_xlnm.Print_Titles" vbProcedure="false">Proforma!$B:$B,Proforma!$5:$13</definedName>
    <definedName function="false" hidden="false" localSheetId="4" name="_xlnm.Print_Titles" vbProcedure="false">'Project Schedule'!$A:$B,'Project Schedule'!$4:$4</definedName>
    <definedName function="false" hidden="false" localSheetId="0" name="_xlnm.Print_Area" vbProcedure="false">Summary!$B$3:$H$52</definedName>
    <definedName function="false" hidden="false" localSheetId="0" name="_xlnm.Print_Titles" vbProcedure="false">Summary!$1:$2</definedName>
    <definedName function="false" hidden="false" localSheetId="2" name="_xlnm.Print_Area" vbProcedure="false">'UCost Final'!$M$13:$U$143</definedName>
    <definedName function="false" hidden="false" localSheetId="2" name="_xlnm.Print_Titles" vbProcedure="false">'UCost Final'!$B:$B,'UCost Final'!$5:$13</definedName>
    <definedName function="false" hidden="false" name="Adj2B" vbProcedure="false">'UCost Final'!$W$2</definedName>
    <definedName function="false" hidden="false" name="ADj3B" vbProcedure="false">'UCost Final'!$W$3</definedName>
    <definedName function="false" hidden="false" name="Cap10" vbProcedure="false">#REF!</definedName>
    <definedName function="false" hidden="false" name="Cap11" vbProcedure="false">#REF!</definedName>
    <definedName function="false" hidden="false" name="CapRate" vbProcedure="false">Proforma!$C$44</definedName>
    <definedName function="false" hidden="false" name="CMF" vbProcedure="false">'Initial Mix'!$P$1</definedName>
    <definedName function="false" hidden="false" name="ConstProfit" vbProcedure="false">'UCost Final'!$S$131</definedName>
    <definedName function="false" hidden="false" name="constprofit2B" vbProcedure="false">'UCost Final'!$N$131</definedName>
    <definedName function="false" hidden="false" name="constprofit3B" vbProcedure="false">'UCost Final'!$Q$131</definedName>
    <definedName function="false" hidden="false" name="Const_Profit" vbProcedure="false">'UCost Final'!$L$2</definedName>
    <definedName function="false" hidden="false" name="CTime" vbProcedure="false">#REF!</definedName>
    <definedName function="false" hidden="false" name="Four_Bedroom_Rate" vbProcedure="false">Proforma!$C$4</definedName>
    <definedName function="false" hidden="false" name="Interim_Int_Rate" vbProcedure="false">'UCost Final'!$D$139</definedName>
    <definedName function="false" hidden="false" name="Internet" vbProcedure="false">Proforma!$G$1</definedName>
    <definedName function="false" hidden="false" name="INVESTOR_SHARE___50" vbProcedure="false">Summary!$C$9</definedName>
    <definedName function="false" hidden="false" name="InvShare" vbProcedure="false">Summary!$C$9</definedName>
    <definedName function="false" hidden="false" name="LandscapeArea" vbProcedure="false">'UCost Final'!$O$2</definedName>
    <definedName function="false" hidden="false" name="LTC" vbProcedure="false">#REF!</definedName>
    <definedName function="false" hidden="false" name="ltc85" vbProcedure="false">#REF!</definedName>
    <definedName function="false" hidden="false" name="LTC90" vbProcedure="false">#REF!</definedName>
    <definedName function="false" hidden="false" name="LTV" vbProcedure="false">Proforma!$D$56</definedName>
    <definedName function="false" hidden="false" name="MgrOffFirstFlr" vbProcedure="false">'UCost Final'!$Q$3</definedName>
    <definedName function="false" hidden="false" name="MonthlyNOI" vbProcedure="false">Proforma!$V$35</definedName>
    <definedName function="false" hidden="false" name="MortgageLoan" vbProcedure="false">Proforma!$W$59</definedName>
    <definedName function="false" hidden="false" name="MortgagePmt" vbProcedure="false">Proforma!$V$38</definedName>
    <definedName function="false" hidden="false" name="MortPts" vbProcedure="false">'UCost Final'!$D$140</definedName>
    <definedName function="false" hidden="false" name="MortRate" vbProcedure="false">Proforma!$D$38</definedName>
    <definedName function="false" hidden="false" name="NOI" vbProcedure="false">Proforma!$E$33:$X$33</definedName>
    <definedName function="false" hidden="false" name="One_Bedroom_Rate" vbProcedure="false">Proforma!$C$1</definedName>
    <definedName function="false" hidden="false" name="Pool" vbProcedure="false">'UCost Final'!$N$3</definedName>
    <definedName function="false" hidden="false" name="Project_Value" vbProcedure="false">Proforma!$AA$44</definedName>
    <definedName function="false" hidden="false" name="SM134Units" vbProcedure="false">'Initial Mix'!$AB$7</definedName>
    <definedName function="false" hidden="false" name="ThreeBdrm_First_Flr" vbProcedure="false">'UCost Final'!$Q$2</definedName>
    <definedName function="false" hidden="false" name="Three_Bedroom_Rate" vbProcedure="false">Proforma!$C$3</definedName>
    <definedName function="false" hidden="false" name="TotalCost" vbProcedure="false">'UCost Final'!$S$143</definedName>
    <definedName function="false" hidden="false" name="TotalDirectCost" vbProcedure="false">'UCost Final'!$S$132</definedName>
    <definedName function="false" hidden="false" name="TotalSF" vbProcedure="false">Proforma!$V$8</definedName>
    <definedName function="false" hidden="false" name="TotalValue" vbProcedure="false">'UCost Final'!$S$171</definedName>
    <definedName function="false" hidden="false" name="TRUnits" vbProcedure="false">'Initial Mix'!$L$2</definedName>
    <definedName function="false" hidden="false" name="TUnits" vbProcedure="false">Proforma!$V$11</definedName>
    <definedName function="false" hidden="false" name="TwoBdrm_First_Flr" vbProcedure="false">'UCost Final'!$Q$1</definedName>
    <definedName function="false" hidden="false" name="Two_Bedroom_Rate" vbProcedure="false">Proforma!$C$2</definedName>
    <definedName function="false" hidden="false" name="Vollyball___Basketball" vbProcedure="false">'UCost Final'!$N$4</definedName>
    <definedName function="false" hidden="false" name="Vollybasketball" vbProcedure="false">'UCost Final'!$N$4</definedName>
    <definedName function="false" hidden="false" name="_3BGarage" vbProcedure="false">'UCost Final'!$W$1</definedName>
    <definedName function="false" hidden="false" localSheetId="2" name="CMF" vbProcedure="false">'UCost Final'!$J$1</definedName>
    <definedName function="false" hidden="false" localSheetId="2" name="SM134Units" vbProcedure="false">'UCost Final'!$AD$8</definedName>
    <definedName function="false" hidden="false" localSheetId="2" name="TRUnits" vbProcedure="false">'UCost Final'!$J$2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Gwr: 598sf office + 598 sf fitness @ $0.10 psf+ $150/mo for the pool+$250/mo for exterior lighting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89</xdr:colOff>
                <xdr:row>28</xdr:row>
                <xdr:rowOff>14</xdr:rowOff>
              </xdr:from>
              <xdr:to>
                <xdr:col>5</xdr:col>
                <xdr:colOff>54</xdr:colOff>
                <xdr:row>33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280SF  garage &amp; 13 sf porch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44</xdr:colOff>
                <xdr:row>10</xdr:row>
                <xdr:rowOff>8</xdr:rowOff>
              </xdr:from>
              <xdr:to>
                <xdr:col>7</xdr:col>
                <xdr:colOff>64</xdr:colOff>
                <xdr:row>14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<sst xmlns="http://schemas.openxmlformats.org/spreadsheetml/2006/main" count="1386" uniqueCount="541">
  <si>
    <t xml:space="preserve">Category</t>
  </si>
  <si>
    <t xml:space="preserve">Rates</t>
  </si>
  <si>
    <t xml:space="preserve">Amounts</t>
  </si>
  <si>
    <t xml:space="preserve">% Value</t>
  </si>
  <si>
    <t xml:space="preserve">% Cost</t>
  </si>
  <si>
    <t xml:space="preserve">Per Unit </t>
  </si>
  <si>
    <t xml:space="preserve">Per SF</t>
  </si>
  <si>
    <t xml:space="preserve">TOTAL VALUE</t>
  </si>
  <si>
    <t xml:space="preserve">10% Cap</t>
  </si>
  <si>
    <t xml:space="preserve">TOTAL ANNUAL NOI</t>
  </si>
  <si>
    <t xml:space="preserve">ANNUAL MORTGAGE COST</t>
  </si>
  <si>
    <t xml:space="preserve">NET ANNUAL CASH </t>
  </si>
  <si>
    <t xml:space="preserve">INVESTOR SHARE</t>
  </si>
  <si>
    <t xml:space="preserve">PERMANENT LOAN</t>
  </si>
  <si>
    <t xml:space="preserve">Construction Cost</t>
  </si>
  <si>
    <t xml:space="preserve">Construction Profit</t>
  </si>
  <si>
    <t xml:space="preserve">TOTAL COST</t>
  </si>
  <si>
    <t xml:space="preserve">TOTAL PERMANENT LOAN EQUITY</t>
  </si>
  <si>
    <t xml:space="preserve">ANNUAL RETURN ON EQUITY</t>
  </si>
  <si>
    <t xml:space="preserve">INTERIM LOAN</t>
  </si>
  <si>
    <t xml:space="preserve">No Forward Commitment</t>
  </si>
  <si>
    <t xml:space="preserve">Total Cost to Lender</t>
  </si>
  <si>
    <t xml:space="preserve">Interim Loan</t>
  </si>
  <si>
    <t xml:space="preserve">Equity Required With No Forward Commitment</t>
  </si>
  <si>
    <t xml:space="preserve">Less Construction Profit -To Lender</t>
  </si>
  <si>
    <t xml:space="preserve">EXPECTED LOAN EQUITY</t>
  </si>
  <si>
    <t xml:space="preserve">MAXIMUM LOAN EQUITY</t>
  </si>
  <si>
    <t xml:space="preserve">With Forward Commitment</t>
  </si>
  <si>
    <t xml:space="preserve">Equity Required</t>
  </si>
  <si>
    <t xml:space="preserve">NET CASH LOAN EQUITY</t>
  </si>
  <si>
    <t xml:space="preserve">KEY ELEMENTS:</t>
  </si>
  <si>
    <t xml:space="preserve">Bank One has stated that they will apply all reasonable construction profit to the interim loan equity.  They have also stated that 25% is typical for a for build to suit, therefore, we have used it here, but it could be reduced to !5-22%.</t>
  </si>
  <si>
    <t xml:space="preserve">Maximum Loan Equity Reflects the MINIMUM Construction Profit of 15%</t>
  </si>
  <si>
    <t xml:space="preserve">Interim Interest:  8.75% rate, with 75% avg. balance and 9 month term</t>
  </si>
  <si>
    <t xml:space="preserve">Origination Points - 1.0% of Loan, Closing Costs - 0.25% of Loan</t>
  </si>
  <si>
    <t xml:space="preserve">Forward Commitment Fee Permanent Loan - 1.25% - Included in total cost for that option.</t>
  </si>
  <si>
    <t xml:space="preserve">134 Units Including 1 manager's unit</t>
  </si>
  <si>
    <t xml:space="preserve">2Bedroom 2.5 Bath, Townhome with covered parking &amp; 1,000 SF for $1180</t>
  </si>
  <si>
    <t xml:space="preserve">3 Bedroom 3.5 Bath, Townhome with Garage and 1,200 SF for $1530</t>
  </si>
  <si>
    <t xml:space="preserve">Lease Up:  3-6 months Maximum</t>
  </si>
  <si>
    <r>
      <rPr>
        <u val="single"/>
        <sz val="9"/>
        <rFont val="Times New Roman Condensed"/>
        <family val="0"/>
      </rPr>
      <t xml:space="preserve">Amenities</t>
    </r>
    <r>
      <rPr>
        <sz val="9"/>
        <rFont val="Times New Roman Condensed"/>
        <family val="0"/>
      </rPr>
      <t xml:space="preserve">:  Pool, Cabana, BBQ, Volleyball, Basketball, Business Center, Vending Machines, Fitness Center, Full Perimeter Fence, Security Gates, Pre-Wired For Unit Security, Free Cable Tv, Free High Speed Internet, Oversized Units, Low Density And Townhome Unit Design.</t>
    </r>
  </si>
  <si>
    <t xml:space="preserve">One Bedroom Rate</t>
  </si>
  <si>
    <t xml:space="preserve">Internet</t>
  </si>
  <si>
    <t xml:space="preserve">Two Bedroom Rate</t>
  </si>
  <si>
    <t xml:space="preserve">Three Bedroom Rate</t>
  </si>
  <si>
    <t xml:space="preserve">Four Bedroom Rate</t>
  </si>
  <si>
    <t xml:space="preserve">CATEGORIES</t>
  </si>
  <si>
    <t xml:space="preserve">ONE BEDROOM</t>
  </si>
  <si>
    <t xml:space="preserve">PLAN 1016</t>
  </si>
  <si>
    <t xml:space="preserve">PLAN 1213</t>
  </si>
  <si>
    <t xml:space="preserve">FOUR BEDROOM</t>
  </si>
  <si>
    <t xml:space="preserve">PROJECT TOTAL</t>
  </si>
  <si>
    <t xml:space="preserve">TOTAL</t>
  </si>
  <si>
    <t xml:space="preserve">Per Unit</t>
  </si>
  <si>
    <t xml:space="preserve">Total</t>
  </si>
  <si>
    <t xml:space="preserve">Avg /Unit</t>
  </si>
  <si>
    <t xml:space="preserve">Avg /SF</t>
  </si>
  <si>
    <t xml:space="preserve">PER UNIT</t>
  </si>
  <si>
    <t xml:space="preserve">% INCOME</t>
  </si>
  <si>
    <t xml:space="preserve">Bedrooms/Baths</t>
  </si>
  <si>
    <t xml:space="preserve">Rental Sq. Ft</t>
  </si>
  <si>
    <t xml:space="preserve">Stories/Garages</t>
  </si>
  <si>
    <t xml:space="preserve">Two Story</t>
  </si>
  <si>
    <t xml:space="preserve">2 / 0</t>
  </si>
  <si>
    <t xml:space="preserve">2 / 1.5</t>
  </si>
  <si>
    <t xml:space="preserve">Unit Width</t>
  </si>
  <si>
    <t xml:space="preserve">LF</t>
  </si>
  <si>
    <t xml:space="preserve">Mix - Units</t>
  </si>
  <si>
    <t xml:space="preserve">Mix - %</t>
  </si>
  <si>
    <t xml:space="preserve">INCOME:</t>
  </si>
  <si>
    <t xml:space="preserve">Rental Income</t>
  </si>
  <si>
    <t xml:space="preserve">Vacancy Allowance-5%</t>
  </si>
  <si>
    <t xml:space="preserve">Security Deposit Forfeit</t>
  </si>
  <si>
    <t xml:space="preserve">Misc. Income:  Vending Machines</t>
  </si>
  <si>
    <t xml:space="preserve">TOTAL INCOME:</t>
  </si>
  <si>
    <t xml:space="preserve">EXPENSES:</t>
  </si>
  <si>
    <t xml:space="preserve">Management Fee - 5% Total Income</t>
  </si>
  <si>
    <t xml:space="preserve">Unit Maintenance</t>
  </si>
  <si>
    <t xml:space="preserve">250/YR/Unit</t>
  </si>
  <si>
    <t xml:space="preserve">Grounds Maintenance</t>
  </si>
  <si>
    <t xml:space="preserve">Cable TV &amp; T-1</t>
  </si>
  <si>
    <t xml:space="preserve">CATV $13+$10 T-1</t>
  </si>
  <si>
    <t xml:space="preserve">    Utilities</t>
  </si>
  <si>
    <t xml:space="preserve">    Advertising/Promotion</t>
  </si>
  <si>
    <t xml:space="preserve">300/YR</t>
  </si>
  <si>
    <t xml:space="preserve">Property Taxes</t>
  </si>
  <si>
    <t xml:space="preserve">Property Insurance</t>
  </si>
  <si>
    <t xml:space="preserve">Liability Insurance</t>
  </si>
  <si>
    <t xml:space="preserve">Legal</t>
  </si>
  <si>
    <t xml:space="preserve">Rental Commissions</t>
  </si>
  <si>
    <t xml:space="preserve">TOTAL OPERATING EXPENSES:</t>
  </si>
  <si>
    <t xml:space="preserve">MONTHLY NOI:</t>
  </si>
  <si>
    <t xml:space="preserve">Replacement Reserve $350/u/y</t>
  </si>
  <si>
    <t xml:space="preserve">Mortgage: 25Y, 7.5%, 80% Value</t>
  </si>
  <si>
    <t xml:space="preserve">MortRate</t>
  </si>
  <si>
    <t xml:space="preserve">MONTHLY NET CASH INCOME:</t>
  </si>
  <si>
    <t xml:space="preserve">COVERAGE RATIO: NOI/MORTGAGE</t>
  </si>
  <si>
    <t xml:space="preserve">VALUE @ 10% CAP RATE</t>
  </si>
  <si>
    <t xml:space="preserve">CONSTRUCTION LOAN</t>
  </si>
  <si>
    <t xml:space="preserve">75% Loan to Cost</t>
  </si>
  <si>
    <t xml:space="preserve">Cash Equity After C.Profit </t>
  </si>
  <si>
    <t xml:space="preserve">90% Loan to Cost</t>
  </si>
  <si>
    <t xml:space="preserve">97% Loan to Cost</t>
  </si>
  <si>
    <t xml:space="preserve">MORTGAGE LOAN @ 80%LTV</t>
  </si>
  <si>
    <t xml:space="preserve">LTV</t>
  </si>
  <si>
    <t xml:space="preserve">VALUE @ 9.5% CAP RATE</t>
  </si>
  <si>
    <t xml:space="preserve">VALUE @ 10.0% CAP RATE</t>
  </si>
  <si>
    <t xml:space="preserve">VALUE @ 10.5% CAP RATE</t>
  </si>
  <si>
    <t xml:space="preserve">Total Cost With 15% Profit</t>
  </si>
  <si>
    <t xml:space="preserve">Permanent Loan Cash Equity</t>
  </si>
  <si>
    <t xml:space="preserve">Project Equity</t>
  </si>
  <si>
    <t xml:space="preserve">Investor Return</t>
  </si>
  <si>
    <t xml:space="preserve">Annual Cash - 50% Share</t>
  </si>
  <si>
    <t xml:space="preserve">Return on Cash Equity</t>
  </si>
  <si>
    <t xml:space="preserve">Construction Management Fee</t>
  </si>
  <si>
    <t xml:space="preserve">SM134Units</t>
  </si>
  <si>
    <t xml:space="preserve">Perimeter Lndscp</t>
  </si>
  <si>
    <t xml:space="preserve">TwoBdrm First Flr</t>
  </si>
  <si>
    <t xml:space="preserve">3BGarage</t>
  </si>
  <si>
    <t xml:space="preserve">Total Rental Units</t>
  </si>
  <si>
    <t xml:space="preserve">Const Profit</t>
  </si>
  <si>
    <t xml:space="preserve">Int. Courtyard</t>
  </si>
  <si>
    <t xml:space="preserve">ThreeBdrm First Flr</t>
  </si>
  <si>
    <t xml:space="preserve">Adj2B</t>
  </si>
  <si>
    <t xml:space="preserve">FAB L#</t>
  </si>
  <si>
    <t xml:space="preserve">Construction Sequence</t>
  </si>
  <si>
    <t xml:space="preserve">Phase Totals</t>
  </si>
  <si>
    <t xml:space="preserve">Pool</t>
  </si>
  <si>
    <t xml:space="preserve">MgrOffFirstFlr</t>
  </si>
  <si>
    <t xml:space="preserve">ADj3B</t>
  </si>
  <si>
    <t xml:space="preserve">Vollyball &amp; Basketball</t>
  </si>
  <si>
    <t xml:space="preserve">Mgr's Unit, Office &amp; Tech Center</t>
  </si>
  <si>
    <t xml:space="preserve">TOTALS</t>
  </si>
  <si>
    <t xml:space="preserve">PROJECT TOTALS</t>
  </si>
  <si>
    <t xml:space="preserve">Per Rental</t>
  </si>
  <si>
    <t xml:space="preserve">Description</t>
  </si>
  <si>
    <t xml:space="preserve">Totals</t>
  </si>
  <si>
    <t xml:space="preserve">Unit</t>
  </si>
  <si>
    <t xml:space="preserve">SF</t>
  </si>
  <si>
    <t xml:space="preserve">Estimate Totals</t>
  </si>
  <si>
    <t xml:space="preserve">Per A/C SF</t>
  </si>
  <si>
    <t xml:space="preserve">MIX  Rentable Units</t>
  </si>
  <si>
    <t xml:space="preserve">MIX  All Units</t>
  </si>
  <si>
    <t xml:space="preserve">MIX - %</t>
  </si>
  <si>
    <t xml:space="preserve">Heated/Total SF</t>
  </si>
  <si>
    <t xml:space="preserve">Baths/Stories/Garages</t>
  </si>
  <si>
    <t xml:space="preserve">2.5/2/0</t>
  </si>
  <si>
    <t xml:space="preserve">3.5/2/1.5</t>
  </si>
  <si>
    <t xml:space="preserve">L#1</t>
  </si>
  <si>
    <t xml:space="preserve">Permits</t>
  </si>
  <si>
    <t xml:space="preserve">L#2</t>
  </si>
  <si>
    <t xml:space="preserve">Architecture </t>
  </si>
  <si>
    <t xml:space="preserve">Foundation Design</t>
  </si>
  <si>
    <t xml:space="preserve">L#35</t>
  </si>
  <si>
    <t xml:space="preserve">Builder's Risk</t>
  </si>
  <si>
    <t xml:space="preserve">SF/YR</t>
  </si>
  <si>
    <t xml:space="preserve">L#4</t>
  </si>
  <si>
    <t xml:space="preserve">Temp Electic &amp; Utilities</t>
  </si>
  <si>
    <t xml:space="preserve">Sitework</t>
  </si>
  <si>
    <t xml:space="preserve">FOUNDATION</t>
  </si>
  <si>
    <t xml:space="preserve">L#5</t>
  </si>
  <si>
    <t xml:space="preserve">Setup</t>
  </si>
  <si>
    <t xml:space="preserve">Concrete</t>
  </si>
  <si>
    <t xml:space="preserve">Finish</t>
  </si>
  <si>
    <t xml:space="preserve">PLUMBING</t>
  </si>
  <si>
    <t xml:space="preserve">L#6</t>
  </si>
  <si>
    <t xml:space="preserve">Rough</t>
  </si>
  <si>
    <t xml:space="preserve">L#17</t>
  </si>
  <si>
    <t xml:space="preserve">Top Out</t>
  </si>
  <si>
    <t xml:space="preserve">Set Out</t>
  </si>
  <si>
    <t xml:space="preserve">FRAMING LABOR</t>
  </si>
  <si>
    <t xml:space="preserve">L#7</t>
  </si>
  <si>
    <t xml:space="preserve">1st Floor Walls</t>
  </si>
  <si>
    <t xml:space="preserve">2nd Floor Walls</t>
  </si>
  <si>
    <t xml:space="preserve">Roof-Decking-Subfascia</t>
  </si>
  <si>
    <t xml:space="preserve">L#9</t>
  </si>
  <si>
    <t xml:space="preserve">Cornice</t>
  </si>
  <si>
    <t xml:space="preserve">FRAMING MATERIALS</t>
  </si>
  <si>
    <t xml:space="preserve">Trusses - Roof</t>
  </si>
  <si>
    <t xml:space="preserve">Floor Joists</t>
  </si>
  <si>
    <t xml:space="preserve">1st Floor Material</t>
  </si>
  <si>
    <t xml:space="preserve">2nd Floor Materials</t>
  </si>
  <si>
    <t xml:space="preserve">Roof System Materials</t>
  </si>
  <si>
    <t xml:space="preserve">Cornice Materials</t>
  </si>
  <si>
    <t xml:space="preserve">L#10</t>
  </si>
  <si>
    <t xml:space="preserve">Windows</t>
  </si>
  <si>
    <t xml:space="preserve">LS</t>
  </si>
  <si>
    <t xml:space="preserve">Exterior Doors</t>
  </si>
  <si>
    <t xml:space="preserve">MASONRY/SIDING</t>
  </si>
  <si>
    <t xml:space="preserve">Assume Stone &amp; Stucco Same Price.</t>
  </si>
  <si>
    <t xml:space="preserve">L#18</t>
  </si>
  <si>
    <t xml:space="preserve">Materials</t>
  </si>
  <si>
    <t xml:space="preserve">Labor</t>
  </si>
  <si>
    <t xml:space="preserve">ROOFING</t>
  </si>
  <si>
    <t xml:space="preserve">L#8</t>
  </si>
  <si>
    <t xml:space="preserve">SQ</t>
  </si>
  <si>
    <t xml:space="preserve">ELECTRIC</t>
  </si>
  <si>
    <t xml:space="preserve">L#12</t>
  </si>
  <si>
    <t xml:space="preserve">Temp Set</t>
  </si>
  <si>
    <t xml:space="preserve">L#36</t>
  </si>
  <si>
    <t xml:space="preserve">Trim</t>
  </si>
  <si>
    <t xml:space="preserve">PREWIRE</t>
  </si>
  <si>
    <t xml:space="preserve">HVAC</t>
  </si>
  <si>
    <t xml:space="preserve">L#13</t>
  </si>
  <si>
    <t xml:space="preserve">L#14</t>
  </si>
  <si>
    <t xml:space="preserve">Set</t>
  </si>
  <si>
    <t xml:space="preserve">L#15&amp;16</t>
  </si>
  <si>
    <t xml:space="preserve">INSULATION</t>
  </si>
  <si>
    <t xml:space="preserve">L#20</t>
  </si>
  <si>
    <t xml:space="preserve">SHEETROCK</t>
  </si>
  <si>
    <t xml:space="preserve">Stock</t>
  </si>
  <si>
    <t xml:space="preserve">Hang, Tape, Float &amp; Texture</t>
  </si>
  <si>
    <t xml:space="preserve">L#21</t>
  </si>
  <si>
    <t xml:space="preserve">GARAGE DOORS</t>
  </si>
  <si>
    <t xml:space="preserve">Door</t>
  </si>
  <si>
    <t xml:space="preserve">Mgr. &amp; 3B</t>
  </si>
  <si>
    <t xml:space="preserve">COVERED PARKING</t>
  </si>
  <si>
    <t xml:space="preserve">Optional</t>
  </si>
  <si>
    <t xml:space="preserve">INTERIOR TRIM</t>
  </si>
  <si>
    <t xml:space="preserve">Doors</t>
  </si>
  <si>
    <t xml:space="preserve">Millwork</t>
  </si>
  <si>
    <t xml:space="preserve">PAINT</t>
  </si>
  <si>
    <t xml:space="preserve">L#11</t>
  </si>
  <si>
    <t xml:space="preserve">Exterior</t>
  </si>
  <si>
    <t xml:space="preserve">CSF</t>
  </si>
  <si>
    <t xml:space="preserve">L#24</t>
  </si>
  <si>
    <t xml:space="preserve">Interior Trim</t>
  </si>
  <si>
    <t xml:space="preserve">Touch Up</t>
  </si>
  <si>
    <t xml:space="preserve">FINISH ITEMS</t>
  </si>
  <si>
    <t xml:space="preserve">L#22</t>
  </si>
  <si>
    <t xml:space="preserve">Cabinets</t>
  </si>
  <si>
    <t xml:space="preserve">Countertops</t>
  </si>
  <si>
    <t xml:space="preserve">L#29</t>
  </si>
  <si>
    <t xml:space="preserve">Hardware With VING Card)</t>
  </si>
  <si>
    <t xml:space="preserve">$0.35+$200 for VinCard</t>
  </si>
  <si>
    <t xml:space="preserve">Electrical Fixtures</t>
  </si>
  <si>
    <t xml:space="preserve">L#26</t>
  </si>
  <si>
    <t xml:space="preserve">Appliances(W/O Washer &amp; Dryer)</t>
  </si>
  <si>
    <t xml:space="preserve">L#27</t>
  </si>
  <si>
    <t xml:space="preserve">Flooring</t>
  </si>
  <si>
    <t xml:space="preserve">Specialty Items - Mini-Blinds</t>
  </si>
  <si>
    <t xml:space="preserve">L#28</t>
  </si>
  <si>
    <t xml:space="preserve">FLATWORK</t>
  </si>
  <si>
    <t xml:space="preserve">Curb Cut</t>
  </si>
  <si>
    <t xml:space="preserve">See Site Work</t>
  </si>
  <si>
    <t xml:space="preserve">Drives</t>
  </si>
  <si>
    <t xml:space="preserve">Walks</t>
  </si>
  <si>
    <t xml:space="preserve">L#30</t>
  </si>
  <si>
    <t xml:space="preserve">FENCING</t>
  </si>
  <si>
    <t xml:space="preserve">See Amenities</t>
  </si>
  <si>
    <t xml:space="preserve">LANDSCAPING</t>
  </si>
  <si>
    <t xml:space="preserve">Sprinklers - Front &amp; Rear</t>
  </si>
  <si>
    <t xml:space="preserve">CLEAN UP</t>
  </si>
  <si>
    <t xml:space="preserve">L#31</t>
  </si>
  <si>
    <t xml:space="preserve">Site</t>
  </si>
  <si>
    <t xml:space="preserve">Month</t>
  </si>
  <si>
    <t xml:space="preserve">Interior</t>
  </si>
  <si>
    <t xml:space="preserve">Final Grade</t>
  </si>
  <si>
    <t xml:space="preserve">Dumpster</t>
  </si>
  <si>
    <t xml:space="preserve">Job Toilet</t>
  </si>
  <si>
    <t xml:space="preserve">MISCELLANEOUS</t>
  </si>
  <si>
    <t xml:space="preserve">L#37</t>
  </si>
  <si>
    <t xml:space="preserve">SUPERVISION</t>
  </si>
  <si>
    <t xml:space="preserve">TOTAL UNIT COST</t>
  </si>
  <si>
    <t xml:space="preserve">Quantity</t>
  </si>
  <si>
    <t xml:space="preserve">Unit Cost</t>
  </si>
  <si>
    <t xml:space="preserve">Per Acre</t>
  </si>
  <si>
    <t xml:space="preserve">Land</t>
  </si>
  <si>
    <t xml:space="preserve">$2.50/SF</t>
  </si>
  <si>
    <t xml:space="preserve">Improvements</t>
  </si>
  <si>
    <t xml:space="preserve">Civil Engineering</t>
  </si>
  <si>
    <t xml:space="preserve">Lump Sum</t>
  </si>
  <si>
    <t xml:space="preserve">8" Flex Base</t>
  </si>
  <si>
    <t xml:space="preserve">Sq Yds</t>
  </si>
  <si>
    <t xml:space="preserve">1 1/2" HMAC</t>
  </si>
  <si>
    <t xml:space="preserve">Excavation/Embankment</t>
  </si>
  <si>
    <t xml:space="preserve">Cubic Yds</t>
  </si>
  <si>
    <t xml:space="preserve">Curb &amp; Gutter</t>
  </si>
  <si>
    <t xml:space="preserve">Linear Ft</t>
  </si>
  <si>
    <t xml:space="preserve">8"PVC Watermain</t>
  </si>
  <si>
    <t xml:space="preserve">2" PVC Watermain</t>
  </si>
  <si>
    <t xml:space="preserve">Water Services</t>
  </si>
  <si>
    <t xml:space="preserve">EA</t>
  </si>
  <si>
    <t xml:space="preserve">Master Meters</t>
  </si>
  <si>
    <t xml:space="preserve">Fire Hydrants W/Valve</t>
  </si>
  <si>
    <t xml:space="preserve">8" Wastewater Line(all depths)</t>
  </si>
  <si>
    <t xml:space="preserve">W.W. Manholes</t>
  </si>
  <si>
    <t xml:space="preserve">Wet Tap 8"</t>
  </si>
  <si>
    <t xml:space="preserve">Striping</t>
  </si>
  <si>
    <t xml:space="preserve">Electrical</t>
  </si>
  <si>
    <t xml:space="preserve">Contingency</t>
  </si>
  <si>
    <t xml:space="preserve">Sub Total</t>
  </si>
  <si>
    <t xml:space="preserve">Ammenities</t>
  </si>
  <si>
    <t xml:space="preserve">Perimeter Wall-Bishop</t>
  </si>
  <si>
    <t xml:space="preserve">Perimeter Wall-LBJ &amp; Met</t>
  </si>
  <si>
    <t xml:space="preserve">Landscaping &amp; Sprinklers</t>
  </si>
  <si>
    <t xml:space="preserve">Sq Ft.</t>
  </si>
  <si>
    <t xml:space="preserve">Entry Gates</t>
  </si>
  <si>
    <t xml:space="preserve">Mgr Apt, Computer &amp; Rental Offices</t>
  </si>
  <si>
    <t xml:space="preserve">Rental Office FF&amp;E</t>
  </si>
  <si>
    <t xml:space="preserve">HighSpeed T-1 Line</t>
  </si>
  <si>
    <t xml:space="preserve">Swimming Pool</t>
  </si>
  <si>
    <t xml:space="preserve">Technology &amp; Fitness Center</t>
  </si>
  <si>
    <t xml:space="preserve">Vollyball Court</t>
  </si>
  <si>
    <t xml:space="preserve">Basketball Court</t>
  </si>
  <si>
    <t xml:space="preserve">Sub Total Comm. Ammenities</t>
  </si>
  <si>
    <t xml:space="preserve">Total Imp. &amp; Ammenities</t>
  </si>
  <si>
    <t xml:space="preserve">TOTAL IMPROVED LOT</t>
  </si>
  <si>
    <t xml:space="preserve">TOTAL DIRECT COST</t>
  </si>
  <si>
    <t xml:space="preserve">Finance Cost</t>
  </si>
  <si>
    <t xml:space="preserve">Appraisal</t>
  </si>
  <si>
    <t xml:space="preserve">Interim Construction Loan</t>
  </si>
  <si>
    <t xml:space="preserve">Origination</t>
  </si>
  <si>
    <t xml:space="preserve">Closing Costs</t>
  </si>
  <si>
    <t xml:space="preserve">110% Interest Reserve</t>
  </si>
  <si>
    <t xml:space="preserve">Interim Int Rate</t>
  </si>
  <si>
    <t xml:space="preserve">Permanent Loan Fee </t>
  </si>
  <si>
    <t xml:space="preserve">MortPts</t>
  </si>
  <si>
    <t xml:space="preserve">Total Finance Cost</t>
  </si>
  <si>
    <t xml:space="preserve">P</t>
  </si>
  <si>
    <t xml:space="preserve">CONSTRUCTION COST SUMMARY</t>
  </si>
  <si>
    <t xml:space="preserve">Equity Required - Based on LTV @ 80%</t>
  </si>
  <si>
    <t xml:space="preserve">Less Defferred C. Profit</t>
  </si>
  <si>
    <t xml:space="preserve">Less Excess CMFee</t>
  </si>
  <si>
    <t xml:space="preserve">Investor Equity</t>
  </si>
  <si>
    <t xml:space="preserve">LAND COST</t>
  </si>
  <si>
    <t xml:space="preserve">RAW LAND</t>
  </si>
  <si>
    <t xml:space="preserve">IMPROVEMENTS</t>
  </si>
  <si>
    <t xml:space="preserve">IMPROVED LOT COST</t>
  </si>
  <si>
    <t xml:space="preserve">UNIT COST</t>
  </si>
  <si>
    <t xml:space="preserve">COMMON AMENITIES</t>
  </si>
  <si>
    <t xml:space="preserve">CONSTRUCTION PROFIT</t>
  </si>
  <si>
    <t xml:space="preserve">FINANCE COST</t>
  </si>
  <si>
    <t xml:space="preserve">75% Value</t>
  </si>
  <si>
    <t xml:space="preserve">80% Cost</t>
  </si>
  <si>
    <t xml:space="preserve">EQUITY</t>
  </si>
  <si>
    <t xml:space="preserve">With 75% LTV Loan</t>
  </si>
  <si>
    <t xml:space="preserve">Land Equity</t>
  </si>
  <si>
    <t xml:space="preserve">Less Construction Profit</t>
  </si>
  <si>
    <t xml:space="preserve">Additional Equity </t>
  </si>
  <si>
    <t xml:space="preserve">With 80% Cost Loan</t>
  </si>
  <si>
    <t xml:space="preserve">TWO BEDROOMS</t>
  </si>
  <si>
    <t xml:space="preserve">THREE BEDROOMS</t>
  </si>
  <si>
    <t xml:space="preserve">SMALLER</t>
  </si>
  <si>
    <t xml:space="preserve">LARGER</t>
  </si>
  <si>
    <t xml:space="preserve">ONE BATH</t>
  </si>
  <si>
    <t xml:space="preserve">TWO BATH</t>
  </si>
  <si>
    <t xml:space="preserve">THREE &amp; THREE 1/2 BATH</t>
  </si>
  <si>
    <t xml:space="preserve">FOUR BEDROOMS</t>
  </si>
  <si>
    <t xml:space="preserve">THREE BATH</t>
  </si>
  <si>
    <t xml:space="preserve">FOUR BATH</t>
  </si>
  <si>
    <t xml:space="preserve">Total Units</t>
  </si>
  <si>
    <t xml:space="preserve">Age</t>
  </si>
  <si>
    <t xml:space="preserve">Size</t>
  </si>
  <si>
    <t xml:space="preserve">Rent</t>
  </si>
  <si>
    <t xml:space="preserve">Rent/SF</t>
  </si>
  <si>
    <t xml:space="preserve">Rent/Bdrm</t>
  </si>
  <si>
    <t xml:space="preserve">Jefferson</t>
  </si>
  <si>
    <t xml:space="preserve">The Palazzo</t>
  </si>
  <si>
    <t xml:space="preserve">Hillside Ranch</t>
  </si>
  <si>
    <t xml:space="preserve">Sterling Univ. Apts.</t>
  </si>
  <si>
    <t xml:space="preserve">SM134</t>
  </si>
  <si>
    <t xml:space="preserve">Man Days</t>
  </si>
  <si>
    <t xml:space="preserve">Number of Months</t>
  </si>
  <si>
    <t xml:space="preserve">1 YEAR</t>
  </si>
  <si>
    <t xml:space="preserve">Second Contract Extension</t>
  </si>
  <si>
    <t xml:space="preserve">x</t>
  </si>
  <si>
    <t xml:space="preserve">Loan Package Final</t>
  </si>
  <si>
    <t xml:space="preserve">Appraisal Complete</t>
  </si>
  <si>
    <t xml:space="preserve">Closing Loan/Land</t>
  </si>
  <si>
    <t xml:space="preserve">Survey &amp; Topo</t>
  </si>
  <si>
    <t xml:space="preserve">Partnership Agreement</t>
  </si>
  <si>
    <t xml:space="preserve">Re-Plat 2nd Parcel-Eng</t>
  </si>
  <si>
    <t xml:space="preserve">Re-Plat 2nd Parcel-Approval</t>
  </si>
  <si>
    <t xml:space="preserve">Utility Design</t>
  </si>
  <si>
    <t xml:space="preserve">Architectural Plans</t>
  </si>
  <si>
    <t xml:space="preserve">PK Review of Plans</t>
  </si>
  <si>
    <t xml:space="preserve">Creekside Review of Plans</t>
  </si>
  <si>
    <t xml:space="preserve">City Submission</t>
  </si>
  <si>
    <t xml:space="preserve">City Approval</t>
  </si>
  <si>
    <t xml:space="preserve">Supervisor Start</t>
  </si>
  <si>
    <t xml:space="preserve">Bidding-Site Improvements</t>
  </si>
  <si>
    <t xml:space="preserve">Bid Review</t>
  </si>
  <si>
    <t xml:space="preserve">Bidding-Unit Construction</t>
  </si>
  <si>
    <t xml:space="preserve">Perimeter Wall</t>
  </si>
  <si>
    <t xml:space="preserve">Volleyball Court</t>
  </si>
  <si>
    <t xml:space="preserve">Rental Offices</t>
  </si>
  <si>
    <t xml:space="preserve">Fitness Center</t>
  </si>
  <si>
    <t xml:space="preserve">Technology Center</t>
  </si>
  <si>
    <t xml:space="preserve">Unit Construction - 33 Bldgs</t>
  </si>
  <si>
    <t xml:space="preserve">Phase 1 - 4 Bldgs + Mgr Office</t>
  </si>
  <si>
    <t xml:space="preserve">Phase 2 - 4 Bldgs</t>
  </si>
  <si>
    <t xml:space="preserve">Phase 3 - 4 Bldgs</t>
  </si>
  <si>
    <t xml:space="preserve">Phase 4 - 4 Bldgs</t>
  </si>
  <si>
    <t xml:space="preserve">Phase 5 - 4 Bldgs</t>
  </si>
  <si>
    <t xml:space="preserve">Phase 6 - 4 Bldgs</t>
  </si>
  <si>
    <t xml:space="preserve">Phase 7 - 4 Bldgs</t>
  </si>
  <si>
    <t xml:space="preserve">Phase 8 - 4 Bldgs</t>
  </si>
  <si>
    <t xml:space="preserve">Pre-Leasing</t>
  </si>
  <si>
    <t xml:space="preserve">Phase 1</t>
  </si>
  <si>
    <t xml:space="preserve">Units</t>
  </si>
  <si>
    <t xml:space="preserve">Phase 2</t>
  </si>
  <si>
    <t xml:space="preserve">Phase 3</t>
  </si>
  <si>
    <t xml:space="preserve">Phase 4</t>
  </si>
  <si>
    <t xml:space="preserve">Phase 5</t>
  </si>
  <si>
    <t xml:space="preserve">Phase 6</t>
  </si>
  <si>
    <t xml:space="preserve">Phase 7</t>
  </si>
  <si>
    <t xml:space="preserve">Phase 8</t>
  </si>
  <si>
    <t xml:space="preserve">Rent Stabilization</t>
  </si>
  <si>
    <t xml:space="preserve">Appraisal for Permanent</t>
  </si>
  <si>
    <t xml:space="preserve">Close On Permanent</t>
  </si>
  <si>
    <t xml:space="preserve">ESW PHASE 2 COST DATA - FAB LOAN</t>
  </si>
  <si>
    <t xml:space="preserve">1</t>
  </si>
  <si>
    <t xml:space="preserve">2</t>
  </si>
  <si>
    <t xml:space="preserve">7</t>
  </si>
  <si>
    <t xml:space="preserve">3</t>
  </si>
  <si>
    <t xml:space="preserve">4</t>
  </si>
  <si>
    <t xml:space="preserve">5</t>
  </si>
  <si>
    <t xml:space="preserve">6</t>
  </si>
  <si>
    <t xml:space="preserve">PLAN A - 2+2+1</t>
  </si>
  <si>
    <t xml:space="preserve">PLAN B - 2+2.5+2</t>
  </si>
  <si>
    <t xml:space="preserve">PLAN B - 3+3.5+2</t>
  </si>
  <si>
    <t xml:space="preserve">DRAW ALLOW</t>
  </si>
  <si>
    <t xml:space="preserve">% Tcost</t>
  </si>
  <si>
    <t xml:space="preserve">812/814</t>
  </si>
  <si>
    <t xml:space="preserve">820/822</t>
  </si>
  <si>
    <t xml:space="preserve">826/828</t>
  </si>
  <si>
    <t xml:space="preserve">832/834</t>
  </si>
  <si>
    <t xml:space="preserve">838/840</t>
  </si>
  <si>
    <t xml:space="preserve">861/863</t>
  </si>
  <si>
    <t xml:space="preserve">867/869</t>
  </si>
  <si>
    <t xml:space="preserve">% Of Est.</t>
  </si>
  <si>
    <t xml:space="preserve">MIX</t>
  </si>
  <si>
    <t xml:space="preserve">X</t>
  </si>
  <si>
    <t xml:space="preserve">1.</t>
  </si>
  <si>
    <t xml:space="preserve">Permits/Fees</t>
  </si>
  <si>
    <t xml:space="preserve">Architecture</t>
  </si>
  <si>
    <t xml:space="preserve">2.</t>
  </si>
  <si>
    <t xml:space="preserve">Arch &amp; Eng &amp; Replat</t>
  </si>
  <si>
    <t xml:space="preserve">3.</t>
  </si>
  <si>
    <t xml:space="preserve">Water/Sewer Con.</t>
  </si>
  <si>
    <t xml:space="preserve">4.</t>
  </si>
  <si>
    <t xml:space="preserve">Site Work</t>
  </si>
  <si>
    <t xml:space="preserve">5.</t>
  </si>
  <si>
    <t xml:space="preserve">Foundation</t>
  </si>
  <si>
    <t xml:space="preserve">6.</t>
  </si>
  <si>
    <t xml:space="preserve">Plumbing Rough</t>
  </si>
  <si>
    <t xml:space="preserve">7.</t>
  </si>
  <si>
    <t xml:space="preserve">Framing &amp; Sheeting (M&amp;L)</t>
  </si>
  <si>
    <t xml:space="preserve">8.</t>
  </si>
  <si>
    <t xml:space="preserve">Roof (Matl &amp; Labor)</t>
  </si>
  <si>
    <t xml:space="preserve">9.</t>
  </si>
  <si>
    <t xml:space="preserve">Cornice (M&amp;L)</t>
  </si>
  <si>
    <t xml:space="preserve">10.</t>
  </si>
  <si>
    <t xml:space="preserve">Windows/Mirrors</t>
  </si>
  <si>
    <t xml:space="preserve">11.</t>
  </si>
  <si>
    <t xml:space="preserve">Painting-Outside</t>
  </si>
  <si>
    <t xml:space="preserve">12.</t>
  </si>
  <si>
    <t xml:space="preserve">Electric-Rough</t>
  </si>
  <si>
    <t xml:space="preserve">13.</t>
  </si>
  <si>
    <t xml:space="preserve">Ducts</t>
  </si>
  <si>
    <t xml:space="preserve">14.</t>
  </si>
  <si>
    <t xml:space="preserve">Heat/Air-Units</t>
  </si>
  <si>
    <t xml:space="preserve">15.</t>
  </si>
  <si>
    <t xml:space="preserve">Insulation-Walls</t>
  </si>
  <si>
    <t xml:space="preserve">16.</t>
  </si>
  <si>
    <t xml:space="preserve">Insulation-Ceiling</t>
  </si>
  <si>
    <t xml:space="preserve">Included in Insulation- Walls, Line #15</t>
  </si>
  <si>
    <t xml:space="preserve">17.</t>
  </si>
  <si>
    <t xml:space="preserve">Plumbing - Top Out</t>
  </si>
  <si>
    <t xml:space="preserve">18.</t>
  </si>
  <si>
    <t xml:space="preserve">Masonry/Siding</t>
  </si>
  <si>
    <t xml:space="preserve">19.</t>
  </si>
  <si>
    <t xml:space="preserve">Fireplace</t>
  </si>
  <si>
    <t xml:space="preserve">20</t>
  </si>
  <si>
    <t xml:space="preserve">Shrck/Tape/Float</t>
  </si>
  <si>
    <t xml:space="preserve">21.</t>
  </si>
  <si>
    <t xml:space="preserve">Trim Work W/Garage Drs.</t>
  </si>
  <si>
    <t xml:space="preserve">22.</t>
  </si>
  <si>
    <t xml:space="preserve">Cabinets/Formica</t>
  </si>
  <si>
    <t xml:space="preserve">23.</t>
  </si>
  <si>
    <t xml:space="preserve">Tile</t>
  </si>
  <si>
    <t xml:space="preserve">24.</t>
  </si>
  <si>
    <t xml:space="preserve">Painting-Interior</t>
  </si>
  <si>
    <t xml:space="preserve">25.</t>
  </si>
  <si>
    <t xml:space="preserve">Wallpaper</t>
  </si>
  <si>
    <t xml:space="preserve">26.</t>
  </si>
  <si>
    <t xml:space="preserve">Appliances</t>
  </si>
  <si>
    <t xml:space="preserve">27.</t>
  </si>
  <si>
    <t xml:space="preserve">Carpet/Vinyl</t>
  </si>
  <si>
    <t xml:space="preserve">28.</t>
  </si>
  <si>
    <t xml:space="preserve">Drives &amp; Sidewalks</t>
  </si>
  <si>
    <t xml:space="preserve">29.</t>
  </si>
  <si>
    <t xml:space="preserve">Hardware</t>
  </si>
  <si>
    <t xml:space="preserve">30.</t>
  </si>
  <si>
    <t xml:space="preserve">Ldscp., Fencing &amp; Clean Up</t>
  </si>
  <si>
    <t xml:space="preserve">31.</t>
  </si>
  <si>
    <t xml:space="preserve">Clean Up &amp; Temps</t>
  </si>
  <si>
    <t xml:space="preserve">32.</t>
  </si>
  <si>
    <t xml:space="preserve">Septic</t>
  </si>
  <si>
    <t xml:space="preserve">33.</t>
  </si>
  <si>
    <t xml:space="preserve">Interest &amp; Fees</t>
  </si>
  <si>
    <t xml:space="preserve"> </t>
  </si>
  <si>
    <t xml:space="preserve">34.</t>
  </si>
  <si>
    <t xml:space="preserve">Lot</t>
  </si>
  <si>
    <t xml:space="preserve">35.</t>
  </si>
  <si>
    <t xml:space="preserve">Other Costs</t>
  </si>
  <si>
    <t xml:space="preserve">36.</t>
  </si>
  <si>
    <t xml:space="preserve">Electric - Trim,Pre-Wire &amp; Fix.</t>
  </si>
  <si>
    <t xml:space="preserve">37.</t>
  </si>
  <si>
    <t xml:space="preserve">Supervision</t>
  </si>
  <si>
    <t xml:space="preserve">Construction Management</t>
  </si>
  <si>
    <t xml:space="preserve">Contractor Profit</t>
  </si>
  <si>
    <t xml:space="preserve">Less:</t>
  </si>
  <si>
    <t xml:space="preserve">Land &amp; Improvments</t>
  </si>
  <si>
    <t xml:space="preserve">Interest</t>
  </si>
  <si>
    <t xml:space="preserve">Board &amp; Nail Total</t>
  </si>
  <si>
    <t xml:space="preserve">N/A</t>
  </si>
  <si>
    <t xml:space="preserve">TOTAL UNIT CONSTRUCTION</t>
  </si>
  <si>
    <t xml:space="preserve">CofO</t>
  </si>
  <si>
    <t xml:space="preserve">Parking &amp; Drives</t>
  </si>
  <si>
    <t xml:space="preserve">Curbing</t>
  </si>
  <si>
    <t xml:space="preserve">Utilities</t>
  </si>
  <si>
    <t xml:space="preserve">Landscaping</t>
  </si>
  <si>
    <t xml:space="preserve">Lighting</t>
  </si>
  <si>
    <t xml:space="preserve">Signage</t>
  </si>
  <si>
    <t xml:space="preserve">Common Ammenities</t>
  </si>
  <si>
    <t xml:space="preserve">Pool Shower/Restroom</t>
  </si>
  <si>
    <t xml:space="preserve">Project Office, Mgr &amp; Comp Off</t>
  </si>
  <si>
    <t xml:space="preserve">Interest Reserve</t>
  </si>
  <si>
    <t xml:space="preserve">Interim Loan Amount</t>
  </si>
  <si>
    <t xml:space="preserve">LTC</t>
  </si>
  <si>
    <t xml:space="preserve">Cash Equity</t>
  </si>
  <si>
    <t xml:space="preserve">Water</t>
  </si>
  <si>
    <t xml:space="preserve">Sewer</t>
  </si>
  <si>
    <t xml:space="preserve">TV&amp;Cable</t>
  </si>
  <si>
    <t xml:space="preserve">Elec</t>
  </si>
  <si>
    <t xml:space="preserve">Gates</t>
  </si>
  <si>
    <t xml:space="preserve">Office FF&amp;E</t>
  </si>
  <si>
    <t xml:space="preserve">Wall On Bishop</t>
  </si>
  <si>
    <t xml:space="preserve">Baths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</si>
</sst>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\$#,##0.00_);[RED]&quot;($&quot;#,##0.00\)"/>
    <numFmt numFmtId="166" formatCode="[$-409]General"/>
    <numFmt numFmtId="167" formatCode="_(\$* #,##0_);_(\$* \(#,##0\);_(\$* \-_);_(@_)"/>
    <numFmt numFmtId="168" formatCode="[$-409]0.00%"/>
    <numFmt numFmtId="169" formatCode="0.0%"/>
    <numFmt numFmtId="170" formatCode="\$#,##0_);[RED]&quot;($&quot;#,##0\)"/>
    <numFmt numFmtId="171" formatCode="#,##0.0_);[RED]\(#,##0.0\)"/>
    <numFmt numFmtId="172" formatCode="[$-409]@"/>
    <numFmt numFmtId="173" formatCode="[$-409]#,##0.00_);[RED]\(#,##0.00\)"/>
    <numFmt numFmtId="174" formatCode="[$-409]0%"/>
    <numFmt numFmtId="175" formatCode="_(\$* #,##0.00_);_(\$* \(#,##0.00\);_(\$* \-??_);_(@_)"/>
    <numFmt numFmtId="176" formatCode="_(\$* #,##0_);_(\$* \(#,##0\);_(\$* \-??_);_(@_)"/>
    <numFmt numFmtId="177" formatCode="_(* #,##0.00_);_(* \(#,##0.00\);_(* \-??_);_(@_)"/>
    <numFmt numFmtId="178" formatCode="_(* #,##0_);_(* \(#,##0\);_(* \-??_);_(@_)"/>
    <numFmt numFmtId="179" formatCode="\$#,##0.0000_);[RED]&quot;($&quot;#,##0.0000\)"/>
    <numFmt numFmtId="180" formatCode="#,##0.0000_);[RED]\(#,##0.0000\)"/>
    <numFmt numFmtId="181" formatCode="0.000%"/>
    <numFmt numFmtId="182" formatCode="#,##0.000_);[RED]\(#,##0.000\)"/>
    <numFmt numFmtId="183" formatCode="General"/>
    <numFmt numFmtId="184" formatCode="_(* #,##0_);_(* \(#,##0\);_(* \-_);_(@_)"/>
    <numFmt numFmtId="185" formatCode="_(* #,##0.00_);_(* \(#,##0.00\);_(* \-_);_(@_)"/>
    <numFmt numFmtId="186" formatCode="_(* #,##0.000_);_(* \(#,##0.000\);_(* \-_);_(@_)"/>
    <numFmt numFmtId="187" formatCode="_(* #,##0.0000_);_(* \(#,##0.0000\);_(* \-??_);_(@_)"/>
    <numFmt numFmtId="188" formatCode="_(\$* #,##0.00_);_(\$* \(#,##0.00\);_(\$* \-_);_(@_)"/>
    <numFmt numFmtId="189" formatCode="[$-409]mmm\-yy"/>
    <numFmt numFmtId="190" formatCode="[$-409]d\-mmm\-yy"/>
    <numFmt numFmtId="191" formatCode="[$-409]#,##0.00"/>
  </numFmts>
  <fonts count="50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meriGarmnd BT"/>
      <family val="1"/>
    </font>
    <font>
      <sz val="9"/>
      <name val="Times New Roman Condensed"/>
      <family val="0"/>
    </font>
    <font>
      <b val="true"/>
      <sz val="9"/>
      <name val="Goudy"/>
      <family val="1"/>
    </font>
    <font>
      <b val="true"/>
      <sz val="10"/>
      <name val="Times New Roman"/>
      <family val="1"/>
    </font>
    <font>
      <b val="true"/>
      <sz val="10"/>
      <name val="Goudy"/>
      <family val="1"/>
    </font>
    <font>
      <b val="true"/>
      <u val="single"/>
      <sz val="9"/>
      <name val="Times New Roman Condensed"/>
      <family val="0"/>
    </font>
    <font>
      <b val="true"/>
      <sz val="9"/>
      <name val="Times New Roman Condensed"/>
      <family val="0"/>
    </font>
    <font>
      <b val="true"/>
      <sz val="9"/>
      <name val="Times New Roman Condensed"/>
      <family val="1"/>
    </font>
    <font>
      <sz val="9"/>
      <name val="Times New Roman Condensed"/>
      <family val="1"/>
    </font>
    <font>
      <b val="true"/>
      <u val="single"/>
      <sz val="9"/>
      <name val="Times New Roman Condensed"/>
      <family val="1"/>
    </font>
    <font>
      <i val="true"/>
      <sz val="9"/>
      <name val="Times New Roman Condensed"/>
      <family val="1"/>
    </font>
    <font>
      <u val="single"/>
      <sz val="9"/>
      <name val="Times New Roman Condensed"/>
      <family val="0"/>
    </font>
    <font>
      <b val="true"/>
      <u val="single"/>
      <sz val="10"/>
      <name val="Times New Roman"/>
      <family val="1"/>
    </font>
    <font>
      <sz val="9"/>
      <name val="Times New Roman"/>
      <family val="1"/>
    </font>
    <font>
      <b val="true"/>
      <sz val="9"/>
      <name val="Times New Roman"/>
      <family val="1"/>
    </font>
    <font>
      <i val="true"/>
      <sz val="9"/>
      <name val="Times New Roman"/>
      <family val="1"/>
    </font>
    <font>
      <i val="true"/>
      <sz val="10"/>
      <name val="Times New Roman"/>
      <family val="1"/>
    </font>
    <font>
      <sz val="9"/>
      <name val="Arial"/>
      <family val="2"/>
    </font>
    <font>
      <sz val="9"/>
      <color rgb="FFFF0000"/>
      <name val="Times New Roman"/>
      <family val="1"/>
    </font>
    <font>
      <b val="true"/>
      <u val="single"/>
      <sz val="9"/>
      <name val="Times New Roman"/>
      <family val="1"/>
    </font>
    <font>
      <b val="true"/>
      <i val="true"/>
      <sz val="9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10"/>
      <name val="Times New Roman Condensed"/>
      <family val="1"/>
    </font>
    <font>
      <b val="true"/>
      <sz val="10"/>
      <name val="Times New Roman Condensed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Times New Roman Condensed"/>
      <family val="1"/>
    </font>
    <font>
      <b val="true"/>
      <i val="true"/>
      <sz val="10"/>
      <name val="Times New Roman Condensed"/>
      <family val="1"/>
    </font>
    <font>
      <i val="true"/>
      <sz val="10"/>
      <name val="Times New Roman Condensed"/>
      <family val="1"/>
    </font>
    <font>
      <b val="true"/>
      <i val="true"/>
      <u val="single"/>
      <sz val="10"/>
      <name val="Times New Roman Condensed"/>
      <family val="1"/>
    </font>
    <font>
      <b val="true"/>
      <sz val="10"/>
      <name val="Times New Roman Condensed"/>
      <family val="0"/>
    </font>
    <font>
      <u val="single"/>
      <sz val="10"/>
      <name val="Times New Roman Condensed"/>
      <family val="1"/>
    </font>
    <font>
      <sz val="10"/>
      <name val="Times New Roman Condensed"/>
      <family val="0"/>
    </font>
    <font>
      <b val="true"/>
      <u val="single"/>
      <sz val="10"/>
      <name val="Times New Roman Condensed"/>
      <family val="0"/>
    </font>
    <font>
      <b val="true"/>
      <sz val="10"/>
      <name val="AGaramond"/>
      <family val="1"/>
    </font>
    <font>
      <sz val="10"/>
      <name val="AGaramond"/>
      <family val="1"/>
    </font>
    <font>
      <b val="true"/>
      <sz val="10"/>
      <color rgb="FF800080"/>
      <name val="AGaramond"/>
      <family val="1"/>
    </font>
    <font>
      <b val="true"/>
      <u val="single"/>
      <sz val="9"/>
      <name val="Arial"/>
      <family val="0"/>
    </font>
    <font>
      <b val="true"/>
      <u val="single"/>
      <sz val="10"/>
      <color rgb="FFFF0000"/>
      <name val="Times New Roman"/>
      <family val="1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sz val="9"/>
      <name val="Goudy"/>
      <family val="1"/>
    </font>
    <font>
      <b val="true"/>
      <sz val="9"/>
      <name val="Arial"/>
      <family val="2"/>
    </font>
    <font>
      <u val="single"/>
      <sz val="9"/>
      <name val="Abadi MT Condensed Light"/>
      <family val="2"/>
    </font>
    <font>
      <b val="true"/>
      <sz val="9"/>
      <name val="Arial"/>
      <family val="0"/>
    </font>
  </fonts>
  <fills count="28">
    <fill>
      <patternFill patternType="none"/>
    </fill>
    <fill>
      <patternFill patternType="gray125"/>
    </fill>
    <fill>
      <patternFill patternType="solid">
        <fgColor rgb="FFC0C0C0"/>
        <bgColor rgb="FFC0C0FF"/>
      </patternFill>
    </fill>
    <fill>
      <patternFill patternType="solid">
        <fgColor rgb="FFFFCC99"/>
        <bgColor rgb="FFFFE5B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FF"/>
      </patternFill>
    </fill>
    <fill>
      <patternFill patternType="solid">
        <fgColor rgb="FFBF00BF"/>
        <bgColor rgb="FF800080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660066"/>
      </patternFill>
    </fill>
    <fill>
      <patternFill patternType="solid">
        <fgColor rgb="FFA040A0"/>
        <bgColor rgb="FF993366"/>
      </patternFill>
    </fill>
    <fill>
      <patternFill patternType="solid">
        <fgColor rgb="FF7299BF"/>
        <bgColor rgb="FF7F9F7F"/>
      </patternFill>
    </fill>
    <fill>
      <patternFill patternType="solid">
        <fgColor rgb="FF263300"/>
        <bgColor rgb="FF333333"/>
      </patternFill>
    </fill>
    <fill>
      <patternFill patternType="solid">
        <fgColor rgb="FFFFCC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C0C0FF"/>
        <bgColor rgb="FFC0C0C0"/>
      </patternFill>
    </fill>
    <fill>
      <patternFill patternType="solid">
        <fgColor rgb="FF993366"/>
        <bgColor rgb="FFA040A0"/>
      </patternFill>
    </fill>
    <fill>
      <patternFill patternType="solid">
        <fgColor rgb="FF707070"/>
        <bgColor rgb="FF7F9F7F"/>
      </patternFill>
    </fill>
    <fill>
      <patternFill patternType="solid">
        <fgColor rgb="FFFFE5BF"/>
        <bgColor rgb="FFFFFFCC"/>
      </patternFill>
    </fill>
    <fill>
      <patternFill patternType="solid">
        <fgColor rgb="FFB285DF"/>
        <bgColor rgb="FFCC99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99"/>
      </patternFill>
    </fill>
    <fill>
      <patternFill patternType="solid">
        <fgColor rgb="FF7F9F7F"/>
        <bgColor rgb="FF7299B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B285DF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21" fillId="0" borderId="0" applyFont="true" applyBorder="false" applyAlignment="true" applyProtection="false">
      <alignment horizontal="general" vertical="center" textRotation="0" wrapText="false" indent="0" shrinkToFit="false"/>
    </xf>
    <xf numFmtId="184" fontId="21" fillId="0" borderId="0" applyFont="true" applyBorder="false" applyAlignment="true" applyProtection="false">
      <alignment horizontal="general" vertical="center" textRotation="0" wrapText="false" indent="0" shrinkToFit="false"/>
    </xf>
    <xf numFmtId="175" fontId="21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8" fontId="12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5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center" vertical="bottom" textRotation="0" wrapText="false" indent="0" shrinkToFit="false"/>
    </xf>
    <xf numFmtId="166" fontId="7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1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21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2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2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1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4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1" fillId="0" borderId="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9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0" fillId="0" borderId="3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0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10" fillId="0" borderId="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2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19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22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8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2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9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7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18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2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28" fillId="0" borderId="0" xf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1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" xf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0" borderId="14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31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1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6" fontId="28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3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3" fontId="32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2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27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8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7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33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33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32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33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3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5" fontId="21" fillId="0" borderId="0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4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1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1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28" fillId="0" borderId="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5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35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4" fontId="27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14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28" fillId="0" borderId="14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1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1" fontId="2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2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8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1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28" fillId="0" borderId="1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7" fillId="0" borderId="3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1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8" fillId="0" borderId="2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2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0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0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2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0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0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3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8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3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2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3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9" fontId="42" fillId="0" borderId="0" xfId="0" applyFont="true" applyBorder="false" applyAlignment="true" applyProtection="false">
      <alignment horizontal="center" vertical="center" textRotation="45" wrapText="false" indent="0" shrinkToFit="false"/>
      <protection locked="true" hidden="false"/>
    </xf>
    <xf numFmtId="190" fontId="16" fillId="0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3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4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43" fillId="5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21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46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7" fillId="25" borderId="3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5" borderId="3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5" borderId="3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2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48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44" fillId="8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44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83" fontId="21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1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8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8" fontId="21" fillId="21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7" fillId="2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2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6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7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7" fillId="0" borderId="1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7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6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7" fillId="0" borderId="3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ings" xfId="20"/>
    <cellStyle name="curency" xfId="21"/>
    <cellStyle name="Heading 2 1" xfId="22"/>
    <cellStyle name="HEADING 3" xfId="23"/>
    <cellStyle name="HEADING2" xfId="24"/>
    <cellStyle name="*unknown*" xfId="2" builtinId="2"/>
    <cellStyle name="*unknown*" xfId="1" builtinId="1"/>
  </cellStyles>
  <colors>
    <indexedColors>
      <rgbColor rgb="FF000000"/>
      <rgbColor rgb="FFFFE5B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7070"/>
      <rgbColor rgb="FFB285DF"/>
      <rgbColor rgb="FF993366"/>
      <rgbColor rgb="FFFFFFCC"/>
      <rgbColor rgb="FFCCFFFF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BF00BF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299BF"/>
      <rgbColor rgb="FF7F9F7F"/>
      <rgbColor rgb="FF003366"/>
      <rgbColor rgb="FF339966"/>
      <rgbColor rgb="FF003300"/>
      <rgbColor rgb="FF263300"/>
      <rgbColor rgb="FF993300"/>
      <rgbColor rgb="FFA040A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7.99"/>
    <col collapsed="false" customWidth="true" hidden="false" outlineLevel="0" max="4" min="4" style="0" width="17.99"/>
    <col collapsed="false" customWidth="true" hidden="false" outlineLevel="0" max="7" min="7" style="0" width="15.49"/>
    <col collapsed="false" customWidth="true" hidden="false" outlineLevel="0" max="8" min="8" style="0" width="10.49"/>
    <col collapsed="false" customWidth="true" hidden="false" outlineLevel="0" max="10" min="10" style="0" width="10.15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customFormat="false" ht="12.75" hidden="false" customHeight="false" outlineLevel="0" collapsed="false">
      <c r="B3" s="2" t="s">
        <v>7</v>
      </c>
      <c r="C3" s="3" t="s">
        <v>8</v>
      </c>
      <c r="D3" s="4" t="n">
        <f aca="false">Project_Value</f>
        <v>15192496.5276441</v>
      </c>
      <c r="E3" s="5" t="n">
        <f aca="false">+D3/D$3</f>
        <v>1</v>
      </c>
      <c r="F3" s="5" t="n">
        <f aca="false">+D3/D$24</f>
        <v>1.15218521846279</v>
      </c>
      <c r="G3" s="4" t="n">
        <f aca="false">+D3/TUnits</f>
        <v>113376.839758538</v>
      </c>
      <c r="H3" s="6" t="n">
        <f aca="false">+D3/TotalSF</f>
        <v>102.540456177024</v>
      </c>
    </row>
    <row r="4" customFormat="false" ht="12.75" hidden="false" customHeight="false" outlineLevel="0" collapsed="false">
      <c r="B4" s="2"/>
      <c r="D4" s="7"/>
      <c r="E4" s="8"/>
      <c r="F4" s="8"/>
      <c r="G4" s="9"/>
      <c r="H4" s="10"/>
    </row>
    <row r="5" customFormat="false" ht="12.75" hidden="false" customHeight="false" outlineLevel="0" collapsed="false">
      <c r="B5" s="11" t="s">
        <v>9</v>
      </c>
      <c r="C5" s="11"/>
      <c r="D5" s="12" t="n">
        <f aca="false">MonthlyNOI*12</f>
        <v>1519249.65276441</v>
      </c>
      <c r="E5" s="13" t="n">
        <f aca="false">+D5/D$3</f>
        <v>0.1</v>
      </c>
      <c r="F5" s="13" t="n">
        <f aca="false">+D5/D$24</f>
        <v>0.115218521846279</v>
      </c>
      <c r="G5" s="12" t="n">
        <f aca="false">+D5/TUnits</f>
        <v>11337.6839758538</v>
      </c>
      <c r="H5" s="14" t="n">
        <f aca="false">+D5/TotalSF</f>
        <v>10.2540456177024</v>
      </c>
    </row>
    <row r="6" customFormat="false" ht="12.75" hidden="false" customHeight="false" outlineLevel="0" collapsed="false">
      <c r="B6" s="11" t="s">
        <v>10</v>
      </c>
      <c r="C6" s="11"/>
      <c r="D6" s="12" t="n">
        <f aca="false">MortgagePmt*12</f>
        <v>-1077803.60665416</v>
      </c>
      <c r="E6" s="13" t="n">
        <f aca="false">+D6/D$3</f>
        <v>-0.0709431530685561</v>
      </c>
      <c r="F6" s="13" t="n">
        <f aca="false">+D6/D$24</f>
        <v>-0.0817396523167337</v>
      </c>
      <c r="G6" s="12" t="n">
        <f aca="false">+D6/TUnits</f>
        <v>-8043.31049741913</v>
      </c>
      <c r="H6" s="14" t="n">
        <f aca="false">+D6/TotalSF</f>
        <v>-7.27454327828621</v>
      </c>
    </row>
    <row r="7" customFormat="false" ht="12.75" hidden="false" customHeight="false" outlineLevel="0" collapsed="false">
      <c r="B7" s="11" t="s">
        <v>11</v>
      </c>
      <c r="C7" s="11"/>
      <c r="D7" s="12" t="n">
        <f aca="false">+D6+D5</f>
        <v>441446.046110248</v>
      </c>
      <c r="E7" s="13" t="n">
        <f aca="false">+D7/D$3</f>
        <v>0.0290568469314439</v>
      </c>
      <c r="F7" s="13" t="n">
        <f aca="false">+D7/D$24</f>
        <v>0.0334788695295456</v>
      </c>
      <c r="G7" s="12" t="n">
        <f aca="false">+D7/TUnits</f>
        <v>3294.37347843468</v>
      </c>
      <c r="H7" s="14" t="n">
        <f aca="false">+D7/TotalSF</f>
        <v>2.97950233941623</v>
      </c>
    </row>
    <row r="9" customFormat="false" ht="12.75" hidden="false" customHeight="false" outlineLevel="0" collapsed="false">
      <c r="B9" s="15" t="s">
        <v>12</v>
      </c>
      <c r="C9" s="16" t="n">
        <v>0.5</v>
      </c>
      <c r="D9" s="17" t="n">
        <f aca="false">D7*InvShare</f>
        <v>220723.023055124</v>
      </c>
      <c r="E9" s="5"/>
      <c r="F9" s="5"/>
      <c r="G9" s="4"/>
      <c r="H9" s="6"/>
    </row>
    <row r="10" customFormat="false" ht="12.75" hidden="false" customHeight="false" outlineLevel="0" collapsed="false">
      <c r="B10" s="2"/>
      <c r="D10" s="7"/>
      <c r="E10" s="8"/>
      <c r="F10" s="8"/>
      <c r="G10" s="9"/>
      <c r="H10" s="10"/>
    </row>
    <row r="11" customFormat="false" ht="12.75" hidden="false" customHeight="false" outlineLevel="0" collapsed="false">
      <c r="B11" s="18" t="s">
        <v>13</v>
      </c>
      <c r="C11" s="5" t="n">
        <v>0.8</v>
      </c>
      <c r="D11" s="4" t="n">
        <f aca="false">C11*Project_Value</f>
        <v>12153997.2221153</v>
      </c>
      <c r="E11" s="8"/>
      <c r="F11" s="8"/>
      <c r="G11" s="9"/>
      <c r="H11" s="10"/>
    </row>
    <row r="12" customFormat="false" ht="12.75" hidden="false" customHeight="false" outlineLevel="0" collapsed="false">
      <c r="B12" s="2"/>
      <c r="D12" s="7"/>
      <c r="E12" s="8"/>
      <c r="F12" s="8"/>
      <c r="G12" s="9"/>
      <c r="H12" s="10"/>
    </row>
    <row r="13" customFormat="false" ht="12.75" hidden="false" customHeight="false" outlineLevel="0" collapsed="false">
      <c r="B13" s="2" t="s">
        <v>14</v>
      </c>
      <c r="D13" s="7" t="n">
        <f aca="false">TotalCost-ConstProfit</f>
        <v>11311693.3363155</v>
      </c>
      <c r="E13" s="8"/>
      <c r="F13" s="8"/>
      <c r="G13" s="9"/>
      <c r="H13" s="10"/>
    </row>
    <row r="14" customFormat="false" ht="12.75" hidden="false" customHeight="false" outlineLevel="0" collapsed="false">
      <c r="B14" s="2" t="s">
        <v>15</v>
      </c>
      <c r="C14" s="19" t="n">
        <v>0.15</v>
      </c>
      <c r="D14" s="7" t="n">
        <f aca="false">+C14*D13</f>
        <v>1696754.00044733</v>
      </c>
      <c r="E14" s="8"/>
      <c r="F14" s="8"/>
      <c r="G14" s="9"/>
      <c r="H14" s="10"/>
    </row>
    <row r="15" customFormat="false" ht="12.75" hidden="false" customHeight="false" outlineLevel="0" collapsed="false">
      <c r="B15" s="2" t="s">
        <v>16</v>
      </c>
      <c r="D15" s="7" t="n">
        <f aca="false">+D13+D14</f>
        <v>13008447.3367629</v>
      </c>
      <c r="E15" s="8"/>
      <c r="F15" s="8"/>
      <c r="G15" s="9"/>
      <c r="H15" s="10"/>
    </row>
    <row r="16" customFormat="false" ht="12.75" hidden="false" customHeight="false" outlineLevel="0" collapsed="false">
      <c r="B16" s="2"/>
      <c r="D16" s="7"/>
      <c r="E16" s="8"/>
      <c r="F16" s="8"/>
      <c r="G16" s="9"/>
      <c r="H16" s="10"/>
    </row>
    <row r="17" customFormat="false" ht="12.75" hidden="false" customHeight="false" outlineLevel="0" collapsed="false">
      <c r="B17" s="20" t="s">
        <v>17</v>
      </c>
      <c r="C17" s="21"/>
      <c r="D17" s="17" t="n">
        <f aca="false">+D15-D11</f>
        <v>854450.114647593</v>
      </c>
      <c r="E17" s="8"/>
      <c r="F17" s="8"/>
      <c r="G17" s="9"/>
      <c r="H17" s="10"/>
    </row>
    <row r="18" customFormat="false" ht="12.75" hidden="false" customHeight="false" outlineLevel="0" collapsed="false">
      <c r="B18" s="2"/>
      <c r="D18" s="4"/>
      <c r="E18" s="8"/>
      <c r="F18" s="8"/>
      <c r="G18" s="9"/>
      <c r="H18" s="10"/>
    </row>
    <row r="19" customFormat="false" ht="12.75" hidden="false" customHeight="false" outlineLevel="0" collapsed="false">
      <c r="B19" s="20" t="s">
        <v>18</v>
      </c>
      <c r="C19" s="21"/>
      <c r="D19" s="22" t="n">
        <f aca="false">+D9/D17</f>
        <v>0.258321719748564</v>
      </c>
      <c r="E19" s="8"/>
      <c r="F19" s="8"/>
      <c r="G19" s="9"/>
      <c r="H19" s="10"/>
    </row>
    <row r="20" customFormat="false" ht="12.75" hidden="false" customHeight="false" outlineLevel="0" collapsed="false">
      <c r="B20" s="2"/>
      <c r="D20" s="7"/>
      <c r="E20" s="8"/>
      <c r="F20" s="8"/>
      <c r="G20" s="9"/>
      <c r="H20" s="10"/>
    </row>
    <row r="21" customFormat="false" ht="12.75" hidden="false" customHeight="false" outlineLevel="0" collapsed="false">
      <c r="B21" s="18" t="s">
        <v>19</v>
      </c>
      <c r="D21" s="7"/>
      <c r="E21" s="8"/>
      <c r="F21" s="8"/>
      <c r="G21" s="9"/>
      <c r="H21" s="10"/>
    </row>
    <row r="22" customFormat="false" ht="12.75" hidden="false" customHeight="false" outlineLevel="0" collapsed="false">
      <c r="B22" s="2"/>
      <c r="D22" s="7"/>
      <c r="E22" s="8"/>
      <c r="F22" s="8"/>
      <c r="G22" s="9"/>
      <c r="H22" s="10"/>
    </row>
    <row r="23" customFormat="false" ht="12.75" hidden="false" customHeight="false" outlineLevel="0" collapsed="false">
      <c r="B23" s="23" t="s">
        <v>20</v>
      </c>
      <c r="E23" s="8"/>
      <c r="F23" s="8"/>
      <c r="G23" s="9"/>
      <c r="H23" s="10"/>
    </row>
    <row r="24" customFormat="false" ht="12.75" hidden="false" customHeight="false" outlineLevel="0" collapsed="false">
      <c r="B24" s="11" t="s">
        <v>21</v>
      </c>
      <c r="D24" s="7" t="n">
        <v>13185811</v>
      </c>
      <c r="E24" s="8" t="n">
        <f aca="false">+D24/D$3</f>
        <v>0.867916012092367</v>
      </c>
      <c r="F24" s="8" t="n">
        <f aca="false">+D24/D$24</f>
        <v>1</v>
      </c>
      <c r="G24" s="9" t="n">
        <f aca="false">+D24/TUnits</f>
        <v>98401.5746268657</v>
      </c>
      <c r="H24" s="10" t="n">
        <f aca="false">+D24/TotalSF</f>
        <v>88.9965038032951</v>
      </c>
    </row>
    <row r="25" customFormat="false" ht="12.75" hidden="false" customHeight="false" outlineLevel="0" collapsed="false">
      <c r="B25" s="24" t="s">
        <v>22</v>
      </c>
      <c r="C25" s="13" t="e">
        <f aca="false">LTC</f>
        <v>#REF!</v>
      </c>
      <c r="D25" s="7" t="e">
        <f aca="false">C25*D$24</f>
        <v>#REF!</v>
      </c>
      <c r="E25" s="8" t="e">
        <f aca="false">+D25/D$3</f>
        <v>#REF!</v>
      </c>
      <c r="F25" s="8" t="e">
        <f aca="false">+D25/D$24</f>
        <v>#REF!</v>
      </c>
      <c r="G25" s="9" t="e">
        <f aca="false">+D25/TUnits</f>
        <v>#REF!</v>
      </c>
      <c r="H25" s="10" t="e">
        <f aca="false">+D25/TotalSF</f>
        <v>#REF!</v>
      </c>
    </row>
    <row r="26" customFormat="false" ht="12.75" hidden="false" customHeight="false" outlineLevel="0" collapsed="false">
      <c r="B26" s="24" t="s">
        <v>23</v>
      </c>
      <c r="C26" s="13"/>
      <c r="D26" s="7" t="e">
        <f aca="false">+D24-D25</f>
        <v>#REF!</v>
      </c>
      <c r="E26" s="8" t="e">
        <f aca="false">+D26/D$3</f>
        <v>#REF!</v>
      </c>
      <c r="F26" s="8" t="e">
        <f aca="false">+D26/D$24</f>
        <v>#REF!</v>
      </c>
      <c r="G26" s="9" t="e">
        <f aca="false">+D26/TUnits</f>
        <v>#REF!</v>
      </c>
      <c r="H26" s="10" t="e">
        <f aca="false">+D26/TotalSF</f>
        <v>#REF!</v>
      </c>
    </row>
    <row r="27" customFormat="false" ht="12.75" hidden="false" customHeight="false" outlineLevel="0" collapsed="false">
      <c r="B27" s="24" t="s">
        <v>24</v>
      </c>
      <c r="C27" s="8" t="n">
        <f aca="false">Const_Profit</f>
        <v>0.15</v>
      </c>
      <c r="D27" s="7" t="n">
        <f aca="false">ConstProfit</f>
        <v>1399977.44157934</v>
      </c>
      <c r="E27" s="8" t="n">
        <f aca="false">+D27/D$3</f>
        <v>0.0921492684913213</v>
      </c>
      <c r="F27" s="8" t="n">
        <f aca="false">+D27/D$24</f>
        <v>0.10617302504786</v>
      </c>
      <c r="G27" s="9" t="n">
        <f aca="false">+D27/TUnits</f>
        <v>10447.592847607</v>
      </c>
      <c r="H27" s="10" t="n">
        <f aca="false">+D27/TotalSF</f>
        <v>9.44902802747919</v>
      </c>
    </row>
    <row r="28" customFormat="false" ht="12.75" hidden="false" customHeight="false" outlineLevel="0" collapsed="false">
      <c r="B28" s="20" t="s">
        <v>25</v>
      </c>
      <c r="C28" s="25"/>
      <c r="D28" s="26" t="e">
        <f aca="false">+D26-D27</f>
        <v>#REF!</v>
      </c>
      <c r="E28" s="27" t="e">
        <f aca="false">+D28/D$3</f>
        <v>#REF!</v>
      </c>
      <c r="F28" s="27" t="e">
        <f aca="false">+D28/D$24</f>
        <v>#REF!</v>
      </c>
      <c r="G28" s="26" t="e">
        <f aca="false">+D28/TUnits</f>
        <v>#REF!</v>
      </c>
      <c r="H28" s="28" t="e">
        <f aca="false">+D28/TotalSF</f>
        <v>#REF!</v>
      </c>
    </row>
    <row r="29" customFormat="false" ht="12.75" hidden="false" customHeight="false" outlineLevel="0" collapsed="false">
      <c r="B29" s="20" t="s">
        <v>26</v>
      </c>
      <c r="C29" s="25"/>
      <c r="D29" s="26" t="e">
        <f aca="false">-(0.75*D15-D14-D25)</f>
        <v>#REF!</v>
      </c>
      <c r="E29" s="27" t="e">
        <f aca="false">+D29/D$3</f>
        <v>#REF!</v>
      </c>
      <c r="F29" s="27" t="e">
        <f aca="false">+D29/D$24</f>
        <v>#REF!</v>
      </c>
      <c r="G29" s="26" t="e">
        <f aca="false">+D29/TUnits</f>
        <v>#REF!</v>
      </c>
      <c r="H29" s="28" t="e">
        <f aca="false">+D29/TotalSF</f>
        <v>#REF!</v>
      </c>
    </row>
    <row r="31" customFormat="false" ht="12.75" hidden="false" customHeight="false" outlineLevel="0" collapsed="false">
      <c r="B31" s="23" t="s">
        <v>27</v>
      </c>
    </row>
    <row r="32" customFormat="false" ht="12.75" hidden="false" customHeight="false" outlineLevel="0" collapsed="false">
      <c r="B32" s="11" t="s">
        <v>21</v>
      </c>
      <c r="D32" s="7" t="n">
        <f aca="false">TotalCost</f>
        <v>12711670.7778949</v>
      </c>
      <c r="E32" s="8" t="n">
        <f aca="false">+D32/D$3</f>
        <v>0.836707170198451</v>
      </c>
      <c r="F32" s="8" t="n">
        <f aca="false">+D32/D$24</f>
        <v>0.964041633684488</v>
      </c>
      <c r="G32" s="9" t="n">
        <f aca="false">+D32/TUnits</f>
        <v>94863.2147604096</v>
      </c>
      <c r="H32" s="10" t="n">
        <f aca="false">+D32/TotalSF</f>
        <v>85.7963349187363</v>
      </c>
    </row>
    <row r="33" customFormat="false" ht="12.75" hidden="false" customHeight="false" outlineLevel="0" collapsed="false">
      <c r="B33" s="24" t="s">
        <v>22</v>
      </c>
      <c r="C33" s="13" t="e">
        <f aca="false">LTC90</f>
        <v>#REF!</v>
      </c>
      <c r="D33" s="7" t="e">
        <f aca="false">C33*D$24</f>
        <v>#REF!</v>
      </c>
      <c r="E33" s="8" t="e">
        <f aca="false">+D33/D$3</f>
        <v>#REF!</v>
      </c>
      <c r="F33" s="8" t="e">
        <f aca="false">+D33/D$24</f>
        <v>#REF!</v>
      </c>
      <c r="G33" s="9" t="e">
        <f aca="false">+D33/TUnits</f>
        <v>#REF!</v>
      </c>
      <c r="H33" s="10" t="e">
        <f aca="false">+D33/TotalSF</f>
        <v>#REF!</v>
      </c>
    </row>
    <row r="34" customFormat="false" ht="12.75" hidden="false" customHeight="false" outlineLevel="0" collapsed="false">
      <c r="B34" s="24" t="s">
        <v>28</v>
      </c>
      <c r="C34" s="29"/>
      <c r="D34" s="7" t="e">
        <f aca="false">+D24-D33</f>
        <v>#REF!</v>
      </c>
      <c r="E34" s="8" t="e">
        <f aca="false">+D34/D$3</f>
        <v>#REF!</v>
      </c>
      <c r="F34" s="8" t="e">
        <f aca="false">+D34/D$24</f>
        <v>#REF!</v>
      </c>
      <c r="G34" s="9" t="e">
        <f aca="false">+D34/TUnits</f>
        <v>#REF!</v>
      </c>
      <c r="H34" s="10" t="e">
        <f aca="false">+D34/TotalSF</f>
        <v>#REF!</v>
      </c>
    </row>
    <row r="35" customFormat="false" ht="12.75" hidden="false" customHeight="false" outlineLevel="0" collapsed="false">
      <c r="B35" s="24" t="s">
        <v>24</v>
      </c>
      <c r="C35" s="8" t="n">
        <f aca="false">Const_Profit</f>
        <v>0.15</v>
      </c>
      <c r="D35" s="7" t="n">
        <f aca="false">ConstProfit</f>
        <v>1399977.44157934</v>
      </c>
      <c r="E35" s="8" t="n">
        <f aca="false">+D35/D$3</f>
        <v>0.0921492684913213</v>
      </c>
      <c r="F35" s="8" t="n">
        <f aca="false">+D35/D$24</f>
        <v>0.10617302504786</v>
      </c>
      <c r="G35" s="9" t="n">
        <f aca="false">+D35/TUnits</f>
        <v>10447.592847607</v>
      </c>
      <c r="H35" s="10" t="n">
        <f aca="false">+D35/TotalSF</f>
        <v>9.44902802747919</v>
      </c>
    </row>
    <row r="36" customFormat="false" ht="12.75" hidden="false" customHeight="false" outlineLevel="0" collapsed="false">
      <c r="B36" s="20" t="s">
        <v>29</v>
      </c>
      <c r="C36" s="30"/>
      <c r="D36" s="31" t="e">
        <f aca="false">+IF(D34-D35&lt;0,0,D34-D35)</f>
        <v>#REF!</v>
      </c>
      <c r="E36" s="27" t="e">
        <f aca="false">+D36/D$3</f>
        <v>#REF!</v>
      </c>
      <c r="F36" s="27" t="e">
        <f aca="false">+D36/D$24</f>
        <v>#REF!</v>
      </c>
      <c r="G36" s="31" t="e">
        <f aca="false">+D36/TUnits</f>
        <v>#REF!</v>
      </c>
      <c r="H36" s="28" t="e">
        <f aca="false">+D36/TotalSF</f>
        <v>#REF!</v>
      </c>
    </row>
    <row r="37" customFormat="false" ht="12.75" hidden="false" customHeight="false" outlineLevel="0" collapsed="false">
      <c r="D37" s="9"/>
    </row>
    <row r="38" customFormat="false" ht="12.75" hidden="false" customHeight="false" outlineLevel="0" collapsed="false">
      <c r="B38" s="32" t="s">
        <v>30</v>
      </c>
      <c r="D38" s="9"/>
    </row>
    <row r="39" customFormat="false" ht="12.75" hidden="false" customHeight="true" outlineLevel="0" collapsed="false">
      <c r="B39" s="33" t="s">
        <v>31</v>
      </c>
      <c r="C39" s="33"/>
      <c r="D39" s="33"/>
      <c r="E39" s="33"/>
      <c r="F39" s="33"/>
      <c r="G39" s="33"/>
      <c r="H39" s="33"/>
    </row>
    <row r="40" customFormat="false" ht="12.75" hidden="false" customHeight="false" outlineLevel="0" collapsed="false">
      <c r="B40" s="33"/>
      <c r="C40" s="33"/>
      <c r="D40" s="33"/>
      <c r="E40" s="33"/>
      <c r="F40" s="33"/>
      <c r="G40" s="33"/>
      <c r="H40" s="33"/>
    </row>
    <row r="41" customFormat="false" ht="12.75" hidden="false" customHeight="true" outlineLevel="0" collapsed="false">
      <c r="B41" s="34" t="s">
        <v>32</v>
      </c>
      <c r="C41" s="34"/>
      <c r="D41" s="34"/>
      <c r="E41" s="34"/>
      <c r="F41" s="34"/>
      <c r="G41" s="34"/>
      <c r="H41" s="34"/>
    </row>
    <row r="42" customFormat="false" ht="12.75" hidden="false" customHeight="false" outlineLevel="0" collapsed="false">
      <c r="B42" s="0" t="s">
        <v>33</v>
      </c>
      <c r="D42" s="9"/>
    </row>
    <row r="43" customFormat="false" ht="12.75" hidden="false" customHeight="false" outlineLevel="0" collapsed="false">
      <c r="B43" s="0" t="s">
        <v>34</v>
      </c>
      <c r="D43" s="9"/>
    </row>
    <row r="44" customFormat="false" ht="12.75" hidden="false" customHeight="false" outlineLevel="0" collapsed="false">
      <c r="B44" s="0" t="s">
        <v>35</v>
      </c>
      <c r="D44" s="9"/>
    </row>
    <row r="46" customFormat="false" ht="12.75" hidden="false" customHeight="false" outlineLevel="0" collapsed="false">
      <c r="B46" s="35" t="s">
        <v>36</v>
      </c>
      <c r="D46" s="9"/>
    </row>
    <row r="47" customFormat="false" ht="12.75" hidden="false" customHeight="false" outlineLevel="0" collapsed="false">
      <c r="B47" s="36" t="s">
        <v>37</v>
      </c>
      <c r="C47" s="36"/>
      <c r="D47" s="36"/>
    </row>
    <row r="48" customFormat="false" ht="12.75" hidden="false" customHeight="false" outlineLevel="0" collapsed="false">
      <c r="B48" s="36" t="s">
        <v>38</v>
      </c>
      <c r="C48" s="36"/>
      <c r="D48" s="36"/>
    </row>
    <row r="49" customFormat="false" ht="12.75" hidden="false" customHeight="false" outlineLevel="0" collapsed="false">
      <c r="B49" s="0" t="s">
        <v>39</v>
      </c>
      <c r="D49" s="9"/>
    </row>
    <row r="50" customFormat="false" ht="12.75" hidden="false" customHeight="true" outlineLevel="0" collapsed="false">
      <c r="B50" s="37" t="s">
        <v>40</v>
      </c>
      <c r="C50" s="37"/>
      <c r="D50" s="37"/>
      <c r="E50" s="37"/>
      <c r="F50" s="37"/>
      <c r="G50" s="37"/>
      <c r="H50" s="37"/>
    </row>
    <row r="51" customFormat="false" ht="12.75" hidden="false" customHeight="false" outlineLevel="0" collapsed="false">
      <c r="B51" s="37"/>
      <c r="C51" s="37"/>
      <c r="D51" s="37"/>
      <c r="E51" s="37"/>
      <c r="F51" s="37"/>
      <c r="G51" s="37"/>
      <c r="H51" s="37"/>
    </row>
    <row r="52" customFormat="false" ht="12.75" hidden="false" customHeight="false" outlineLevel="0" collapsed="false">
      <c r="B52" s="37"/>
      <c r="C52" s="37"/>
      <c r="D52" s="37"/>
      <c r="E52" s="37"/>
      <c r="F52" s="37"/>
      <c r="G52" s="37"/>
      <c r="H52" s="37"/>
    </row>
  </sheetData>
  <mergeCells count="5">
    <mergeCell ref="B39:H40"/>
    <mergeCell ref="B41:H41"/>
    <mergeCell ref="B47:D47"/>
    <mergeCell ref="B48:D48"/>
    <mergeCell ref="B50:H52"/>
  </mergeCells>
  <printOptions headings="false" gridLines="false" gridLinesSet="true" horizontalCentered="true" verticalCentered="false"/>
  <pageMargins left="0.747916666666667" right="0.747916666666667" top="1.35972222222222" bottom="0.984027777777778" header="0.490277777777778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 Condensed,Bold"&amp;14&amp;UPROJECT SUMMARY
&amp;UEQUITY &amp;&amp; RETURN ON EQUITY</oddHeader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I30" activePane="bottomRight" state="frozen"/>
      <selection pane="topLeft" activeCell="A1" activeCellId="0" sqref="A1"/>
      <selection pane="topRight" activeCell="I1" activeCellId="0" sqref="I1"/>
      <selection pane="bottomLeft" activeCell="A30" activeCellId="0" sqref="A30"/>
      <selection pane="bottomRight" activeCell="W59" activeCellId="0" sqref="W59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1" min="1" style="38" width="9.32"/>
    <col collapsed="false" customWidth="true" hidden="false" outlineLevel="0" max="2" min="2" style="38" width="27.15"/>
    <col collapsed="false" customWidth="true" hidden="false" outlineLevel="0" max="3" min="3" style="38" width="18.82"/>
    <col collapsed="false" customWidth="false" hidden="false" outlineLevel="0" max="4" min="4" style="38" width="9.32"/>
    <col collapsed="false" customWidth="true" hidden="false" outlineLevel="0" max="5" min="5" style="38" width="0.99"/>
    <col collapsed="false" customWidth="true" hidden="false" outlineLevel="0" max="8" min="6" style="38" width="10.82"/>
    <col collapsed="false" customWidth="true" hidden="false" outlineLevel="0" max="9" min="9" style="38" width="0.99"/>
    <col collapsed="false" customWidth="true" hidden="true" outlineLevel="0" max="10" min="10" style="38" width="15.49"/>
    <col collapsed="false" customWidth="true" hidden="false" outlineLevel="0" max="11" min="11" style="38" width="8.99"/>
    <col collapsed="false" customWidth="true" hidden="false" outlineLevel="0" max="12" min="12" style="38" width="7.99"/>
    <col collapsed="false" customWidth="true" hidden="false" outlineLevel="0" max="13" min="13" style="38" width="0.99"/>
    <col collapsed="false" customWidth="true" hidden="true" outlineLevel="0" max="14" min="14" style="38" width="11.49"/>
    <col collapsed="false" customWidth="true" hidden="false" outlineLevel="0" max="15" min="15" style="38" width="9.99"/>
    <col collapsed="false" customWidth="true" hidden="false" outlineLevel="0" max="16" min="16" style="38" width="8.99"/>
    <col collapsed="false" customWidth="true" hidden="false" outlineLevel="0" max="17" min="17" style="38" width="0.99"/>
    <col collapsed="false" customWidth="true" hidden="true" outlineLevel="0" max="18" min="18" style="38" width="7.82"/>
    <col collapsed="false" customWidth="true" hidden="true" outlineLevel="0" max="19" min="19" style="38" width="10.49"/>
    <col collapsed="false" customWidth="true" hidden="true" outlineLevel="0" max="20" min="20" style="38" width="7.49"/>
    <col collapsed="false" customWidth="true" hidden="true" outlineLevel="0" max="21" min="21" style="38" width="0.99"/>
    <col collapsed="false" customWidth="true" hidden="false" outlineLevel="0" max="22" min="22" style="38" width="9.99"/>
    <col collapsed="false" customWidth="true" hidden="false" outlineLevel="0" max="23" min="23" style="38" width="12.49"/>
    <col collapsed="false" customWidth="true" hidden="false" outlineLevel="0" max="24" min="24" style="38" width="8.99"/>
    <col collapsed="false" customWidth="true" hidden="false" outlineLevel="0" max="25" min="25" style="38" width="16.15"/>
    <col collapsed="false" customWidth="true" hidden="false" outlineLevel="0" max="29" min="26" style="38" width="12.82"/>
    <col collapsed="false" customWidth="false" hidden="false" outlineLevel="0" max="257" min="30" style="38" width="9.32"/>
  </cols>
  <sheetData>
    <row r="1" customFormat="false" ht="12.75" hidden="false" customHeight="false" outlineLevel="0" collapsed="false">
      <c r="B1" s="38" t="s">
        <v>41</v>
      </c>
      <c r="C1" s="38" t="n">
        <v>625</v>
      </c>
      <c r="F1" s="38" t="s">
        <v>42</v>
      </c>
      <c r="G1" s="38" t="n">
        <v>0</v>
      </c>
    </row>
    <row r="2" customFormat="false" ht="12.75" hidden="false" customHeight="false" outlineLevel="0" collapsed="false">
      <c r="B2" s="38" t="s">
        <v>43</v>
      </c>
      <c r="C2" s="38" t="n">
        <v>575</v>
      </c>
    </row>
    <row r="3" customFormat="false" ht="12.75" hidden="false" customHeight="false" outlineLevel="0" collapsed="false">
      <c r="B3" s="38" t="s">
        <v>44</v>
      </c>
      <c r="C3" s="38" t="n">
        <v>510</v>
      </c>
      <c r="Y3" s="39"/>
    </row>
    <row r="4" customFormat="false" ht="12.75" hidden="false" customHeight="false" outlineLevel="0" collapsed="false">
      <c r="B4" s="38" t="s">
        <v>45</v>
      </c>
      <c r="C4" s="38" t="n">
        <v>425</v>
      </c>
      <c r="Y4" s="39"/>
    </row>
    <row r="5" customFormat="false" ht="12.75" hidden="false" customHeight="false" outlineLevel="0" collapsed="false">
      <c r="A5" s="40"/>
      <c r="B5" s="41" t="s">
        <v>46</v>
      </c>
      <c r="C5" s="42"/>
      <c r="D5" s="42"/>
      <c r="E5" s="43"/>
      <c r="F5" s="43" t="s">
        <v>47</v>
      </c>
      <c r="G5" s="43"/>
      <c r="H5" s="43"/>
      <c r="I5" s="44"/>
      <c r="J5" s="45" t="s">
        <v>48</v>
      </c>
      <c r="K5" s="45"/>
      <c r="L5" s="45"/>
      <c r="M5" s="43"/>
      <c r="N5" s="45" t="s">
        <v>49</v>
      </c>
      <c r="O5" s="45"/>
      <c r="P5" s="45"/>
      <c r="Q5" s="43"/>
      <c r="R5" s="43" t="s">
        <v>50</v>
      </c>
      <c r="S5" s="43"/>
      <c r="T5" s="43"/>
      <c r="U5" s="43"/>
      <c r="V5" s="45" t="s">
        <v>51</v>
      </c>
      <c r="W5" s="45"/>
      <c r="X5" s="45"/>
      <c r="Y5" s="43"/>
      <c r="Z5" s="43"/>
      <c r="AA5" s="43" t="s">
        <v>51</v>
      </c>
      <c r="AB5" s="43"/>
      <c r="AC5" s="43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</row>
    <row r="6" customFormat="false" ht="12.75" hidden="false" customHeight="false" outlineLevel="0" collapsed="false">
      <c r="B6" s="46"/>
      <c r="C6" s="46"/>
      <c r="D6" s="46"/>
      <c r="E6" s="47"/>
      <c r="F6" s="47" t="s">
        <v>52</v>
      </c>
      <c r="G6" s="47" t="s">
        <v>53</v>
      </c>
      <c r="H6" s="47" t="s">
        <v>6</v>
      </c>
      <c r="I6" s="46"/>
      <c r="J6" s="47" t="s">
        <v>52</v>
      </c>
      <c r="K6" s="47" t="s">
        <v>54</v>
      </c>
      <c r="L6" s="47" t="s">
        <v>6</v>
      </c>
      <c r="M6" s="47"/>
      <c r="N6" s="47" t="s">
        <v>52</v>
      </c>
      <c r="O6" s="47" t="s">
        <v>54</v>
      </c>
      <c r="P6" s="47" t="s">
        <v>6</v>
      </c>
      <c r="Q6" s="48"/>
      <c r="R6" s="47" t="s">
        <v>52</v>
      </c>
      <c r="S6" s="47" t="s">
        <v>53</v>
      </c>
      <c r="T6" s="47" t="s">
        <v>6</v>
      </c>
      <c r="U6" s="47"/>
      <c r="V6" s="49" t="s">
        <v>54</v>
      </c>
      <c r="W6" s="49" t="s">
        <v>55</v>
      </c>
      <c r="X6" s="49" t="s">
        <v>56</v>
      </c>
      <c r="Y6" s="50"/>
      <c r="Z6" s="50"/>
      <c r="AA6" s="49" t="s">
        <v>52</v>
      </c>
      <c r="AB6" s="49" t="s">
        <v>57</v>
      </c>
      <c r="AC6" s="49" t="s">
        <v>58</v>
      </c>
    </row>
    <row r="7" customFormat="false" ht="12.75" hidden="true" customHeight="false" outlineLevel="0" collapsed="false">
      <c r="B7" s="51" t="s">
        <v>59</v>
      </c>
      <c r="C7" s="51"/>
      <c r="D7" s="51"/>
      <c r="E7" s="51"/>
      <c r="F7" s="51" t="n">
        <v>1</v>
      </c>
      <c r="G7" s="52" t="n">
        <v>2.5</v>
      </c>
      <c r="H7" s="52"/>
      <c r="I7" s="51"/>
      <c r="J7" s="53"/>
      <c r="K7" s="51" t="n">
        <v>2</v>
      </c>
      <c r="L7" s="52" t="n">
        <v>2.5</v>
      </c>
      <c r="M7" s="52"/>
      <c r="N7" s="53"/>
      <c r="O7" s="51" t="n">
        <v>3</v>
      </c>
      <c r="P7" s="52" t="n">
        <v>3.5</v>
      </c>
      <c r="Q7" s="51"/>
      <c r="R7" s="51" t="n">
        <v>4</v>
      </c>
      <c r="S7" s="52" t="n">
        <v>2.5</v>
      </c>
      <c r="T7" s="51"/>
      <c r="U7" s="51"/>
      <c r="V7" s="51"/>
      <c r="W7" s="46"/>
      <c r="X7" s="50"/>
      <c r="Y7" s="50"/>
      <c r="Z7" s="50"/>
      <c r="AA7" s="50"/>
      <c r="AC7" s="54"/>
    </row>
    <row r="8" customFormat="false" ht="12.75" hidden="false" customHeight="false" outlineLevel="0" collapsed="false">
      <c r="B8" s="51" t="s">
        <v>60</v>
      </c>
      <c r="C8" s="51"/>
      <c r="D8" s="51"/>
      <c r="E8" s="51"/>
      <c r="F8" s="51" t="n">
        <v>500</v>
      </c>
      <c r="G8" s="51"/>
      <c r="H8" s="51"/>
      <c r="I8" s="51"/>
      <c r="J8" s="53"/>
      <c r="K8" s="51" t="n">
        <f aca="false">+'UCost Final'!N11</f>
        <v>1016</v>
      </c>
      <c r="L8" s="51"/>
      <c r="M8" s="51"/>
      <c r="N8" s="53"/>
      <c r="O8" s="51" t="n">
        <f aca="false">+'UCost Final'!Q11</f>
        <v>1213</v>
      </c>
      <c r="P8" s="51"/>
      <c r="Q8" s="51"/>
      <c r="R8" s="51" t="e">
        <f aca="false">+#REF!</f>
        <v>#REF!</v>
      </c>
      <c r="S8" s="51"/>
      <c r="T8" s="51"/>
      <c r="U8" s="51"/>
      <c r="V8" s="51" t="n">
        <f aca="false">O8*O11+K8*K11</f>
        <v>148161</v>
      </c>
      <c r="W8" s="48"/>
      <c r="X8" s="50"/>
      <c r="Y8" s="50"/>
      <c r="Z8" s="50"/>
      <c r="AA8" s="50" t="n">
        <f aca="false">+TotalSF</f>
        <v>148161</v>
      </c>
      <c r="AC8" s="54"/>
    </row>
    <row r="9" customFormat="false" ht="12.75" hidden="true" customHeight="false" outlineLevel="0" collapsed="false">
      <c r="B9" s="51" t="s">
        <v>61</v>
      </c>
      <c r="C9" s="51"/>
      <c r="D9" s="51"/>
      <c r="E9" s="51"/>
      <c r="F9" s="51" t="s">
        <v>62</v>
      </c>
      <c r="G9" s="51"/>
      <c r="H9" s="51"/>
      <c r="I9" s="51"/>
      <c r="J9" s="53"/>
      <c r="K9" s="55" t="s">
        <v>63</v>
      </c>
      <c r="L9" s="51"/>
      <c r="M9" s="51"/>
      <c r="N9" s="53"/>
      <c r="O9" s="55" t="s">
        <v>64</v>
      </c>
      <c r="P9" s="51"/>
      <c r="Q9" s="56"/>
      <c r="R9" s="51" t="s">
        <v>62</v>
      </c>
      <c r="S9" s="51"/>
      <c r="T9" s="51"/>
      <c r="U9" s="51"/>
      <c r="V9" s="51"/>
      <c r="W9" s="57"/>
      <c r="Y9" s="50"/>
      <c r="Z9" s="50"/>
      <c r="AA9" s="50"/>
      <c r="AC9" s="54"/>
    </row>
    <row r="10" customFormat="false" ht="13.5" hidden="true" customHeight="true" outlineLevel="0" collapsed="false">
      <c r="B10" s="51" t="s">
        <v>65</v>
      </c>
      <c r="C10" s="51"/>
      <c r="D10" s="51"/>
      <c r="E10" s="51"/>
      <c r="F10" s="58" t="n">
        <v>15.83</v>
      </c>
      <c r="G10" s="51" t="s">
        <v>66</v>
      </c>
      <c r="H10" s="51"/>
      <c r="I10" s="51"/>
      <c r="J10" s="58" t="n">
        <v>15.83</v>
      </c>
      <c r="K10" s="51" t="s">
        <v>66</v>
      </c>
      <c r="L10" s="51"/>
      <c r="M10" s="51"/>
      <c r="N10" s="51" t="n">
        <v>26</v>
      </c>
      <c r="O10" s="51" t="s">
        <v>66</v>
      </c>
      <c r="P10" s="51"/>
      <c r="Q10" s="51"/>
      <c r="R10" s="51" t="n">
        <v>26</v>
      </c>
      <c r="S10" s="51" t="s">
        <v>66</v>
      </c>
      <c r="T10" s="51"/>
      <c r="U10" s="51"/>
      <c r="V10" s="51"/>
      <c r="W10" s="46"/>
      <c r="X10" s="50"/>
      <c r="Y10" s="50"/>
      <c r="Z10" s="50"/>
      <c r="AA10" s="50"/>
      <c r="AC10" s="54"/>
    </row>
    <row r="11" customFormat="false" ht="12.75" hidden="false" customHeight="false" outlineLevel="0" collapsed="false">
      <c r="B11" s="51" t="s">
        <v>67</v>
      </c>
      <c r="C11" s="51"/>
      <c r="D11" s="51"/>
      <c r="E11" s="51"/>
      <c r="F11" s="51" t="n">
        <v>0</v>
      </c>
      <c r="G11" s="51"/>
      <c r="H11" s="51"/>
      <c r="I11" s="51"/>
      <c r="J11" s="53"/>
      <c r="K11" s="51" t="n">
        <f aca="false">+'UCost Final'!N8+1</f>
        <v>73</v>
      </c>
      <c r="L11" s="51"/>
      <c r="M11" s="51"/>
      <c r="N11" s="53"/>
      <c r="O11" s="51" t="n">
        <f aca="false">+'UCost Final'!Q8</f>
        <v>61</v>
      </c>
      <c r="P11" s="51"/>
      <c r="Q11" s="51"/>
      <c r="R11" s="51" t="n">
        <v>0</v>
      </c>
      <c r="S11" s="51"/>
      <c r="T11" s="51"/>
      <c r="U11" s="51"/>
      <c r="V11" s="51" t="n">
        <f aca="false">+O11+K11</f>
        <v>134</v>
      </c>
      <c r="W11" s="48"/>
      <c r="X11" s="50"/>
      <c r="Y11" s="50"/>
      <c r="Z11" s="50"/>
      <c r="AA11" s="50" t="n">
        <f aca="false">+TUnits</f>
        <v>134</v>
      </c>
      <c r="AC11" s="54"/>
    </row>
    <row r="12" customFormat="false" ht="12.75" hidden="true" customHeight="false" outlineLevel="0" collapsed="false">
      <c r="B12" s="51" t="s">
        <v>68</v>
      </c>
      <c r="C12" s="51"/>
      <c r="D12" s="51"/>
      <c r="E12" s="51"/>
      <c r="F12" s="51" t="n">
        <f aca="false">+F11/$V11</f>
        <v>0</v>
      </c>
      <c r="G12" s="51"/>
      <c r="H12" s="51"/>
      <c r="I12" s="51"/>
      <c r="J12" s="53"/>
      <c r="K12" s="59" t="n">
        <f aca="false">+K11/$V11</f>
        <v>0.544776119402985</v>
      </c>
      <c r="L12" s="60"/>
      <c r="M12" s="60"/>
      <c r="N12" s="53"/>
      <c r="O12" s="59" t="n">
        <f aca="false">+O11/$V11</f>
        <v>0.455223880597015</v>
      </c>
      <c r="P12" s="60"/>
      <c r="Q12" s="60"/>
      <c r="R12" s="60" t="n">
        <f aca="false">+R11/$V11</f>
        <v>0</v>
      </c>
      <c r="S12" s="60"/>
      <c r="T12" s="60"/>
      <c r="U12" s="60"/>
      <c r="V12" s="59" t="n">
        <f aca="false">+V11/$V11</f>
        <v>1</v>
      </c>
      <c r="W12" s="48"/>
      <c r="X12" s="50"/>
      <c r="Y12" s="50"/>
      <c r="Z12" s="50"/>
      <c r="AA12" s="50"/>
      <c r="AC12" s="48"/>
    </row>
    <row r="13" customFormat="false" ht="12.75" hidden="false" customHeight="false" outlineLevel="0" collapsed="false">
      <c r="B13" s="46"/>
      <c r="C13" s="46"/>
      <c r="D13" s="46"/>
      <c r="E13" s="46"/>
      <c r="F13" s="46"/>
      <c r="G13" s="46"/>
      <c r="H13" s="46"/>
      <c r="I13" s="46"/>
      <c r="J13" s="50"/>
      <c r="K13" s="61"/>
      <c r="L13" s="61"/>
      <c r="M13" s="61"/>
      <c r="N13" s="50"/>
      <c r="O13" s="61"/>
      <c r="P13" s="61"/>
      <c r="Q13" s="61"/>
      <c r="R13" s="61"/>
      <c r="S13" s="61"/>
      <c r="T13" s="61"/>
      <c r="U13" s="61"/>
      <c r="V13" s="46"/>
      <c r="W13" s="48"/>
      <c r="X13" s="50"/>
      <c r="Y13" s="50"/>
      <c r="Z13" s="50"/>
      <c r="AA13" s="61"/>
      <c r="AC13" s="48"/>
    </row>
    <row r="14" customFormat="false" ht="12.75" hidden="false" customHeight="false" outlineLevel="0" collapsed="false">
      <c r="B14" s="62" t="s">
        <v>69</v>
      </c>
      <c r="C14" s="46"/>
      <c r="D14" s="46"/>
      <c r="E14" s="63"/>
      <c r="F14" s="64"/>
      <c r="G14" s="64"/>
      <c r="H14" s="46"/>
      <c r="I14" s="46"/>
      <c r="J14" s="65"/>
      <c r="K14" s="65"/>
      <c r="L14" s="65"/>
      <c r="M14" s="46"/>
      <c r="N14" s="65"/>
      <c r="O14" s="65"/>
      <c r="P14" s="65"/>
      <c r="Q14" s="46"/>
      <c r="R14" s="64"/>
      <c r="S14" s="64"/>
      <c r="T14" s="46"/>
      <c r="U14" s="46"/>
      <c r="V14" s="65"/>
      <c r="W14" s="64"/>
      <c r="X14" s="64"/>
      <c r="Y14" s="50"/>
      <c r="Z14" s="50"/>
      <c r="AA14" s="46"/>
      <c r="AC14" s="64"/>
    </row>
    <row r="15" customFormat="false" ht="12.75" hidden="false" customHeight="false" outlineLevel="0" collapsed="false">
      <c r="B15" s="66" t="s">
        <v>70</v>
      </c>
      <c r="C15" s="46"/>
      <c r="D15" s="46"/>
      <c r="E15" s="63"/>
      <c r="F15" s="64" t="n">
        <f aca="false">G15*F$11</f>
        <v>0</v>
      </c>
      <c r="G15" s="64" t="n">
        <f aca="false">F$7*One_Bedroom_Rate</f>
        <v>625</v>
      </c>
      <c r="H15" s="46" t="n">
        <f aca="false">+G15/F$8</f>
        <v>1.25</v>
      </c>
      <c r="I15" s="46"/>
      <c r="J15" s="64" t="n">
        <f aca="false">K15*K$11</f>
        <v>83950</v>
      </c>
      <c r="K15" s="64" t="n">
        <f aca="false">K$7*Two_Bedroom_Rate+Internet</f>
        <v>1150</v>
      </c>
      <c r="L15" s="67" t="n">
        <f aca="false">+K15/K$8</f>
        <v>1.13188976377953</v>
      </c>
      <c r="M15" s="46"/>
      <c r="N15" s="64" t="n">
        <f aca="false">O15*O$11</f>
        <v>93330</v>
      </c>
      <c r="O15" s="64" t="n">
        <f aca="false">O$7*Three_Bedroom_Rate+Internet</f>
        <v>1530</v>
      </c>
      <c r="P15" s="67" t="n">
        <f aca="false">+O15/O$8</f>
        <v>1.26133553173949</v>
      </c>
      <c r="Q15" s="46"/>
      <c r="R15" s="64" t="n">
        <f aca="false">S15*R$11</f>
        <v>0</v>
      </c>
      <c r="S15" s="64" t="n">
        <f aca="false">R$7*Four_Bedroom_Rate</f>
        <v>1700</v>
      </c>
      <c r="T15" s="46" t="e">
        <f aca="false">+S15/R$8</f>
        <v>#REF!</v>
      </c>
      <c r="U15" s="46"/>
      <c r="V15" s="65" t="n">
        <f aca="false">+R15+N15+J15+F15</f>
        <v>177280</v>
      </c>
      <c r="W15" s="64" t="n">
        <f aca="false">+V15/V$11</f>
        <v>1322.98507462687</v>
      </c>
      <c r="X15" s="67" t="n">
        <f aca="false">+V15/V$8</f>
        <v>1.19653620048461</v>
      </c>
      <c r="Y15" s="50"/>
      <c r="Z15" s="50"/>
      <c r="AA15" s="65" t="n">
        <f aca="false">V15*12</f>
        <v>2127360</v>
      </c>
      <c r="AB15" s="65" t="n">
        <f aca="false">+AA15/TUnits</f>
        <v>15875.8208955224</v>
      </c>
      <c r="AC15" s="61" t="n">
        <f aca="false">+V15/V$19</f>
        <v>1.0356321130475</v>
      </c>
    </row>
    <row r="16" customFormat="false" ht="12.75" hidden="false" customHeight="false" outlineLevel="0" collapsed="false">
      <c r="B16" s="66" t="s">
        <v>71</v>
      </c>
      <c r="C16" s="46" t="n">
        <v>0.05</v>
      </c>
      <c r="D16" s="46"/>
      <c r="E16" s="46"/>
      <c r="F16" s="68" t="n">
        <f aca="false">G16*F$11</f>
        <v>0</v>
      </c>
      <c r="G16" s="48" t="n">
        <v>0</v>
      </c>
      <c r="H16" s="69" t="n">
        <f aca="false">+G16/F$8</f>
        <v>0</v>
      </c>
      <c r="I16" s="46"/>
      <c r="J16" s="46" t="n">
        <f aca="false">K16*K$11</f>
        <v>-4197.5</v>
      </c>
      <c r="K16" s="46" t="n">
        <f aca="false">-$C16*K$15</f>
        <v>-57.5</v>
      </c>
      <c r="L16" s="70" t="n">
        <f aca="false">+K16/K$8</f>
        <v>-0.0565944881889764</v>
      </c>
      <c r="M16" s="46"/>
      <c r="N16" s="46" t="n">
        <f aca="false">O16*O$11</f>
        <v>-4666.5</v>
      </c>
      <c r="O16" s="46" t="n">
        <f aca="false">-$C16*O$15</f>
        <v>-76.5</v>
      </c>
      <c r="P16" s="70" t="n">
        <f aca="false">+O16/O$8</f>
        <v>-0.0630667765869745</v>
      </c>
      <c r="Q16" s="46"/>
      <c r="R16" s="68" t="n">
        <f aca="false">S16*R$11</f>
        <v>0</v>
      </c>
      <c r="S16" s="71" t="n">
        <v>0</v>
      </c>
      <c r="T16" s="69" t="e">
        <f aca="false">+S16/R$8</f>
        <v>#REF!</v>
      </c>
      <c r="U16" s="46"/>
      <c r="V16" s="46" t="n">
        <f aca="false">N16+J16</f>
        <v>-8864</v>
      </c>
      <c r="W16" s="46" t="n">
        <f aca="false">+V16/V$11</f>
        <v>-66.1492537313433</v>
      </c>
      <c r="X16" s="70" t="n">
        <f aca="false">+V16/V$8</f>
        <v>-0.0598268100242304</v>
      </c>
      <c r="Y16" s="50"/>
      <c r="Z16" s="50"/>
      <c r="AA16" s="46" t="n">
        <f aca="false">12*V16</f>
        <v>-106368</v>
      </c>
      <c r="AB16" s="46" t="n">
        <f aca="false">+AA16/TUnits</f>
        <v>-793.791044776119</v>
      </c>
      <c r="AC16" s="61" t="n">
        <f aca="false">+V16/V$19</f>
        <v>-0.0517816056523751</v>
      </c>
    </row>
    <row r="17" customFormat="false" ht="12.75" hidden="false" customHeight="false" outlineLevel="0" collapsed="false">
      <c r="B17" s="66" t="s">
        <v>72</v>
      </c>
      <c r="C17" s="72" t="n">
        <f aca="false">1/6</f>
        <v>0.166666666666667</v>
      </c>
      <c r="D17" s="46"/>
      <c r="E17" s="63"/>
      <c r="F17" s="68" t="n">
        <f aca="false">G17*F$11</f>
        <v>0</v>
      </c>
      <c r="G17" s="68" t="n">
        <f aca="false">(125*F7*F11*0.33)/12</f>
        <v>0</v>
      </c>
      <c r="H17" s="69" t="n">
        <f aca="false">+G17/F$8</f>
        <v>0</v>
      </c>
      <c r="I17" s="46"/>
      <c r="J17" s="68" t="n">
        <f aca="false">K17*K$11</f>
        <v>1165.97222222222</v>
      </c>
      <c r="K17" s="46" t="n">
        <f aca="false">($C17*K$15)/12</f>
        <v>15.9722222222222</v>
      </c>
      <c r="L17" s="69" t="n">
        <f aca="false">+K17/K$8</f>
        <v>0.0157206911636046</v>
      </c>
      <c r="M17" s="46"/>
      <c r="N17" s="68" t="n">
        <f aca="false">O17*O$11</f>
        <v>1296.25</v>
      </c>
      <c r="O17" s="46" t="n">
        <f aca="false">($C17*O$15)/12</f>
        <v>21.25</v>
      </c>
      <c r="P17" s="69" t="n">
        <f aca="false">+O17/O$8</f>
        <v>0.0175185490519373</v>
      </c>
      <c r="Q17" s="46"/>
      <c r="R17" s="68" t="n">
        <f aca="false">S17*R$11</f>
        <v>0</v>
      </c>
      <c r="S17" s="68" t="n">
        <f aca="false">(125*R7*R11*0.33)/12</f>
        <v>0</v>
      </c>
      <c r="T17" s="69" t="e">
        <f aca="false">+S17/R$8</f>
        <v>#REF!</v>
      </c>
      <c r="U17" s="46"/>
      <c r="V17" s="46" t="n">
        <f aca="false">N17+J17</f>
        <v>2462.22222222222</v>
      </c>
      <c r="W17" s="68" t="n">
        <f aca="false">+V17/V$11</f>
        <v>18.3747927031509</v>
      </c>
      <c r="X17" s="70" t="n">
        <f aca="false">+V17/V$8</f>
        <v>0.016618558340064</v>
      </c>
      <c r="Y17" s="50"/>
      <c r="Z17" s="50"/>
      <c r="AA17" s="46" t="n">
        <f aca="false">12*V17</f>
        <v>29546.6666666667</v>
      </c>
      <c r="AB17" s="46" t="n">
        <f aca="false">+AA17/TUnits</f>
        <v>220.497512437811</v>
      </c>
      <c r="AC17" s="61" t="n">
        <f aca="false">+V17/V$19</f>
        <v>0.014383779347882</v>
      </c>
    </row>
    <row r="18" customFormat="false" ht="12.75" hidden="false" customHeight="false" outlineLevel="0" collapsed="false">
      <c r="B18" s="73" t="s">
        <v>73</v>
      </c>
      <c r="C18" s="46" t="n">
        <v>300</v>
      </c>
      <c r="D18" s="46"/>
      <c r="E18" s="46"/>
      <c r="F18" s="68" t="n">
        <f aca="false">G18*F$11</f>
        <v>0</v>
      </c>
      <c r="G18" s="46" t="n">
        <v>0</v>
      </c>
      <c r="H18" s="69" t="n">
        <f aca="false">+G18/F$8</f>
        <v>0</v>
      </c>
      <c r="I18" s="46"/>
      <c r="J18" s="68" t="n">
        <f aca="false">K18*K$11</f>
        <v>164.661654135338</v>
      </c>
      <c r="K18" s="74" t="n">
        <f aca="false">$C18/SM134Units</f>
        <v>2.25563909774436</v>
      </c>
      <c r="L18" s="75" t="n">
        <f aca="false">+K18/K$8</f>
        <v>0.00222011722218933</v>
      </c>
      <c r="M18" s="46"/>
      <c r="N18" s="68" t="n">
        <f aca="false">O18*O$11</f>
        <v>137.593984962406</v>
      </c>
      <c r="O18" s="74" t="n">
        <f aca="false">$C18/SM134Units</f>
        <v>2.25563909774436</v>
      </c>
      <c r="P18" s="75" t="n">
        <f aca="false">+O18/O$8</f>
        <v>0.00185955407893187</v>
      </c>
      <c r="Q18" s="46"/>
      <c r="R18" s="68" t="n">
        <f aca="false">S18*R$11</f>
        <v>0</v>
      </c>
      <c r="S18" s="46" t="n">
        <v>0</v>
      </c>
      <c r="T18" s="69" t="e">
        <f aca="false">+S18/R$8</f>
        <v>#REF!</v>
      </c>
      <c r="U18" s="46"/>
      <c r="V18" s="74" t="n">
        <f aca="false">N18+J18</f>
        <v>302.255639097744</v>
      </c>
      <c r="W18" s="76" t="n">
        <f aca="false">+V18/V$11</f>
        <v>2.25563909774436</v>
      </c>
      <c r="X18" s="77" t="n">
        <f aca="false">+V18/V$8</f>
        <v>0.00204004858969462</v>
      </c>
      <c r="Y18" s="50"/>
      <c r="Z18" s="50"/>
      <c r="AA18" s="74" t="n">
        <f aca="false">12*V18</f>
        <v>3627.06766917293</v>
      </c>
      <c r="AB18" s="74" t="n">
        <f aca="false">+AA18/TUnits</f>
        <v>27.0676691729323</v>
      </c>
      <c r="AC18" s="78" t="n">
        <f aca="false">+V18/V$19</f>
        <v>0.00176571325699075</v>
      </c>
    </row>
    <row r="19" customFormat="false" ht="12.75" hidden="false" customHeight="false" outlineLevel="0" collapsed="false">
      <c r="B19" s="62" t="s">
        <v>74</v>
      </c>
      <c r="C19" s="46"/>
      <c r="D19" s="46"/>
      <c r="E19" s="46"/>
      <c r="F19" s="65" t="n">
        <f aca="false">F$11*G19</f>
        <v>0</v>
      </c>
      <c r="G19" s="65" t="n">
        <f aca="false">SUM(G14:G18)</f>
        <v>625</v>
      </c>
      <c r="H19" s="63" t="n">
        <f aca="false">+G19/F$8</f>
        <v>1.25</v>
      </c>
      <c r="I19" s="46"/>
      <c r="J19" s="65" t="n">
        <f aca="false">SUM(J14:J18)</f>
        <v>81083.1338763576</v>
      </c>
      <c r="K19" s="65" t="n">
        <f aca="false">SUM(K14:K18)</f>
        <v>1110.72786131997</v>
      </c>
      <c r="L19" s="63" t="n">
        <f aca="false">+K19/K$8</f>
        <v>1.09323608397634</v>
      </c>
      <c r="M19" s="46"/>
      <c r="N19" s="65" t="n">
        <f aca="false">SUM(N14:N18)</f>
        <v>90097.3439849624</v>
      </c>
      <c r="O19" s="65" t="n">
        <f aca="false">SUM(O14:O18)</f>
        <v>1477.00563909774</v>
      </c>
      <c r="P19" s="63" t="n">
        <f aca="false">+O19/O$8</f>
        <v>1.21764685828338</v>
      </c>
      <c r="Q19" s="46"/>
      <c r="R19" s="65" t="n">
        <f aca="false">R$11*S19</f>
        <v>0</v>
      </c>
      <c r="S19" s="65" t="n">
        <f aca="false">SUM(S14:S18)</f>
        <v>1700</v>
      </c>
      <c r="T19" s="63" t="e">
        <f aca="false">+S19/R$8</f>
        <v>#REF!</v>
      </c>
      <c r="U19" s="46"/>
      <c r="V19" s="65" t="n">
        <f aca="false">SUM(V14:V18)</f>
        <v>171180.47786132</v>
      </c>
      <c r="W19" s="64" t="n">
        <f aca="false">+V19/V$11</f>
        <v>1277.46625269642</v>
      </c>
      <c r="X19" s="67" t="n">
        <f aca="false">+V19/V$8</f>
        <v>1.15536799739014</v>
      </c>
      <c r="Y19" s="50"/>
      <c r="Z19" s="50"/>
      <c r="AA19" s="65" t="n">
        <f aca="false">SUM(AA14:AA18)</f>
        <v>2054165.73433584</v>
      </c>
      <c r="AB19" s="65" t="n">
        <f aca="false">+AA19/TUnits</f>
        <v>15329.595032357</v>
      </c>
      <c r="AC19" s="61" t="n">
        <f aca="false">+V19/V$19</f>
        <v>1</v>
      </c>
    </row>
    <row r="20" customFormat="false" ht="12.75" hidden="false" customHeight="false" outlineLevel="0" collapsed="false">
      <c r="B20" s="62"/>
      <c r="C20" s="62"/>
      <c r="D20" s="62"/>
      <c r="E20" s="62"/>
      <c r="F20" s="62"/>
      <c r="G20" s="62"/>
      <c r="H20" s="62"/>
      <c r="I20" s="46"/>
      <c r="J20" s="62"/>
      <c r="K20" s="62"/>
      <c r="L20" s="62"/>
      <c r="M20" s="46"/>
      <c r="N20" s="62"/>
      <c r="O20" s="62"/>
      <c r="P20" s="62"/>
      <c r="Q20" s="46"/>
      <c r="R20" s="62"/>
      <c r="S20" s="62"/>
      <c r="T20" s="62"/>
      <c r="U20" s="62"/>
      <c r="V20" s="62"/>
      <c r="W20" s="62"/>
      <c r="X20" s="48"/>
      <c r="Y20" s="50"/>
      <c r="Z20" s="50"/>
      <c r="AA20" s="62"/>
      <c r="AB20" s="62" t="n">
        <f aca="false">+AA20/TUnits</f>
        <v>0</v>
      </c>
      <c r="AC20" s="54"/>
    </row>
    <row r="21" customFormat="false" ht="12.75" hidden="false" customHeight="false" outlineLevel="0" collapsed="false">
      <c r="B21" s="62" t="s">
        <v>75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50"/>
      <c r="Z21" s="50"/>
      <c r="AA21" s="46"/>
      <c r="AB21" s="46" t="n">
        <f aca="false">+AA21/TUnits</f>
        <v>0</v>
      </c>
      <c r="AC21" s="46"/>
    </row>
    <row r="22" customFormat="false" ht="12.75" hidden="false" customHeight="false" outlineLevel="0" collapsed="false">
      <c r="B22" s="66" t="s">
        <v>76</v>
      </c>
      <c r="C22" s="46" t="n">
        <v>0.05</v>
      </c>
      <c r="D22" s="46"/>
      <c r="E22" s="79"/>
      <c r="F22" s="79"/>
      <c r="G22" s="79"/>
      <c r="H22" s="79"/>
      <c r="I22" s="46"/>
      <c r="J22" s="64" t="n">
        <f aca="false">K$11*K22</f>
        <v>4197.5</v>
      </c>
      <c r="K22" s="65" t="n">
        <f aca="false">$C22*K$15</f>
        <v>57.5</v>
      </c>
      <c r="L22" s="67" t="n">
        <f aca="false">+K22/K$8</f>
        <v>0.0565944881889764</v>
      </c>
      <c r="M22" s="46"/>
      <c r="N22" s="65" t="n">
        <f aca="false">O$11*O22</f>
        <v>4666.5</v>
      </c>
      <c r="O22" s="65" t="n">
        <f aca="false">$C22*O$15</f>
        <v>76.5</v>
      </c>
      <c r="P22" s="67" t="n">
        <f aca="false">+O22/O$8</f>
        <v>0.0630667765869745</v>
      </c>
      <c r="Q22" s="46"/>
      <c r="R22" s="79"/>
      <c r="S22" s="79"/>
      <c r="T22" s="79"/>
      <c r="U22" s="79"/>
      <c r="V22" s="65" t="n">
        <f aca="false">+N22+J22</f>
        <v>8864</v>
      </c>
      <c r="W22" s="65" t="n">
        <f aca="false">+V22/V$11</f>
        <v>66.1492537313433</v>
      </c>
      <c r="X22" s="80" t="n">
        <f aca="false">+V22/V$8</f>
        <v>0.0598268100242304</v>
      </c>
      <c r="Y22" s="50"/>
      <c r="Z22" s="50"/>
      <c r="AA22" s="65" t="n">
        <f aca="false">V22*12</f>
        <v>106368</v>
      </c>
      <c r="AB22" s="65" t="n">
        <f aca="false">+AA22/TUnits</f>
        <v>793.791044776119</v>
      </c>
      <c r="AC22" s="61" t="n">
        <f aca="false">+V22/V$19</f>
        <v>0.0517816056523751</v>
      </c>
    </row>
    <row r="23" customFormat="false" ht="12.75" hidden="false" customHeight="false" outlineLevel="0" collapsed="false">
      <c r="B23" s="66" t="s">
        <v>77</v>
      </c>
      <c r="C23" s="46" t="s">
        <v>78</v>
      </c>
      <c r="D23" s="46"/>
      <c r="E23" s="67"/>
      <c r="F23" s="67"/>
      <c r="G23" s="67"/>
      <c r="H23" s="67"/>
      <c r="I23" s="46"/>
      <c r="J23" s="48" t="n">
        <f aca="false">K$11*K23</f>
        <v>1520.83333333333</v>
      </c>
      <c r="K23" s="46" t="n">
        <f aca="false">250/12</f>
        <v>20.8333333333333</v>
      </c>
      <c r="L23" s="70" t="n">
        <f aca="false">+K23/K$8</f>
        <v>0.020505249343832</v>
      </c>
      <c r="M23" s="46"/>
      <c r="N23" s="48" t="n">
        <f aca="false">O$11*O23</f>
        <v>1270.83333333333</v>
      </c>
      <c r="O23" s="46" t="n">
        <f aca="false">250/12</f>
        <v>20.8333333333333</v>
      </c>
      <c r="P23" s="70" t="n">
        <f aca="false">+O23/O$8</f>
        <v>0.0171750480901347</v>
      </c>
      <c r="Q23" s="46"/>
      <c r="R23" s="67"/>
      <c r="S23" s="67"/>
      <c r="T23" s="67"/>
      <c r="U23" s="67"/>
      <c r="V23" s="68" t="n">
        <f aca="false">+R23+N23+J23+F23</f>
        <v>2791.66666666667</v>
      </c>
      <c r="W23" s="48" t="n">
        <f aca="false">+V23/V$11</f>
        <v>20.8333333333333</v>
      </c>
      <c r="X23" s="81" t="n">
        <f aca="false">+V23/V$8</f>
        <v>0.018842115446485</v>
      </c>
      <c r="Y23" s="50"/>
      <c r="Z23" s="50"/>
      <c r="AA23" s="46" t="n">
        <f aca="false">12*V23</f>
        <v>33500</v>
      </c>
      <c r="AB23" s="46" t="n">
        <f aca="false">+AA23/TUnits</f>
        <v>250</v>
      </c>
      <c r="AC23" s="61" t="n">
        <f aca="false">+V23/V$19</f>
        <v>0.0163083238319285</v>
      </c>
    </row>
    <row r="24" customFormat="false" ht="12.75" hidden="false" customHeight="false" outlineLevel="0" collapsed="false">
      <c r="B24" s="66" t="s">
        <v>79</v>
      </c>
      <c r="C24" s="48" t="n">
        <f aca="false">4800*10.3+2000*8</f>
        <v>65440</v>
      </c>
      <c r="D24" s="46"/>
      <c r="E24" s="67"/>
      <c r="F24" s="67"/>
      <c r="G24" s="67"/>
      <c r="H24" s="67"/>
      <c r="I24" s="46"/>
      <c r="J24" s="48" t="n">
        <f aca="false">K$11*K24</f>
        <v>2970.84577114428</v>
      </c>
      <c r="K24" s="48" t="n">
        <f aca="false">$C24/12/134</f>
        <v>40.6965174129353</v>
      </c>
      <c r="L24" s="70" t="n">
        <f aca="false">+K24/K$8</f>
        <v>0.0400556273749363</v>
      </c>
      <c r="M24" s="46"/>
      <c r="N24" s="48" t="n">
        <f aca="false">O$11*O24</f>
        <v>2482.48756218905</v>
      </c>
      <c r="O24" s="48" t="n">
        <f aca="false">$C24/12/134</f>
        <v>40.6965174129353</v>
      </c>
      <c r="P24" s="70" t="n">
        <f aca="false">+O24/O$8</f>
        <v>0.033550302896072</v>
      </c>
      <c r="Q24" s="46"/>
      <c r="R24" s="67"/>
      <c r="S24" s="67"/>
      <c r="T24" s="67"/>
      <c r="U24" s="67"/>
      <c r="V24" s="68" t="n">
        <f aca="false">+R24+N24+J24+F24</f>
        <v>5453.33333333333</v>
      </c>
      <c r="W24" s="48" t="n">
        <f aca="false">+V24/V$11</f>
        <v>40.6965174129353</v>
      </c>
      <c r="X24" s="81" t="n">
        <f aca="false">+V24/V$8</f>
        <v>0.0368068070094919</v>
      </c>
      <c r="Y24" s="50"/>
      <c r="Z24" s="50"/>
      <c r="AA24" s="46" t="n">
        <f aca="false">12*V24</f>
        <v>65440</v>
      </c>
      <c r="AB24" s="46" t="n">
        <f aca="false">+AA24/TUnits</f>
        <v>488.358208955224</v>
      </c>
      <c r="AC24" s="61" t="n">
        <f aca="false">+V24/V$19</f>
        <v>0.0318572152704895</v>
      </c>
    </row>
    <row r="25" customFormat="false" ht="12.75" hidden="false" customHeight="false" outlineLevel="0" collapsed="false">
      <c r="B25" s="66" t="s">
        <v>80</v>
      </c>
      <c r="C25" s="46" t="s">
        <v>81</v>
      </c>
      <c r="D25" s="46"/>
      <c r="E25" s="70"/>
      <c r="F25" s="48"/>
      <c r="G25" s="70"/>
      <c r="H25" s="70"/>
      <c r="I25" s="46"/>
      <c r="J25" s="48" t="n">
        <f aca="false">K$11*K25</f>
        <v>1645.10714285714</v>
      </c>
      <c r="K25" s="48" t="n">
        <f aca="false">351/28+10</f>
        <v>22.5357142857143</v>
      </c>
      <c r="L25" s="70" t="n">
        <f aca="false">+K25/K$8</f>
        <v>0.0221808211473566</v>
      </c>
      <c r="M25" s="46"/>
      <c r="N25" s="48" t="n">
        <f aca="false">O$11*O25</f>
        <v>1374.67857142857</v>
      </c>
      <c r="O25" s="48" t="n">
        <f aca="false">351/28+10</f>
        <v>22.5357142857143</v>
      </c>
      <c r="P25" s="70" t="n">
        <f aca="false">+O25/O$8</f>
        <v>0.0185784948769285</v>
      </c>
      <c r="Q25" s="46"/>
      <c r="R25" s="48"/>
      <c r="S25" s="70"/>
      <c r="T25" s="70"/>
      <c r="U25" s="70"/>
      <c r="V25" s="68" t="n">
        <f aca="false">+R25+N25+J25+F25</f>
        <v>3019.78571428571</v>
      </c>
      <c r="W25" s="48" t="n">
        <f aca="false">+V25/V$11</f>
        <v>22.5357142857143</v>
      </c>
      <c r="X25" s="81" t="n">
        <f aca="false">+V25/V$8</f>
        <v>0.0203817854515406</v>
      </c>
      <c r="Y25" s="50"/>
      <c r="Z25" s="50"/>
      <c r="AA25" s="46" t="n">
        <f aca="false">12*V25</f>
        <v>36237.4285714286</v>
      </c>
      <c r="AB25" s="46" t="n">
        <f aca="false">+AA25/TUnits</f>
        <v>270.428571428571</v>
      </c>
      <c r="AC25" s="61" t="n">
        <f aca="false">+V25/V$19</f>
        <v>0.0176409468650518</v>
      </c>
    </row>
    <row r="26" customFormat="false" ht="12.75" hidden="false" customHeight="false" outlineLevel="0" collapsed="false">
      <c r="B26" s="46" t="s">
        <v>82</v>
      </c>
      <c r="C26" s="46" t="n">
        <f aca="false">(598*2*0.1)+150+250</f>
        <v>519.6</v>
      </c>
      <c r="D26" s="46"/>
      <c r="E26" s="70"/>
      <c r="F26" s="48"/>
      <c r="G26" s="70"/>
      <c r="H26" s="70"/>
      <c r="I26" s="46"/>
      <c r="J26" s="48" t="n">
        <f aca="false">K$11*K26</f>
        <v>283.065671641791</v>
      </c>
      <c r="K26" s="48" t="n">
        <f aca="false">$C26/134</f>
        <v>3.87761194029851</v>
      </c>
      <c r="L26" s="70" t="n">
        <f aca="false">+K26/K$8</f>
        <v>0.00381654718533318</v>
      </c>
      <c r="M26" s="46"/>
      <c r="N26" s="48" t="n">
        <f aca="false">O$11*O26</f>
        <v>236.534328358209</v>
      </c>
      <c r="O26" s="48" t="n">
        <f aca="false">$C26/134</f>
        <v>3.87761194029851</v>
      </c>
      <c r="P26" s="70" t="n">
        <f aca="false">+O26/O$8</f>
        <v>0.00319671223437635</v>
      </c>
      <c r="Q26" s="46"/>
      <c r="R26" s="48"/>
      <c r="S26" s="70"/>
      <c r="T26" s="70"/>
      <c r="U26" s="70"/>
      <c r="V26" s="68" t="n">
        <f aca="false">+R26+N26+J26+F26</f>
        <v>519.6</v>
      </c>
      <c r="W26" s="48" t="n">
        <f aca="false">+V26/V$11</f>
        <v>3.87761194029851</v>
      </c>
      <c r="X26" s="81" t="n">
        <f aca="false">+V26/V$8</f>
        <v>0.00350699576811712</v>
      </c>
      <c r="Y26" s="50"/>
      <c r="Z26" s="50"/>
      <c r="AA26" s="46" t="n">
        <f aca="false">12*V26</f>
        <v>6235.2</v>
      </c>
      <c r="AB26" s="46" t="n">
        <f aca="false">+AA26/TUnits</f>
        <v>46.5313432835821</v>
      </c>
      <c r="AC26" s="61" t="n">
        <f aca="false">+V26/V$19</f>
        <v>0.00303539285841314</v>
      </c>
    </row>
    <row r="27" customFormat="false" ht="12.75" hidden="false" customHeight="false" outlineLevel="0" collapsed="false">
      <c r="B27" s="46" t="s">
        <v>83</v>
      </c>
      <c r="C27" s="46" t="s">
        <v>84</v>
      </c>
      <c r="D27" s="46"/>
      <c r="E27" s="70"/>
      <c r="F27" s="48"/>
      <c r="G27" s="70"/>
      <c r="H27" s="70"/>
      <c r="I27" s="46"/>
      <c r="J27" s="48" t="n">
        <f aca="false">K$11*K27</f>
        <v>13.6194029850746</v>
      </c>
      <c r="K27" s="70" t="n">
        <f aca="false">25/$V$11</f>
        <v>0.186567164179105</v>
      </c>
      <c r="L27" s="70" t="n">
        <f aca="false">+K27/K$8</f>
        <v>0.000183629098601481</v>
      </c>
      <c r="M27" s="46"/>
      <c r="N27" s="48" t="n">
        <f aca="false">O$11*O27</f>
        <v>11.3805970149254</v>
      </c>
      <c r="O27" s="70" t="n">
        <f aca="false">25/$V$11</f>
        <v>0.186567164179105</v>
      </c>
      <c r="P27" s="70" t="n">
        <f aca="false">+O27/O$8</f>
        <v>0.000153806400807176</v>
      </c>
      <c r="Q27" s="46"/>
      <c r="R27" s="48"/>
      <c r="S27" s="70"/>
      <c r="T27" s="70"/>
      <c r="U27" s="70"/>
      <c r="V27" s="68" t="n">
        <f aca="false">+R27+N27+J27+F27</f>
        <v>25</v>
      </c>
      <c r="W27" s="71" t="n">
        <f aca="false">+V27/V$11</f>
        <v>0.186567164179105</v>
      </c>
      <c r="X27" s="81" t="n">
        <f aca="false">+V27/V$8</f>
        <v>0.000168735362207329</v>
      </c>
      <c r="Y27" s="50"/>
      <c r="Z27" s="50"/>
      <c r="AA27" s="46" t="n">
        <f aca="false">12*V27</f>
        <v>300</v>
      </c>
      <c r="AB27" s="46" t="n">
        <f aca="false">+AA27/TUnits</f>
        <v>2.23880597014925</v>
      </c>
      <c r="AC27" s="61" t="n">
        <f aca="false">+V27/V$19</f>
        <v>0.000146044691032195</v>
      </c>
    </row>
    <row r="28" customFormat="false" ht="12.75" hidden="false" customHeight="false" outlineLevel="0" collapsed="false">
      <c r="B28" s="66" t="s">
        <v>85</v>
      </c>
      <c r="C28" s="46"/>
      <c r="D28" s="46"/>
      <c r="E28" s="70"/>
      <c r="F28" s="48"/>
      <c r="G28" s="70"/>
      <c r="H28" s="70"/>
      <c r="I28" s="46"/>
      <c r="J28" s="48" t="n">
        <f aca="false">K$11*K28</f>
        <v>9567.672</v>
      </c>
      <c r="K28" s="48" t="n">
        <f aca="false">0.129*K8</f>
        <v>131.064</v>
      </c>
      <c r="L28" s="70" t="n">
        <f aca="false">+K28/K$8</f>
        <v>0.129</v>
      </c>
      <c r="M28" s="46"/>
      <c r="N28" s="48" t="n">
        <f aca="false">O$11*O28</f>
        <v>9545.097</v>
      </c>
      <c r="O28" s="48" t="n">
        <f aca="false">0.129*O8</f>
        <v>156.477</v>
      </c>
      <c r="P28" s="70" t="n">
        <f aca="false">+O28/O$8</f>
        <v>0.129</v>
      </c>
      <c r="Q28" s="46"/>
      <c r="R28" s="48"/>
      <c r="S28" s="70"/>
      <c r="T28" s="70"/>
      <c r="U28" s="70"/>
      <c r="V28" s="68" t="n">
        <f aca="false">+R28+N28+J28+F28</f>
        <v>19112.769</v>
      </c>
      <c r="W28" s="48" t="n">
        <f aca="false">+V28/V$11</f>
        <v>142.632604477612</v>
      </c>
      <c r="X28" s="81" t="n">
        <f aca="false">+V28/V$8</f>
        <v>0.129</v>
      </c>
      <c r="Y28" s="50"/>
      <c r="Z28" s="50"/>
      <c r="AA28" s="46" t="n">
        <f aca="false">12*V28</f>
        <v>229353.228</v>
      </c>
      <c r="AB28" s="46" t="n">
        <f aca="false">+AA28/TUnits</f>
        <v>1711.59125373134</v>
      </c>
      <c r="AC28" s="61" t="n">
        <f aca="false">+V28/V$19</f>
        <v>0.111652737734989</v>
      </c>
    </row>
    <row r="29" customFormat="false" ht="12.75" hidden="false" customHeight="false" outlineLevel="0" collapsed="false">
      <c r="B29" s="66" t="s">
        <v>86</v>
      </c>
      <c r="C29" s="46"/>
      <c r="D29" s="46"/>
      <c r="E29" s="70"/>
      <c r="F29" s="48"/>
      <c r="G29" s="70"/>
      <c r="H29" s="70"/>
      <c r="I29" s="46"/>
      <c r="J29" s="48" t="n">
        <f aca="false">K$11*K29</f>
        <v>1390.65</v>
      </c>
      <c r="K29" s="48" t="n">
        <f aca="false">(75*K$8*0.003)/12</f>
        <v>19.05</v>
      </c>
      <c r="L29" s="70" t="n">
        <f aca="false">+K29/K$8</f>
        <v>0.01875</v>
      </c>
      <c r="M29" s="46"/>
      <c r="N29" s="48" t="n">
        <f aca="false">O$11*O29</f>
        <v>1387.36875</v>
      </c>
      <c r="O29" s="70" t="n">
        <f aca="false">(75*O$8*0.003)/12</f>
        <v>22.74375</v>
      </c>
      <c r="P29" s="70" t="n">
        <f aca="false">+O29/O$8</f>
        <v>0.01875</v>
      </c>
      <c r="Q29" s="46"/>
      <c r="R29" s="48"/>
      <c r="S29" s="70"/>
      <c r="T29" s="70"/>
      <c r="U29" s="70"/>
      <c r="V29" s="68" t="n">
        <f aca="false">+R29+N29+J29+F29</f>
        <v>2778.01875</v>
      </c>
      <c r="W29" s="48" t="n">
        <f aca="false">+V29/V$11</f>
        <v>20.7314832089552</v>
      </c>
      <c r="X29" s="81" t="n">
        <f aca="false">+V29/V$8</f>
        <v>0.01875</v>
      </c>
      <c r="Y29" s="50"/>
      <c r="Z29" s="50"/>
      <c r="AA29" s="46" t="n">
        <f aca="false">12*V29</f>
        <v>33336.225</v>
      </c>
      <c r="AB29" s="46" t="n">
        <f aca="false">+AA29/TUnits</f>
        <v>248.777798507463</v>
      </c>
      <c r="AC29" s="61" t="n">
        <f aca="false">+V29/V$19</f>
        <v>0.0162285956010158</v>
      </c>
    </row>
    <row r="30" customFormat="false" ht="12.75" hidden="false" customHeight="false" outlineLevel="0" collapsed="false">
      <c r="B30" s="66" t="s">
        <v>87</v>
      </c>
      <c r="C30" s="46"/>
      <c r="D30" s="46"/>
      <c r="E30" s="70"/>
      <c r="F30" s="48"/>
      <c r="G30" s="70"/>
      <c r="H30" s="70"/>
      <c r="I30" s="46"/>
      <c r="J30" s="48" t="n">
        <f aca="false">K$11*K30</f>
        <v>304.166666666667</v>
      </c>
      <c r="K30" s="70" t="n">
        <f aca="false">50/12</f>
        <v>4.16666666666667</v>
      </c>
      <c r="L30" s="70" t="n">
        <f aca="false">+K30/K$8</f>
        <v>0.0041010498687664</v>
      </c>
      <c r="M30" s="46"/>
      <c r="N30" s="48" t="n">
        <f aca="false">O$11*O30</f>
        <v>254.166666666667</v>
      </c>
      <c r="O30" s="70" t="n">
        <f aca="false">50/12</f>
        <v>4.16666666666667</v>
      </c>
      <c r="P30" s="70" t="n">
        <f aca="false">+O30/O$8</f>
        <v>0.00343500961802693</v>
      </c>
      <c r="Q30" s="46"/>
      <c r="R30" s="48"/>
      <c r="S30" s="70"/>
      <c r="T30" s="70"/>
      <c r="U30" s="70"/>
      <c r="V30" s="68" t="n">
        <f aca="false">+R30+N30+J30+F30</f>
        <v>558.333333333333</v>
      </c>
      <c r="W30" s="48" t="n">
        <f aca="false">+V30/V$11</f>
        <v>4.16666666666667</v>
      </c>
      <c r="X30" s="81" t="n">
        <f aca="false">+V30/V$8</f>
        <v>0.003768423089297</v>
      </c>
      <c r="Y30" s="50"/>
      <c r="Z30" s="50"/>
      <c r="AA30" s="46" t="n">
        <f aca="false">12*V30</f>
        <v>6700</v>
      </c>
      <c r="AB30" s="46" t="n">
        <f aca="false">+AA30/TUnits</f>
        <v>50</v>
      </c>
      <c r="AC30" s="61" t="n">
        <f aca="false">+V30/V$19</f>
        <v>0.00326166476638569</v>
      </c>
    </row>
    <row r="31" customFormat="false" ht="12.75" hidden="false" customHeight="false" outlineLevel="0" collapsed="false">
      <c r="B31" s="66" t="s">
        <v>88</v>
      </c>
      <c r="C31" s="46"/>
      <c r="D31" s="46"/>
      <c r="E31" s="70"/>
      <c r="F31" s="48"/>
      <c r="G31" s="70"/>
      <c r="H31" s="70"/>
      <c r="I31" s="46"/>
      <c r="J31" s="48" t="n">
        <f aca="false">K$11*K31</f>
        <v>68.0970149253731</v>
      </c>
      <c r="K31" s="70" t="n">
        <f aca="false">1500/12/$V$11</f>
        <v>0.932835820895522</v>
      </c>
      <c r="L31" s="70" t="n">
        <f aca="false">+K31/K$8</f>
        <v>0.000918145493007404</v>
      </c>
      <c r="M31" s="46"/>
      <c r="N31" s="48" t="n">
        <f aca="false">O$11*O31</f>
        <v>56.9029850746269</v>
      </c>
      <c r="O31" s="70" t="n">
        <f aca="false">1500/12/$V$11</f>
        <v>0.932835820895522</v>
      </c>
      <c r="P31" s="70" t="n">
        <f aca="false">+O31/O$8</f>
        <v>0.00076903200403588</v>
      </c>
      <c r="Q31" s="46"/>
      <c r="R31" s="48"/>
      <c r="S31" s="70"/>
      <c r="T31" s="70"/>
      <c r="U31" s="70"/>
      <c r="V31" s="68" t="n">
        <f aca="false">+R31+N31+J31+F31</f>
        <v>125</v>
      </c>
      <c r="W31" s="48" t="n">
        <f aca="false">+V31/V$11</f>
        <v>0.932835820895522</v>
      </c>
      <c r="X31" s="81" t="n">
        <f aca="false">+V31/V$8</f>
        <v>0.000843676811036643</v>
      </c>
      <c r="Y31" s="50"/>
      <c r="Z31" s="50"/>
      <c r="AA31" s="46" t="n">
        <f aca="false">12*V31</f>
        <v>1500</v>
      </c>
      <c r="AB31" s="46" t="n">
        <f aca="false">+AA31/TUnits</f>
        <v>11.1940298507463</v>
      </c>
      <c r="AC31" s="61" t="n">
        <f aca="false">+V31/V$19</f>
        <v>0.000730223455160976</v>
      </c>
    </row>
    <row r="32" customFormat="false" ht="12.75" hidden="false" customHeight="false" outlineLevel="0" collapsed="false">
      <c r="B32" s="73" t="s">
        <v>89</v>
      </c>
      <c r="C32" s="46"/>
      <c r="D32" s="46"/>
      <c r="E32" s="70"/>
      <c r="F32" s="48"/>
      <c r="G32" s="70"/>
      <c r="H32" s="70"/>
      <c r="I32" s="46"/>
      <c r="J32" s="48" t="n">
        <f aca="false">K$11*K32</f>
        <v>723.916666666667</v>
      </c>
      <c r="K32" s="77" t="n">
        <f aca="false">833/3/28</f>
        <v>9.91666666666667</v>
      </c>
      <c r="L32" s="77" t="n">
        <f aca="false">+K32/K$8</f>
        <v>0.00976049868766404</v>
      </c>
      <c r="M32" s="46"/>
      <c r="N32" s="48" t="n">
        <f aca="false">O$11*O32</f>
        <v>604.916666666667</v>
      </c>
      <c r="O32" s="77" t="n">
        <f aca="false">833/3/28</f>
        <v>9.91666666666667</v>
      </c>
      <c r="P32" s="77" t="n">
        <f aca="false">+O32/O$8</f>
        <v>0.0081753228909041</v>
      </c>
      <c r="Q32" s="46"/>
      <c r="R32" s="48"/>
      <c r="S32" s="70"/>
      <c r="T32" s="70"/>
      <c r="U32" s="70"/>
      <c r="V32" s="76" t="n">
        <f aca="false">+R32+N32+J32+F32</f>
        <v>1328.83333333333</v>
      </c>
      <c r="W32" s="82" t="n">
        <f aca="false">+V32/V$11</f>
        <v>9.91666666666667</v>
      </c>
      <c r="X32" s="83" t="n">
        <f aca="false">+V32/V$8</f>
        <v>0.00896884695252687</v>
      </c>
      <c r="Y32" s="50"/>
      <c r="Z32" s="50"/>
      <c r="AA32" s="74" t="n">
        <f aca="false">12*V32</f>
        <v>15946</v>
      </c>
      <c r="AB32" s="74" t="n">
        <f aca="false">+AA32/TUnits</f>
        <v>119</v>
      </c>
      <c r="AC32" s="78" t="n">
        <f aca="false">+V32/V$19</f>
        <v>0.00776276214399795</v>
      </c>
    </row>
    <row r="33" customFormat="false" ht="12.75" hidden="false" customHeight="false" outlineLevel="0" collapsed="false">
      <c r="B33" s="62" t="s">
        <v>90</v>
      </c>
      <c r="C33" s="46"/>
      <c r="D33" s="46"/>
      <c r="E33" s="70"/>
      <c r="F33" s="48"/>
      <c r="G33" s="70"/>
      <c r="H33" s="70"/>
      <c r="I33" s="46"/>
      <c r="J33" s="65" t="n">
        <f aca="false">SUM(J22:J32)</f>
        <v>22685.4736702203</v>
      </c>
      <c r="K33" s="65" t="n">
        <f aca="false">SUM(K22:K32)</f>
        <v>310.759913290689</v>
      </c>
      <c r="L33" s="67" t="n">
        <f aca="false">K33/K$8</f>
        <v>0.305866056388474</v>
      </c>
      <c r="M33" s="46"/>
      <c r="N33" s="65" t="n">
        <f aca="false">SUM(N22:N32)</f>
        <v>21890.8664607321</v>
      </c>
      <c r="O33" s="65" t="n">
        <f aca="false">SUM(O22:O32)</f>
        <v>358.866663290689</v>
      </c>
      <c r="P33" s="67" t="n">
        <f aca="false">O33/O$8</f>
        <v>0.29585050559826</v>
      </c>
      <c r="Q33" s="46"/>
      <c r="R33" s="48"/>
      <c r="S33" s="70"/>
      <c r="T33" s="70"/>
      <c r="U33" s="70"/>
      <c r="V33" s="65" t="n">
        <f aca="false">SUM(V22:V32)</f>
        <v>44576.3401309524</v>
      </c>
      <c r="W33" s="65" t="n">
        <f aca="false">SUM(W22:W32)</f>
        <v>332.6592547086</v>
      </c>
      <c r="X33" s="84" t="n">
        <f aca="false">V33/V$8</f>
        <v>0.300864195914933</v>
      </c>
      <c r="Y33" s="50"/>
      <c r="Z33" s="50"/>
      <c r="AA33" s="65" t="n">
        <f aca="false">SUM(AA22:AA32)</f>
        <v>534916.081571429</v>
      </c>
      <c r="AB33" s="65" t="n">
        <f aca="false">+AA33/TUnits</f>
        <v>3991.9110565032</v>
      </c>
      <c r="AC33" s="61" t="n">
        <f aca="false">+V33/V$19</f>
        <v>0.260405512870839</v>
      </c>
    </row>
    <row r="34" customFormat="false" ht="12.75" hidden="false" customHeight="false" outlineLevel="0" collapsed="false">
      <c r="B34" s="62"/>
      <c r="C34" s="46"/>
      <c r="D34" s="46"/>
      <c r="E34" s="70"/>
      <c r="F34" s="48"/>
      <c r="G34" s="70"/>
      <c r="H34" s="70"/>
      <c r="I34" s="46"/>
      <c r="J34" s="65"/>
      <c r="K34" s="65"/>
      <c r="L34" s="67"/>
      <c r="M34" s="46"/>
      <c r="N34" s="65"/>
      <c r="O34" s="65"/>
      <c r="P34" s="67"/>
      <c r="Q34" s="46"/>
      <c r="R34" s="48"/>
      <c r="S34" s="70"/>
      <c r="T34" s="70"/>
      <c r="U34" s="70"/>
      <c r="V34" s="65"/>
      <c r="W34" s="65"/>
      <c r="X34" s="84"/>
      <c r="Y34" s="50"/>
      <c r="Z34" s="50"/>
      <c r="AA34" s="65"/>
      <c r="AB34" s="65"/>
      <c r="AC34" s="61"/>
    </row>
    <row r="35" customFormat="false" ht="12.75" hidden="false" customHeight="false" outlineLevel="0" collapsed="false">
      <c r="B35" s="85" t="s">
        <v>91</v>
      </c>
      <c r="C35" s="86"/>
      <c r="D35" s="86"/>
      <c r="E35" s="87"/>
      <c r="F35" s="88"/>
      <c r="G35" s="87"/>
      <c r="H35" s="87"/>
      <c r="I35" s="46"/>
      <c r="J35" s="86" t="n">
        <f aca="false">+J19-J33</f>
        <v>58397.6602061372</v>
      </c>
      <c r="K35" s="89" t="n">
        <f aca="false">+K19-K33</f>
        <v>799.967948029277</v>
      </c>
      <c r="L35" s="90" t="n">
        <f aca="false">+L19-L33</f>
        <v>0.787370027587871</v>
      </c>
      <c r="M35" s="46"/>
      <c r="N35" s="86" t="n">
        <f aca="false">+N19-N33</f>
        <v>68206.4775242304</v>
      </c>
      <c r="O35" s="89" t="n">
        <f aca="false">+O19-O33</f>
        <v>1118.13897580706</v>
      </c>
      <c r="P35" s="91" t="n">
        <f aca="false">+O35/O$8</f>
        <v>0.921796352685124</v>
      </c>
      <c r="Q35" s="46"/>
      <c r="R35" s="88"/>
      <c r="S35" s="87"/>
      <c r="T35" s="87"/>
      <c r="U35" s="87"/>
      <c r="V35" s="89" t="n">
        <f aca="false">+V19-V33</f>
        <v>126604.137730368</v>
      </c>
      <c r="W35" s="89" t="n">
        <f aca="false">+W19-W33</f>
        <v>944.806997987818</v>
      </c>
      <c r="X35" s="90" t="n">
        <f aca="false">V35/V$8</f>
        <v>0.854503801475203</v>
      </c>
      <c r="Y35" s="50"/>
      <c r="Z35" s="50"/>
      <c r="AA35" s="89" t="n">
        <f aca="false">+AA19-AA33</f>
        <v>1519249.65276441</v>
      </c>
      <c r="AB35" s="89" t="n">
        <f aca="false">+AA35/TUnits</f>
        <v>11337.6839758538</v>
      </c>
      <c r="AC35" s="92" t="n">
        <f aca="false">+V35/V$19</f>
        <v>0.739594487129161</v>
      </c>
    </row>
    <row r="36" customFormat="false" ht="12.75" hidden="false" customHeight="false" outlineLevel="0" collapsed="false">
      <c r="B36" s="62"/>
      <c r="C36" s="86"/>
      <c r="D36" s="86"/>
      <c r="E36" s="87"/>
      <c r="F36" s="88"/>
      <c r="G36" s="87"/>
      <c r="H36" s="87"/>
      <c r="I36" s="46"/>
      <c r="J36" s="86"/>
      <c r="K36" s="86"/>
      <c r="L36" s="93"/>
      <c r="M36" s="46"/>
      <c r="N36" s="86"/>
      <c r="O36" s="86"/>
      <c r="P36" s="94"/>
      <c r="Q36" s="46"/>
      <c r="R36" s="88"/>
      <c r="S36" s="87"/>
      <c r="T36" s="87"/>
      <c r="U36" s="87"/>
      <c r="V36" s="86"/>
      <c r="W36" s="86"/>
      <c r="X36" s="93"/>
      <c r="Y36" s="50"/>
      <c r="Z36" s="50"/>
      <c r="AA36" s="86"/>
      <c r="AB36" s="86"/>
      <c r="AC36" s="61"/>
    </row>
    <row r="37" customFormat="false" ht="12.75" hidden="false" customHeight="false" outlineLevel="0" collapsed="false">
      <c r="B37" s="46" t="s">
        <v>92</v>
      </c>
      <c r="C37" s="62"/>
      <c r="D37" s="62"/>
      <c r="E37" s="87"/>
      <c r="F37" s="88"/>
      <c r="G37" s="87"/>
      <c r="H37" s="87"/>
      <c r="I37" s="46"/>
      <c r="J37" s="48" t="n">
        <f aca="false">K$11*K37</f>
        <v>-2129.16666666667</v>
      </c>
      <c r="K37" s="70" t="n">
        <f aca="false">-350/12</f>
        <v>-29.1666666666667</v>
      </c>
      <c r="L37" s="70" t="n">
        <f aca="false">+K37/K$8</f>
        <v>-0.0287073490813648</v>
      </c>
      <c r="M37" s="46"/>
      <c r="N37" s="48" t="n">
        <f aca="false">O$11*O37</f>
        <v>-1779.16666666667</v>
      </c>
      <c r="O37" s="70" t="n">
        <f aca="false">-350/12</f>
        <v>-29.1666666666667</v>
      </c>
      <c r="P37" s="70" t="n">
        <f aca="false">+O37/O$8</f>
        <v>-0.0240450673261885</v>
      </c>
      <c r="Q37" s="46"/>
      <c r="R37" s="48"/>
      <c r="S37" s="70"/>
      <c r="T37" s="70"/>
      <c r="U37" s="70"/>
      <c r="V37" s="95" t="n">
        <f aca="false">+R37+N37+J37+F37</f>
        <v>-3908.33333333333</v>
      </c>
      <c r="W37" s="70" t="n">
        <f aca="false">+V37/V$11</f>
        <v>-29.1666666666667</v>
      </c>
      <c r="X37" s="96" t="n">
        <f aca="false">+V37/V$8</f>
        <v>-0.026378961625079</v>
      </c>
      <c r="Y37" s="50"/>
      <c r="Z37" s="50"/>
      <c r="AA37" s="46" t="n">
        <f aca="false">12*V37</f>
        <v>-46900</v>
      </c>
      <c r="AB37" s="46" t="n">
        <f aca="false">+AA37/TUnits</f>
        <v>-350</v>
      </c>
      <c r="AC37" s="61" t="n">
        <f aca="false">+-V37/V$19</f>
        <v>0.0228316533646999</v>
      </c>
    </row>
    <row r="38" customFormat="false" ht="24" hidden="false" customHeight="false" outlineLevel="0" collapsed="false">
      <c r="B38" s="97" t="s">
        <v>93</v>
      </c>
      <c r="C38" s="46" t="s">
        <v>94</v>
      </c>
      <c r="D38" s="98" t="n">
        <f aca="false">0.075/12</f>
        <v>0.00625</v>
      </c>
      <c r="E38" s="70"/>
      <c r="F38" s="48"/>
      <c r="G38" s="70"/>
      <c r="H38" s="70"/>
      <c r="I38" s="46"/>
      <c r="J38" s="48" t="n">
        <f aca="false">K$11*K38</f>
        <v>-41429.1414684952</v>
      </c>
      <c r="K38" s="48" t="n">
        <f aca="false">PMT(MortRate,300,K59)</f>
        <v>-567.522485869798</v>
      </c>
      <c r="L38" s="70" t="n">
        <f aca="false">+K38/K$8</f>
        <v>-0.558585123887596</v>
      </c>
      <c r="M38" s="46"/>
      <c r="N38" s="48" t="n">
        <f aca="false">O$11*O38</f>
        <v>-48387.8257526851</v>
      </c>
      <c r="O38" s="48" t="n">
        <f aca="false">PMT(MortRate,300,O59)</f>
        <v>-793.243045125984</v>
      </c>
      <c r="P38" s="70" t="n">
        <f aca="false">+O38/O$8</f>
        <v>-0.653951397465775</v>
      </c>
      <c r="Q38" s="46"/>
      <c r="R38" s="48"/>
      <c r="S38" s="70"/>
      <c r="T38" s="70"/>
      <c r="U38" s="70"/>
      <c r="V38" s="48" t="n">
        <f aca="false">N38+J38</f>
        <v>-89816.9672211803</v>
      </c>
      <c r="W38" s="48" t="n">
        <f aca="false">+V38/V$11</f>
        <v>-670.275874784927</v>
      </c>
      <c r="X38" s="96" t="n">
        <f aca="false">+V38/V$8</f>
        <v>-0.606211939857184</v>
      </c>
      <c r="Y38" s="50"/>
      <c r="Z38" s="50"/>
      <c r="AA38" s="46" t="n">
        <f aca="false">12*V38</f>
        <v>-1077803.60665416</v>
      </c>
      <c r="AB38" s="46" t="n">
        <f aca="false">+AA38/TUnits</f>
        <v>-8043.31049741913</v>
      </c>
      <c r="AC38" s="61" t="n">
        <f aca="false">-+V38/V$19</f>
        <v>0.524691649090643</v>
      </c>
    </row>
    <row r="39" customFormat="false" ht="12.75" hidden="false" customHeight="false" outlineLevel="0" collapsed="false">
      <c r="B39" s="85" t="s">
        <v>95</v>
      </c>
      <c r="C39" s="99"/>
      <c r="D39" s="62"/>
      <c r="E39" s="87"/>
      <c r="F39" s="88"/>
      <c r="G39" s="87"/>
      <c r="H39" s="87"/>
      <c r="I39" s="46"/>
      <c r="J39" s="100" t="n">
        <f aca="false">+J38+J35</f>
        <v>16968.518737642</v>
      </c>
      <c r="K39" s="101" t="n">
        <f aca="false">SUM(K35:K38)</f>
        <v>203.278795492813</v>
      </c>
      <c r="L39" s="102" t="n">
        <f aca="false">+L38+L35</f>
        <v>0.228784903700275</v>
      </c>
      <c r="M39" s="46"/>
      <c r="N39" s="100" t="n">
        <f aca="false">+N38+N35</f>
        <v>19818.6517715453</v>
      </c>
      <c r="O39" s="101" t="n">
        <f aca="false">SUM(O35:O38)</f>
        <v>295.729264014404</v>
      </c>
      <c r="P39" s="102" t="n">
        <f aca="false">+O39/O$8</f>
        <v>0.243799887893161</v>
      </c>
      <c r="Q39" s="46"/>
      <c r="R39" s="88"/>
      <c r="S39" s="87"/>
      <c r="T39" s="87"/>
      <c r="U39" s="87"/>
      <c r="V39" s="101" t="n">
        <f aca="false">+V38+V35</f>
        <v>36787.1705091873</v>
      </c>
      <c r="W39" s="101" t="n">
        <f aca="false">SUM(W35:W38)</f>
        <v>245.364456536224</v>
      </c>
      <c r="X39" s="91" t="n">
        <f aca="false">V39/V$8</f>
        <v>0.248291861618019</v>
      </c>
      <c r="Y39" s="50"/>
      <c r="Z39" s="50"/>
      <c r="AA39" s="101" t="n">
        <f aca="false">+AA38+AA35</f>
        <v>441446.046110248</v>
      </c>
      <c r="AB39" s="101" t="n">
        <f aca="false">+AA39/TUnits</f>
        <v>3294.37347843469</v>
      </c>
      <c r="AC39" s="92" t="n">
        <f aca="false">+V39/V$19</f>
        <v>0.214902838038518</v>
      </c>
    </row>
    <row r="40" customFormat="false" ht="12.75" hidden="false" customHeight="false" outlineLevel="0" collapsed="false">
      <c r="B40" s="62"/>
      <c r="C40" s="62"/>
      <c r="D40" s="62"/>
      <c r="E40" s="62"/>
      <c r="F40" s="62"/>
      <c r="G40" s="62"/>
      <c r="H40" s="62"/>
      <c r="I40" s="46"/>
      <c r="J40" s="62"/>
      <c r="K40" s="62"/>
      <c r="L40" s="62"/>
      <c r="M40" s="46"/>
      <c r="N40" s="62"/>
      <c r="O40" s="62"/>
      <c r="P40" s="62"/>
      <c r="Q40" s="46"/>
      <c r="R40" s="62"/>
      <c r="S40" s="62"/>
      <c r="T40" s="62"/>
      <c r="U40" s="62"/>
      <c r="V40" s="62" t="n">
        <f aca="false">V39*0.175</f>
        <v>6437.75483910778</v>
      </c>
      <c r="W40" s="62" t="n">
        <f aca="false">+V39*0.225</f>
        <v>8277.11336456714</v>
      </c>
      <c r="X40" s="62" t="n">
        <f aca="false">+V39*0.25</f>
        <v>9196.79262729683</v>
      </c>
      <c r="Y40" s="50"/>
      <c r="Z40" s="50"/>
      <c r="AA40" s="62"/>
      <c r="AB40" s="62"/>
      <c r="AC40" s="61"/>
    </row>
    <row r="41" customFormat="false" ht="12.75" hidden="false" customHeight="false" outlineLevel="0" collapsed="false">
      <c r="B41" s="62"/>
      <c r="C41" s="62"/>
      <c r="D41" s="62"/>
      <c r="E41" s="62"/>
      <c r="F41" s="62"/>
      <c r="G41" s="62"/>
      <c r="H41" s="62"/>
      <c r="I41" s="46"/>
      <c r="J41" s="62"/>
      <c r="K41" s="62"/>
      <c r="L41" s="62"/>
      <c r="M41" s="46"/>
      <c r="N41" s="62"/>
      <c r="O41" s="62"/>
      <c r="P41" s="62"/>
      <c r="Q41" s="46"/>
      <c r="R41" s="62"/>
      <c r="S41" s="62"/>
      <c r="T41" s="62"/>
      <c r="U41" s="62"/>
      <c r="V41" s="19" t="n">
        <v>0.35</v>
      </c>
      <c r="W41" s="19" t="n">
        <v>0.45</v>
      </c>
      <c r="X41" s="19" t="n">
        <v>0.5</v>
      </c>
      <c r="Y41" s="50"/>
      <c r="Z41" s="50"/>
      <c r="AA41" s="62"/>
      <c r="AB41" s="62"/>
      <c r="AC41" s="61"/>
    </row>
    <row r="42" customFormat="false" ht="12.75" hidden="false" customHeight="false" outlineLevel="0" collapsed="false">
      <c r="B42" s="62" t="s">
        <v>96</v>
      </c>
      <c r="C42" s="99"/>
      <c r="D42" s="62"/>
      <c r="E42" s="87"/>
      <c r="F42" s="88"/>
      <c r="G42" s="87"/>
      <c r="H42" s="87"/>
      <c r="I42" s="46"/>
      <c r="J42" s="103" t="n">
        <f aca="false">J35/-J38</f>
        <v>1.40957929940561</v>
      </c>
      <c r="K42" s="86"/>
      <c r="L42" s="94"/>
      <c r="M42" s="46"/>
      <c r="N42" s="103" t="n">
        <f aca="false">N35/-N38</f>
        <v>1.40957929940561</v>
      </c>
      <c r="O42" s="86"/>
      <c r="P42" s="94"/>
      <c r="Q42" s="46"/>
      <c r="R42" s="88"/>
      <c r="S42" s="87"/>
      <c r="T42" s="87"/>
      <c r="U42" s="87"/>
      <c r="V42" s="104" t="n">
        <f aca="false">V35/-V38</f>
        <v>1.40957929940561</v>
      </c>
      <c r="W42" s="86"/>
      <c r="X42" s="94"/>
      <c r="Y42" s="50"/>
      <c r="Z42" s="50"/>
      <c r="AA42" s="104" t="n">
        <f aca="false">AA35/-AA38</f>
        <v>1.40957929940561</v>
      </c>
      <c r="AB42" s="104"/>
      <c r="AC42" s="86"/>
    </row>
    <row r="43" customFormat="false" ht="12.75" hidden="false" customHeight="false" outlineLevel="0" collapsed="false">
      <c r="B43" s="62"/>
      <c r="C43" s="99"/>
      <c r="D43" s="62"/>
      <c r="E43" s="87"/>
      <c r="F43" s="88"/>
      <c r="G43" s="87"/>
      <c r="H43" s="87"/>
      <c r="I43" s="46"/>
      <c r="J43" s="105"/>
      <c r="K43" s="105"/>
      <c r="L43" s="94"/>
      <c r="M43" s="46"/>
      <c r="N43" s="105"/>
      <c r="O43" s="86"/>
      <c r="P43" s="94"/>
      <c r="Q43" s="46"/>
      <c r="R43" s="88"/>
      <c r="S43" s="87"/>
      <c r="T43" s="87"/>
      <c r="U43" s="87"/>
      <c r="V43" s="87"/>
      <c r="W43" s="105"/>
      <c r="X43" s="86"/>
      <c r="Y43" s="94"/>
      <c r="Z43" s="61"/>
    </row>
    <row r="44" customFormat="false" ht="12.75" hidden="false" customHeight="false" outlineLevel="0" collapsed="false">
      <c r="B44" s="62" t="s">
        <v>97</v>
      </c>
      <c r="C44" s="99" t="n">
        <v>0.1</v>
      </c>
      <c r="D44" s="62"/>
      <c r="E44" s="87"/>
      <c r="F44" s="88"/>
      <c r="G44" s="87"/>
      <c r="H44" s="87"/>
      <c r="I44" s="46"/>
      <c r="J44" s="86" t="n">
        <f aca="false">K$11*K44</f>
        <v>7007719.22473647</v>
      </c>
      <c r="K44" s="86" t="n">
        <f aca="false">(K$35*12)/CapRate</f>
        <v>95996.1537635132</v>
      </c>
      <c r="L44" s="94" t="n">
        <f aca="false">+K44/K$8</f>
        <v>94.4844033105445</v>
      </c>
      <c r="M44" s="46"/>
      <c r="N44" s="88" t="n">
        <f aca="false">O$11*O44</f>
        <v>8184777.30290764</v>
      </c>
      <c r="O44" s="86" t="n">
        <f aca="false">(O$35*12)/CapRate</f>
        <v>134176.677096847</v>
      </c>
      <c r="P44" s="94" t="n">
        <f aca="false">+O44/O$8</f>
        <v>110.615562322215</v>
      </c>
      <c r="Q44" s="46"/>
      <c r="R44" s="88"/>
      <c r="S44" s="87"/>
      <c r="T44" s="87"/>
      <c r="U44" s="87"/>
      <c r="V44" s="106"/>
      <c r="W44" s="86" t="n">
        <f aca="false">Project_Value/V11</f>
        <v>113376.839758538</v>
      </c>
      <c r="X44" s="94" t="n">
        <f aca="false">+AA44/V$8</f>
        <v>102.540456177024</v>
      </c>
      <c r="Y44" s="50"/>
      <c r="Z44" s="50"/>
      <c r="AA44" s="106" t="n">
        <f aca="false">N44+J44</f>
        <v>15192496.5276441</v>
      </c>
      <c r="AB44" s="106" t="n">
        <f aca="false">+AA44/TUnits</f>
        <v>113376.839758538</v>
      </c>
      <c r="AC44" s="86"/>
    </row>
    <row r="47" customFormat="false" ht="13.5" hidden="false" customHeight="false" outlineLevel="0" collapsed="false">
      <c r="B47" s="46"/>
      <c r="C47" s="107"/>
      <c r="D47" s="107"/>
      <c r="E47" s="108"/>
      <c r="F47" s="109"/>
      <c r="G47" s="108"/>
      <c r="H47" s="108"/>
      <c r="I47" s="109"/>
      <c r="J47" s="109"/>
      <c r="K47" s="108"/>
      <c r="L47" s="108"/>
      <c r="M47" s="108"/>
      <c r="N47" s="109"/>
      <c r="O47" s="108"/>
      <c r="P47" s="108"/>
      <c r="Q47" s="108"/>
      <c r="R47" s="109"/>
      <c r="S47" s="108"/>
      <c r="T47" s="108"/>
      <c r="U47" s="108"/>
      <c r="V47" s="108"/>
      <c r="W47" s="109"/>
      <c r="X47" s="109"/>
      <c r="Y47" s="70"/>
    </row>
    <row r="48" customFormat="false" ht="14.25" hidden="false" customHeight="false" outlineLevel="0" collapsed="false">
      <c r="B48" s="110" t="s">
        <v>98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2" t="s">
        <v>3</v>
      </c>
    </row>
    <row r="49" customFormat="false" ht="12.75" hidden="false" customHeight="false" outlineLevel="0" collapsed="false">
      <c r="B49" s="113" t="s">
        <v>99</v>
      </c>
      <c r="C49" s="62"/>
      <c r="D49" s="62"/>
      <c r="E49" s="62"/>
      <c r="F49" s="62"/>
      <c r="G49" s="62"/>
      <c r="H49" s="62"/>
      <c r="I49" s="62"/>
      <c r="J49" s="106" t="n">
        <f aca="false">K49*K$11</f>
        <v>4999075.71605077</v>
      </c>
      <c r="K49" s="106" t="n">
        <f aca="false">0.75*'UCost Final'!N$143</f>
        <v>68480.4892609694</v>
      </c>
      <c r="L49" s="94" t="n">
        <f aca="false">+K49/K$8</f>
        <v>67.4020563592219</v>
      </c>
      <c r="M49" s="62"/>
      <c r="N49" s="106" t="n">
        <f aca="false">O49*O$11</f>
        <v>4788791.8559634</v>
      </c>
      <c r="O49" s="106" t="n">
        <f aca="false">0.75*'UCost Final'!Q$143</f>
        <v>78504.7845239902</v>
      </c>
      <c r="P49" s="94" t="n">
        <f aca="false">+O49/O$8</f>
        <v>64.7195255762492</v>
      </c>
      <c r="Q49" s="62"/>
      <c r="R49" s="62"/>
      <c r="S49" s="62"/>
      <c r="T49" s="62"/>
      <c r="U49" s="62"/>
      <c r="V49" s="62"/>
      <c r="W49" s="106" t="n">
        <f aca="false">+N49+J49</f>
        <v>9787867.57201417</v>
      </c>
      <c r="X49" s="106" t="n">
        <f aca="false">+W49/V$11</f>
        <v>73043.787850852</v>
      </c>
      <c r="Y49" s="94" t="n">
        <f aca="false">+W49/V$8</f>
        <v>66.062375200047</v>
      </c>
      <c r="Z49" s="114" t="n">
        <f aca="false">+W49/Project_Value</f>
        <v>0.644256693046088</v>
      </c>
    </row>
    <row r="50" customFormat="false" ht="12.75" hidden="false" customHeight="false" outlineLevel="0" collapsed="false">
      <c r="B50" s="115" t="s">
        <v>100</v>
      </c>
      <c r="C50" s="62"/>
      <c r="D50" s="62"/>
      <c r="E50" s="62"/>
      <c r="F50" s="62"/>
      <c r="G50" s="62"/>
      <c r="H50" s="62"/>
      <c r="I50" s="62"/>
      <c r="J50" s="116" t="n">
        <f aca="false">K50*K$11</f>
        <v>938599.662245184</v>
      </c>
      <c r="K50" s="116" t="n">
        <f aca="false">'UCost Final'!N$143-K49-constprofit2B</f>
        <v>12857.529619797</v>
      </c>
      <c r="L50" s="117" t="n">
        <f aca="false">+K50/K$8</f>
        <v>12.6550488383829</v>
      </c>
      <c r="M50" s="116"/>
      <c r="N50" s="116" t="n">
        <f aca="false">O50*O$11</f>
        <v>881791.94624946</v>
      </c>
      <c r="O50" s="116" t="n">
        <f aca="false">'UCost Final'!Q$143-O49-constprofit3B</f>
        <v>14455.6056762207</v>
      </c>
      <c r="P50" s="117" t="n">
        <f aca="false">+O50/O$8</f>
        <v>11.9172346877334</v>
      </c>
      <c r="Q50" s="116"/>
      <c r="R50" s="116"/>
      <c r="S50" s="116"/>
      <c r="T50" s="116"/>
      <c r="U50" s="116"/>
      <c r="V50" s="116"/>
      <c r="W50" s="116" t="n">
        <f aca="false">+N50+J50</f>
        <v>1820391.60849464</v>
      </c>
      <c r="X50" s="116" t="n">
        <f aca="false">+W50/V$11</f>
        <v>13585.0120036914</v>
      </c>
      <c r="Y50" s="117" t="n">
        <f aca="false">+W50/V$8</f>
        <v>12.286577496741</v>
      </c>
      <c r="Z50" s="118" t="n">
        <f aca="false">+W50/Project_Value</f>
        <v>0.119821755771494</v>
      </c>
    </row>
    <row r="51" customFormat="false" ht="12.75" hidden="false" customHeight="false" outlineLevel="0" collapsed="false">
      <c r="B51" s="119" t="s">
        <v>101</v>
      </c>
      <c r="C51" s="62"/>
      <c r="D51" s="62"/>
      <c r="E51" s="62"/>
      <c r="F51" s="62"/>
      <c r="G51" s="62"/>
      <c r="H51" s="62"/>
      <c r="I51" s="46"/>
      <c r="J51" s="65" t="n">
        <f aca="false">K51*K$11</f>
        <v>5998890.85926092</v>
      </c>
      <c r="K51" s="65" t="n">
        <f aca="false">0.9*'UCost Final'!N$143</f>
        <v>82176.5871131633</v>
      </c>
      <c r="L51" s="67" t="n">
        <f aca="false">+K51/K$8</f>
        <v>80.8824676310662</v>
      </c>
      <c r="M51" s="46"/>
      <c r="N51" s="65" t="n">
        <f aca="false">N$35/0.105*12*LTV</f>
        <v>6236020.80221535</v>
      </c>
      <c r="O51" s="65" t="n">
        <f aca="false">0.9*'UCost Final'!Q$143</f>
        <v>94205.7414287883</v>
      </c>
      <c r="P51" s="67" t="n">
        <f aca="false">+O51/O$8</f>
        <v>77.663430691499</v>
      </c>
      <c r="Q51" s="46"/>
      <c r="R51" s="46"/>
      <c r="S51" s="46"/>
      <c r="T51" s="46"/>
      <c r="U51" s="46"/>
      <c r="V51" s="46"/>
      <c r="W51" s="65" t="n">
        <f aca="false">+N51+J51</f>
        <v>12234911.6614763</v>
      </c>
      <c r="X51" s="65" t="n">
        <f aca="false">+W51/V$11</f>
        <v>91305.3109065393</v>
      </c>
      <c r="Y51" s="67" t="n">
        <f aca="false">+W51/V$8</f>
        <v>82.5784900309546</v>
      </c>
      <c r="Z51" s="120" t="n">
        <f aca="false">+W51/Project_Value</f>
        <v>0.805325947530332</v>
      </c>
    </row>
    <row r="52" customFormat="false" ht="12.75" hidden="false" customHeight="false" outlineLevel="0" collapsed="false">
      <c r="B52" s="115" t="s">
        <v>100</v>
      </c>
      <c r="C52" s="62"/>
      <c r="D52" s="62"/>
      <c r="E52" s="62"/>
      <c r="F52" s="62"/>
      <c r="G52" s="62"/>
      <c r="H52" s="62"/>
      <c r="I52" s="62"/>
      <c r="J52" s="116" t="n">
        <f aca="false">IF(K52*K$11&lt;0,0,K52*K$11)</f>
        <v>0</v>
      </c>
      <c r="K52" s="116" t="n">
        <f aca="false">IF('UCost Final'!N$143-K51-constprofit2B&lt;0,0,'UCost Final'!N$143-K51-constprofit2B)</f>
        <v>0</v>
      </c>
      <c r="L52" s="117" t="n">
        <f aca="false">+K52/K$8</f>
        <v>0</v>
      </c>
      <c r="M52" s="116"/>
      <c r="N52" s="116" t="n">
        <f aca="false">IF(O52*O$11&lt;0,0,O52*O$11)</f>
        <v>0</v>
      </c>
      <c r="O52" s="116" t="n">
        <f aca="false">IF('UCost Final'!Q$143-O51-constprofit3B&lt;0,0,'UCost Final'!Q$143-O51-constprofit3B)</f>
        <v>0</v>
      </c>
      <c r="P52" s="117" t="n">
        <f aca="false">+O52/O$8</f>
        <v>0</v>
      </c>
      <c r="Q52" s="116"/>
      <c r="R52" s="116"/>
      <c r="S52" s="116"/>
      <c r="T52" s="116"/>
      <c r="U52" s="116"/>
      <c r="V52" s="116"/>
      <c r="W52" s="116" t="n">
        <f aca="false">+N52+J52</f>
        <v>0</v>
      </c>
      <c r="X52" s="116" t="n">
        <f aca="false">+W52/V11</f>
        <v>0</v>
      </c>
      <c r="Y52" s="117" t="n">
        <f aca="false">+X52/V$8</f>
        <v>0</v>
      </c>
      <c r="Z52" s="121" t="n">
        <f aca="false">+W52/Project_Value</f>
        <v>0</v>
      </c>
    </row>
    <row r="53" customFormat="false" ht="12.75" hidden="false" customHeight="false" outlineLevel="0" collapsed="false">
      <c r="B53" s="113" t="s">
        <v>102</v>
      </c>
      <c r="C53" s="62"/>
      <c r="D53" s="62"/>
      <c r="E53" s="62"/>
      <c r="F53" s="62"/>
      <c r="G53" s="62"/>
      <c r="H53" s="62"/>
      <c r="I53" s="62"/>
      <c r="J53" s="106" t="n">
        <f aca="false">K53*K$11</f>
        <v>6465471.25942566</v>
      </c>
      <c r="K53" s="106" t="n">
        <f aca="false">0.97*'UCost Final'!N$143</f>
        <v>88568.0994441871</v>
      </c>
      <c r="L53" s="94" t="n">
        <f aca="false">+K53/K$8</f>
        <v>87.1733262245936</v>
      </c>
      <c r="M53" s="62"/>
      <c r="N53" s="106" t="n">
        <f aca="false">N$35/0.11*12*LTV</f>
        <v>5952565.31120556</v>
      </c>
      <c r="O53" s="106" t="n">
        <f aca="false">0.97*'UCost Final'!Q$143</f>
        <v>101532.854651027</v>
      </c>
      <c r="P53" s="94" t="n">
        <f aca="false">+O53/O$8</f>
        <v>83.7039197452822</v>
      </c>
      <c r="Q53" s="62"/>
      <c r="R53" s="62"/>
      <c r="S53" s="62"/>
      <c r="T53" s="62"/>
      <c r="U53" s="62"/>
      <c r="V53" s="62"/>
      <c r="W53" s="106" t="n">
        <f aca="false">+N53+J53</f>
        <v>12418036.5706312</v>
      </c>
      <c r="X53" s="106" t="n">
        <f aca="false">+W53/V$11</f>
        <v>92671.9147062031</v>
      </c>
      <c r="Y53" s="94" t="n">
        <f aca="false">+W53/V$8</f>
        <v>83.8144759459724</v>
      </c>
      <c r="Z53" s="118" t="n">
        <f aca="false">+W53/Project_Value</f>
        <v>0.817379589196251</v>
      </c>
    </row>
    <row r="54" customFormat="false" ht="13.5" hidden="false" customHeight="false" outlineLevel="0" collapsed="false">
      <c r="B54" s="122" t="s">
        <v>100</v>
      </c>
      <c r="C54" s="123"/>
      <c r="D54" s="123"/>
      <c r="E54" s="123"/>
      <c r="F54" s="123"/>
      <c r="G54" s="123"/>
      <c r="H54" s="123"/>
      <c r="I54" s="123"/>
      <c r="J54" s="124" t="n">
        <f aca="false">IF(K54*K$11&lt;0,0,K54*K$11)</f>
        <v>0</v>
      </c>
      <c r="K54" s="124" t="n">
        <f aca="false">IF('UCost Final'!N$143-K53-constprofit2B&lt;0,0,'UCost Final'!N$143-K53-constprofit2B)</f>
        <v>0</v>
      </c>
      <c r="L54" s="125" t="n">
        <f aca="false">+K54/K$8</f>
        <v>0</v>
      </c>
      <c r="M54" s="124"/>
      <c r="N54" s="124" t="n">
        <f aca="false">IF(O54*O$11&lt;0,0,O54*O$11)</f>
        <v>0</v>
      </c>
      <c r="O54" s="124" t="n">
        <f aca="false">IF('UCost Final'!Q$143-O53-constprofit3B&lt;0,0,'UCost Final'!Q$143-O53-constprofit3B)</f>
        <v>0</v>
      </c>
      <c r="P54" s="125" t="n">
        <f aca="false">+O54/O$8</f>
        <v>0</v>
      </c>
      <c r="Q54" s="124"/>
      <c r="R54" s="124"/>
      <c r="S54" s="124"/>
      <c r="T54" s="124"/>
      <c r="U54" s="124"/>
      <c r="V54" s="124"/>
      <c r="W54" s="124" t="n">
        <f aca="false">+N54+J54</f>
        <v>0</v>
      </c>
      <c r="X54" s="124" t="n">
        <f aca="false">IF('UCost Final'!T$143-X53-constprofit3B&lt;0,0,'UCost Final'!T$143-X53-constprofit3B)</f>
        <v>0</v>
      </c>
      <c r="Y54" s="125" t="n">
        <f aca="false">+X54/V$8</f>
        <v>0</v>
      </c>
      <c r="Z54" s="126" t="n">
        <f aca="false">+W54/Project_Value</f>
        <v>0</v>
      </c>
    </row>
    <row r="55" customFormat="false" ht="14.25" hidden="false" customHeight="false" outlineLevel="0" collapsed="false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8"/>
      <c r="Z55" s="129"/>
    </row>
    <row r="56" customFormat="false" ht="14.25" hidden="false" customHeight="false" outlineLevel="0" collapsed="false">
      <c r="B56" s="110" t="s">
        <v>103</v>
      </c>
      <c r="C56" s="111" t="s">
        <v>104</v>
      </c>
      <c r="D56" s="111" t="n">
        <v>0.8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30"/>
    </row>
    <row r="57" customFormat="false" ht="12.75" hidden="false" customHeight="false" outlineLevel="0" collapsed="false">
      <c r="B57" s="113" t="s">
        <v>105</v>
      </c>
      <c r="C57" s="62"/>
      <c r="D57" s="62"/>
      <c r="E57" s="62"/>
      <c r="F57" s="62"/>
      <c r="G57" s="62"/>
      <c r="H57" s="62"/>
      <c r="I57" s="62"/>
      <c r="J57" s="106" t="n">
        <f aca="false">K57*K$11</f>
        <v>5901237.24188334</v>
      </c>
      <c r="K57" s="106" t="n">
        <f aca="false">K$35/0.095*12*LTV</f>
        <v>80838.8663271691</v>
      </c>
      <c r="L57" s="94" t="n">
        <f aca="false">+K57/K$8</f>
        <v>79.5658133141428</v>
      </c>
      <c r="M57" s="62"/>
      <c r="N57" s="106" t="n">
        <f aca="false">O57*O$11</f>
        <v>6892444.0445538</v>
      </c>
      <c r="O57" s="106" t="n">
        <f aca="false">O$35/0.095*12*LTV</f>
        <v>112990.885976292</v>
      </c>
      <c r="P57" s="94" t="n">
        <f aca="false">+O57/O$8</f>
        <v>93.1499472187072</v>
      </c>
      <c r="Q57" s="62"/>
      <c r="R57" s="62"/>
      <c r="S57" s="62"/>
      <c r="T57" s="62"/>
      <c r="U57" s="62"/>
      <c r="V57" s="62"/>
      <c r="W57" s="106" t="n">
        <f aca="false">+N57+J57</f>
        <v>12793681.2864371</v>
      </c>
      <c r="X57" s="106" t="n">
        <f aca="false">+W57/V$11</f>
        <v>95475.2334808742</v>
      </c>
      <c r="Y57" s="94" t="n">
        <f aca="false">+W57/V$8</f>
        <v>86.3498578332837</v>
      </c>
      <c r="Z57" s="114" t="n">
        <f aca="false">+W57/Project_Value</f>
        <v>0.842105263157895</v>
      </c>
    </row>
    <row r="58" customFormat="false" ht="12.75" hidden="false" customHeight="false" outlineLevel="0" collapsed="false">
      <c r="B58" s="113"/>
      <c r="C58" s="62"/>
      <c r="D58" s="62"/>
      <c r="E58" s="62"/>
      <c r="F58" s="62"/>
      <c r="G58" s="62"/>
      <c r="H58" s="62"/>
      <c r="I58" s="62"/>
      <c r="J58" s="106"/>
      <c r="K58" s="106"/>
      <c r="L58" s="62"/>
      <c r="M58" s="62"/>
      <c r="N58" s="106"/>
      <c r="O58" s="106"/>
      <c r="P58" s="62"/>
      <c r="Q58" s="62"/>
      <c r="R58" s="62"/>
      <c r="S58" s="62"/>
      <c r="T58" s="62"/>
      <c r="U58" s="62"/>
      <c r="V58" s="62"/>
      <c r="W58" s="106"/>
      <c r="X58" s="106"/>
      <c r="Y58" s="62"/>
      <c r="Z58" s="131"/>
    </row>
    <row r="59" customFormat="false" ht="12.75" hidden="false" customHeight="false" outlineLevel="0" collapsed="false">
      <c r="B59" s="113" t="s">
        <v>106</v>
      </c>
      <c r="D59" s="62"/>
      <c r="E59" s="62"/>
      <c r="F59" s="62"/>
      <c r="G59" s="62"/>
      <c r="H59" s="62"/>
      <c r="I59" s="62"/>
      <c r="J59" s="106" t="n">
        <f aca="false">K59*K$11</f>
        <v>5606175.37978918</v>
      </c>
      <c r="K59" s="106" t="n">
        <f aca="false">K$35/0.1*12*LTV</f>
        <v>76796.9230108106</v>
      </c>
      <c r="L59" s="94" t="n">
        <f aca="false">+K59/K$8</f>
        <v>75.5875226484356</v>
      </c>
      <c r="M59" s="62"/>
      <c r="N59" s="106" t="n">
        <f aca="false">O59*O$11</f>
        <v>6547821.84232611</v>
      </c>
      <c r="O59" s="106" t="n">
        <f aca="false">O$35/0.1*12*LTV</f>
        <v>107341.341677477</v>
      </c>
      <c r="P59" s="94" t="n">
        <f aca="false">+O59/O$8</f>
        <v>88.4924498577719</v>
      </c>
      <c r="Q59" s="62"/>
      <c r="R59" s="62"/>
      <c r="S59" s="62"/>
      <c r="T59" s="62"/>
      <c r="U59" s="62"/>
      <c r="V59" s="62"/>
      <c r="W59" s="106" t="n">
        <f aca="false">+N59+J59</f>
        <v>12153997.2221153</v>
      </c>
      <c r="X59" s="106" t="n">
        <f aca="false">+W59/V$11</f>
        <v>90701.4718068305</v>
      </c>
      <c r="Y59" s="94" t="n">
        <f aca="false">+W59/V$8</f>
        <v>82.0323649416195</v>
      </c>
      <c r="Z59" s="118" t="n">
        <f aca="false">+W59/Project_Value</f>
        <v>0.8</v>
      </c>
    </row>
    <row r="60" customFormat="false" ht="12.75" hidden="false" customHeight="false" outlineLevel="0" collapsed="false">
      <c r="B60" s="113"/>
      <c r="C60" s="62"/>
      <c r="D60" s="62"/>
      <c r="E60" s="62"/>
      <c r="F60" s="62"/>
      <c r="G60" s="62"/>
      <c r="H60" s="62"/>
      <c r="I60" s="62"/>
      <c r="J60" s="106"/>
      <c r="K60" s="106"/>
      <c r="L60" s="62"/>
      <c r="M60" s="62"/>
      <c r="N60" s="106"/>
      <c r="O60" s="106"/>
      <c r="P60" s="62"/>
      <c r="Q60" s="62"/>
      <c r="R60" s="62"/>
      <c r="S60" s="62"/>
      <c r="T60" s="62"/>
      <c r="U60" s="62"/>
      <c r="V60" s="62"/>
      <c r="W60" s="106"/>
      <c r="X60" s="106"/>
      <c r="Y60" s="62"/>
      <c r="Z60" s="131"/>
    </row>
    <row r="61" customFormat="false" ht="12.75" hidden="false" customHeight="false" outlineLevel="0" collapsed="false">
      <c r="B61" s="113" t="s">
        <v>107</v>
      </c>
      <c r="C61" s="62"/>
      <c r="D61" s="62"/>
      <c r="E61" s="62"/>
      <c r="F61" s="62"/>
      <c r="G61" s="62"/>
      <c r="H61" s="62"/>
      <c r="I61" s="62"/>
      <c r="J61" s="106" t="n">
        <f aca="false">K61*K$11</f>
        <v>5339214.64741826</v>
      </c>
      <c r="K61" s="106" t="n">
        <f aca="false">K$35/0.105*12*LTV</f>
        <v>73139.9266769625</v>
      </c>
      <c r="L61" s="94" t="n">
        <f aca="false">+K61/K$8</f>
        <v>71.9881168080339</v>
      </c>
      <c r="M61" s="62"/>
      <c r="N61" s="106" t="n">
        <f aca="false">O61*O$11</f>
        <v>6236020.80221535</v>
      </c>
      <c r="O61" s="106" t="n">
        <f aca="false">O$35/0.105*12*LTV</f>
        <v>102229.849216645</v>
      </c>
      <c r="P61" s="94" t="n">
        <f aca="false">+O61/O$8</f>
        <v>84.2785236740685</v>
      </c>
      <c r="Q61" s="62"/>
      <c r="R61" s="62"/>
      <c r="S61" s="62"/>
      <c r="T61" s="62"/>
      <c r="U61" s="62"/>
      <c r="V61" s="62"/>
      <c r="W61" s="106" t="n">
        <f aca="false">+N61+J61</f>
        <v>11575235.4496336</v>
      </c>
      <c r="X61" s="106" t="n">
        <f aca="false">+W61/V$11</f>
        <v>86382.3541017434</v>
      </c>
      <c r="Y61" s="94" t="n">
        <f aca="false">+W61/V$8</f>
        <v>78.1260618491615</v>
      </c>
      <c r="Z61" s="114" t="n">
        <f aca="false">+W61/Project_Value</f>
        <v>0.761904761904762</v>
      </c>
    </row>
    <row r="62" customFormat="false" ht="13.5" hidden="false" customHeight="false" outlineLevel="0" collapsed="false">
      <c r="B62" s="13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33"/>
    </row>
    <row r="63" customFormat="false" ht="13.5" hidden="false" customHeight="false" outlineLevel="0" collapsed="false"/>
    <row r="64" customFormat="false" ht="12.75" hidden="false" customHeight="false" outlineLevel="0" collapsed="false">
      <c r="B64" s="134" t="s">
        <v>108</v>
      </c>
      <c r="C64" s="135"/>
      <c r="D64" s="135"/>
      <c r="E64" s="135"/>
      <c r="F64" s="135"/>
      <c r="G64" s="135"/>
      <c r="H64" s="135"/>
      <c r="I64" s="135"/>
      <c r="J64" s="106" t="n">
        <f aca="false">K64*K$11</f>
        <v>6828326.68504034</v>
      </c>
      <c r="K64" s="106" t="n">
        <f aca="false">('UCost Final'!N$143-constprofit2B)*1.15</f>
        <v>93538.7217128814</v>
      </c>
      <c r="L64" s="94" t="n">
        <f aca="false">+K64/K$8</f>
        <v>92.0656709772455</v>
      </c>
      <c r="M64" s="135"/>
      <c r="N64" s="106" t="n">
        <f aca="false">O64*O$11</f>
        <v>6521171.37254479</v>
      </c>
      <c r="O64" s="106" t="n">
        <f aca="false">('UCost Final'!Q$143-constprofit3B)*1.15</f>
        <v>106904.448730243</v>
      </c>
      <c r="P64" s="94" t="n">
        <f aca="false">+O64/O$8</f>
        <v>88.13227430358</v>
      </c>
      <c r="Q64" s="135"/>
      <c r="R64" s="135"/>
      <c r="S64" s="135"/>
      <c r="T64" s="135"/>
      <c r="U64" s="135"/>
      <c r="V64" s="135"/>
      <c r="W64" s="106" t="n">
        <f aca="false">+N64+J64</f>
        <v>13349498.0575851</v>
      </c>
      <c r="X64" s="106" t="n">
        <f aca="false">+W64/V$11</f>
        <v>99623.1198327249</v>
      </c>
      <c r="Y64" s="94" t="n">
        <f aca="false">+W64/V$8</f>
        <v>90.1012956013063</v>
      </c>
      <c r="Z64" s="136" t="n">
        <f aca="false">+W64/Project_Value</f>
        <v>0.87869021614022</v>
      </c>
    </row>
    <row r="65" customFormat="false" ht="12.75" hidden="false" customHeight="false" outlineLevel="0" collapsed="false">
      <c r="B65" s="134" t="s">
        <v>109</v>
      </c>
      <c r="C65" s="135"/>
      <c r="D65" s="135"/>
      <c r="E65" s="135"/>
      <c r="F65" s="135"/>
      <c r="G65" s="135"/>
      <c r="H65" s="135"/>
      <c r="I65" s="135"/>
      <c r="J65" s="106" t="n">
        <f aca="false">K65*K$11</f>
        <v>1222151.30525117</v>
      </c>
      <c r="K65" s="106" t="n">
        <f aca="false">+K64-K59</f>
        <v>16741.7987020708</v>
      </c>
      <c r="L65" s="94" t="n">
        <f aca="false">+K65/K$8</f>
        <v>16.4781483288098</v>
      </c>
      <c r="M65" s="135"/>
      <c r="N65" s="106" t="n">
        <f aca="false">O65*O$11</f>
        <v>-26650.4697813199</v>
      </c>
      <c r="O65" s="106" t="n">
        <f aca="false">+O64-O59</f>
        <v>-436.892947234752</v>
      </c>
      <c r="P65" s="94" t="n">
        <f aca="false">+O65/O$8</f>
        <v>-0.360175554191881</v>
      </c>
      <c r="Q65" s="135"/>
      <c r="R65" s="135"/>
      <c r="S65" s="135"/>
      <c r="T65" s="135"/>
      <c r="U65" s="135"/>
      <c r="V65" s="135"/>
      <c r="W65" s="106" t="n">
        <f aca="false">+N65+J65</f>
        <v>1195500.83546985</v>
      </c>
      <c r="X65" s="106" t="n">
        <f aca="false">+W65/V$11</f>
        <v>8921.64802589439</v>
      </c>
      <c r="Y65" s="94" t="n">
        <f aca="false">+W65/V$8</f>
        <v>8.06893065968675</v>
      </c>
      <c r="Z65" s="136" t="n">
        <f aca="false">+W65/Project_Value</f>
        <v>0.0786902161402194</v>
      </c>
    </row>
    <row r="66" customFormat="false" ht="12.75" hidden="false" customHeight="false" outlineLevel="0" collapsed="false">
      <c r="B66" s="134" t="s">
        <v>110</v>
      </c>
      <c r="C66" s="135"/>
      <c r="D66" s="135"/>
      <c r="E66" s="135"/>
      <c r="F66" s="135"/>
      <c r="G66" s="135"/>
      <c r="H66" s="135"/>
      <c r="I66" s="135"/>
      <c r="J66" s="106" t="n">
        <f aca="false">K66*K$11</f>
        <v>179392.539696124</v>
      </c>
      <c r="K66" s="106" t="n">
        <f aca="false">+K44-K64</f>
        <v>2457.43205063183</v>
      </c>
      <c r="L66" s="94" t="n">
        <f aca="false">+K66/K$8</f>
        <v>2.41873233329905</v>
      </c>
      <c r="M66" s="135"/>
      <c r="N66" s="106" t="n">
        <f aca="false">O66*O$11</f>
        <v>1663605.93036285</v>
      </c>
      <c r="O66" s="106" t="n">
        <f aca="false">+O44-O64</f>
        <v>27272.2283666041</v>
      </c>
      <c r="P66" s="94" t="n">
        <f aca="false">+O66/O$8</f>
        <v>22.4832880186349</v>
      </c>
      <c r="Q66" s="135"/>
      <c r="R66" s="135"/>
      <c r="S66" s="135"/>
      <c r="T66" s="135"/>
      <c r="U66" s="135"/>
      <c r="V66" s="135"/>
      <c r="W66" s="106" t="n">
        <f aca="false">+N66+J66</f>
        <v>1842998.47005897</v>
      </c>
      <c r="X66" s="106" t="n">
        <f aca="false">+W66/V$11</f>
        <v>13753.7199258132</v>
      </c>
      <c r="Y66" s="94" t="n">
        <f aca="false">+W66/V$8</f>
        <v>12.4391605757181</v>
      </c>
      <c r="Z66" s="136" t="n">
        <f aca="false">+W66/Project_Value</f>
        <v>0.121309783859781</v>
      </c>
    </row>
    <row r="67" customFormat="false" ht="13.5" hidden="false" customHeight="false" outlineLevel="0" collapsed="false">
      <c r="B67" s="137" t="s">
        <v>111</v>
      </c>
    </row>
    <row r="68" customFormat="false" ht="12.75" hidden="false" customHeight="false" outlineLevel="0" collapsed="false">
      <c r="B68" s="138" t="s">
        <v>112</v>
      </c>
      <c r="J68" s="106"/>
      <c r="K68" s="106"/>
      <c r="L68" s="94"/>
      <c r="N68" s="106"/>
      <c r="O68" s="106"/>
      <c r="P68" s="94"/>
      <c r="W68" s="106" t="n">
        <f aca="false">X68*V$11</f>
        <v>197273.023055124</v>
      </c>
      <c r="X68" s="106" t="n">
        <f aca="false">0.5*W39*12</f>
        <v>1472.18673921734</v>
      </c>
      <c r="Y68" s="94"/>
    </row>
    <row r="69" customFormat="false" ht="12.75" hidden="false" customHeight="false" outlineLevel="0" collapsed="false">
      <c r="B69" s="138" t="s">
        <v>113</v>
      </c>
      <c r="J69" s="105"/>
      <c r="K69" s="105"/>
      <c r="L69" s="94"/>
      <c r="N69" s="105"/>
      <c r="O69" s="105"/>
      <c r="P69" s="94"/>
      <c r="W69" s="139" t="n">
        <f aca="false">W68/W65</f>
        <v>0.165012869252904</v>
      </c>
      <c r="X69" s="139"/>
      <c r="Y69" s="94"/>
    </row>
  </sheetData>
  <mergeCells count="8">
    <mergeCell ref="F5:H5"/>
    <mergeCell ref="J5:L5"/>
    <mergeCell ref="N5:P5"/>
    <mergeCell ref="R5:T5"/>
    <mergeCell ref="V5:X5"/>
    <mergeCell ref="AA5:AC5"/>
    <mergeCell ref="F9:G9"/>
    <mergeCell ref="R9:S9"/>
  </mergeCells>
  <printOptions headings="false" gridLines="false" gridLinesSet="true" horizontalCentered="true" verticalCentered="false"/>
  <pageMargins left="0.5" right="0.5" top="1.0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Roman,Bold"&amp;12SM134:  MONTHLY PROFORMA</oddHeader>
    <oddFooter>&amp;L&amp;8 &amp;F
 &amp;A&amp;C&amp;8 &amp;R&amp;8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85"/>
  <sheetViews>
    <sheetView showFormulas="false" showGridLines="true" showRowColHeaders="true" showZeros="true" rightToLeft="false" tabSelected="true" showOutlineSymbols="true" defaultGridColor="true" view="normal" topLeftCell="B5" colorId="64" zoomScale="85" zoomScaleNormal="85" zoomScalePageLayoutView="100" workbookViewId="0">
      <pane xSplit="1" ySplit="8" topLeftCell="H124" activePane="bottomRight" state="frozen"/>
      <selection pane="topLeft" activeCell="B5" activeCellId="0" sqref="B5"/>
      <selection pane="topRight" activeCell="H5" activeCellId="0" sqref="H5"/>
      <selection pane="bottomLeft" activeCell="B124" activeCellId="0" sqref="B124"/>
      <selection pane="bottomRight" activeCell="O155" activeCellId="0" sqref="O155"/>
    </sheetView>
  </sheetViews>
  <sheetFormatPr defaultColWidth="7.65234375" defaultRowHeight="12" customHeight="true" zeroHeight="false" outlineLevelRow="0" outlineLevelCol="0"/>
  <cols>
    <col collapsed="false" customWidth="true" hidden="true" outlineLevel="0" max="1" min="1" style="140" width="8.15"/>
    <col collapsed="false" customWidth="true" hidden="false" outlineLevel="0" max="2" min="2" style="141" width="26.99"/>
    <col collapsed="false" customWidth="true" hidden="false" outlineLevel="0" max="3" min="3" style="141" width="16.49"/>
    <col collapsed="false" customWidth="true" hidden="false" outlineLevel="0" max="4" min="4" style="141" width="11.65"/>
    <col collapsed="false" customWidth="true" hidden="false" outlineLevel="0" max="5" min="5" style="141" width="13.49"/>
    <col collapsed="false" customWidth="true" hidden="false" outlineLevel="0" max="6" min="6" style="141" width="13.99"/>
    <col collapsed="false" customWidth="true" hidden="false" outlineLevel="0" max="7" min="7" style="141" width="11.99"/>
    <col collapsed="false" customWidth="true" hidden="false" outlineLevel="0" max="8" min="8" style="141" width="9.99"/>
    <col collapsed="false" customWidth="true" hidden="false" outlineLevel="0" max="9" min="9" style="141" width="1.15"/>
    <col collapsed="false" customWidth="true" hidden="false" outlineLevel="0" max="10" min="10" style="141" width="15.49"/>
    <col collapsed="false" customWidth="true" hidden="false" outlineLevel="0" max="11" min="11" style="141" width="11.82"/>
    <col collapsed="false" customWidth="true" hidden="false" outlineLevel="0" max="12" min="12" style="141" width="10.49"/>
    <col collapsed="false" customWidth="true" hidden="false" outlineLevel="0" max="13" min="13" style="141" width="14.32"/>
    <col collapsed="false" customWidth="true" hidden="false" outlineLevel="0" max="14" min="14" style="141" width="11.99"/>
    <col collapsed="false" customWidth="true" hidden="false" outlineLevel="0" max="15" min="15" style="141" width="9.65"/>
    <col collapsed="false" customWidth="true" hidden="false" outlineLevel="0" max="16" min="16" style="141" width="14.32"/>
    <col collapsed="false" customWidth="true" hidden="false" outlineLevel="0" max="17" min="17" style="141" width="11.99"/>
    <col collapsed="false" customWidth="true" hidden="false" outlineLevel="0" max="18" min="18" style="141" width="10.49"/>
    <col collapsed="false" customWidth="true" hidden="false" outlineLevel="0" max="19" min="19" style="141" width="15.15"/>
    <col collapsed="false" customWidth="true" hidden="false" outlineLevel="0" max="20" min="20" style="141" width="11.99"/>
    <col collapsed="false" customWidth="true" hidden="false" outlineLevel="0" max="21" min="21" style="141" width="10.49"/>
    <col collapsed="false" customWidth="true" hidden="false" outlineLevel="0" max="22" min="22" style="141" width="11.32"/>
    <col collapsed="false" customWidth="true" hidden="false" outlineLevel="0" max="23" min="23" style="141" width="10.15"/>
    <col collapsed="false" customWidth="true" hidden="false" outlineLevel="0" max="24" min="24" style="141" width="9.99"/>
    <col collapsed="false" customWidth="true" hidden="false" outlineLevel="0" max="25" min="25" style="141" width="9.82"/>
    <col collapsed="false" customWidth="true" hidden="true" outlineLevel="0" max="26" min="26" style="141" width="3.65"/>
    <col collapsed="false" customWidth="true" hidden="true" outlineLevel="0" max="27" min="27" style="141" width="23.99"/>
    <col collapsed="false" customWidth="true" hidden="true" outlineLevel="0" max="28" min="28" style="141" width="7.82"/>
    <col collapsed="false" customWidth="true" hidden="false" outlineLevel="0" max="29" min="29" style="141" width="13.82"/>
    <col collapsed="false" customWidth="true" hidden="false" outlineLevel="0" max="30" min="30" style="141" width="9.65"/>
    <col collapsed="false" customWidth="true" hidden="true" outlineLevel="0" max="31" min="31" style="141" width="9.65"/>
    <col collapsed="false" customWidth="false" hidden="false" outlineLevel="0" max="32" min="32" style="141" width="7.65"/>
    <col collapsed="false" customWidth="true" hidden="false" outlineLevel="0" max="33" min="33" style="141" width="11.65"/>
    <col collapsed="false" customWidth="true" hidden="false" outlineLevel="0" max="34" min="34" style="141" width="18.99"/>
    <col collapsed="false" customWidth="true" hidden="false" outlineLevel="0" max="35" min="35" style="141" width="16.49"/>
    <col collapsed="false" customWidth="true" hidden="false" outlineLevel="0" max="36" min="36" style="141" width="19.99"/>
    <col collapsed="false" customWidth="false" hidden="false" outlineLevel="0" max="257" min="37" style="141" width="7.65"/>
  </cols>
  <sheetData>
    <row r="1" customFormat="false" ht="12.75" hidden="false" customHeight="false" outlineLevel="0" collapsed="false">
      <c r="A1" s="142"/>
      <c r="B1" s="143" t="s">
        <v>114</v>
      </c>
      <c r="C1" s="143"/>
      <c r="D1" s="143"/>
      <c r="E1" s="143"/>
      <c r="F1" s="143"/>
      <c r="G1" s="143"/>
      <c r="H1" s="143"/>
      <c r="I1" s="143"/>
      <c r="J1" s="144" t="n">
        <v>1.1</v>
      </c>
      <c r="K1" s="143" t="s">
        <v>115</v>
      </c>
      <c r="L1" s="143" t="n">
        <v>134</v>
      </c>
      <c r="M1" s="143" t="s">
        <v>116</v>
      </c>
      <c r="N1" s="143" t="n">
        <f aca="false">SQRT(10.3*43560)*25*4</f>
        <v>66982.6843296086</v>
      </c>
      <c r="O1" s="143"/>
      <c r="P1" s="143" t="s">
        <v>117</v>
      </c>
      <c r="Q1" s="143" t="n">
        <f aca="false">(15+10/12)*(33+5.5/12)</f>
        <v>529.756944444445</v>
      </c>
      <c r="R1" s="143"/>
      <c r="S1" s="143"/>
      <c r="T1" s="145" t="n">
        <f aca="false">75/295</f>
        <v>0.254237288135593</v>
      </c>
      <c r="U1" s="143"/>
      <c r="V1" s="146" t="s">
        <v>118</v>
      </c>
      <c r="W1" s="143" t="n">
        <f aca="false">14*20</f>
        <v>280</v>
      </c>
      <c r="X1" s="143"/>
      <c r="Y1" s="143"/>
      <c r="Z1" s="143"/>
      <c r="AA1" s="143"/>
      <c r="AB1" s="143"/>
      <c r="AC1" s="143"/>
      <c r="AD1" s="143"/>
      <c r="AE1" s="146"/>
      <c r="AF1" s="143"/>
    </row>
    <row r="2" customFormat="false" ht="12.75" hidden="false" customHeight="false" outlineLevel="0" collapsed="false">
      <c r="A2" s="147"/>
      <c r="B2" s="147" t="s">
        <v>119</v>
      </c>
      <c r="C2" s="147"/>
      <c r="D2" s="147"/>
      <c r="E2" s="147"/>
      <c r="F2" s="147"/>
      <c r="G2" s="147"/>
      <c r="H2" s="147"/>
      <c r="I2" s="147"/>
      <c r="J2" s="148" t="n">
        <v>14</v>
      </c>
      <c r="K2" s="147" t="s">
        <v>120</v>
      </c>
      <c r="L2" s="149" t="n">
        <v>0.15</v>
      </c>
      <c r="M2" s="147" t="s">
        <v>121</v>
      </c>
      <c r="N2" s="147" t="n">
        <f aca="false">(670-((25+38+18+20+18+38)*2))*(670-((25+38+18+20+18+38)*2))-Pool-Vollybasketball</f>
        <v>112986</v>
      </c>
      <c r="O2" s="147" t="n">
        <f aca="false">+N2+N1</f>
        <v>179968.684329609</v>
      </c>
      <c r="P2" s="147" t="s">
        <v>122</v>
      </c>
      <c r="Q2" s="147" t="n">
        <f aca="false">280+13+529</f>
        <v>822</v>
      </c>
      <c r="R2" s="147"/>
      <c r="S2" s="147"/>
      <c r="T2" s="147" t="n">
        <f aca="false">475*3</f>
        <v>1425</v>
      </c>
      <c r="U2" s="147"/>
      <c r="V2" s="147" t="s">
        <v>123</v>
      </c>
      <c r="W2" s="147" t="n">
        <v>91</v>
      </c>
      <c r="X2" s="147"/>
      <c r="Y2" s="147"/>
      <c r="Z2" s="147"/>
      <c r="AA2" s="147"/>
      <c r="AB2" s="147"/>
      <c r="AC2" s="147"/>
      <c r="AD2" s="147"/>
      <c r="AE2" s="147"/>
      <c r="AF2" s="147"/>
      <c r="AG2" s="150"/>
      <c r="AH2" s="150"/>
      <c r="AI2" s="150"/>
      <c r="AJ2" s="150"/>
    </row>
    <row r="3" customFormat="false" ht="12.75" hidden="false" customHeight="false" outlineLevel="0" collapsed="false">
      <c r="A3" s="142" t="s">
        <v>124</v>
      </c>
      <c r="B3" s="143" t="s">
        <v>125</v>
      </c>
      <c r="C3" s="143"/>
      <c r="D3" s="143"/>
      <c r="E3" s="143"/>
      <c r="F3" s="143"/>
      <c r="G3" s="143"/>
      <c r="H3" s="143"/>
      <c r="I3" s="143"/>
      <c r="J3" s="143" t="s">
        <v>126</v>
      </c>
      <c r="K3" s="143"/>
      <c r="L3" s="143"/>
      <c r="M3" s="143" t="s">
        <v>127</v>
      </c>
      <c r="N3" s="143" t="n">
        <f aca="false">(45+15*2)*(20+15*2)</f>
        <v>3750</v>
      </c>
      <c r="O3" s="143"/>
      <c r="P3" s="143" t="s">
        <v>128</v>
      </c>
      <c r="Q3" s="143" t="n">
        <f aca="false">(11/12+30)*((47+5.5/12))</f>
        <v>1467.25347222222</v>
      </c>
      <c r="R3" s="143"/>
      <c r="S3" s="143"/>
      <c r="T3" s="143" t="n">
        <f aca="false">75*12</f>
        <v>900</v>
      </c>
      <c r="U3" s="143"/>
      <c r="V3" s="146" t="s">
        <v>129</v>
      </c>
      <c r="W3" s="143" t="n">
        <v>74</v>
      </c>
      <c r="X3" s="143"/>
      <c r="Y3" s="143"/>
      <c r="Z3" s="143"/>
      <c r="AA3" s="143"/>
      <c r="AB3" s="143"/>
      <c r="AC3" s="143"/>
      <c r="AD3" s="143"/>
      <c r="AE3" s="146"/>
      <c r="AF3" s="143"/>
    </row>
    <row r="4" customFormat="false" ht="12.75" hidden="false" customHeight="false" outlineLevel="0" collapsed="false">
      <c r="A4" s="142"/>
      <c r="B4" s="0"/>
      <c r="C4" s="0"/>
      <c r="D4" s="0"/>
      <c r="E4" s="0"/>
      <c r="F4" s="0"/>
      <c r="G4" s="0"/>
      <c r="H4" s="143"/>
      <c r="I4" s="143"/>
      <c r="J4" s="143"/>
      <c r="K4" s="143"/>
      <c r="L4" s="143"/>
      <c r="M4" s="143" t="s">
        <v>130</v>
      </c>
      <c r="N4" s="143" t="n">
        <f aca="false">100*50+100*50</f>
        <v>10000</v>
      </c>
      <c r="O4" s="143"/>
      <c r="P4" s="143"/>
      <c r="Q4" s="143"/>
      <c r="R4" s="143"/>
      <c r="S4" s="143"/>
      <c r="T4" s="143"/>
      <c r="U4" s="143"/>
      <c r="V4" s="146"/>
      <c r="W4" s="143"/>
      <c r="X4" s="143"/>
      <c r="Y4" s="143"/>
      <c r="Z4" s="143"/>
      <c r="AA4" s="143"/>
      <c r="AB4" s="143"/>
      <c r="AC4" s="143"/>
      <c r="AD4" s="143"/>
      <c r="AE4" s="146"/>
      <c r="AF4" s="143"/>
    </row>
    <row r="5" customFormat="false" ht="15.75" hidden="false" customHeight="false" outlineLevel="0" collapsed="false">
      <c r="A5" s="142"/>
      <c r="B5" s="151" t="s">
        <v>46</v>
      </c>
      <c r="C5" s="152"/>
      <c r="D5" s="152"/>
      <c r="E5" s="152"/>
      <c r="F5" s="152"/>
      <c r="G5" s="152"/>
      <c r="H5" s="152"/>
      <c r="I5" s="152"/>
      <c r="J5" s="153" t="s">
        <v>131</v>
      </c>
      <c r="K5" s="153"/>
      <c r="L5" s="153"/>
      <c r="M5" s="154" t="s">
        <v>48</v>
      </c>
      <c r="N5" s="154"/>
      <c r="O5" s="154"/>
      <c r="P5" s="154" t="s">
        <v>49</v>
      </c>
      <c r="Q5" s="154"/>
      <c r="R5" s="154"/>
      <c r="S5" s="155" t="s">
        <v>132</v>
      </c>
      <c r="T5" s="155"/>
      <c r="U5" s="155"/>
      <c r="V5" s="155"/>
      <c r="W5" s="143"/>
      <c r="X5" s="143"/>
      <c r="Y5" s="143"/>
      <c r="Z5" s="143"/>
      <c r="AA5" s="143"/>
      <c r="AB5" s="146"/>
      <c r="AC5" s="143"/>
    </row>
    <row r="6" customFormat="false" ht="15.75" hidden="false" customHeight="true" outlineLevel="0" collapsed="false">
      <c r="A6" s="142"/>
      <c r="B6" s="156"/>
      <c r="C6" s="152"/>
      <c r="D6" s="152"/>
      <c r="E6" s="152"/>
      <c r="F6" s="152"/>
      <c r="G6" s="152"/>
      <c r="H6" s="152"/>
      <c r="I6" s="152"/>
      <c r="J6" s="157"/>
      <c r="K6" s="157"/>
      <c r="L6" s="157"/>
      <c r="M6" s="158"/>
      <c r="N6" s="158"/>
      <c r="O6" s="158"/>
      <c r="P6" s="158"/>
      <c r="Q6" s="158"/>
      <c r="R6" s="158"/>
      <c r="S6" s="159" t="s">
        <v>133</v>
      </c>
      <c r="T6" s="160" t="s">
        <v>134</v>
      </c>
      <c r="U6" s="160"/>
      <c r="V6" s="161"/>
      <c r="W6" s="143"/>
      <c r="X6" s="143"/>
      <c r="Y6" s="143"/>
      <c r="Z6" s="143"/>
      <c r="AA6" s="143"/>
      <c r="AB6" s="146"/>
      <c r="AC6" s="143"/>
    </row>
    <row r="7" customFormat="false" ht="22.9" hidden="false" customHeight="true" outlineLevel="0" collapsed="false">
      <c r="A7" s="142"/>
      <c r="B7" s="162" t="s">
        <v>135</v>
      </c>
      <c r="D7" s="163"/>
      <c r="E7" s="163"/>
      <c r="F7" s="163"/>
      <c r="H7" s="163"/>
      <c r="I7" s="163"/>
      <c r="J7" s="163" t="s">
        <v>136</v>
      </c>
      <c r="K7" s="163" t="s">
        <v>53</v>
      </c>
      <c r="L7" s="163" t="s">
        <v>6</v>
      </c>
      <c r="M7" s="163" t="s">
        <v>136</v>
      </c>
      <c r="N7" s="163" t="s">
        <v>53</v>
      </c>
      <c r="O7" s="163" t="s">
        <v>6</v>
      </c>
      <c r="P7" s="163" t="s">
        <v>136</v>
      </c>
      <c r="Q7" s="163" t="s">
        <v>53</v>
      </c>
      <c r="R7" s="163" t="s">
        <v>6</v>
      </c>
      <c r="S7" s="159"/>
      <c r="T7" s="163" t="s">
        <v>137</v>
      </c>
      <c r="U7" s="163" t="s">
        <v>138</v>
      </c>
      <c r="V7" s="163" t="s">
        <v>4</v>
      </c>
      <c r="W7" s="163" t="s">
        <v>3</v>
      </c>
      <c r="X7" s="164"/>
      <c r="Y7" s="163"/>
      <c r="Z7" s="163" t="s">
        <v>139</v>
      </c>
      <c r="AA7" s="163" t="s">
        <v>53</v>
      </c>
      <c r="AB7" s="165" t="s">
        <v>140</v>
      </c>
      <c r="AC7" s="143"/>
    </row>
    <row r="8" customFormat="false" ht="13.5" hidden="false" customHeight="false" outlineLevel="0" collapsed="false">
      <c r="A8" s="142"/>
      <c r="B8" s="162" t="s">
        <v>141</v>
      </c>
      <c r="D8" s="166"/>
      <c r="E8" s="167"/>
      <c r="F8" s="167"/>
      <c r="H8" s="167"/>
      <c r="I8" s="167"/>
      <c r="J8" s="166" t="n">
        <v>1</v>
      </c>
      <c r="K8" s="167"/>
      <c r="L8" s="167"/>
      <c r="M8" s="168"/>
      <c r="N8" s="166" t="n">
        <v>72</v>
      </c>
      <c r="O8" s="167"/>
      <c r="P8" s="168"/>
      <c r="Q8" s="166" t="n">
        <v>61</v>
      </c>
      <c r="R8" s="167"/>
      <c r="S8" s="169" t="n">
        <f aca="false">+N8+Q8</f>
        <v>133</v>
      </c>
      <c r="U8" s="170" t="n">
        <f aca="false">N11*$N8+Q11*$Q8</f>
        <v>147145</v>
      </c>
      <c r="V8" s="163"/>
      <c r="W8" s="143"/>
      <c r="X8" s="164"/>
      <c r="Y8" s="163"/>
      <c r="Z8" s="163"/>
      <c r="AA8" s="171" t="n">
        <f aca="false">+S8</f>
        <v>133</v>
      </c>
      <c r="AB8" s="172" t="n">
        <f aca="false">S8*U8</f>
        <v>19570285</v>
      </c>
      <c r="AC8" s="143"/>
      <c r="AD8" s="141" t="n">
        <f aca="false">+Q8+N8</f>
        <v>133</v>
      </c>
    </row>
    <row r="9" customFormat="false" ht="13.5" hidden="false" customHeight="false" outlineLevel="0" collapsed="false">
      <c r="A9" s="142"/>
      <c r="B9" s="162" t="s">
        <v>142</v>
      </c>
      <c r="D9" s="166"/>
      <c r="E9" s="167"/>
      <c r="F9" s="167"/>
      <c r="H9" s="167"/>
      <c r="I9" s="167"/>
      <c r="J9" s="166"/>
      <c r="K9" s="167"/>
      <c r="L9" s="167"/>
      <c r="M9" s="168"/>
      <c r="N9" s="166" t="n">
        <v>73</v>
      </c>
      <c r="O9" s="167"/>
      <c r="P9" s="168"/>
      <c r="Q9" s="166" t="n">
        <v>61</v>
      </c>
      <c r="R9" s="167"/>
      <c r="S9" s="169" t="n">
        <f aca="false">+N9+Q9</f>
        <v>134</v>
      </c>
      <c r="U9" s="173" t="n">
        <f aca="false">+U8+K11</f>
        <v>148783</v>
      </c>
      <c r="V9" s="163"/>
      <c r="W9" s="143"/>
      <c r="X9" s="164"/>
      <c r="Y9" s="163"/>
      <c r="Z9" s="163"/>
      <c r="AA9" s="171"/>
      <c r="AB9" s="172"/>
      <c r="AC9" s="143"/>
    </row>
    <row r="10" customFormat="false" ht="13.5" hidden="false" customHeight="false" outlineLevel="0" collapsed="false">
      <c r="A10" s="142"/>
      <c r="B10" s="162" t="s">
        <v>143</v>
      </c>
      <c r="D10" s="166"/>
      <c r="E10" s="167"/>
      <c r="F10" s="167"/>
      <c r="H10" s="167"/>
      <c r="I10" s="167"/>
      <c r="J10" s="174" t="n">
        <f aca="false">J8/SM134Units</f>
        <v>0.0075187969924812</v>
      </c>
      <c r="K10" s="167"/>
      <c r="L10" s="167"/>
      <c r="M10" s="168"/>
      <c r="N10" s="175" t="n">
        <f aca="false">N8/SM134Units</f>
        <v>0.541353383458647</v>
      </c>
      <c r="O10" s="167"/>
      <c r="P10" s="168"/>
      <c r="Q10" s="175" t="n">
        <f aca="false">Q8/SM134Units</f>
        <v>0.458646616541353</v>
      </c>
      <c r="R10" s="167"/>
      <c r="S10" s="176" t="n">
        <f aca="false">+Q10+N10</f>
        <v>1</v>
      </c>
      <c r="T10" s="167"/>
      <c r="U10" s="167"/>
      <c r="V10" s="163"/>
      <c r="W10" s="143"/>
      <c r="X10" s="164"/>
      <c r="Y10" s="163"/>
      <c r="Z10" s="163"/>
      <c r="AA10" s="171"/>
      <c r="AB10" s="172"/>
      <c r="AC10" s="143"/>
    </row>
    <row r="11" customFormat="false" ht="13.5" hidden="false" customHeight="false" outlineLevel="0" collapsed="false">
      <c r="A11" s="142"/>
      <c r="B11" s="162" t="s">
        <v>144</v>
      </c>
      <c r="D11" s="166"/>
      <c r="E11" s="167"/>
      <c r="F11" s="166"/>
      <c r="H11" s="166"/>
      <c r="I11" s="167"/>
      <c r="J11" s="166"/>
      <c r="K11" s="177" t="n">
        <f aca="false">(186+654)+598+200</f>
        <v>1638</v>
      </c>
      <c r="L11" s="177" t="n">
        <f aca="false">+K11+517+68</f>
        <v>2223</v>
      </c>
      <c r="M11" s="177"/>
      <c r="N11" s="178" t="n">
        <f aca="false">1107-Adj2B</f>
        <v>1016</v>
      </c>
      <c r="O11" s="178" t="n">
        <f aca="false">N11</f>
        <v>1016</v>
      </c>
      <c r="P11" s="178"/>
      <c r="Q11" s="178" t="n">
        <f aca="false">1287-ADj3B</f>
        <v>1213</v>
      </c>
      <c r="R11" s="178" t="n">
        <f aca="false">+Q11+13+_3BGarage</f>
        <v>1506</v>
      </c>
      <c r="S11" s="169"/>
      <c r="V11" s="163"/>
      <c r="W11" s="143"/>
      <c r="X11" s="164"/>
      <c r="Y11" s="163"/>
      <c r="Z11" s="163"/>
      <c r="AA11" s="163"/>
      <c r="AB11" s="165"/>
      <c r="AC11" s="143"/>
    </row>
    <row r="12" customFormat="false" ht="13.5" hidden="false" customHeight="false" outlineLevel="0" collapsed="false">
      <c r="A12" s="142"/>
      <c r="B12" s="162" t="s">
        <v>145</v>
      </c>
      <c r="D12" s="177"/>
      <c r="E12" s="167"/>
      <c r="F12" s="177"/>
      <c r="H12" s="177"/>
      <c r="I12" s="167"/>
      <c r="J12" s="177"/>
      <c r="K12" s="177"/>
      <c r="L12" s="177"/>
      <c r="M12" s="177"/>
      <c r="N12" s="177" t="s">
        <v>146</v>
      </c>
      <c r="O12" s="177"/>
      <c r="P12" s="177"/>
      <c r="Q12" s="177" t="s">
        <v>147</v>
      </c>
      <c r="R12" s="177"/>
      <c r="S12" s="169"/>
      <c r="T12" s="177"/>
      <c r="U12" s="177"/>
      <c r="V12" s="163"/>
      <c r="W12" s="143"/>
      <c r="X12" s="164"/>
      <c r="Y12" s="163"/>
      <c r="Z12" s="163"/>
      <c r="AA12" s="163"/>
      <c r="AB12" s="165"/>
      <c r="AC12" s="143"/>
    </row>
    <row r="13" customFormat="false" ht="22.9" hidden="false" customHeight="true" outlineLevel="0" collapsed="false">
      <c r="A13" s="142"/>
      <c r="B13" s="179"/>
      <c r="D13" s="171"/>
      <c r="E13" s="163"/>
      <c r="F13" s="171"/>
      <c r="H13" s="171"/>
      <c r="I13" s="163"/>
      <c r="J13" s="171"/>
      <c r="K13" s="171"/>
      <c r="L13" s="171"/>
      <c r="M13" s="171"/>
      <c r="N13" s="171"/>
      <c r="O13" s="171"/>
      <c r="P13" s="171"/>
      <c r="Q13" s="171"/>
      <c r="R13" s="171"/>
      <c r="S13" s="165"/>
      <c r="T13" s="171"/>
      <c r="U13" s="171"/>
      <c r="V13" s="163"/>
      <c r="W13" s="143"/>
      <c r="X13" s="164"/>
      <c r="Y13" s="163"/>
      <c r="Z13" s="163"/>
      <c r="AA13" s="163"/>
      <c r="AB13" s="165"/>
      <c r="AC13" s="143"/>
    </row>
    <row r="14" customFormat="false" ht="12.75" hidden="false" customHeight="false" outlineLevel="0" collapsed="false">
      <c r="A14" s="142" t="s">
        <v>148</v>
      </c>
      <c r="B14" s="143" t="s">
        <v>149</v>
      </c>
      <c r="C14" s="180" t="n">
        <v>0.87</v>
      </c>
      <c r="D14" s="181" t="s">
        <v>138</v>
      </c>
      <c r="E14" s="181"/>
      <c r="F14" s="182"/>
      <c r="H14" s="182"/>
      <c r="I14" s="182"/>
      <c r="J14" s="183" t="n">
        <f aca="false">K14*J$8</f>
        <v>1425.06</v>
      </c>
      <c r="K14" s="183" t="n">
        <f aca="false">K$11*0.87</f>
        <v>1425.06</v>
      </c>
      <c r="L14" s="184" t="n">
        <f aca="false">+K14/K$11</f>
        <v>0.87</v>
      </c>
      <c r="M14" s="183" t="n">
        <f aca="false">N14*N$8</f>
        <v>63642.24</v>
      </c>
      <c r="N14" s="183" t="n">
        <f aca="false">N$11*0.87</f>
        <v>883.92</v>
      </c>
      <c r="O14" s="184" t="n">
        <f aca="false">+N14/N$11</f>
        <v>0.87</v>
      </c>
      <c r="P14" s="183" t="n">
        <f aca="false">Q14*Q$8</f>
        <v>64373.91</v>
      </c>
      <c r="Q14" s="183" t="n">
        <f aca="false">Q$11*0.87</f>
        <v>1055.31</v>
      </c>
      <c r="R14" s="184" t="n">
        <f aca="false">+Q14/Q$11</f>
        <v>0.87</v>
      </c>
      <c r="S14" s="185" t="n">
        <f aca="false">+P14+M14</f>
        <v>128016.15</v>
      </c>
      <c r="T14" s="183" t="n">
        <f aca="false">S14/S$8</f>
        <v>962.527443609023</v>
      </c>
      <c r="U14" s="184" t="n">
        <f aca="false">+S14/U$8</f>
        <v>0.87</v>
      </c>
      <c r="V14" s="186" t="n">
        <f aca="false">+S14/TotalCost</f>
        <v>0.0100707571991728</v>
      </c>
      <c r="W14" s="144" t="n">
        <f aca="false">+$S14/TotalValue</f>
        <v>0.00842627475787558</v>
      </c>
      <c r="X14" s="0"/>
      <c r="Y14" s="0"/>
      <c r="Z14" s="0"/>
      <c r="AA14" s="0"/>
      <c r="AB14" s="0"/>
      <c r="AC14" s="0"/>
    </row>
    <row r="15" customFormat="false" ht="12.75" hidden="false" customHeight="false" outlineLevel="0" collapsed="false">
      <c r="A15" s="142" t="s">
        <v>150</v>
      </c>
      <c r="B15" s="143" t="s">
        <v>151</v>
      </c>
      <c r="C15" s="187"/>
      <c r="D15" s="181"/>
      <c r="E15" s="181"/>
      <c r="F15" s="182"/>
      <c r="H15" s="182"/>
      <c r="I15" s="182"/>
      <c r="J15" s="187" t="n">
        <f aca="false">K15*J$8</f>
        <v>585.820895522388</v>
      </c>
      <c r="K15" s="187" t="n">
        <f aca="false">((68000+10500)/134)</f>
        <v>585.820895522388</v>
      </c>
      <c r="L15" s="182" t="n">
        <f aca="false">+K15/K$11</f>
        <v>0.357644014360432</v>
      </c>
      <c r="M15" s="187" t="n">
        <f aca="false">N15*N$8</f>
        <v>42179.1044776119</v>
      </c>
      <c r="N15" s="187" t="n">
        <f aca="false">((68000+10500)/134)</f>
        <v>585.820895522388</v>
      </c>
      <c r="O15" s="182" t="n">
        <f aca="false">+N15/N$11</f>
        <v>0.57659536960865</v>
      </c>
      <c r="P15" s="187" t="n">
        <f aca="false">Q15*Q$8</f>
        <v>35735.0746268657</v>
      </c>
      <c r="Q15" s="187" t="n">
        <f aca="false">((68000+10500)/134)</f>
        <v>585.820895522388</v>
      </c>
      <c r="R15" s="182" t="n">
        <f aca="false">+Q15/Q$11</f>
        <v>0.482952098534533</v>
      </c>
      <c r="S15" s="188" t="n">
        <f aca="false">+P15+M15</f>
        <v>77914.1791044776</v>
      </c>
      <c r="T15" s="189" t="n">
        <f aca="false">+S15/S$8</f>
        <v>585.820895522388</v>
      </c>
      <c r="U15" s="182" t="n">
        <f aca="false">+S15/U$8</f>
        <v>0.529506127319838</v>
      </c>
      <c r="V15" s="186" t="n">
        <f aca="false">+S15/TotalCost</f>
        <v>0.00612934211920965</v>
      </c>
      <c r="W15" s="144" t="n">
        <f aca="false">+$S15/TotalValue</f>
        <v>0.00512846449974208</v>
      </c>
      <c r="X15" s="0"/>
      <c r="Y15" s="0"/>
      <c r="Z15" s="0"/>
      <c r="AA15" s="0"/>
      <c r="AB15" s="0"/>
      <c r="AC15" s="0"/>
    </row>
    <row r="16" customFormat="false" ht="12.75" hidden="false" customHeight="false" outlineLevel="0" collapsed="false">
      <c r="A16" s="142"/>
      <c r="B16" s="143" t="s">
        <v>152</v>
      </c>
      <c r="C16" s="180" t="n">
        <v>0.15</v>
      </c>
      <c r="D16" s="181" t="s">
        <v>138</v>
      </c>
      <c r="E16" s="181"/>
      <c r="F16" s="182"/>
      <c r="H16" s="182"/>
      <c r="I16" s="182"/>
      <c r="J16" s="187" t="n">
        <f aca="false">K16*J$8</f>
        <v>220.088020833333</v>
      </c>
      <c r="K16" s="187" t="n">
        <f aca="false">$C16*MgrOffFirstFlr</f>
        <v>220.088020833333</v>
      </c>
      <c r="L16" s="182" t="n">
        <f aca="false">+K16/K$11</f>
        <v>0.134363871082621</v>
      </c>
      <c r="M16" s="187" t="n">
        <f aca="false">N16*N$8</f>
        <v>5721.375</v>
      </c>
      <c r="N16" s="187" t="n">
        <f aca="false">$C16*TwoBdrm_First_Flr</f>
        <v>79.4635416666667</v>
      </c>
      <c r="O16" s="182" t="n">
        <f aca="false">+N16/N$11</f>
        <v>0.0782121473097113</v>
      </c>
      <c r="P16" s="187" t="n">
        <f aca="false">Q16*Q$8</f>
        <v>7521.3</v>
      </c>
      <c r="Q16" s="187" t="n">
        <f aca="false">$C16*ThreeBdrm_First_Flr</f>
        <v>123.3</v>
      </c>
      <c r="R16" s="182" t="n">
        <f aca="false">+Q16/Q$11</f>
        <v>0.101648804616653</v>
      </c>
      <c r="S16" s="188" t="n">
        <f aca="false">+P16+M16</f>
        <v>13242.675</v>
      </c>
      <c r="T16" s="189" t="n">
        <f aca="false">+S16/S$8</f>
        <v>99.568984962406</v>
      </c>
      <c r="U16" s="182" t="n">
        <f aca="false">+S16/U$8</f>
        <v>0.0899974514934249</v>
      </c>
      <c r="V16" s="186" t="n">
        <f aca="false">+S16/TotalCost</f>
        <v>0.00104177296843059</v>
      </c>
      <c r="W16" s="144" t="n">
        <f aca="false">+$S16/TotalValue</f>
        <v>0.000871658912404802</v>
      </c>
      <c r="X16" s="0"/>
      <c r="Y16" s="0"/>
      <c r="Z16" s="0"/>
      <c r="AA16" s="0"/>
      <c r="AB16" s="0"/>
      <c r="AC16" s="0"/>
    </row>
    <row r="17" customFormat="false" ht="12.75" hidden="false" customHeight="false" outlineLevel="0" collapsed="false">
      <c r="A17" s="142" t="s">
        <v>153</v>
      </c>
      <c r="B17" s="143" t="s">
        <v>154</v>
      </c>
      <c r="C17" s="180" t="n">
        <f aca="false">0.42/100*60</f>
        <v>0.252</v>
      </c>
      <c r="D17" s="181" t="s">
        <v>155</v>
      </c>
      <c r="E17" s="181"/>
      <c r="F17" s="182"/>
      <c r="H17" s="182"/>
      <c r="I17" s="182"/>
      <c r="J17" s="187" t="n">
        <f aca="false">K17*J$8</f>
        <v>412.776</v>
      </c>
      <c r="K17" s="187" t="n">
        <f aca="false">0.42/100*60*K11</f>
        <v>412.776</v>
      </c>
      <c r="L17" s="182" t="n">
        <f aca="false">+K17/K$11</f>
        <v>0.252</v>
      </c>
      <c r="M17" s="187" t="n">
        <f aca="false">N17*N$8</f>
        <v>18434.304</v>
      </c>
      <c r="N17" s="187" t="n">
        <f aca="false">0.42/100*60*N11</f>
        <v>256.032</v>
      </c>
      <c r="O17" s="182" t="n">
        <f aca="false">+N17/N$11</f>
        <v>0.252</v>
      </c>
      <c r="P17" s="187" t="n">
        <f aca="false">Q17*Q$8</f>
        <v>18646.236</v>
      </c>
      <c r="Q17" s="187" t="n">
        <f aca="false">0.42/100*60*Q11</f>
        <v>305.676</v>
      </c>
      <c r="R17" s="182" t="n">
        <f aca="false">+Q17/Q$11</f>
        <v>0.252</v>
      </c>
      <c r="S17" s="188" t="n">
        <f aca="false">+P17+M17</f>
        <v>37080.54</v>
      </c>
      <c r="T17" s="189" t="n">
        <f aca="false">+S17/S$8</f>
        <v>278.801052631579</v>
      </c>
      <c r="U17" s="182" t="n">
        <f aca="false">+S17/U$8</f>
        <v>0.252</v>
      </c>
      <c r="V17" s="186" t="n">
        <f aca="false">+S17/TotalCost</f>
        <v>0.00291704691286386</v>
      </c>
      <c r="W17" s="144" t="n">
        <f aca="false">+$S17/TotalValue</f>
        <v>0.00244071406779845</v>
      </c>
      <c r="X17" s="0"/>
      <c r="Y17" s="0"/>
      <c r="Z17" s="0"/>
      <c r="AA17" s="0"/>
      <c r="AB17" s="0"/>
      <c r="AC17" s="0"/>
    </row>
    <row r="18" customFormat="false" ht="12.75" hidden="false" customHeight="false" outlineLevel="0" collapsed="false">
      <c r="A18" s="142" t="s">
        <v>156</v>
      </c>
      <c r="B18" s="143" t="s">
        <v>157</v>
      </c>
      <c r="C18" s="180" t="n">
        <v>88</v>
      </c>
      <c r="D18" s="181" t="s">
        <v>137</v>
      </c>
      <c r="E18" s="181"/>
      <c r="F18" s="182"/>
      <c r="H18" s="182"/>
      <c r="I18" s="182"/>
      <c r="J18" s="187" t="n">
        <f aca="false">K18*J$8</f>
        <v>96.8</v>
      </c>
      <c r="K18" s="187" t="n">
        <f aca="false">88*CMF</f>
        <v>96.8</v>
      </c>
      <c r="L18" s="182" t="n">
        <f aca="false">+K18/K$11</f>
        <v>0.0590964590964591</v>
      </c>
      <c r="M18" s="187" t="n">
        <f aca="false">N18*N$8</f>
        <v>6969.6</v>
      </c>
      <c r="N18" s="187" t="n">
        <f aca="false">88*CMF</f>
        <v>96.8</v>
      </c>
      <c r="O18" s="182" t="n">
        <f aca="false">+N18/N$11</f>
        <v>0.0952755905511811</v>
      </c>
      <c r="P18" s="187" t="n">
        <f aca="false">Q18*Q$8</f>
        <v>5904.8</v>
      </c>
      <c r="Q18" s="187" t="n">
        <f aca="false">88*CMF</f>
        <v>96.8</v>
      </c>
      <c r="R18" s="182" t="n">
        <f aca="false">+Q18/Q$11</f>
        <v>0.0798021434460017</v>
      </c>
      <c r="S18" s="188" t="n">
        <f aca="false">+P18+M18</f>
        <v>12874.4</v>
      </c>
      <c r="T18" s="189" t="n">
        <f aca="false">+S18/S$8</f>
        <v>96.8</v>
      </c>
      <c r="U18" s="182" t="n">
        <f aca="false">+S18/U$8</f>
        <v>0.0874946481361922</v>
      </c>
      <c r="V18" s="186" t="n">
        <f aca="false">+S18/TotalCost</f>
        <v>0.00101280156046742</v>
      </c>
      <c r="W18" s="144" t="n">
        <f aca="false">+$S18/TotalValue</f>
        <v>0.000847418327631267</v>
      </c>
      <c r="X18" s="0"/>
      <c r="Y18" s="0"/>
      <c r="Z18" s="0"/>
      <c r="AA18" s="0"/>
      <c r="AB18" s="0"/>
      <c r="AC18" s="0"/>
    </row>
    <row r="19" customFormat="false" ht="12.75" hidden="false" customHeight="false" outlineLevel="0" collapsed="false">
      <c r="A19" s="142" t="s">
        <v>156</v>
      </c>
      <c r="B19" s="143" t="s">
        <v>158</v>
      </c>
      <c r="C19" s="190"/>
      <c r="D19" s="181"/>
      <c r="E19" s="181"/>
      <c r="F19" s="182"/>
      <c r="H19" s="182"/>
      <c r="I19" s="182"/>
      <c r="J19" s="187" t="n">
        <f aca="false">K19*J$8</f>
        <v>1432.2</v>
      </c>
      <c r="K19" s="187" t="n">
        <f aca="false">1302*CMF</f>
        <v>1432.2</v>
      </c>
      <c r="L19" s="182" t="n">
        <f aca="false">+K19/K$11</f>
        <v>0.874358974358974</v>
      </c>
      <c r="M19" s="187" t="n">
        <f aca="false">N19*N$8</f>
        <v>103118.4</v>
      </c>
      <c r="N19" s="187" t="n">
        <f aca="false">1302*CMF</f>
        <v>1432.2</v>
      </c>
      <c r="O19" s="182" t="n">
        <f aca="false">+N19/N$11</f>
        <v>1.40964566929134</v>
      </c>
      <c r="P19" s="187" t="n">
        <f aca="false">Q19*Q$8</f>
        <v>87364.2</v>
      </c>
      <c r="Q19" s="187" t="n">
        <f aca="false">1302*CMF</f>
        <v>1432.2</v>
      </c>
      <c r="R19" s="182" t="n">
        <f aca="false">+Q19/Q$11</f>
        <v>1.18070898598516</v>
      </c>
      <c r="S19" s="188" t="n">
        <f aca="false">+P19+M19</f>
        <v>190482.6</v>
      </c>
      <c r="T19" s="189" t="n">
        <f aca="false">+S19/S$8</f>
        <v>1432.2</v>
      </c>
      <c r="U19" s="182" t="n">
        <f aca="false">+S19/U$8</f>
        <v>1.29452308946957</v>
      </c>
      <c r="V19" s="186" t="n">
        <f aca="false">+S19/TotalCost</f>
        <v>0.0149848594514611</v>
      </c>
      <c r="W19" s="144" t="n">
        <f aca="false">+$S19/TotalValue</f>
        <v>0.0125379393474535</v>
      </c>
      <c r="X19" s="0"/>
      <c r="Y19" s="0"/>
      <c r="Z19" s="0"/>
      <c r="AA19" s="0"/>
      <c r="AB19" s="0"/>
      <c r="AC19" s="0"/>
    </row>
    <row r="20" customFormat="false" ht="12.75" hidden="false" customHeight="false" outlineLevel="0" collapsed="false">
      <c r="A20" s="142"/>
      <c r="B20" s="191" t="s">
        <v>159</v>
      </c>
      <c r="C20" s="190" t="n">
        <v>5.5</v>
      </c>
      <c r="D20" s="181" t="s">
        <v>138</v>
      </c>
      <c r="E20" s="181"/>
      <c r="F20" s="182"/>
      <c r="H20" s="182"/>
      <c r="I20" s="182"/>
      <c r="J20" s="187" t="n">
        <f aca="false">K20*J$8</f>
        <v>8876.88350694445</v>
      </c>
      <c r="K20" s="187" t="n">
        <f aca="false">5.5*MgrOffFirstFlr*CMF</f>
        <v>8876.88350694445</v>
      </c>
      <c r="L20" s="182" t="n">
        <f aca="false">+K20/K$11</f>
        <v>5.41934280033239</v>
      </c>
      <c r="M20" s="187" t="n">
        <f aca="false">N20*N$8</f>
        <v>230762.125</v>
      </c>
      <c r="N20" s="187" t="n">
        <f aca="false">5.5*TwoBdrm_First_Flr*CMF</f>
        <v>3205.02951388889</v>
      </c>
      <c r="O20" s="182" t="n">
        <f aca="false">+N20/N$11</f>
        <v>3.15455660815836</v>
      </c>
      <c r="P20" s="187" t="n">
        <f aca="false">Q20*Q$8</f>
        <v>303359.1</v>
      </c>
      <c r="Q20" s="187" t="n">
        <f aca="false">5.5*ThreeBdrm_First_Flr*CMF</f>
        <v>4973.1</v>
      </c>
      <c r="R20" s="182" t="n">
        <f aca="false">+Q20/Q$11</f>
        <v>4.09983511953834</v>
      </c>
      <c r="S20" s="188" t="n">
        <f aca="false">+P20+M20</f>
        <v>534121.225</v>
      </c>
      <c r="T20" s="189" t="n">
        <f aca="false">+S20/S$8</f>
        <v>4015.94906015038</v>
      </c>
      <c r="U20" s="182" t="n">
        <f aca="false">+S20/U$8</f>
        <v>3.6298972102348</v>
      </c>
      <c r="V20" s="186" t="n">
        <f aca="false">+S20/TotalCost</f>
        <v>0.0420181763933673</v>
      </c>
      <c r="W20" s="144" t="n">
        <f aca="false">+$S20/TotalValue</f>
        <v>0.0351569094669937</v>
      </c>
      <c r="X20" s="0"/>
      <c r="Y20" s="0"/>
      <c r="Z20" s="0"/>
      <c r="AA20" s="0"/>
      <c r="AB20" s="0"/>
      <c r="AC20" s="0"/>
    </row>
    <row r="21" customFormat="false" ht="12.75" hidden="false" customHeight="false" outlineLevel="0" collapsed="false">
      <c r="A21" s="142" t="s">
        <v>160</v>
      </c>
      <c r="B21" s="142" t="s">
        <v>161</v>
      </c>
      <c r="C21" s="190"/>
      <c r="D21" s="181"/>
      <c r="E21" s="181"/>
      <c r="F21" s="182"/>
      <c r="H21" s="182"/>
      <c r="I21" s="182"/>
      <c r="M21" s="143"/>
      <c r="N21" s="143"/>
      <c r="O21" s="143"/>
      <c r="P21" s="143"/>
      <c r="Q21" s="143"/>
      <c r="R21" s="143"/>
      <c r="S21" s="146"/>
      <c r="T21" s="143"/>
      <c r="U21" s="182"/>
      <c r="V21" s="144"/>
      <c r="W21" s="144"/>
      <c r="X21" s="0"/>
      <c r="Y21" s="0"/>
      <c r="Z21" s="0"/>
      <c r="AA21" s="0"/>
      <c r="AB21" s="0"/>
      <c r="AC21" s="0"/>
    </row>
    <row r="22" customFormat="false" ht="12.75" hidden="false" customHeight="false" outlineLevel="0" collapsed="false">
      <c r="A22" s="142" t="s">
        <v>160</v>
      </c>
      <c r="B22" s="142" t="s">
        <v>162</v>
      </c>
      <c r="C22" s="190"/>
      <c r="D22" s="181"/>
      <c r="E22" s="181"/>
      <c r="F22" s="182"/>
      <c r="H22" s="182"/>
      <c r="I22" s="182"/>
      <c r="J22" s="187"/>
      <c r="K22" s="187"/>
      <c r="L22" s="182"/>
      <c r="M22" s="187"/>
      <c r="N22" s="187"/>
      <c r="O22" s="182"/>
      <c r="P22" s="187"/>
      <c r="Q22" s="187"/>
      <c r="R22" s="182"/>
      <c r="S22" s="188"/>
      <c r="T22" s="189"/>
      <c r="U22" s="182"/>
      <c r="V22" s="144"/>
      <c r="W22" s="144"/>
      <c r="X22" s="0"/>
      <c r="Y22" s="0"/>
      <c r="Z22" s="0"/>
      <c r="AA22" s="0"/>
      <c r="AB22" s="0"/>
      <c r="AC22" s="0"/>
    </row>
    <row r="23" customFormat="false" ht="12.75" hidden="false" customHeight="false" outlineLevel="0" collapsed="false">
      <c r="A23" s="142" t="s">
        <v>160</v>
      </c>
      <c r="B23" s="142" t="s">
        <v>163</v>
      </c>
      <c r="C23" s="190"/>
      <c r="D23" s="181"/>
      <c r="E23" s="181"/>
      <c r="F23" s="182"/>
      <c r="H23" s="182"/>
      <c r="I23" s="182"/>
      <c r="J23" s="187"/>
      <c r="K23" s="187"/>
      <c r="L23" s="182"/>
      <c r="M23" s="187"/>
      <c r="N23" s="187"/>
      <c r="O23" s="182"/>
      <c r="P23" s="187"/>
      <c r="Q23" s="187"/>
      <c r="R23" s="182"/>
      <c r="S23" s="188"/>
      <c r="T23" s="189"/>
      <c r="U23" s="182"/>
      <c r="V23" s="144"/>
      <c r="W23" s="144"/>
      <c r="X23" s="0"/>
      <c r="Y23" s="0"/>
      <c r="Z23" s="0"/>
      <c r="AA23" s="0"/>
      <c r="AB23" s="0"/>
      <c r="AC23" s="0"/>
    </row>
    <row r="24" customFormat="false" ht="12.75" hidden="false" customHeight="false" outlineLevel="0" collapsed="false">
      <c r="A24" s="142"/>
      <c r="B24" s="191" t="s">
        <v>164</v>
      </c>
      <c r="C24" s="190"/>
      <c r="D24" s="181"/>
      <c r="E24" s="181"/>
      <c r="F24" s="182"/>
      <c r="H24" s="182"/>
      <c r="I24" s="182"/>
      <c r="J24" s="187"/>
      <c r="K24" s="187"/>
      <c r="L24" s="182"/>
      <c r="M24" s="187"/>
      <c r="N24" s="187"/>
      <c r="O24" s="182"/>
      <c r="P24" s="187"/>
      <c r="Q24" s="187"/>
      <c r="R24" s="182"/>
      <c r="S24" s="188"/>
      <c r="T24" s="189"/>
      <c r="U24" s="182"/>
      <c r="V24" s="144"/>
      <c r="W24" s="144"/>
      <c r="X24" s="0"/>
      <c r="Y24" s="0"/>
      <c r="Z24" s="0"/>
      <c r="AA24" s="0"/>
      <c r="AB24" s="0"/>
      <c r="AC24" s="0"/>
    </row>
    <row r="25" customFormat="false" ht="12.75" hidden="false" customHeight="false" outlineLevel="0" collapsed="false">
      <c r="A25" s="142" t="s">
        <v>165</v>
      </c>
      <c r="B25" s="142" t="s">
        <v>166</v>
      </c>
      <c r="C25" s="187"/>
      <c r="D25" s="181"/>
      <c r="E25" s="181"/>
      <c r="F25" s="182"/>
      <c r="H25" s="182"/>
      <c r="I25" s="182"/>
      <c r="J25" s="187" t="n">
        <f aca="false">K25*J$8</f>
        <v>2232.45</v>
      </c>
      <c r="K25" s="187" t="n">
        <f aca="false">(13500+300-1500)/2*0.33*CMF</f>
        <v>2232.45</v>
      </c>
      <c r="L25" s="182" t="n">
        <f aca="false">+K25/K$11</f>
        <v>1.36291208791209</v>
      </c>
      <c r="M25" s="187" t="n">
        <f aca="false">N25*N$8</f>
        <v>165963.6</v>
      </c>
      <c r="N25" s="187" t="n">
        <f aca="false">(13500+300-1100)/2*0.33*CMF</f>
        <v>2305.05</v>
      </c>
      <c r="O25" s="182" t="n">
        <f aca="false">+N25/N$11</f>
        <v>2.26875</v>
      </c>
      <c r="P25" s="187" t="n">
        <f aca="false">Q25*Q$8</f>
        <v>152786.7</v>
      </c>
      <c r="Q25" s="187" t="n">
        <f aca="false">(13500+300)/2*0.33*CMF</f>
        <v>2504.7</v>
      </c>
      <c r="R25" s="182" t="n">
        <f aca="false">+Q25/Q$11</f>
        <v>2.06488046166529</v>
      </c>
      <c r="S25" s="188" t="n">
        <f aca="false">+P25+M25</f>
        <v>318750.3</v>
      </c>
      <c r="T25" s="189" t="n">
        <f aca="false">+S25/S$8</f>
        <v>2396.61879699248</v>
      </c>
      <c r="U25" s="182" t="n">
        <f aca="false">+S25/U$8</f>
        <v>2.16623262768018</v>
      </c>
      <c r="V25" s="186" t="n">
        <f aca="false">+S25/TotalCost</f>
        <v>0.0250754055520612</v>
      </c>
      <c r="W25" s="144" t="n">
        <f aca="false">+$S25/TotalValue</f>
        <v>0.0209807716210437</v>
      </c>
      <c r="X25" s="0"/>
      <c r="Y25" s="0"/>
      <c r="Z25" s="0"/>
      <c r="AA25" s="0"/>
      <c r="AB25" s="0"/>
      <c r="AC25" s="0"/>
    </row>
    <row r="26" customFormat="false" ht="12.75" hidden="false" customHeight="false" outlineLevel="0" collapsed="false">
      <c r="A26" s="142" t="s">
        <v>167</v>
      </c>
      <c r="B26" s="142" t="s">
        <v>168</v>
      </c>
      <c r="C26" s="187"/>
      <c r="D26" s="181"/>
      <c r="E26" s="181"/>
      <c r="F26" s="182"/>
      <c r="H26" s="182"/>
      <c r="I26" s="182"/>
      <c r="J26" s="187" t="n">
        <f aca="false">K26*J$8</f>
        <v>2232.45</v>
      </c>
      <c r="K26" s="187" t="n">
        <f aca="false">(13500+300-1500)/2*0.33*CMF</f>
        <v>2232.45</v>
      </c>
      <c r="L26" s="182" t="n">
        <f aca="false">+K26/K$11</f>
        <v>1.36291208791209</v>
      </c>
      <c r="M26" s="187" t="n">
        <f aca="false">N26*N$8</f>
        <v>165963.6</v>
      </c>
      <c r="N26" s="187" t="n">
        <f aca="false">(13500+300-1100)/2*0.33*CMF</f>
        <v>2305.05</v>
      </c>
      <c r="O26" s="182" t="n">
        <f aca="false">+N26/N$11</f>
        <v>2.26875</v>
      </c>
      <c r="P26" s="187" t="n">
        <f aca="false">Q26*Q$8</f>
        <v>152786.7</v>
      </c>
      <c r="Q26" s="187" t="n">
        <f aca="false">(13500+300)/2*0.33*CMF</f>
        <v>2504.7</v>
      </c>
      <c r="R26" s="182" t="n">
        <f aca="false">+Q26/Q$11</f>
        <v>2.06488046166529</v>
      </c>
      <c r="S26" s="188" t="n">
        <f aca="false">+P26+M26</f>
        <v>318750.3</v>
      </c>
      <c r="T26" s="189" t="n">
        <f aca="false">+S26/S$8</f>
        <v>2396.61879699248</v>
      </c>
      <c r="U26" s="182" t="n">
        <f aca="false">+S26/U$8</f>
        <v>2.16623262768018</v>
      </c>
      <c r="V26" s="186" t="n">
        <f aca="false">+S26/TotalCost</f>
        <v>0.0250754055520612</v>
      </c>
      <c r="W26" s="144" t="n">
        <f aca="false">+$S26/TotalValue</f>
        <v>0.0209807716210437</v>
      </c>
      <c r="X26" s="0"/>
      <c r="Y26" s="0"/>
      <c r="Z26" s="0"/>
      <c r="AA26" s="0"/>
      <c r="AB26" s="0"/>
      <c r="AC26" s="0"/>
    </row>
    <row r="27" customFormat="false" ht="12.75" hidden="false" customHeight="false" outlineLevel="0" collapsed="false">
      <c r="A27" s="142" t="s">
        <v>167</v>
      </c>
      <c r="B27" s="142" t="s">
        <v>169</v>
      </c>
      <c r="C27" s="187"/>
      <c r="D27" s="181"/>
      <c r="E27" s="181"/>
      <c r="F27" s="182"/>
      <c r="H27" s="182"/>
      <c r="I27" s="182"/>
      <c r="J27" s="187" t="n">
        <f aca="false">K27*J$8</f>
        <v>2232.45</v>
      </c>
      <c r="K27" s="187" t="n">
        <f aca="false">(13500+300-1500)/2*0.33*CMF</f>
        <v>2232.45</v>
      </c>
      <c r="L27" s="182" t="n">
        <f aca="false">+K27/K$11</f>
        <v>1.36291208791209</v>
      </c>
      <c r="M27" s="187" t="n">
        <f aca="false">N27*N$8</f>
        <v>165963.6</v>
      </c>
      <c r="N27" s="187" t="n">
        <f aca="false">(13500+300-1100)/2*0.33*CMF</f>
        <v>2305.05</v>
      </c>
      <c r="O27" s="182" t="n">
        <f aca="false">+N27/N$11</f>
        <v>2.26875</v>
      </c>
      <c r="P27" s="187" t="n">
        <f aca="false">Q27*Q$8</f>
        <v>152786.7</v>
      </c>
      <c r="Q27" s="187" t="n">
        <f aca="false">(13500+300)/2*0.33*CMF</f>
        <v>2504.7</v>
      </c>
      <c r="R27" s="182" t="n">
        <f aca="false">+Q27/Q$11</f>
        <v>2.06488046166529</v>
      </c>
      <c r="S27" s="188" t="n">
        <f aca="false">+P27+M27</f>
        <v>318750.3</v>
      </c>
      <c r="T27" s="189" t="n">
        <f aca="false">+S27/S$8</f>
        <v>2396.61879699248</v>
      </c>
      <c r="U27" s="182" t="n">
        <f aca="false">+S27/U$8</f>
        <v>2.16623262768018</v>
      </c>
      <c r="V27" s="186" t="n">
        <f aca="false">+S27/TotalCost</f>
        <v>0.0250754055520612</v>
      </c>
      <c r="W27" s="144" t="n">
        <f aca="false">+$S27/TotalValue</f>
        <v>0.0209807716210437</v>
      </c>
      <c r="X27" s="0"/>
      <c r="Y27" s="0"/>
      <c r="Z27" s="0"/>
      <c r="AA27" s="0"/>
      <c r="AB27" s="0"/>
      <c r="AC27" s="0"/>
    </row>
    <row r="28" customFormat="false" ht="12.75" hidden="false" customHeight="false" outlineLevel="0" collapsed="false">
      <c r="A28" s="142"/>
      <c r="B28" s="191" t="s">
        <v>170</v>
      </c>
      <c r="C28" s="190" t="n">
        <f aca="false">SUM(C29:C32)</f>
        <v>3.4</v>
      </c>
      <c r="D28" s="181" t="s">
        <v>138</v>
      </c>
      <c r="E28" s="181"/>
      <c r="F28" s="182" t="n">
        <f aca="false">E28/1376</f>
        <v>0</v>
      </c>
      <c r="H28" s="182"/>
      <c r="I28" s="182"/>
      <c r="J28" s="187"/>
      <c r="K28" s="187"/>
      <c r="L28" s="182"/>
      <c r="M28" s="187"/>
      <c r="N28" s="187"/>
      <c r="O28" s="182"/>
      <c r="P28" s="187"/>
      <c r="Q28" s="187"/>
      <c r="R28" s="182"/>
      <c r="S28" s="188"/>
      <c r="T28" s="189"/>
      <c r="U28" s="182" t="n">
        <f aca="false">+S28/U$8</f>
        <v>0</v>
      </c>
      <c r="V28" s="144"/>
      <c r="W28" s="144"/>
      <c r="X28" s="0"/>
      <c r="Y28" s="0"/>
      <c r="Z28" s="0"/>
      <c r="AA28" s="0"/>
      <c r="AB28" s="0"/>
      <c r="AC28" s="0"/>
    </row>
    <row r="29" customFormat="false" ht="12.75" hidden="false" customHeight="false" outlineLevel="0" collapsed="false">
      <c r="A29" s="142" t="s">
        <v>171</v>
      </c>
      <c r="B29" s="142" t="s">
        <v>172</v>
      </c>
      <c r="C29" s="180" t="n">
        <v>0.88</v>
      </c>
      <c r="D29" s="181"/>
      <c r="E29" s="181"/>
      <c r="F29" s="182"/>
      <c r="H29" s="182"/>
      <c r="I29" s="182"/>
      <c r="J29" s="187" t="n">
        <f aca="false">K29*J$8</f>
        <v>2151.864</v>
      </c>
      <c r="K29" s="187" t="n">
        <f aca="false">L$11*$C29*CMF</f>
        <v>2151.864</v>
      </c>
      <c r="L29" s="182" t="n">
        <f aca="false">+K29/K$11</f>
        <v>1.31371428571429</v>
      </c>
      <c r="M29" s="187" t="n">
        <f aca="false">N29*N$8</f>
        <v>70811.136</v>
      </c>
      <c r="N29" s="187" t="n">
        <f aca="false">O$11*$C29*CMF</f>
        <v>983.488</v>
      </c>
      <c r="O29" s="182" t="n">
        <f aca="false">+N29/N$11</f>
        <v>0.968</v>
      </c>
      <c r="P29" s="187" t="n">
        <f aca="false">Q29*Q$8</f>
        <v>88926.288</v>
      </c>
      <c r="Q29" s="187" t="n">
        <f aca="false">R$11*$C29*CMF</f>
        <v>1457.808</v>
      </c>
      <c r="R29" s="182" t="n">
        <f aca="false">+Q29/Q$11</f>
        <v>1.20182028029678</v>
      </c>
      <c r="S29" s="188" t="n">
        <f aca="false">+P29+M29</f>
        <v>159737.424</v>
      </c>
      <c r="T29" s="189" t="n">
        <f aca="false">+S29/S$8</f>
        <v>1201.03326315789</v>
      </c>
      <c r="U29" s="182" t="n">
        <f aca="false">+S29/U$8</f>
        <v>1.0855783342961</v>
      </c>
      <c r="V29" s="186" t="n">
        <f aca="false">+S29/TotalCost</f>
        <v>0.0125662020981362</v>
      </c>
      <c r="W29" s="144" t="n">
        <f aca="false">+$S29/TotalValue</f>
        <v>0.0105142313976734</v>
      </c>
      <c r="X29" s="0"/>
      <c r="Y29" s="0"/>
      <c r="Z29" s="0"/>
      <c r="AA29" s="0"/>
      <c r="AB29" s="0"/>
      <c r="AC29" s="0"/>
    </row>
    <row r="30" customFormat="false" ht="12.75" hidden="false" customHeight="false" outlineLevel="0" collapsed="false">
      <c r="A30" s="142" t="s">
        <v>171</v>
      </c>
      <c r="B30" s="142" t="s">
        <v>173</v>
      </c>
      <c r="C30" s="180" t="n">
        <v>0.88</v>
      </c>
      <c r="D30" s="181"/>
      <c r="E30" s="181"/>
      <c r="F30" s="182"/>
      <c r="H30" s="182"/>
      <c r="I30" s="182"/>
      <c r="J30" s="187" t="n">
        <f aca="false">K30*J$8</f>
        <v>2151.864</v>
      </c>
      <c r="K30" s="187" t="n">
        <f aca="false">L$11*$C30*CMF</f>
        <v>2151.864</v>
      </c>
      <c r="L30" s="182" t="n">
        <f aca="false">+K30/K$11</f>
        <v>1.31371428571429</v>
      </c>
      <c r="M30" s="187" t="n">
        <f aca="false">N30*N$8</f>
        <v>70811.136</v>
      </c>
      <c r="N30" s="187" t="n">
        <f aca="false">O$11*$C30*CMF</f>
        <v>983.488</v>
      </c>
      <c r="O30" s="182" t="n">
        <f aca="false">+N30/N$11</f>
        <v>0.968</v>
      </c>
      <c r="P30" s="187" t="n">
        <f aca="false">Q30*Q$8</f>
        <v>88926.288</v>
      </c>
      <c r="Q30" s="187" t="n">
        <f aca="false">R$11*$C30*CMF</f>
        <v>1457.808</v>
      </c>
      <c r="R30" s="182" t="n">
        <f aca="false">+Q30/Q$11</f>
        <v>1.20182028029678</v>
      </c>
      <c r="S30" s="188" t="n">
        <f aca="false">+P30+M30</f>
        <v>159737.424</v>
      </c>
      <c r="T30" s="189" t="n">
        <f aca="false">+S30/S$8</f>
        <v>1201.03326315789</v>
      </c>
      <c r="U30" s="182" t="n">
        <f aca="false">+S30/U$8</f>
        <v>1.0855783342961</v>
      </c>
      <c r="V30" s="186" t="n">
        <f aca="false">+S30/TotalCost</f>
        <v>0.0125662020981362</v>
      </c>
      <c r="W30" s="144" t="n">
        <f aca="false">+$S30/TotalValue</f>
        <v>0.0105142313976734</v>
      </c>
      <c r="X30" s="0"/>
      <c r="Y30" s="0"/>
      <c r="Z30" s="0"/>
      <c r="AA30" s="0"/>
      <c r="AB30" s="0"/>
      <c r="AC30" s="0"/>
    </row>
    <row r="31" customFormat="false" ht="12.75" hidden="false" customHeight="false" outlineLevel="0" collapsed="false">
      <c r="A31" s="142" t="s">
        <v>171</v>
      </c>
      <c r="B31" s="142" t="s">
        <v>174</v>
      </c>
      <c r="C31" s="180" t="n">
        <v>0.35</v>
      </c>
      <c r="D31" s="181"/>
      <c r="E31" s="181"/>
      <c r="F31" s="182"/>
      <c r="H31" s="182"/>
      <c r="I31" s="182"/>
      <c r="J31" s="187" t="n">
        <f aca="false">K31*J$8</f>
        <v>855.855</v>
      </c>
      <c r="K31" s="187" t="n">
        <f aca="false">L$11*$C31*CMF</f>
        <v>855.855</v>
      </c>
      <c r="L31" s="182" t="n">
        <f aca="false">+K31/K$11</f>
        <v>0.5225</v>
      </c>
      <c r="M31" s="187" t="n">
        <f aca="false">N31*N$8</f>
        <v>28163.52</v>
      </c>
      <c r="N31" s="187" t="n">
        <f aca="false">O$11*$C31*CMF</f>
        <v>391.16</v>
      </c>
      <c r="O31" s="182" t="n">
        <f aca="false">+N31/N$11</f>
        <v>0.385</v>
      </c>
      <c r="P31" s="187" t="n">
        <f aca="false">Q31*Q$8</f>
        <v>35368.41</v>
      </c>
      <c r="Q31" s="187" t="n">
        <f aca="false">R$11*$C31*CMF</f>
        <v>579.81</v>
      </c>
      <c r="R31" s="182" t="n">
        <f aca="false">+Q31/Q$11</f>
        <v>0.477996702390767</v>
      </c>
      <c r="S31" s="188" t="n">
        <f aca="false">+P31+M31</f>
        <v>63531.93</v>
      </c>
      <c r="T31" s="189" t="n">
        <f aca="false">+S31/S$8</f>
        <v>477.683684210526</v>
      </c>
      <c r="U31" s="182" t="n">
        <f aca="false">+S31/U$8</f>
        <v>0.431764110231404</v>
      </c>
      <c r="V31" s="186" t="n">
        <f aca="false">+S31/TotalCost</f>
        <v>0.00499792128903146</v>
      </c>
      <c r="W31" s="144" t="n">
        <f aca="false">+$S31/TotalValue</f>
        <v>0.00418179657862011</v>
      </c>
      <c r="X31" s="0"/>
      <c r="Y31" s="0"/>
      <c r="Z31" s="0"/>
      <c r="AA31" s="0"/>
      <c r="AB31" s="0"/>
      <c r="AC31" s="0"/>
    </row>
    <row r="32" customFormat="false" ht="12.75" hidden="false" customHeight="false" outlineLevel="0" collapsed="false">
      <c r="A32" s="142" t="s">
        <v>175</v>
      </c>
      <c r="B32" s="142" t="s">
        <v>176</v>
      </c>
      <c r="C32" s="180" t="n">
        <v>1.29</v>
      </c>
      <c r="D32" s="181"/>
      <c r="E32" s="181"/>
      <c r="F32" s="182"/>
      <c r="H32" s="182"/>
      <c r="I32" s="182"/>
      <c r="J32" s="187" t="n">
        <f aca="false">K32*J$8</f>
        <v>3154.437</v>
      </c>
      <c r="K32" s="187" t="n">
        <f aca="false">L$11*$C32*CMF</f>
        <v>3154.437</v>
      </c>
      <c r="L32" s="182" t="n">
        <f aca="false">+K32/K$11</f>
        <v>1.92578571428571</v>
      </c>
      <c r="M32" s="187" t="n">
        <f aca="false">N32*N$8</f>
        <v>103802.688</v>
      </c>
      <c r="N32" s="187" t="n">
        <f aca="false">O$11*$C32*CMF</f>
        <v>1441.704</v>
      </c>
      <c r="O32" s="182" t="n">
        <f aca="false">+N32/N$11</f>
        <v>1.419</v>
      </c>
      <c r="P32" s="187" t="n">
        <f aca="false">Q32*Q$8</f>
        <v>130357.854</v>
      </c>
      <c r="Q32" s="187" t="n">
        <f aca="false">R$11*$C32*CMF</f>
        <v>2137.014</v>
      </c>
      <c r="R32" s="182" t="n">
        <f aca="false">+Q32/Q$11</f>
        <v>1.76175927452597</v>
      </c>
      <c r="S32" s="188" t="n">
        <f aca="false">(P32+M32)*0.5</f>
        <v>117080.271</v>
      </c>
      <c r="T32" s="189" t="n">
        <f aca="false">+S32/S$8</f>
        <v>880.302789473684</v>
      </c>
      <c r="U32" s="182" t="n">
        <f aca="false">+S32/U$8</f>
        <v>0.795679574569303</v>
      </c>
      <c r="V32" s="186" t="n">
        <f aca="false">+S32/TotalCost</f>
        <v>0.00921045494692941</v>
      </c>
      <c r="W32" s="144" t="n">
        <f aca="false">+$S32/TotalValue</f>
        <v>0.00770645369488563</v>
      </c>
      <c r="X32" s="0"/>
      <c r="Y32" s="0"/>
      <c r="Z32" s="0"/>
      <c r="AA32" s="0"/>
      <c r="AB32" s="0"/>
      <c r="AC32" s="0"/>
    </row>
    <row r="33" customFormat="false" ht="12.75" hidden="false" customHeight="false" outlineLevel="0" collapsed="false">
      <c r="A33" s="142"/>
      <c r="B33" s="191" t="s">
        <v>177</v>
      </c>
      <c r="C33" s="190"/>
      <c r="D33" s="181"/>
      <c r="E33" s="181"/>
      <c r="F33" s="182"/>
      <c r="H33" s="182"/>
      <c r="I33" s="182"/>
      <c r="J33" s="187"/>
      <c r="K33" s="192"/>
      <c r="L33" s="182"/>
      <c r="M33" s="187"/>
      <c r="N33" s="187"/>
      <c r="O33" s="182"/>
      <c r="P33" s="187"/>
      <c r="Q33" s="187"/>
      <c r="R33" s="182"/>
      <c r="S33" s="189"/>
      <c r="T33" s="189"/>
      <c r="U33" s="182"/>
      <c r="V33" s="144"/>
      <c r="W33" s="144"/>
      <c r="X33" s="0"/>
      <c r="Y33" s="0"/>
      <c r="Z33" s="0"/>
      <c r="AA33" s="0"/>
      <c r="AB33" s="0"/>
      <c r="AC33" s="0"/>
    </row>
    <row r="34" customFormat="false" ht="12.75" hidden="false" customHeight="false" outlineLevel="0" collapsed="false">
      <c r="A34" s="142" t="s">
        <v>171</v>
      </c>
      <c r="B34" s="142" t="s">
        <v>178</v>
      </c>
      <c r="C34" s="193" t="n">
        <v>2.37</v>
      </c>
      <c r="D34" s="181" t="s">
        <v>138</v>
      </c>
      <c r="E34" s="194"/>
      <c r="F34" s="182"/>
      <c r="H34" s="182"/>
      <c r="I34" s="182"/>
      <c r="J34" s="187" t="n">
        <f aca="false">K34*J$8</f>
        <v>4270.266</v>
      </c>
      <c r="K34" s="187" t="n">
        <f aca="false">K$11*2.37*CMF</f>
        <v>4270.266</v>
      </c>
      <c r="L34" s="182" t="n">
        <f aca="false">+K34/K$11</f>
        <v>2.607</v>
      </c>
      <c r="M34" s="187" t="n">
        <f aca="false">N34*N$8</f>
        <v>190707.264</v>
      </c>
      <c r="N34" s="187" t="n">
        <f aca="false">N$11*2.37*CMF</f>
        <v>2648.712</v>
      </c>
      <c r="O34" s="182" t="n">
        <f aca="false">+N34/N$11</f>
        <v>2.607</v>
      </c>
      <c r="P34" s="187" t="n">
        <f aca="false">Q34*Q$8</f>
        <v>192899.751</v>
      </c>
      <c r="Q34" s="187" t="n">
        <f aca="false">Q$11*2.37*CMF</f>
        <v>3162.291</v>
      </c>
      <c r="R34" s="182" t="n">
        <f aca="false">+Q34/Q$11</f>
        <v>2.607</v>
      </c>
      <c r="S34" s="188" t="n">
        <f aca="false">+P34+M34</f>
        <v>383607.015</v>
      </c>
      <c r="T34" s="189" t="n">
        <f aca="false">+S34/S$8</f>
        <v>2884.26327067669</v>
      </c>
      <c r="U34" s="182" t="n">
        <f aca="false">+S34/U$8</f>
        <v>2.607</v>
      </c>
      <c r="V34" s="186" t="n">
        <f aca="false">+S34/TotalCost</f>
        <v>0.0301775448485559</v>
      </c>
      <c r="W34" s="144" t="n">
        <f aca="false">+$S34/TotalValue</f>
        <v>0.025249768153772</v>
      </c>
      <c r="X34" s="0"/>
      <c r="Y34" s="0"/>
      <c r="Z34" s="0"/>
      <c r="AA34" s="0"/>
      <c r="AB34" s="0"/>
      <c r="AC34" s="0"/>
    </row>
    <row r="35" customFormat="false" ht="12.75" hidden="false" customHeight="false" outlineLevel="0" collapsed="false">
      <c r="A35" s="142" t="s">
        <v>171</v>
      </c>
      <c r="B35" s="142" t="s">
        <v>179</v>
      </c>
      <c r="C35" s="193" t="n">
        <v>2.12</v>
      </c>
      <c r="D35" s="181" t="s">
        <v>138</v>
      </c>
      <c r="E35" s="194"/>
      <c r="F35" s="182"/>
      <c r="H35" s="182"/>
      <c r="I35" s="182"/>
      <c r="J35" s="187" t="n">
        <f aca="false">K35*J$8</f>
        <v>3819.816</v>
      </c>
      <c r="K35" s="187" t="n">
        <f aca="false">K$11*2.12*CMF</f>
        <v>3819.816</v>
      </c>
      <c r="L35" s="182" t="n">
        <f aca="false">+K35/K$11</f>
        <v>2.332</v>
      </c>
      <c r="M35" s="187" t="n">
        <f aca="false">N35*N$8</f>
        <v>170590.464</v>
      </c>
      <c r="N35" s="187" t="n">
        <f aca="false">N$11*2.12*CMF</f>
        <v>2369.312</v>
      </c>
      <c r="O35" s="182" t="n">
        <f aca="false">+N35/N$11</f>
        <v>2.332</v>
      </c>
      <c r="P35" s="187" t="n">
        <f aca="false">Q35*Q$8</f>
        <v>172551.676</v>
      </c>
      <c r="Q35" s="187" t="n">
        <f aca="false">Q$11*2.12*CMF</f>
        <v>2828.716</v>
      </c>
      <c r="R35" s="182" t="n">
        <f aca="false">+Q35/Q$11</f>
        <v>2.332</v>
      </c>
      <c r="S35" s="188" t="n">
        <f aca="false">+P35+M35</f>
        <v>343142.14</v>
      </c>
      <c r="T35" s="189" t="n">
        <f aca="false">+S35/S$8</f>
        <v>2580.01609022556</v>
      </c>
      <c r="U35" s="182" t="n">
        <f aca="false">+S35/U$8</f>
        <v>2.332</v>
      </c>
      <c r="V35" s="186" t="n">
        <f aca="false">+S35/TotalCost</f>
        <v>0.0269942595269782</v>
      </c>
      <c r="W35" s="144" t="n">
        <f aca="false">+$S35/TotalValue</f>
        <v>0.0225862905004205</v>
      </c>
      <c r="X35" s="0"/>
      <c r="Y35" s="0"/>
      <c r="Z35" s="0"/>
      <c r="AA35" s="0"/>
      <c r="AB35" s="0"/>
      <c r="AC35" s="0"/>
    </row>
    <row r="36" customFormat="false" ht="12.75" hidden="false" customHeight="false" outlineLevel="0" collapsed="false">
      <c r="A36" s="142" t="s">
        <v>171</v>
      </c>
      <c r="B36" s="142" t="s">
        <v>180</v>
      </c>
      <c r="C36" s="195" t="n">
        <f aca="false">5.5*0.3</f>
        <v>1.65</v>
      </c>
      <c r="D36" s="181" t="s">
        <v>138</v>
      </c>
      <c r="E36" s="194"/>
      <c r="F36" s="182"/>
      <c r="H36" s="182"/>
      <c r="I36" s="182"/>
      <c r="J36" s="187" t="n">
        <f aca="false">K36*J$8</f>
        <v>2972.97</v>
      </c>
      <c r="K36" s="187" t="n">
        <f aca="false">K$11*5.5*CMF*0.3</f>
        <v>2972.97</v>
      </c>
      <c r="L36" s="182" t="n">
        <f aca="false">+K36/K$11</f>
        <v>1.815</v>
      </c>
      <c r="M36" s="187" t="n">
        <f aca="false">N36*N$8</f>
        <v>132770.88</v>
      </c>
      <c r="N36" s="187" t="n">
        <f aca="false">N$11*5.5*CMF*0.3</f>
        <v>1844.04</v>
      </c>
      <c r="O36" s="182" t="n">
        <f aca="false">+N36/N$11</f>
        <v>1.815</v>
      </c>
      <c r="P36" s="187" t="n">
        <f aca="false">Q36*Q$8</f>
        <v>134297.295</v>
      </c>
      <c r="Q36" s="187" t="n">
        <f aca="false">Q$11*5.5*CMF*0.3</f>
        <v>2201.595</v>
      </c>
      <c r="R36" s="182" t="n">
        <f aca="false">+Q36/Q$11</f>
        <v>1.815</v>
      </c>
      <c r="S36" s="188" t="n">
        <f aca="false">+P36+M36</f>
        <v>267068.175</v>
      </c>
      <c r="T36" s="189" t="n">
        <f aca="false">+S36/S$8</f>
        <v>2008.03139097744</v>
      </c>
      <c r="U36" s="182" t="n">
        <f aca="false">+S36/U$8</f>
        <v>1.815</v>
      </c>
      <c r="V36" s="186" t="n">
        <f aca="false">+S36/TotalCost</f>
        <v>0.0210096831224123</v>
      </c>
      <c r="W36" s="144" t="n">
        <f aca="false">+$S36/TotalValue</f>
        <v>0.0175789525121198</v>
      </c>
      <c r="X36" s="0"/>
      <c r="Y36" s="0"/>
      <c r="Z36" s="0"/>
      <c r="AA36" s="0"/>
      <c r="AB36" s="0"/>
      <c r="AC36" s="0"/>
    </row>
    <row r="37" customFormat="false" ht="12.75" hidden="false" customHeight="false" outlineLevel="0" collapsed="false">
      <c r="A37" s="142" t="s">
        <v>171</v>
      </c>
      <c r="B37" s="142" t="s">
        <v>181</v>
      </c>
      <c r="C37" s="195" t="n">
        <f aca="false">5.5*0.3</f>
        <v>1.65</v>
      </c>
      <c r="D37" s="181" t="s">
        <v>138</v>
      </c>
      <c r="E37" s="194"/>
      <c r="F37" s="182"/>
      <c r="H37" s="182"/>
      <c r="I37" s="182"/>
      <c r="J37" s="187" t="n">
        <f aca="false">K37*J$8</f>
        <v>2972.97</v>
      </c>
      <c r="K37" s="187" t="n">
        <f aca="false">K$11*5.5*CMF*0.3</f>
        <v>2972.97</v>
      </c>
      <c r="L37" s="182" t="n">
        <f aca="false">+K37/K$11</f>
        <v>1.815</v>
      </c>
      <c r="M37" s="187" t="n">
        <f aca="false">N37*N$8</f>
        <v>132770.88</v>
      </c>
      <c r="N37" s="187" t="n">
        <f aca="false">N$11*5.5*CMF*0.3</f>
        <v>1844.04</v>
      </c>
      <c r="O37" s="182" t="n">
        <f aca="false">+N37/N$11</f>
        <v>1.815</v>
      </c>
      <c r="P37" s="187" t="n">
        <f aca="false">Q37*Q$8</f>
        <v>134297.295</v>
      </c>
      <c r="Q37" s="187" t="n">
        <f aca="false">Q$11*5.5*CMF*0.3</f>
        <v>2201.595</v>
      </c>
      <c r="R37" s="182" t="n">
        <f aca="false">+Q37/Q$11</f>
        <v>1.815</v>
      </c>
      <c r="S37" s="188" t="n">
        <f aca="false">+P37+M37</f>
        <v>267068.175</v>
      </c>
      <c r="T37" s="189" t="n">
        <f aca="false">+S37/S$8</f>
        <v>2008.03139097744</v>
      </c>
      <c r="U37" s="182" t="n">
        <f aca="false">+S37/U$8</f>
        <v>1.815</v>
      </c>
      <c r="V37" s="186" t="n">
        <f aca="false">+S37/TotalCost</f>
        <v>0.0210096831224123</v>
      </c>
      <c r="W37" s="144" t="n">
        <f aca="false">+$S37/TotalValue</f>
        <v>0.0175789525121198</v>
      </c>
      <c r="X37" s="0"/>
      <c r="Y37" s="0"/>
      <c r="Z37" s="0"/>
      <c r="AA37" s="0"/>
      <c r="AB37" s="0"/>
      <c r="AC37" s="0"/>
    </row>
    <row r="38" customFormat="false" ht="12.75" hidden="false" customHeight="false" outlineLevel="0" collapsed="false">
      <c r="A38" s="142" t="s">
        <v>171</v>
      </c>
      <c r="B38" s="142" t="s">
        <v>182</v>
      </c>
      <c r="C38" s="195" t="n">
        <f aca="false">5.5*0.1</f>
        <v>0.55</v>
      </c>
      <c r="D38" s="181" t="s">
        <v>138</v>
      </c>
      <c r="E38" s="196"/>
      <c r="F38" s="182"/>
      <c r="H38" s="182"/>
      <c r="I38" s="182"/>
      <c r="J38" s="187" t="n">
        <f aca="false">K38*J$8</f>
        <v>990.99</v>
      </c>
      <c r="K38" s="187" t="n">
        <f aca="false">K$11*5.5*CMF*0.1</f>
        <v>990.99</v>
      </c>
      <c r="L38" s="182" t="n">
        <f aca="false">+K38/K$11</f>
        <v>0.605</v>
      </c>
      <c r="M38" s="187" t="n">
        <f aca="false">N38*N$8</f>
        <v>44256.96</v>
      </c>
      <c r="N38" s="187" t="n">
        <f aca="false">N$11*5.5*CMF*0.1</f>
        <v>614.68</v>
      </c>
      <c r="O38" s="182" t="n">
        <f aca="false">+N38/N$11</f>
        <v>0.605</v>
      </c>
      <c r="P38" s="187" t="n">
        <f aca="false">Q38*Q$8</f>
        <v>44765.765</v>
      </c>
      <c r="Q38" s="187" t="n">
        <f aca="false">Q$11*5.5*CMF*0.1</f>
        <v>733.865</v>
      </c>
      <c r="R38" s="182" t="n">
        <f aca="false">+Q38/Q$11</f>
        <v>0.605</v>
      </c>
      <c r="S38" s="188" t="n">
        <f aca="false">+P38+M38</f>
        <v>89022.725</v>
      </c>
      <c r="T38" s="189" t="n">
        <f aca="false">+S38/S$8</f>
        <v>669.343796992481</v>
      </c>
      <c r="U38" s="182" t="n">
        <f aca="false">+S38/U$8</f>
        <v>0.605</v>
      </c>
      <c r="V38" s="186" t="n">
        <f aca="false">+S38/TotalCost</f>
        <v>0.00700322770747077</v>
      </c>
      <c r="W38" s="144" t="n">
        <f aca="false">+$S38/TotalValue</f>
        <v>0.00585965083737325</v>
      </c>
      <c r="X38" s="0"/>
      <c r="Y38" s="0"/>
      <c r="Z38" s="0"/>
      <c r="AA38" s="0"/>
      <c r="AB38" s="0"/>
      <c r="AC38" s="0"/>
    </row>
    <row r="39" customFormat="false" ht="12.75" hidden="false" customHeight="false" outlineLevel="0" collapsed="false">
      <c r="A39" s="142" t="s">
        <v>175</v>
      </c>
      <c r="B39" s="142" t="s">
        <v>183</v>
      </c>
      <c r="C39" s="195" t="n">
        <f aca="false">5.5*0.3</f>
        <v>1.65</v>
      </c>
      <c r="D39" s="181" t="s">
        <v>138</v>
      </c>
      <c r="E39" s="142"/>
      <c r="F39" s="182"/>
      <c r="H39" s="182"/>
      <c r="I39" s="182"/>
      <c r="J39" s="187" t="n">
        <f aca="false">K39*J$8</f>
        <v>1560.80925</v>
      </c>
      <c r="K39" s="187" t="n">
        <f aca="false">K$11*5.5*CMF*0.3*0.525</f>
        <v>1560.80925</v>
      </c>
      <c r="L39" s="182" t="n">
        <f aca="false">+K39/K$11</f>
        <v>0.952875</v>
      </c>
      <c r="M39" s="187" t="n">
        <f aca="false">N39*N$8</f>
        <v>69704.712</v>
      </c>
      <c r="N39" s="187" t="n">
        <f aca="false">N$11*5.5*CMF*0.3*0.525</f>
        <v>968.121</v>
      </c>
      <c r="O39" s="182" t="n">
        <f aca="false">+N39/N$11</f>
        <v>0.952875</v>
      </c>
      <c r="P39" s="187" t="n">
        <f aca="false">Q39*Q$8</f>
        <v>70506.079875</v>
      </c>
      <c r="Q39" s="187" t="n">
        <f aca="false">Q$11*5.5*CMF*0.3*0.525</f>
        <v>1155.837375</v>
      </c>
      <c r="R39" s="182" t="n">
        <f aca="false">+Q39/Q$11</f>
        <v>0.952875</v>
      </c>
      <c r="S39" s="188" t="n">
        <f aca="false">(P39+M39)*0.3</f>
        <v>42063.2375625</v>
      </c>
      <c r="T39" s="189" t="n">
        <f aca="false">+S39/S$8</f>
        <v>316.264944078947</v>
      </c>
      <c r="U39" s="182" t="n">
        <f aca="false">+S39/U$8</f>
        <v>0.2858625</v>
      </c>
      <c r="V39" s="186" t="n">
        <f aca="false">+S39/TotalCost</f>
        <v>0.00330902509177994</v>
      </c>
      <c r="W39" s="144" t="n">
        <f aca="false">+$S39/TotalValue</f>
        <v>0.00276868502065886</v>
      </c>
      <c r="X39" s="0"/>
      <c r="Y39" s="0"/>
      <c r="Z39" s="0"/>
      <c r="AA39" s="0"/>
      <c r="AB39" s="0"/>
      <c r="AC39" s="0"/>
    </row>
    <row r="40" customFormat="false" ht="12.75" hidden="false" customHeight="false" outlineLevel="0" collapsed="false">
      <c r="A40" s="142" t="s">
        <v>184</v>
      </c>
      <c r="B40" s="142" t="s">
        <v>185</v>
      </c>
      <c r="C40" s="187" t="n">
        <f aca="false">(120+80+70+40)</f>
        <v>310</v>
      </c>
      <c r="D40" s="181" t="s">
        <v>186</v>
      </c>
      <c r="E40" s="194"/>
      <c r="F40" s="182"/>
      <c r="H40" s="182"/>
      <c r="I40" s="182"/>
      <c r="J40" s="187" t="n">
        <f aca="false">(120+4*80+70+4*40)*CMF</f>
        <v>737</v>
      </c>
      <c r="K40" s="187" t="n">
        <f aca="false">(120+80+70+40)*CMF</f>
        <v>341</v>
      </c>
      <c r="L40" s="182" t="n">
        <f aca="false">+K40/K$11</f>
        <v>0.208180708180708</v>
      </c>
      <c r="M40" s="187" t="n">
        <f aca="false">N40*N$8</f>
        <v>53064</v>
      </c>
      <c r="N40" s="187" t="n">
        <f aca="false">(120+4*80+70+4*40)*CMF</f>
        <v>737</v>
      </c>
      <c r="O40" s="182" t="n">
        <f aca="false">+N40/N$11</f>
        <v>0.725393700787402</v>
      </c>
      <c r="P40" s="187" t="n">
        <f aca="false">Q40*Q$8</f>
        <v>44957</v>
      </c>
      <c r="Q40" s="187" t="n">
        <f aca="false">(120+4*80+70+4*40)*CMF</f>
        <v>737</v>
      </c>
      <c r="R40" s="182" t="n">
        <f aca="false">+Q40/Q$11</f>
        <v>0.607584501236604</v>
      </c>
      <c r="S40" s="188" t="n">
        <f aca="false">+P40+M40</f>
        <v>98021</v>
      </c>
      <c r="T40" s="189" t="n">
        <f aca="false">+S40/S$8</f>
        <v>737</v>
      </c>
      <c r="U40" s="182" t="n">
        <f aca="false">+S40/U$8</f>
        <v>0.666152434673282</v>
      </c>
      <c r="V40" s="186" t="n">
        <f aca="false">+S40/TotalCost</f>
        <v>0.00771110278992237</v>
      </c>
      <c r="W40" s="144" t="n">
        <f aca="false">+$S40/TotalValue</f>
        <v>0.00645193499446533</v>
      </c>
      <c r="X40" s="0"/>
      <c r="Y40" s="0"/>
      <c r="Z40" s="0"/>
      <c r="AA40" s="0"/>
      <c r="AB40" s="0"/>
      <c r="AC40" s="0"/>
    </row>
    <row r="41" customFormat="false" ht="12.75" hidden="false" customHeight="false" outlineLevel="0" collapsed="false">
      <c r="A41" s="142" t="s">
        <v>171</v>
      </c>
      <c r="B41" s="142" t="s">
        <v>187</v>
      </c>
      <c r="C41" s="197" t="n">
        <f aca="false">((75+46+13)*2+180+70)</f>
        <v>518</v>
      </c>
      <c r="D41" s="181" t="s">
        <v>186</v>
      </c>
      <c r="E41" s="194"/>
      <c r="F41" s="182"/>
      <c r="H41" s="182"/>
      <c r="I41" s="182"/>
      <c r="J41" s="187" t="n">
        <f aca="false">K41*J$8</f>
        <v>569.8</v>
      </c>
      <c r="K41" s="197" t="n">
        <f aca="false">((75+46+13)*2+180+70)*CMF</f>
        <v>569.8</v>
      </c>
      <c r="L41" s="182" t="n">
        <f aca="false">+K41/K$11</f>
        <v>0.347863247863248</v>
      </c>
      <c r="M41" s="187" t="n">
        <f aca="false">N41*N$8</f>
        <v>41025.6</v>
      </c>
      <c r="N41" s="197" t="n">
        <f aca="false">((75+46+13)*2+180+70)*CMF</f>
        <v>569.8</v>
      </c>
      <c r="O41" s="182" t="n">
        <f aca="false">+N41/N$11</f>
        <v>0.560826771653543</v>
      </c>
      <c r="P41" s="187" t="n">
        <f aca="false">Q41*Q$8</f>
        <v>34757.8</v>
      </c>
      <c r="Q41" s="197" t="n">
        <f aca="false">((75+46+13)*2+180+70)*CMF</f>
        <v>569.8</v>
      </c>
      <c r="R41" s="182" t="n">
        <f aca="false">+Q41/Q$11</f>
        <v>0.469744435284419</v>
      </c>
      <c r="S41" s="188" t="n">
        <f aca="false">+P41+M41</f>
        <v>75783.4</v>
      </c>
      <c r="T41" s="189" t="n">
        <f aca="false">+S41/S$8</f>
        <v>569.8</v>
      </c>
      <c r="U41" s="182" t="n">
        <f aca="false">+S41/U$8</f>
        <v>0.515025315165313</v>
      </c>
      <c r="V41" s="186" t="n">
        <f aca="false">+S41/TotalCost</f>
        <v>0.00596171827638775</v>
      </c>
      <c r="W41" s="144" t="n">
        <f aca="false">+$S41/TotalValue</f>
        <v>0.00498821242855678</v>
      </c>
      <c r="X41" s="0"/>
      <c r="Y41" s="0"/>
      <c r="Z41" s="0"/>
      <c r="AA41" s="0"/>
      <c r="AB41" s="0"/>
      <c r="AC41" s="0"/>
    </row>
    <row r="42" customFormat="false" ht="12.75" hidden="false" customHeight="false" outlineLevel="0" collapsed="false">
      <c r="A42" s="142"/>
      <c r="B42" s="191" t="s">
        <v>188</v>
      </c>
      <c r="C42" s="195" t="s">
        <v>189</v>
      </c>
      <c r="D42" s="181"/>
      <c r="E42" s="181"/>
      <c r="F42" s="182"/>
      <c r="H42" s="182"/>
      <c r="I42" s="182"/>
      <c r="J42" s="187"/>
      <c r="K42" s="192"/>
      <c r="L42" s="182"/>
      <c r="M42" s="187"/>
      <c r="N42" s="198"/>
      <c r="O42" s="182"/>
      <c r="P42" s="187"/>
      <c r="Q42" s="187"/>
      <c r="R42" s="182"/>
      <c r="S42" s="188" t="n">
        <f aca="false">+P42+M42</f>
        <v>0</v>
      </c>
      <c r="T42" s="189"/>
      <c r="U42" s="182" t="n">
        <f aca="false">+S42/U$8</f>
        <v>0</v>
      </c>
      <c r="V42" s="144"/>
      <c r="W42" s="144"/>
      <c r="X42" s="0"/>
      <c r="Y42" s="0"/>
      <c r="Z42" s="0"/>
      <c r="AA42" s="0"/>
      <c r="AB42" s="0"/>
      <c r="AC42" s="0"/>
    </row>
    <row r="43" customFormat="false" ht="12.75" hidden="false" customHeight="false" outlineLevel="0" collapsed="false">
      <c r="A43" s="142" t="s">
        <v>190</v>
      </c>
      <c r="B43" s="142" t="s">
        <v>191</v>
      </c>
      <c r="C43" s="190" t="n">
        <v>2</v>
      </c>
      <c r="D43" s="194" t="s">
        <v>138</v>
      </c>
      <c r="E43" s="194"/>
      <c r="F43" s="182"/>
      <c r="G43" s="140"/>
      <c r="H43" s="182"/>
      <c r="I43" s="182"/>
      <c r="J43" s="187" t="n">
        <f aca="false">K43*J$8</f>
        <v>900</v>
      </c>
      <c r="K43" s="187" t="n">
        <f aca="false">(26-8+15+26-14)*10*$C43</f>
        <v>900</v>
      </c>
      <c r="L43" s="182" t="n">
        <f aca="false">+K43/K$11</f>
        <v>0.54945054945055</v>
      </c>
      <c r="M43" s="187" t="n">
        <f aca="false">N43*N$8</f>
        <v>43200</v>
      </c>
      <c r="N43" s="187" t="n">
        <f aca="false">15*20*$C43</f>
        <v>600</v>
      </c>
      <c r="O43" s="182" t="n">
        <f aca="false">+N43/N$11</f>
        <v>0.590551181102362</v>
      </c>
      <c r="P43" s="187" t="n">
        <f aca="false">Q43*Q$8</f>
        <v>54900</v>
      </c>
      <c r="Q43" s="187" t="n">
        <f aca="false">(26-8+15+26-14)*10*$C43</f>
        <v>900</v>
      </c>
      <c r="R43" s="182" t="n">
        <f aca="false">+Q43/Q$11</f>
        <v>0.741962077493817</v>
      </c>
      <c r="S43" s="188" t="n">
        <f aca="false">+P43+M43</f>
        <v>98100</v>
      </c>
      <c r="T43" s="189" t="n">
        <f aca="false">+S43/S$8</f>
        <v>737.593984962406</v>
      </c>
      <c r="U43" s="182" t="n">
        <f aca="false">+S43/U$8</f>
        <v>0.666689320058446</v>
      </c>
      <c r="V43" s="186" t="n">
        <f aca="false">+S43/TotalCost</f>
        <v>0.00771731755125315</v>
      </c>
      <c r="W43" s="144" t="n">
        <f aca="false">+$S43/TotalValue</f>
        <v>0.00645713492983186</v>
      </c>
      <c r="X43" s="0"/>
      <c r="Y43" s="0"/>
      <c r="Z43" s="0"/>
      <c r="AA43" s="0"/>
      <c r="AB43" s="0"/>
      <c r="AC43" s="0"/>
    </row>
    <row r="44" customFormat="false" ht="12.75" hidden="false" customHeight="false" outlineLevel="0" collapsed="false">
      <c r="A44" s="142" t="s">
        <v>190</v>
      </c>
      <c r="B44" s="142" t="s">
        <v>192</v>
      </c>
      <c r="C44" s="190" t="n">
        <v>3.5</v>
      </c>
      <c r="D44" s="194" t="s">
        <v>138</v>
      </c>
      <c r="E44" s="194"/>
      <c r="F44" s="182"/>
      <c r="G44" s="140"/>
      <c r="H44" s="182"/>
      <c r="I44" s="182"/>
      <c r="J44" s="187" t="n">
        <f aca="false">K44*J$8</f>
        <v>1575</v>
      </c>
      <c r="K44" s="187" t="n">
        <f aca="false">(26-8+15+26-14)*10*$C44</f>
        <v>1575</v>
      </c>
      <c r="L44" s="182" t="n">
        <f aca="false">+K44/K$11</f>
        <v>0.961538461538462</v>
      </c>
      <c r="M44" s="187" t="n">
        <f aca="false">N44*N$8</f>
        <v>75600</v>
      </c>
      <c r="N44" s="187" t="n">
        <f aca="false">15*20*$C44</f>
        <v>1050</v>
      </c>
      <c r="O44" s="182" t="n">
        <f aca="false">+N44/N$11</f>
        <v>1.03346456692913</v>
      </c>
      <c r="P44" s="187" t="n">
        <f aca="false">Q44*Q$8</f>
        <v>96075</v>
      </c>
      <c r="Q44" s="187" t="n">
        <f aca="false">(26-8+15+26-14)*10*$C44</f>
        <v>1575</v>
      </c>
      <c r="R44" s="182" t="n">
        <f aca="false">+Q44/Q$11</f>
        <v>1.29843363561418</v>
      </c>
      <c r="S44" s="188" t="n">
        <f aca="false">+P44+M44</f>
        <v>171675</v>
      </c>
      <c r="T44" s="189" t="n">
        <f aca="false">+S44/S$8</f>
        <v>1290.78947368421</v>
      </c>
      <c r="U44" s="182" t="n">
        <f aca="false">+S44/U$8</f>
        <v>1.16670631010228</v>
      </c>
      <c r="V44" s="186" t="n">
        <f aca="false">+S44/TotalCost</f>
        <v>0.013505305714693</v>
      </c>
      <c r="W44" s="144" t="n">
        <f aca="false">+$S44/TotalValue</f>
        <v>0.0112999861272058</v>
      </c>
      <c r="X44" s="0"/>
      <c r="Y44" s="0"/>
      <c r="Z44" s="0"/>
      <c r="AA44" s="0"/>
      <c r="AB44" s="0"/>
      <c r="AC44" s="0"/>
    </row>
    <row r="45" customFormat="false" ht="12.75" hidden="false" customHeight="false" outlineLevel="0" collapsed="false">
      <c r="A45" s="142"/>
      <c r="B45" s="179" t="s">
        <v>193</v>
      </c>
      <c r="C45" s="190"/>
      <c r="D45" s="181"/>
      <c r="E45" s="181"/>
      <c r="F45" s="182"/>
      <c r="H45" s="182"/>
      <c r="I45" s="182"/>
      <c r="J45" s="187"/>
      <c r="K45" s="187"/>
      <c r="L45" s="182"/>
      <c r="M45" s="187"/>
      <c r="N45" s="187"/>
      <c r="O45" s="182"/>
      <c r="P45" s="187"/>
      <c r="Q45" s="187"/>
      <c r="R45" s="182"/>
      <c r="S45" s="188"/>
      <c r="T45" s="189"/>
      <c r="U45" s="182"/>
      <c r="V45" s="144"/>
      <c r="W45" s="144"/>
      <c r="X45" s="0"/>
      <c r="Y45" s="0"/>
      <c r="Z45" s="0"/>
      <c r="AA45" s="0"/>
      <c r="AB45" s="0"/>
      <c r="AC45" s="0"/>
    </row>
    <row r="46" customFormat="false" ht="14.45" hidden="false" customHeight="true" outlineLevel="0" collapsed="false">
      <c r="A46" s="142" t="s">
        <v>194</v>
      </c>
      <c r="B46" s="143" t="s">
        <v>191</v>
      </c>
      <c r="C46" s="190" t="n">
        <v>23.5</v>
      </c>
      <c r="D46" s="181" t="s">
        <v>195</v>
      </c>
      <c r="E46" s="181"/>
      <c r="F46" s="182"/>
      <c r="H46" s="182"/>
      <c r="I46" s="182"/>
      <c r="J46" s="187" t="n">
        <f aca="false">K46*J$8</f>
        <v>689.5746</v>
      </c>
      <c r="K46" s="187" t="n">
        <f aca="false">((L$11*1.2)/100*23.5)*CMF</f>
        <v>689.5746</v>
      </c>
      <c r="L46" s="182" t="n">
        <f aca="false">+K46/K$11</f>
        <v>0.420985714285714</v>
      </c>
      <c r="M46" s="187" t="n">
        <f aca="false">N46*N$8</f>
        <v>22691.7504</v>
      </c>
      <c r="N46" s="187" t="n">
        <f aca="false">((O$11*1.2)/100*23.5)*CMF</f>
        <v>315.1632</v>
      </c>
      <c r="O46" s="182" t="n">
        <f aca="false">+N46/N$11</f>
        <v>0.3102</v>
      </c>
      <c r="P46" s="187" t="n">
        <f aca="false">Q46*Q$8</f>
        <v>28496.8332</v>
      </c>
      <c r="Q46" s="187" t="n">
        <f aca="false">((R$11*1.2)/100*23.5)*CMF</f>
        <v>467.1612</v>
      </c>
      <c r="R46" s="182" t="n">
        <f aca="false">+Q46/Q$11</f>
        <v>0.385128771640561</v>
      </c>
      <c r="S46" s="188" t="n">
        <f aca="false">+P46+M46</f>
        <v>51188.5836</v>
      </c>
      <c r="T46" s="189" t="n">
        <f aca="false">+S46/S$8</f>
        <v>384.876568421053</v>
      </c>
      <c r="U46" s="182" t="n">
        <f aca="false">+S46/U$8</f>
        <v>0.34787851167216</v>
      </c>
      <c r="V46" s="186" t="n">
        <f aca="false">+S46/TotalCost</f>
        <v>0.00402689658144821</v>
      </c>
      <c r="W46" s="144" t="n">
        <f aca="false">+$S46/TotalValue</f>
        <v>0.00336933324334534</v>
      </c>
      <c r="X46" s="0"/>
      <c r="Y46" s="0"/>
      <c r="Z46" s="0"/>
      <c r="AA46" s="0"/>
      <c r="AB46" s="0"/>
      <c r="AC46" s="0"/>
    </row>
    <row r="47" customFormat="false" ht="12.75" hidden="false" customHeight="false" outlineLevel="0" collapsed="false">
      <c r="A47" s="142" t="s">
        <v>194</v>
      </c>
      <c r="B47" s="143" t="s">
        <v>192</v>
      </c>
      <c r="C47" s="190" t="n">
        <v>21</v>
      </c>
      <c r="D47" s="181" t="s">
        <v>195</v>
      </c>
      <c r="E47" s="181"/>
      <c r="F47" s="182"/>
      <c r="H47" s="182"/>
      <c r="I47" s="182"/>
      <c r="J47" s="187" t="n">
        <f aca="false">K47*J$8</f>
        <v>616.2156</v>
      </c>
      <c r="K47" s="187" t="n">
        <f aca="false">((L$11*1.2)/100*21)*CMF</f>
        <v>616.2156</v>
      </c>
      <c r="L47" s="182" t="n">
        <f aca="false">+K47/K$11</f>
        <v>0.3762</v>
      </c>
      <c r="M47" s="187" t="n">
        <f aca="false">N47*N$8</f>
        <v>20277.7344</v>
      </c>
      <c r="N47" s="187" t="n">
        <f aca="false">((O$11*1.2)/100*21)*CMF</f>
        <v>281.6352</v>
      </c>
      <c r="O47" s="182" t="n">
        <f aca="false">+N47/N$11</f>
        <v>0.2772</v>
      </c>
      <c r="P47" s="187" t="n">
        <f aca="false">Q47*Q$8</f>
        <v>25465.2552</v>
      </c>
      <c r="Q47" s="187" t="n">
        <f aca="false">((R$11*1.2)/100*21)*CMF</f>
        <v>417.4632</v>
      </c>
      <c r="R47" s="182" t="n">
        <f aca="false">+Q47/Q$11</f>
        <v>0.344157625721352</v>
      </c>
      <c r="S47" s="188" t="n">
        <f aca="false">+P47+M47</f>
        <v>45742.9896</v>
      </c>
      <c r="T47" s="189" t="n">
        <f aca="false">+S47/S$8</f>
        <v>343.932252631579</v>
      </c>
      <c r="U47" s="182" t="n">
        <f aca="false">+S47/U$8</f>
        <v>0.310870159366611</v>
      </c>
      <c r="V47" s="186" t="n">
        <f aca="false">+S47/TotalCost</f>
        <v>0.00359850332810265</v>
      </c>
      <c r="W47" s="144" t="n">
        <f aca="false">+$S47/TotalValue</f>
        <v>0.00301089353660648</v>
      </c>
      <c r="X47" s="0"/>
      <c r="Y47" s="0"/>
      <c r="Z47" s="0"/>
      <c r="AA47" s="0"/>
      <c r="AB47" s="0"/>
      <c r="AC47" s="0"/>
    </row>
    <row r="48" customFormat="false" ht="12.75" hidden="false" customHeight="false" outlineLevel="0" collapsed="false">
      <c r="A48" s="142"/>
      <c r="B48" s="179" t="s">
        <v>196</v>
      </c>
      <c r="C48" s="190" t="n">
        <v>2.25</v>
      </c>
      <c r="D48" s="181" t="s">
        <v>138</v>
      </c>
      <c r="E48" s="181"/>
      <c r="F48" s="182"/>
      <c r="H48" s="182"/>
      <c r="I48" s="182"/>
      <c r="J48" s="187"/>
      <c r="K48" s="187"/>
      <c r="L48" s="182"/>
      <c r="M48" s="187"/>
      <c r="N48" s="187"/>
      <c r="O48" s="182"/>
      <c r="P48" s="187"/>
      <c r="Q48" s="187"/>
      <c r="R48" s="182"/>
      <c r="S48" s="188"/>
      <c r="T48" s="189"/>
      <c r="U48" s="182"/>
      <c r="V48" s="144"/>
      <c r="W48" s="144"/>
      <c r="X48" s="0"/>
      <c r="Y48" s="0"/>
      <c r="Z48" s="0"/>
      <c r="AA48" s="0"/>
      <c r="AB48" s="0"/>
      <c r="AC48" s="0"/>
    </row>
    <row r="49" customFormat="false" ht="12.75" hidden="false" customHeight="false" outlineLevel="0" collapsed="false">
      <c r="A49" s="142" t="s">
        <v>197</v>
      </c>
      <c r="B49" s="143" t="s">
        <v>198</v>
      </c>
      <c r="C49" s="199" t="n">
        <v>10000</v>
      </c>
      <c r="D49" s="181" t="s">
        <v>186</v>
      </c>
      <c r="E49" s="181"/>
      <c r="F49" s="182"/>
      <c r="H49" s="182"/>
      <c r="I49" s="182"/>
      <c r="J49" s="187" t="n">
        <f aca="false">K49*J$8</f>
        <v>82.7067669172932</v>
      </c>
      <c r="K49" s="187" t="n">
        <f aca="false">10000/SM134Units*CMF</f>
        <v>82.7067669172932</v>
      </c>
      <c r="L49" s="182" t="n">
        <f aca="false">+K49/K$11</f>
        <v>0.0504925316955392</v>
      </c>
      <c r="M49" s="187" t="n">
        <f aca="false">N49*N$8</f>
        <v>5954.88721804511</v>
      </c>
      <c r="N49" s="187" t="n">
        <f aca="false">10000/SM134Units*CMF</f>
        <v>82.7067669172932</v>
      </c>
      <c r="O49" s="182" t="n">
        <f aca="false">+N49/N$11</f>
        <v>0.0814042981469422</v>
      </c>
      <c r="P49" s="187" t="n">
        <f aca="false">Q49*Q$8</f>
        <v>5045.11278195489</v>
      </c>
      <c r="Q49" s="187" t="n">
        <f aca="false">10000/SM134Units*CMF</f>
        <v>82.7067669172932</v>
      </c>
      <c r="R49" s="182" t="n">
        <f aca="false">+Q49/Q$11</f>
        <v>0.0681836495608353</v>
      </c>
      <c r="S49" s="188" t="n">
        <f aca="false">+P49+M49</f>
        <v>11000</v>
      </c>
      <c r="T49" s="189" t="n">
        <f aca="false">+S49/S$8</f>
        <v>82.7067669172932</v>
      </c>
      <c r="U49" s="182" t="n">
        <f aca="false">+S49/U$8</f>
        <v>0.0747561928709776</v>
      </c>
      <c r="V49" s="186" t="n">
        <f aca="false">+S49/TotalCost</f>
        <v>0.000865346514411668</v>
      </c>
      <c r="W49" s="144" t="n">
        <f aca="false">+$S49/TotalValue</f>
        <v>0.00072404163331448</v>
      </c>
      <c r="X49" s="0"/>
      <c r="Y49" s="0"/>
      <c r="Z49" s="0"/>
      <c r="AA49" s="0"/>
      <c r="AB49" s="0"/>
      <c r="AC49" s="0"/>
    </row>
    <row r="50" customFormat="false" ht="12.75" hidden="false" customHeight="false" outlineLevel="0" collapsed="false">
      <c r="A50" s="142" t="s">
        <v>197</v>
      </c>
      <c r="B50" s="143" t="s">
        <v>166</v>
      </c>
      <c r="C50" s="200" t="n">
        <v>0.6</v>
      </c>
      <c r="D50" s="181"/>
      <c r="E50" s="181"/>
      <c r="F50" s="182"/>
      <c r="H50" s="182"/>
      <c r="I50" s="182"/>
      <c r="J50" s="187" t="n">
        <f aca="false">K50*J$8</f>
        <v>2432.43</v>
      </c>
      <c r="K50" s="187" t="n">
        <f aca="false">2.25*CMF*60%*K$11</f>
        <v>2432.43</v>
      </c>
      <c r="L50" s="182" t="n">
        <f aca="false">+K50/K$11</f>
        <v>1.485</v>
      </c>
      <c r="M50" s="187" t="n">
        <f aca="false">N50*N$8</f>
        <v>108630.72</v>
      </c>
      <c r="N50" s="187" t="n">
        <f aca="false">2.25*CMF*60%*N$11</f>
        <v>1508.76</v>
      </c>
      <c r="O50" s="182" t="n">
        <f aca="false">+N50/N$11</f>
        <v>1.485</v>
      </c>
      <c r="P50" s="187" t="n">
        <f aca="false">Q50*Q$8</f>
        <v>109879.605</v>
      </c>
      <c r="Q50" s="187" t="n">
        <f aca="false">2.25*CMF*60%*Q$11</f>
        <v>1801.305</v>
      </c>
      <c r="R50" s="182" t="n">
        <f aca="false">+Q50/Q$11</f>
        <v>1.485</v>
      </c>
      <c r="S50" s="188" t="n">
        <f aca="false">+P50+M50</f>
        <v>218510.325</v>
      </c>
      <c r="T50" s="189" t="n">
        <f aca="false">+S50/S$8</f>
        <v>1642.93477443609</v>
      </c>
      <c r="U50" s="182" t="n">
        <f aca="false">+S50/U$8</f>
        <v>1.485</v>
      </c>
      <c r="V50" s="186" t="n">
        <f aca="false">+S50/TotalCost</f>
        <v>0.0171897407365192</v>
      </c>
      <c r="W50" s="144" t="n">
        <f aca="false">+$S50/TotalValue</f>
        <v>0.014382779328098</v>
      </c>
      <c r="X50" s="0"/>
      <c r="Y50" s="0"/>
      <c r="Z50" s="0"/>
      <c r="AA50" s="0"/>
      <c r="AB50" s="0"/>
      <c r="AC50" s="0"/>
    </row>
    <row r="51" customFormat="false" ht="12.75" hidden="false" customHeight="false" outlineLevel="0" collapsed="false">
      <c r="A51" s="142" t="s">
        <v>199</v>
      </c>
      <c r="B51" s="201" t="s">
        <v>200</v>
      </c>
      <c r="C51" s="200" t="n">
        <v>0.4</v>
      </c>
      <c r="D51" s="181"/>
      <c r="E51" s="181"/>
      <c r="F51" s="182"/>
      <c r="H51" s="182"/>
      <c r="I51" s="182"/>
      <c r="J51" s="187" t="n">
        <f aca="false">K51*J$8</f>
        <v>1621.62</v>
      </c>
      <c r="K51" s="187" t="n">
        <f aca="false">2.25*CMF*40%*K$11</f>
        <v>1621.62</v>
      </c>
      <c r="L51" s="182" t="n">
        <f aca="false">+K51/K$11</f>
        <v>0.99</v>
      </c>
      <c r="M51" s="187" t="n">
        <f aca="false">N51*N$8</f>
        <v>72420.48</v>
      </c>
      <c r="N51" s="187" t="n">
        <f aca="false">2.25*CMF*40%*N$11</f>
        <v>1005.84</v>
      </c>
      <c r="O51" s="182" t="n">
        <f aca="false">+N51/N$11</f>
        <v>0.99</v>
      </c>
      <c r="P51" s="187" t="n">
        <f aca="false">Q51*Q$8</f>
        <v>73253.07</v>
      </c>
      <c r="Q51" s="187" t="n">
        <f aca="false">2.25*CMF*40%*Q$11</f>
        <v>1200.87</v>
      </c>
      <c r="R51" s="182" t="n">
        <f aca="false">+Q51/Q$11</f>
        <v>0.99</v>
      </c>
      <c r="S51" s="188" t="n">
        <f aca="false">+P51+M51</f>
        <v>145673.55</v>
      </c>
      <c r="T51" s="189" t="n">
        <f aca="false">+S51/S$8</f>
        <v>1095.28984962406</v>
      </c>
      <c r="U51" s="182" t="n">
        <f aca="false">+S51/U$8</f>
        <v>0.99</v>
      </c>
      <c r="V51" s="186" t="n">
        <f aca="false">+S51/TotalCost</f>
        <v>0.0114598271576794</v>
      </c>
      <c r="W51" s="144" t="n">
        <f aca="false">+$S51/TotalValue</f>
        <v>0.00958851955206532</v>
      </c>
      <c r="X51" s="0"/>
      <c r="Y51" s="0"/>
      <c r="Z51" s="0"/>
      <c r="AA51" s="0"/>
      <c r="AB51" s="0"/>
      <c r="AC51" s="0"/>
    </row>
    <row r="52" customFormat="false" ht="12.75" hidden="false" customHeight="false" outlineLevel="0" collapsed="false">
      <c r="A52" s="142"/>
      <c r="B52" s="179" t="s">
        <v>201</v>
      </c>
      <c r="C52" s="190" t="n">
        <v>200</v>
      </c>
      <c r="D52" s="181" t="s">
        <v>137</v>
      </c>
      <c r="E52" s="143"/>
      <c r="F52" s="182"/>
      <c r="H52" s="182"/>
      <c r="I52" s="182"/>
      <c r="J52" s="187" t="n">
        <f aca="false">K52*J$8</f>
        <v>220</v>
      </c>
      <c r="K52" s="187" t="n">
        <f aca="false">200*CMF</f>
        <v>220</v>
      </c>
      <c r="L52" s="182" t="n">
        <f aca="false">+K52/K$11</f>
        <v>0.134310134310134</v>
      </c>
      <c r="M52" s="187" t="n">
        <f aca="false">N52*N$8</f>
        <v>15840</v>
      </c>
      <c r="N52" s="187" t="n">
        <f aca="false">200*CMF</f>
        <v>220</v>
      </c>
      <c r="O52" s="182" t="n">
        <f aca="false">+N52/N$11</f>
        <v>0.216535433070866</v>
      </c>
      <c r="P52" s="187" t="n">
        <f aca="false">Q52*Q$8</f>
        <v>13420</v>
      </c>
      <c r="Q52" s="187" t="n">
        <f aca="false">200*CMF</f>
        <v>220</v>
      </c>
      <c r="R52" s="182" t="n">
        <f aca="false">+Q52/Q$11</f>
        <v>0.181368507831822</v>
      </c>
      <c r="S52" s="188" t="n">
        <f aca="false">+P52+M52</f>
        <v>29260</v>
      </c>
      <c r="T52" s="189" t="n">
        <f aca="false">+S52/S$8</f>
        <v>220</v>
      </c>
      <c r="U52" s="182" t="n">
        <f aca="false">+S52/U$8</f>
        <v>0.1988514730368</v>
      </c>
      <c r="V52" s="186" t="n">
        <f aca="false">+S52/TotalCost</f>
        <v>0.00230182172833504</v>
      </c>
      <c r="W52" s="144" t="n">
        <f aca="false">+$S52/TotalValue</f>
        <v>0.00192595074461652</v>
      </c>
      <c r="X52" s="0"/>
      <c r="Y52" s="0"/>
      <c r="Z52" s="0"/>
      <c r="AA52" s="0"/>
      <c r="AB52" s="0"/>
      <c r="AC52" s="0"/>
    </row>
    <row r="53" customFormat="false" ht="12.75" hidden="false" customHeight="false" outlineLevel="0" collapsed="false">
      <c r="A53" s="142" t="s">
        <v>199</v>
      </c>
      <c r="B53" s="143" t="s">
        <v>166</v>
      </c>
      <c r="C53" s="190"/>
      <c r="D53" s="181"/>
      <c r="E53" s="181"/>
      <c r="F53" s="182"/>
      <c r="H53" s="182"/>
      <c r="I53" s="182"/>
      <c r="J53" s="187"/>
      <c r="K53" s="187"/>
      <c r="L53" s="182"/>
      <c r="M53" s="187"/>
      <c r="N53" s="187"/>
      <c r="O53" s="182"/>
      <c r="P53" s="187"/>
      <c r="Q53" s="187"/>
      <c r="R53" s="182"/>
      <c r="S53" s="188"/>
      <c r="T53" s="189"/>
      <c r="U53" s="182"/>
      <c r="V53" s="144"/>
      <c r="W53" s="144"/>
      <c r="X53" s="0"/>
      <c r="Y53" s="0"/>
      <c r="Z53" s="0"/>
      <c r="AA53" s="0"/>
      <c r="AB53" s="0"/>
      <c r="AC53" s="0"/>
    </row>
    <row r="54" customFormat="false" ht="12.75" hidden="false" customHeight="false" outlineLevel="0" collapsed="false">
      <c r="A54" s="142" t="s">
        <v>199</v>
      </c>
      <c r="B54" s="143" t="s">
        <v>200</v>
      </c>
      <c r="C54" s="190"/>
      <c r="D54" s="181"/>
      <c r="E54" s="181"/>
      <c r="F54" s="182"/>
      <c r="H54" s="182"/>
      <c r="I54" s="182"/>
      <c r="J54" s="187"/>
      <c r="K54" s="187"/>
      <c r="L54" s="182"/>
      <c r="M54" s="187"/>
      <c r="N54" s="187"/>
      <c r="O54" s="182"/>
      <c r="P54" s="187"/>
      <c r="Q54" s="187"/>
      <c r="R54" s="182"/>
      <c r="S54" s="188"/>
      <c r="T54" s="189"/>
      <c r="U54" s="182"/>
      <c r="V54" s="144"/>
      <c r="W54" s="144"/>
      <c r="X54" s="0"/>
      <c r="Y54" s="0"/>
      <c r="Z54" s="0"/>
      <c r="AA54" s="0"/>
      <c r="AB54" s="0"/>
      <c r="AC54" s="0"/>
    </row>
    <row r="55" customFormat="false" ht="12.75" hidden="false" customHeight="false" outlineLevel="0" collapsed="false">
      <c r="A55" s="142"/>
      <c r="B55" s="179" t="s">
        <v>202</v>
      </c>
      <c r="C55" s="190"/>
      <c r="D55" s="181"/>
      <c r="E55" s="181"/>
      <c r="F55" s="182"/>
      <c r="H55" s="182"/>
      <c r="I55" s="182"/>
      <c r="J55" s="192"/>
      <c r="K55" s="192"/>
      <c r="L55" s="182"/>
      <c r="M55" s="187"/>
      <c r="N55" s="187"/>
      <c r="O55" s="182"/>
      <c r="P55" s="187"/>
      <c r="Q55" s="187"/>
      <c r="R55" s="182"/>
      <c r="S55" s="188"/>
      <c r="T55" s="189"/>
      <c r="U55" s="182"/>
      <c r="V55" s="144"/>
      <c r="W55" s="144"/>
      <c r="X55" s="0"/>
      <c r="Y55" s="0"/>
      <c r="Z55" s="0"/>
      <c r="AA55" s="0"/>
      <c r="AB55" s="0"/>
      <c r="AC55" s="0"/>
    </row>
    <row r="56" customFormat="false" ht="12.75" hidden="false" customHeight="false" outlineLevel="0" collapsed="false">
      <c r="A56" s="142" t="s">
        <v>203</v>
      </c>
      <c r="B56" s="143" t="s">
        <v>166</v>
      </c>
      <c r="C56" s="190" t="n">
        <v>1.17</v>
      </c>
      <c r="D56" s="181" t="s">
        <v>138</v>
      </c>
      <c r="E56" s="181"/>
      <c r="F56" s="182"/>
      <c r="H56" s="182"/>
      <c r="I56" s="182"/>
      <c r="J56" s="187" t="n">
        <f aca="false">K56*J$8</f>
        <v>2108.106</v>
      </c>
      <c r="K56" s="187" t="n">
        <f aca="false">1.17*K$11*CMF</f>
        <v>2108.106</v>
      </c>
      <c r="L56" s="182" t="n">
        <f aca="false">+K56/K$11</f>
        <v>1.287</v>
      </c>
      <c r="M56" s="187" t="n">
        <f aca="false">N56*N$8</f>
        <v>94146.624</v>
      </c>
      <c r="N56" s="187" t="n">
        <f aca="false">1.17*N$11*CMF</f>
        <v>1307.592</v>
      </c>
      <c r="O56" s="182" t="n">
        <f aca="false">+N56/N$11</f>
        <v>1.287</v>
      </c>
      <c r="P56" s="187" t="n">
        <f aca="false">Q56*Q$8</f>
        <v>95228.991</v>
      </c>
      <c r="Q56" s="187" t="n">
        <f aca="false">1.17*Q$11*CMF</f>
        <v>1561.131</v>
      </c>
      <c r="R56" s="182" t="n">
        <f aca="false">+Q56/Q$11</f>
        <v>1.287</v>
      </c>
      <c r="S56" s="188" t="n">
        <f aca="false">+P56+M56</f>
        <v>189375.615</v>
      </c>
      <c r="T56" s="189" t="n">
        <f aca="false">+S56/S$8</f>
        <v>1423.87680451128</v>
      </c>
      <c r="U56" s="182" t="n">
        <f aca="false">+S56/U$8</f>
        <v>1.287</v>
      </c>
      <c r="V56" s="186" t="n">
        <f aca="false">+S56/TotalCost</f>
        <v>0.0148977753049833</v>
      </c>
      <c r="W56" s="144" t="n">
        <f aca="false">+$S56/TotalValue</f>
        <v>0.0124650754176849</v>
      </c>
      <c r="X56" s="0"/>
      <c r="Y56" s="0"/>
      <c r="Z56" s="0"/>
      <c r="AA56" s="0"/>
      <c r="AB56" s="0"/>
      <c r="AC56" s="0"/>
    </row>
    <row r="57" customFormat="false" ht="12.75" hidden="false" customHeight="false" outlineLevel="0" collapsed="false">
      <c r="A57" s="142" t="s">
        <v>204</v>
      </c>
      <c r="B57" s="143" t="s">
        <v>205</v>
      </c>
      <c r="C57" s="190" t="n">
        <v>1.17</v>
      </c>
      <c r="D57" s="181" t="s">
        <v>138</v>
      </c>
      <c r="E57" s="181"/>
      <c r="F57" s="182"/>
      <c r="H57" s="182"/>
      <c r="I57" s="182"/>
      <c r="J57" s="187" t="n">
        <f aca="false">K57*J$8</f>
        <v>2108.106</v>
      </c>
      <c r="K57" s="187" t="n">
        <f aca="false">1.17*K$11*CMF</f>
        <v>2108.106</v>
      </c>
      <c r="L57" s="182" t="n">
        <f aca="false">+K57/K$11</f>
        <v>1.287</v>
      </c>
      <c r="M57" s="187" t="n">
        <f aca="false">N57*N$8</f>
        <v>94146.624</v>
      </c>
      <c r="N57" s="187" t="n">
        <f aca="false">1.17*N$11*CMF</f>
        <v>1307.592</v>
      </c>
      <c r="O57" s="182" t="n">
        <f aca="false">+N57/N$11</f>
        <v>1.287</v>
      </c>
      <c r="P57" s="187" t="n">
        <f aca="false">Q57*Q$8</f>
        <v>95228.991</v>
      </c>
      <c r="Q57" s="187" t="n">
        <f aca="false">1.17*Q$11*CMF</f>
        <v>1561.131</v>
      </c>
      <c r="R57" s="182" t="n">
        <f aca="false">+Q57/Q$11</f>
        <v>1.287</v>
      </c>
      <c r="S57" s="188" t="n">
        <f aca="false">+P57+M57</f>
        <v>189375.615</v>
      </c>
      <c r="T57" s="189" t="n">
        <f aca="false">+S57/S$8</f>
        <v>1423.87680451128</v>
      </c>
      <c r="U57" s="182" t="n">
        <f aca="false">+S57/U$8</f>
        <v>1.287</v>
      </c>
      <c r="V57" s="186" t="n">
        <f aca="false">+S57/TotalCost</f>
        <v>0.0148977753049833</v>
      </c>
      <c r="W57" s="144" t="n">
        <f aca="false">+$S57/TotalValue</f>
        <v>0.0124650754176849</v>
      </c>
      <c r="X57" s="0"/>
      <c r="Y57" s="0"/>
      <c r="Z57" s="0"/>
      <c r="AA57" s="0"/>
      <c r="AB57" s="0"/>
      <c r="AC57" s="0"/>
    </row>
    <row r="58" customFormat="false" ht="12.75" hidden="false" customHeight="false" outlineLevel="0" collapsed="false">
      <c r="A58" s="142" t="s">
        <v>206</v>
      </c>
      <c r="B58" s="179" t="s">
        <v>207</v>
      </c>
      <c r="C58" s="180" t="n">
        <v>0.85</v>
      </c>
      <c r="D58" s="181" t="s">
        <v>138</v>
      </c>
      <c r="E58" s="181"/>
      <c r="F58" s="182"/>
      <c r="H58" s="182"/>
      <c r="I58" s="182"/>
      <c r="J58" s="187" t="n">
        <f aca="false">K58*J$8</f>
        <v>1531.53</v>
      </c>
      <c r="K58" s="187" t="n">
        <f aca="false">K$11*0.85*CMF</f>
        <v>1531.53</v>
      </c>
      <c r="L58" s="182" t="n">
        <f aca="false">+K58/K$11</f>
        <v>0.935</v>
      </c>
      <c r="M58" s="187" t="n">
        <f aca="false">N58*N$8</f>
        <v>68397.12</v>
      </c>
      <c r="N58" s="187" t="n">
        <f aca="false">N$11*0.85*CMF</f>
        <v>949.96</v>
      </c>
      <c r="O58" s="182" t="n">
        <f aca="false">+N58/N$11</f>
        <v>0.935</v>
      </c>
      <c r="P58" s="187" t="n">
        <f aca="false">Q58*Q$8</f>
        <v>69183.455</v>
      </c>
      <c r="Q58" s="187" t="n">
        <f aca="false">Q$11*0.85*CMF</f>
        <v>1134.155</v>
      </c>
      <c r="R58" s="182" t="n">
        <f aca="false">+Q58/Q$11</f>
        <v>0.935</v>
      </c>
      <c r="S58" s="188" t="n">
        <f aca="false">+P58+M58</f>
        <v>137580.575</v>
      </c>
      <c r="T58" s="189" t="n">
        <f aca="false">+S58/S$8</f>
        <v>1034.44041353383</v>
      </c>
      <c r="U58" s="182" t="n">
        <f aca="false">+S58/U$8</f>
        <v>0.935</v>
      </c>
      <c r="V58" s="186" t="n">
        <f aca="false">+S58/TotalCost</f>
        <v>0.0108231700933639</v>
      </c>
      <c r="W58" s="144" t="n">
        <f aca="false">+$S58/TotalValue</f>
        <v>0.00905582402139502</v>
      </c>
      <c r="X58" s="0"/>
      <c r="Y58" s="0"/>
      <c r="Z58" s="0"/>
      <c r="AA58" s="0"/>
      <c r="AB58" s="0"/>
      <c r="AC58" s="0"/>
    </row>
    <row r="59" customFormat="false" ht="12.75" hidden="false" customHeight="false" outlineLevel="0" collapsed="false">
      <c r="A59" s="142" t="s">
        <v>208</v>
      </c>
      <c r="B59" s="179" t="s">
        <v>209</v>
      </c>
      <c r="C59" s="180" t="n">
        <v>3</v>
      </c>
      <c r="D59" s="181" t="s">
        <v>138</v>
      </c>
      <c r="E59" s="181"/>
      <c r="F59" s="182"/>
      <c r="H59" s="182"/>
      <c r="I59" s="182"/>
      <c r="J59" s="187"/>
      <c r="K59" s="192"/>
      <c r="L59" s="182"/>
      <c r="M59" s="187"/>
      <c r="N59" s="187"/>
      <c r="O59" s="182"/>
      <c r="P59" s="187"/>
      <c r="Q59" s="187"/>
      <c r="R59" s="182"/>
      <c r="S59" s="188"/>
      <c r="T59" s="189"/>
      <c r="U59" s="182"/>
      <c r="V59" s="144"/>
      <c r="W59" s="144"/>
      <c r="X59" s="0"/>
      <c r="Y59" s="0"/>
      <c r="Z59" s="0"/>
      <c r="AA59" s="0"/>
      <c r="AB59" s="0"/>
      <c r="AC59" s="0"/>
    </row>
    <row r="60" customFormat="false" ht="12.75" hidden="false" customHeight="false" outlineLevel="0" collapsed="false">
      <c r="A60" s="142" t="s">
        <v>208</v>
      </c>
      <c r="B60" s="143" t="s">
        <v>210</v>
      </c>
      <c r="C60" s="200" t="n">
        <v>0.33</v>
      </c>
      <c r="D60" s="181"/>
      <c r="E60" s="181"/>
      <c r="F60" s="182"/>
      <c r="H60" s="182"/>
      <c r="I60" s="182"/>
      <c r="J60" s="187" t="n">
        <f aca="false">K60*J$8</f>
        <v>1783.782</v>
      </c>
      <c r="K60" s="187" t="n">
        <f aca="false">K$11*3*0.33*CMF</f>
        <v>1783.782</v>
      </c>
      <c r="L60" s="182" t="n">
        <f aca="false">+K60/K$11</f>
        <v>1.089</v>
      </c>
      <c r="M60" s="202" t="n">
        <f aca="false">N60*N$8</f>
        <v>79662.528</v>
      </c>
      <c r="N60" s="187" t="n">
        <f aca="false">N$11*3*0.33*CMF</f>
        <v>1106.424</v>
      </c>
      <c r="O60" s="182" t="n">
        <f aca="false">+N60/N$11</f>
        <v>1.089</v>
      </c>
      <c r="P60" s="187" t="n">
        <f aca="false">Q60*Q$8</f>
        <v>80578.377</v>
      </c>
      <c r="Q60" s="187" t="n">
        <f aca="false">Q$11*3*0.33*CMF</f>
        <v>1320.957</v>
      </c>
      <c r="R60" s="182" t="n">
        <f aca="false">+Q60/Q$11</f>
        <v>1.089</v>
      </c>
      <c r="S60" s="188" t="n">
        <f aca="false">+P60+M60</f>
        <v>160240.905</v>
      </c>
      <c r="T60" s="189" t="n">
        <f aca="false">+S60/S$8</f>
        <v>1204.81883458647</v>
      </c>
      <c r="U60" s="182" t="n">
        <f aca="false">+S60/U$8</f>
        <v>1.089</v>
      </c>
      <c r="V60" s="186" t="n">
        <f aca="false">+S60/TotalCost</f>
        <v>0.0126058098734474</v>
      </c>
      <c r="W60" s="144" t="n">
        <f aca="false">+$S60/TotalValue</f>
        <v>0.0105473715072719</v>
      </c>
      <c r="X60" s="0"/>
      <c r="Y60" s="0"/>
      <c r="Z60" s="0"/>
      <c r="AA60" s="0"/>
      <c r="AB60" s="0"/>
      <c r="AC60" s="0"/>
    </row>
    <row r="61" customFormat="false" ht="12.75" hidden="false" customHeight="false" outlineLevel="0" collapsed="false">
      <c r="A61" s="142" t="s">
        <v>208</v>
      </c>
      <c r="B61" s="143" t="s">
        <v>211</v>
      </c>
      <c r="C61" s="200" t="n">
        <v>0.67</v>
      </c>
      <c r="D61" s="181"/>
      <c r="E61" s="181"/>
      <c r="F61" s="182"/>
      <c r="H61" s="182"/>
      <c r="I61" s="182"/>
      <c r="J61" s="187" t="n">
        <f aca="false">K61*J$8</f>
        <v>3621.618</v>
      </c>
      <c r="K61" s="187" t="n">
        <f aca="false">$K$11*3*0.67*CMF</f>
        <v>3621.618</v>
      </c>
      <c r="L61" s="182" t="n">
        <f aca="false">+K61/K$11</f>
        <v>2.211</v>
      </c>
      <c r="M61" s="187" t="n">
        <f aca="false">N61*N$8</f>
        <v>161739.072</v>
      </c>
      <c r="N61" s="187" t="n">
        <f aca="false">N$11*3*0.67*CMF</f>
        <v>2246.376</v>
      </c>
      <c r="O61" s="182" t="n">
        <f aca="false">+N61/N$11</f>
        <v>2.211</v>
      </c>
      <c r="P61" s="187" t="n">
        <f aca="false">Q61*Q$8</f>
        <v>163598.523</v>
      </c>
      <c r="Q61" s="187" t="n">
        <f aca="false">Q$11*3*0.67*CMF</f>
        <v>2681.943</v>
      </c>
      <c r="R61" s="182" t="n">
        <f aca="false">+Q61/Q$11</f>
        <v>2.211</v>
      </c>
      <c r="S61" s="188" t="n">
        <f aca="false">+P61+M61</f>
        <v>325337.595</v>
      </c>
      <c r="T61" s="189" t="n">
        <f aca="false">+S61/S$8</f>
        <v>2446.14733082707</v>
      </c>
      <c r="U61" s="182" t="n">
        <f aca="false">+S61/U$8</f>
        <v>2.211</v>
      </c>
      <c r="V61" s="186" t="n">
        <f aca="false">+S61/TotalCost</f>
        <v>0.0255936139854841</v>
      </c>
      <c r="W61" s="144" t="n">
        <f aca="false">+$S61/TotalValue</f>
        <v>0.0214143603329459</v>
      </c>
      <c r="X61" s="0"/>
      <c r="Y61" s="0"/>
      <c r="Z61" s="0"/>
      <c r="AA61" s="0"/>
      <c r="AB61" s="0"/>
      <c r="AC61" s="0"/>
    </row>
    <row r="62" customFormat="false" ht="12.75" hidden="false" customHeight="false" outlineLevel="0" collapsed="false">
      <c r="A62" s="142" t="s">
        <v>212</v>
      </c>
      <c r="B62" s="191" t="s">
        <v>213</v>
      </c>
      <c r="C62" s="141" t="n">
        <v>365</v>
      </c>
      <c r="D62" s="181" t="s">
        <v>214</v>
      </c>
      <c r="E62" s="195" t="s">
        <v>215</v>
      </c>
      <c r="F62" s="182"/>
      <c r="H62" s="182"/>
      <c r="I62" s="182"/>
      <c r="J62" s="187" t="n">
        <f aca="false">K62*J$8</f>
        <v>730</v>
      </c>
      <c r="K62" s="187" t="n">
        <f aca="false">365*2</f>
        <v>730</v>
      </c>
      <c r="L62" s="182" t="n">
        <f aca="false">+K62/K$11</f>
        <v>0.445665445665446</v>
      </c>
      <c r="M62" s="187" t="n">
        <f aca="false">N62*N$8</f>
        <v>0</v>
      </c>
      <c r="N62" s="187" t="n">
        <v>0</v>
      </c>
      <c r="O62" s="182" t="n">
        <f aca="false">+N62/N$11</f>
        <v>0</v>
      </c>
      <c r="P62" s="187" t="n">
        <f aca="false">Q62*Q$8</f>
        <v>22265</v>
      </c>
      <c r="Q62" s="187" t="n">
        <v>365</v>
      </c>
      <c r="R62" s="182" t="n">
        <f aca="false">+Q62/Q$11</f>
        <v>0.300906842539159</v>
      </c>
      <c r="S62" s="188" t="n">
        <f aca="false">+P62+M62</f>
        <v>22265</v>
      </c>
      <c r="T62" s="189" t="n">
        <f aca="false">+S62/S$8</f>
        <v>167.406015037594</v>
      </c>
      <c r="U62" s="182" t="n">
        <f aca="false">+S62/U$8</f>
        <v>0.151313330388392</v>
      </c>
      <c r="V62" s="186" t="n">
        <f aca="false">+S62/TotalCost</f>
        <v>0.00175154001303416</v>
      </c>
      <c r="W62" s="144" t="n">
        <f aca="false">+$S62/TotalValue</f>
        <v>0.00146552608779517</v>
      </c>
      <c r="X62" s="0"/>
      <c r="Y62" s="0"/>
      <c r="Z62" s="0"/>
      <c r="AA62" s="0"/>
      <c r="AB62" s="0"/>
      <c r="AC62" s="0"/>
    </row>
    <row r="63" customFormat="false" ht="12.75" hidden="false" customHeight="false" outlineLevel="0" collapsed="false">
      <c r="A63" s="142"/>
      <c r="B63" s="191" t="s">
        <v>216</v>
      </c>
      <c r="C63" s="195" t="s">
        <v>217</v>
      </c>
      <c r="D63" s="181"/>
      <c r="E63" s="181"/>
      <c r="F63" s="182"/>
      <c r="H63" s="182"/>
      <c r="I63" s="182"/>
      <c r="J63" s="187" t="n">
        <f aca="false">K63*J$8</f>
        <v>500</v>
      </c>
      <c r="K63" s="187" t="n">
        <v>500</v>
      </c>
      <c r="L63" s="182" t="n">
        <f aca="false">+K63/K$11</f>
        <v>0.305250305250305</v>
      </c>
      <c r="M63" s="187" t="n">
        <f aca="false">N63*N$8</f>
        <v>36000</v>
      </c>
      <c r="N63" s="187" t="n">
        <v>500</v>
      </c>
      <c r="O63" s="182" t="n">
        <f aca="false">+N63/N$11</f>
        <v>0.492125984251969</v>
      </c>
      <c r="P63" s="187" t="n">
        <f aca="false">Q63*Q$8</f>
        <v>0</v>
      </c>
      <c r="Q63" s="187" t="n">
        <v>0</v>
      </c>
      <c r="R63" s="182" t="n">
        <f aca="false">+Q63/Q$11</f>
        <v>0</v>
      </c>
      <c r="S63" s="188" t="n">
        <f aca="false">+P63+M63</f>
        <v>36000</v>
      </c>
      <c r="T63" s="189" t="n">
        <f aca="false">+S63/S$8</f>
        <v>270.676691729323</v>
      </c>
      <c r="U63" s="182" t="n">
        <f aca="false">+S63/U$8</f>
        <v>0.244656631214109</v>
      </c>
      <c r="V63" s="186" t="n">
        <f aca="false">+S63/TotalCost</f>
        <v>0.00283204313807455</v>
      </c>
      <c r="W63" s="144" t="n">
        <f aca="false">+$S63/TotalValue</f>
        <v>0.0023695907999383</v>
      </c>
      <c r="X63" s="0"/>
      <c r="Y63" s="0"/>
      <c r="Z63" s="0"/>
      <c r="AA63" s="0"/>
      <c r="AB63" s="0"/>
      <c r="AC63" s="0"/>
    </row>
    <row r="64" customFormat="false" ht="12.75" hidden="false" customHeight="false" outlineLevel="0" collapsed="false">
      <c r="A64" s="142" t="s">
        <v>212</v>
      </c>
      <c r="B64" s="179" t="s">
        <v>218</v>
      </c>
      <c r="C64" s="190"/>
      <c r="D64" s="181"/>
      <c r="E64" s="194"/>
      <c r="F64" s="182"/>
      <c r="H64" s="182"/>
      <c r="I64" s="182"/>
      <c r="J64" s="187"/>
      <c r="K64" s="187"/>
      <c r="L64" s="182"/>
      <c r="M64" s="187"/>
      <c r="N64" s="187"/>
      <c r="O64" s="182"/>
      <c r="P64" s="187"/>
      <c r="Q64" s="187"/>
      <c r="R64" s="182"/>
      <c r="S64" s="188"/>
      <c r="T64" s="189"/>
      <c r="U64" s="182"/>
      <c r="V64" s="144"/>
      <c r="W64" s="144"/>
      <c r="X64" s="0"/>
      <c r="Y64" s="0"/>
      <c r="Z64" s="0"/>
      <c r="AA64" s="0"/>
      <c r="AB64" s="0"/>
      <c r="AC64" s="0"/>
    </row>
    <row r="65" customFormat="false" ht="12.75" hidden="false" customHeight="false" outlineLevel="0" collapsed="false">
      <c r="A65" s="142" t="s">
        <v>212</v>
      </c>
      <c r="B65" s="142" t="s">
        <v>219</v>
      </c>
      <c r="C65" s="190" t="n">
        <v>75</v>
      </c>
      <c r="D65" s="181" t="s">
        <v>214</v>
      </c>
      <c r="E65" s="181"/>
      <c r="F65" s="182"/>
      <c r="H65" s="182"/>
      <c r="I65" s="182"/>
      <c r="J65" s="187" t="n">
        <f aca="false">K65*J$8</f>
        <v>990</v>
      </c>
      <c r="K65" s="187" t="n">
        <f aca="false">12*75*CMF</f>
        <v>990</v>
      </c>
      <c r="L65" s="182" t="n">
        <f aca="false">+K65/K$11</f>
        <v>0.604395604395605</v>
      </c>
      <c r="M65" s="187" t="n">
        <f aca="false">N65*N$8</f>
        <v>71280</v>
      </c>
      <c r="N65" s="187" t="n">
        <f aca="false">12*75*CMF</f>
        <v>990</v>
      </c>
      <c r="O65" s="182" t="n">
        <f aca="false">+N65/N$11</f>
        <v>0.974409448818898</v>
      </c>
      <c r="P65" s="187" t="n">
        <f aca="false">Q65*Q$8</f>
        <v>60390</v>
      </c>
      <c r="Q65" s="187" t="n">
        <f aca="false">12*75*CMF</f>
        <v>990</v>
      </c>
      <c r="R65" s="182" t="n">
        <f aca="false">+Q65/Q$11</f>
        <v>0.816158285243199</v>
      </c>
      <c r="S65" s="188" t="n">
        <f aca="false">+P65+M65</f>
        <v>131670</v>
      </c>
      <c r="T65" s="189" t="n">
        <f aca="false">+S65/S$8</f>
        <v>990</v>
      </c>
      <c r="U65" s="182" t="n">
        <f aca="false">+S65/U$8</f>
        <v>0.894831628665602</v>
      </c>
      <c r="V65" s="186" t="n">
        <f aca="false">+S65/TotalCost</f>
        <v>0.0103581977775077</v>
      </c>
      <c r="W65" s="144" t="n">
        <f aca="false">+$S65/TotalValue</f>
        <v>0.00866677835077432</v>
      </c>
      <c r="X65" s="0"/>
      <c r="Y65" s="0"/>
      <c r="Z65" s="0"/>
      <c r="AA65" s="0"/>
      <c r="AB65" s="0"/>
      <c r="AC65" s="0"/>
    </row>
    <row r="66" customFormat="false" ht="12.75" hidden="false" customHeight="false" outlineLevel="0" collapsed="false">
      <c r="A66" s="142" t="s">
        <v>212</v>
      </c>
      <c r="B66" s="143" t="s">
        <v>220</v>
      </c>
      <c r="C66" s="190" t="n">
        <v>0.55</v>
      </c>
      <c r="D66" s="181" t="s">
        <v>138</v>
      </c>
      <c r="E66" s="181"/>
      <c r="F66" s="182"/>
      <c r="H66" s="182"/>
      <c r="I66" s="182"/>
      <c r="J66" s="187" t="n">
        <f aca="false">K66*J$8</f>
        <v>990.99</v>
      </c>
      <c r="K66" s="187" t="n">
        <f aca="false">K$11*0.55*CMF</f>
        <v>990.99</v>
      </c>
      <c r="L66" s="182" t="n">
        <f aca="false">+K66/K$11</f>
        <v>0.605</v>
      </c>
      <c r="M66" s="187" t="n">
        <f aca="false">N66*N$8</f>
        <v>44256.96</v>
      </c>
      <c r="N66" s="187" t="n">
        <f aca="false">N$11*0.55*CMF</f>
        <v>614.68</v>
      </c>
      <c r="O66" s="182" t="n">
        <f aca="false">+N66/N$11</f>
        <v>0.605</v>
      </c>
      <c r="P66" s="187" t="n">
        <f aca="false">Q66*Q$8</f>
        <v>44765.765</v>
      </c>
      <c r="Q66" s="187" t="n">
        <f aca="false">Q$11*0.55*CMF</f>
        <v>733.865</v>
      </c>
      <c r="R66" s="182" t="n">
        <f aca="false">+Q66/Q$11</f>
        <v>0.605</v>
      </c>
      <c r="S66" s="188" t="n">
        <f aca="false">+P66+M66</f>
        <v>89022.725</v>
      </c>
      <c r="T66" s="189" t="n">
        <f aca="false">+S66/S$8</f>
        <v>669.343796992481</v>
      </c>
      <c r="U66" s="182" t="n">
        <f aca="false">+S66/U$8</f>
        <v>0.605</v>
      </c>
      <c r="V66" s="186" t="n">
        <f aca="false">+S66/TotalCost</f>
        <v>0.00700322770747077</v>
      </c>
      <c r="W66" s="144" t="n">
        <f aca="false">+$S66/TotalValue</f>
        <v>0.00585965083737325</v>
      </c>
      <c r="X66" s="0"/>
      <c r="Y66" s="0"/>
      <c r="Z66" s="0"/>
      <c r="AA66" s="0"/>
      <c r="AB66" s="0"/>
      <c r="AC66" s="0"/>
    </row>
    <row r="67" customFormat="false" ht="12.75" hidden="false" customHeight="false" outlineLevel="0" collapsed="false">
      <c r="A67" s="142" t="s">
        <v>212</v>
      </c>
      <c r="B67" s="143" t="s">
        <v>192</v>
      </c>
      <c r="C67" s="190" t="n">
        <v>0.6</v>
      </c>
      <c r="D67" s="181" t="s">
        <v>138</v>
      </c>
      <c r="E67" s="181"/>
      <c r="F67" s="182"/>
      <c r="H67" s="182"/>
      <c r="I67" s="182"/>
      <c r="J67" s="187" t="n">
        <f aca="false">K67*J$8</f>
        <v>1081.08</v>
      </c>
      <c r="K67" s="187" t="n">
        <f aca="false">K$11*0.6*CMF</f>
        <v>1081.08</v>
      </c>
      <c r="L67" s="182" t="n">
        <f aca="false">+K67/K$11</f>
        <v>0.66</v>
      </c>
      <c r="M67" s="187" t="n">
        <f aca="false">N67*N$8</f>
        <v>48280.32</v>
      </c>
      <c r="N67" s="187" t="n">
        <f aca="false">N$11*0.6*CMF</f>
        <v>670.56</v>
      </c>
      <c r="O67" s="182" t="n">
        <f aca="false">+N67/N$11</f>
        <v>0.66</v>
      </c>
      <c r="P67" s="187" t="n">
        <f aca="false">Q67*Q$8</f>
        <v>48835.38</v>
      </c>
      <c r="Q67" s="187" t="n">
        <f aca="false">Q$11*0.6*CMF</f>
        <v>800.58</v>
      </c>
      <c r="R67" s="182" t="n">
        <f aca="false">+Q67/Q$11</f>
        <v>0.66</v>
      </c>
      <c r="S67" s="188" t="n">
        <f aca="false">+P67+M67</f>
        <v>97115.7</v>
      </c>
      <c r="T67" s="189" t="n">
        <f aca="false">+S67/S$8</f>
        <v>730.193233082707</v>
      </c>
      <c r="U67" s="182" t="n">
        <f aca="false">+S67/U$8</f>
        <v>0.66</v>
      </c>
      <c r="V67" s="186" t="n">
        <f aca="false">+S67/TotalCost</f>
        <v>0.00763988477178629</v>
      </c>
      <c r="W67" s="144" t="n">
        <f aca="false">+$S67/TotalValue</f>
        <v>0.00639234636804355</v>
      </c>
      <c r="X67" s="0"/>
      <c r="Y67" s="0"/>
      <c r="Z67" s="0"/>
      <c r="AA67" s="0"/>
      <c r="AB67" s="0"/>
      <c r="AC67" s="0"/>
      <c r="AD67" s="203"/>
    </row>
    <row r="68" customFormat="false" ht="12.75" hidden="false" customHeight="false" outlineLevel="0" collapsed="false">
      <c r="A68" s="142"/>
      <c r="B68" s="179" t="s">
        <v>221</v>
      </c>
      <c r="C68" s="190"/>
      <c r="D68" s="181"/>
      <c r="E68" s="181"/>
      <c r="F68" s="182"/>
      <c r="H68" s="182"/>
      <c r="I68" s="182"/>
      <c r="J68" s="187"/>
      <c r="K68" s="187"/>
      <c r="L68" s="182"/>
      <c r="M68" s="187"/>
      <c r="N68" s="187"/>
      <c r="O68" s="182"/>
      <c r="P68" s="187"/>
      <c r="Q68" s="187"/>
      <c r="R68" s="182"/>
      <c r="S68" s="188"/>
      <c r="T68" s="189"/>
      <c r="U68" s="182"/>
      <c r="V68" s="144"/>
      <c r="W68" s="144"/>
      <c r="X68" s="143"/>
      <c r="Y68" s="204"/>
      <c r="Z68" s="181" t="n">
        <f aca="false">N8</f>
        <v>72</v>
      </c>
      <c r="AA68" s="143" t="n">
        <v>1200</v>
      </c>
      <c r="AB68" s="146" t="n">
        <f aca="false">AA68*Z68</f>
        <v>86400</v>
      </c>
      <c r="AC68" s="143"/>
      <c r="AD68" s="203"/>
    </row>
    <row r="69" customFormat="false" ht="12.75" hidden="false" customHeight="false" outlineLevel="0" collapsed="false">
      <c r="A69" s="142" t="s">
        <v>222</v>
      </c>
      <c r="B69" s="143" t="s">
        <v>223</v>
      </c>
      <c r="C69" s="190" t="n">
        <v>0.66</v>
      </c>
      <c r="D69" s="181" t="s">
        <v>224</v>
      </c>
      <c r="E69" s="181"/>
      <c r="F69" s="182"/>
      <c r="H69" s="182"/>
      <c r="I69" s="182"/>
      <c r="J69" s="187" t="n">
        <f aca="false">K69*J$8</f>
        <v>1613.898</v>
      </c>
      <c r="K69" s="187" t="n">
        <f aca="false">2*L$11*0.33*CMF</f>
        <v>1613.898</v>
      </c>
      <c r="L69" s="182" t="n">
        <f aca="false">+K69/K$11</f>
        <v>0.985285714285714</v>
      </c>
      <c r="M69" s="187" t="n">
        <f aca="false">N69*N$8</f>
        <v>53108.352</v>
      </c>
      <c r="N69" s="187" t="n">
        <f aca="false">2*O$11*0.33*CMF</f>
        <v>737.616</v>
      </c>
      <c r="O69" s="182" t="n">
        <f aca="false">+N69/N$11</f>
        <v>0.726</v>
      </c>
      <c r="P69" s="187" t="n">
        <f aca="false">Q69*Q$8</f>
        <v>66694.716</v>
      </c>
      <c r="Q69" s="187" t="n">
        <f aca="false">2*R$11*0.33*CMF</f>
        <v>1093.356</v>
      </c>
      <c r="R69" s="182" t="n">
        <f aca="false">+Q69/Q$11</f>
        <v>0.901365210222589</v>
      </c>
      <c r="S69" s="188" t="n">
        <f aca="false">+P69+M69</f>
        <v>119803.068</v>
      </c>
      <c r="T69" s="189" t="n">
        <f aca="false">+S69/S$8</f>
        <v>900.774947368421</v>
      </c>
      <c r="U69" s="182" t="n">
        <f aca="false">+S69/U$8</f>
        <v>0.814183750722077</v>
      </c>
      <c r="V69" s="186" t="n">
        <f aca="false">+S69/TotalCost</f>
        <v>0.00942465157360219</v>
      </c>
      <c r="W69" s="144" t="n">
        <f aca="false">+$S69/TotalValue</f>
        <v>0.00788567354825506</v>
      </c>
      <c r="X69" s="143"/>
      <c r="Y69" s="204"/>
      <c r="Z69" s="143" t="n">
        <f aca="false">J8</f>
        <v>1</v>
      </c>
      <c r="AA69" s="181" t="n">
        <v>1250</v>
      </c>
      <c r="AB69" s="146" t="n">
        <f aca="false">AA69*Z69</f>
        <v>1250</v>
      </c>
      <c r="AC69" s="143"/>
      <c r="AD69" s="203"/>
    </row>
    <row r="70" customFormat="false" ht="12.75" hidden="false" customHeight="false" outlineLevel="0" collapsed="false">
      <c r="A70" s="142" t="s">
        <v>225</v>
      </c>
      <c r="B70" s="143" t="s">
        <v>226</v>
      </c>
      <c r="C70" s="190" t="n">
        <v>1.34</v>
      </c>
      <c r="D70" s="181" t="s">
        <v>224</v>
      </c>
      <c r="E70" s="181"/>
      <c r="F70" s="182"/>
      <c r="H70" s="182"/>
      <c r="I70" s="182"/>
      <c r="J70" s="187" t="n">
        <f aca="false">K70*J$8</f>
        <v>3276.702</v>
      </c>
      <c r="K70" s="187" t="n">
        <f aca="false">2*L$11*0.67*CMF</f>
        <v>3276.702</v>
      </c>
      <c r="L70" s="182" t="n">
        <f aca="false">+K70/K$11</f>
        <v>2.00042857142857</v>
      </c>
      <c r="M70" s="187" t="n">
        <f aca="false">N70*N$8</f>
        <v>107826.048</v>
      </c>
      <c r="N70" s="187" t="n">
        <f aca="false">2*O$11*0.67*CMF</f>
        <v>1497.584</v>
      </c>
      <c r="O70" s="182" t="n">
        <f aca="false">+N70/N$11</f>
        <v>1.474</v>
      </c>
      <c r="P70" s="187" t="n">
        <f aca="false">Q70*Q$8</f>
        <v>135410.484</v>
      </c>
      <c r="Q70" s="187" t="n">
        <f aca="false">2*R$11*0.67*CMF</f>
        <v>2219.844</v>
      </c>
      <c r="R70" s="182" t="n">
        <f aca="false">+Q70/Q$11</f>
        <v>1.83004451772465</v>
      </c>
      <c r="S70" s="188" t="n">
        <f aca="false">+P70+M70</f>
        <v>243236.532</v>
      </c>
      <c r="T70" s="189" t="n">
        <f aca="false">+S70/S$8</f>
        <v>1828.84610526316</v>
      </c>
      <c r="U70" s="182" t="n">
        <f aca="false">+S70/U$8</f>
        <v>1.65303973631452</v>
      </c>
      <c r="V70" s="186" t="n">
        <f aca="false">+S70/TotalCost</f>
        <v>0.0191348986494347</v>
      </c>
      <c r="W70" s="144" t="n">
        <f aca="false">+$S70/TotalValue</f>
        <v>0.0160103069010027</v>
      </c>
      <c r="X70" s="143"/>
      <c r="Y70" s="204"/>
      <c r="Z70" s="143" t="n">
        <f aca="false">2900000/28</f>
        <v>103571.428571429</v>
      </c>
      <c r="AA70" s="184" t="n">
        <f aca="false">Z70/1343</f>
        <v>77.1194553770875</v>
      </c>
      <c r="AB70" s="146"/>
      <c r="AC70" s="143"/>
    </row>
    <row r="71" customFormat="false" ht="12.75" hidden="false" customHeight="false" outlineLevel="0" collapsed="false">
      <c r="A71" s="142" t="s">
        <v>225</v>
      </c>
      <c r="B71" s="143" t="s">
        <v>227</v>
      </c>
      <c r="C71" s="190" t="n">
        <v>0.2</v>
      </c>
      <c r="D71" s="181" t="s">
        <v>224</v>
      </c>
      <c r="E71" s="181"/>
      <c r="F71" s="182"/>
      <c r="H71" s="182"/>
      <c r="I71" s="182"/>
      <c r="J71" s="187" t="n">
        <f aca="false">K71*J$8</f>
        <v>360.36</v>
      </c>
      <c r="K71" s="187" t="n">
        <f aca="false">K$11*0.2*CMF</f>
        <v>360.36</v>
      </c>
      <c r="L71" s="182" t="n">
        <f aca="false">+K71/K$11</f>
        <v>0.22</v>
      </c>
      <c r="M71" s="187" t="n">
        <f aca="false">N71*N$8</f>
        <v>16093.44</v>
      </c>
      <c r="N71" s="187" t="n">
        <f aca="false">N$11*0.2*CMF</f>
        <v>223.52</v>
      </c>
      <c r="O71" s="182" t="n">
        <f aca="false">+N71/N$11</f>
        <v>0.22</v>
      </c>
      <c r="P71" s="187" t="n">
        <f aca="false">Q71*Q$8</f>
        <v>16278.46</v>
      </c>
      <c r="Q71" s="187" t="n">
        <f aca="false">Q$11*0.2*CMF</f>
        <v>266.86</v>
      </c>
      <c r="R71" s="182" t="n">
        <f aca="false">+Q71/Q$11</f>
        <v>0.22</v>
      </c>
      <c r="S71" s="188" t="n">
        <f aca="false">+P71+M71</f>
        <v>32371.9</v>
      </c>
      <c r="T71" s="189" t="n">
        <f aca="false">+S71/S$8</f>
        <v>243.397744360902</v>
      </c>
      <c r="U71" s="182" t="n">
        <f aca="false">+S71/U$8</f>
        <v>0.22</v>
      </c>
      <c r="V71" s="186" t="n">
        <f aca="false">+S71/TotalCost</f>
        <v>0.0025466282572621</v>
      </c>
      <c r="W71" s="144" t="n">
        <f aca="false">+$S71/TotalValue</f>
        <v>0.00213078212268118</v>
      </c>
      <c r="X71" s="143"/>
      <c r="Y71" s="143"/>
      <c r="Z71" s="143" t="n">
        <f aca="false">2700000/28</f>
        <v>96428.5714285714</v>
      </c>
      <c r="AA71" s="184" t="n">
        <f aca="false">Z71/1343</f>
        <v>71.8008722476332</v>
      </c>
      <c r="AB71" s="146"/>
      <c r="AC71" s="143"/>
    </row>
    <row r="72" customFormat="false" ht="12.75" hidden="false" customHeight="false" outlineLevel="0" collapsed="false">
      <c r="A72" s="142"/>
      <c r="B72" s="179" t="s">
        <v>228</v>
      </c>
      <c r="C72" s="190"/>
      <c r="D72" s="181"/>
      <c r="E72" s="181"/>
      <c r="F72" s="182"/>
      <c r="H72" s="182"/>
      <c r="I72" s="182"/>
      <c r="J72" s="187"/>
      <c r="K72" s="192"/>
      <c r="L72" s="182"/>
      <c r="M72" s="187"/>
      <c r="N72" s="187"/>
      <c r="O72" s="182"/>
      <c r="P72" s="187"/>
      <c r="Q72" s="187"/>
      <c r="R72" s="182"/>
      <c r="S72" s="188"/>
      <c r="T72" s="189"/>
      <c r="U72" s="182"/>
      <c r="V72" s="144"/>
      <c r="W72" s="144"/>
      <c r="X72" s="143"/>
      <c r="Y72" s="143"/>
      <c r="Z72" s="143"/>
      <c r="AA72" s="143"/>
      <c r="AB72" s="146"/>
      <c r="AC72" s="143"/>
    </row>
    <row r="73" customFormat="false" ht="12.75" hidden="false" customHeight="false" outlineLevel="0" collapsed="false">
      <c r="A73" s="142" t="s">
        <v>229</v>
      </c>
      <c r="B73" s="143" t="s">
        <v>230</v>
      </c>
      <c r="C73" s="190" t="n">
        <v>1500</v>
      </c>
      <c r="D73" s="181" t="s">
        <v>137</v>
      </c>
      <c r="E73" s="181"/>
      <c r="F73" s="182"/>
      <c r="H73" s="182"/>
      <c r="I73" s="182"/>
      <c r="J73" s="187" t="n">
        <f aca="false">K73*J$8</f>
        <v>1595</v>
      </c>
      <c r="K73" s="187" t="n">
        <f aca="false">1450*CMF</f>
        <v>1595</v>
      </c>
      <c r="L73" s="182" t="n">
        <f aca="false">+K73/K$11</f>
        <v>0.973748473748474</v>
      </c>
      <c r="M73" s="187" t="n">
        <f aca="false">N73*N$8</f>
        <v>114840</v>
      </c>
      <c r="N73" s="187" t="n">
        <f aca="false">1450*CMF</f>
        <v>1595</v>
      </c>
      <c r="O73" s="182" t="n">
        <f aca="false">+N73/N$11</f>
        <v>1.56988188976378</v>
      </c>
      <c r="P73" s="187" t="n">
        <f aca="false">Q73*Q$8</f>
        <v>97295</v>
      </c>
      <c r="Q73" s="187" t="n">
        <f aca="false">1450*CMF</f>
        <v>1595</v>
      </c>
      <c r="R73" s="182" t="n">
        <f aca="false">+Q73/Q$11</f>
        <v>1.31492168178071</v>
      </c>
      <c r="S73" s="188" t="n">
        <f aca="false">+P73+M73</f>
        <v>212135</v>
      </c>
      <c r="T73" s="189" t="n">
        <f aca="false">+S73/S$8</f>
        <v>1595</v>
      </c>
      <c r="U73" s="182" t="n">
        <f aca="false">+S73/U$8</f>
        <v>1.4416731795168</v>
      </c>
      <c r="V73" s="186" t="n">
        <f aca="false">+S73/TotalCost</f>
        <v>0.016688207530429</v>
      </c>
      <c r="W73" s="144" t="n">
        <f aca="false">+$S73/TotalValue</f>
        <v>0.0139631428984697</v>
      </c>
      <c r="X73" s="143"/>
      <c r="Y73" s="143"/>
      <c r="Z73" s="205" t="n">
        <f aca="false">0.0725/12</f>
        <v>0.00604166666666667</v>
      </c>
      <c r="AA73" s="143"/>
      <c r="AB73" s="146"/>
      <c r="AC73" s="143"/>
    </row>
    <row r="74" customFormat="false" ht="12.75" hidden="false" customHeight="false" outlineLevel="0" collapsed="false">
      <c r="A74" s="142" t="s">
        <v>229</v>
      </c>
      <c r="B74" s="142" t="s">
        <v>231</v>
      </c>
      <c r="C74" s="190" t="n">
        <v>600</v>
      </c>
      <c r="D74" s="181" t="s">
        <v>137</v>
      </c>
      <c r="E74" s="181"/>
      <c r="F74" s="182"/>
      <c r="H74" s="182"/>
      <c r="I74" s="182"/>
      <c r="J74" s="187" t="n">
        <f aca="false">K74*J$8</f>
        <v>660</v>
      </c>
      <c r="K74" s="187" t="n">
        <f aca="false">600*CMF</f>
        <v>660</v>
      </c>
      <c r="L74" s="182" t="n">
        <f aca="false">+K74/K$11</f>
        <v>0.402930402930403</v>
      </c>
      <c r="M74" s="187" t="n">
        <f aca="false">N74*N$8</f>
        <v>47520</v>
      </c>
      <c r="N74" s="187" t="n">
        <f aca="false">600*CMF</f>
        <v>660</v>
      </c>
      <c r="O74" s="182" t="n">
        <f aca="false">+N74/N$11</f>
        <v>0.649606299212598</v>
      </c>
      <c r="P74" s="187" t="n">
        <f aca="false">Q74*Q$8</f>
        <v>40260</v>
      </c>
      <c r="Q74" s="187" t="n">
        <f aca="false">600*CMF</f>
        <v>660</v>
      </c>
      <c r="R74" s="182" t="n">
        <f aca="false">+Q74/Q$11</f>
        <v>0.544105523495466</v>
      </c>
      <c r="S74" s="188" t="n">
        <f aca="false">+P74+M74</f>
        <v>87780</v>
      </c>
      <c r="T74" s="189" t="n">
        <f aca="false">+S74/S$8</f>
        <v>660</v>
      </c>
      <c r="U74" s="182" t="n">
        <f aca="false">+S74/U$8</f>
        <v>0.596554419110401</v>
      </c>
      <c r="V74" s="186" t="n">
        <f aca="false">+S74/TotalCost</f>
        <v>0.00690546518500511</v>
      </c>
      <c r="W74" s="144" t="n">
        <f aca="false">+$S74/TotalValue</f>
        <v>0.00577785223384955</v>
      </c>
      <c r="X74" s="143"/>
      <c r="Y74" s="143"/>
      <c r="Z74" s="143" t="n">
        <v>360</v>
      </c>
      <c r="AA74" s="143"/>
      <c r="AB74" s="146"/>
      <c r="AC74" s="143"/>
    </row>
    <row r="75" customFormat="false" ht="12.75" hidden="false" customHeight="false" outlineLevel="0" collapsed="false">
      <c r="A75" s="142" t="s">
        <v>232</v>
      </c>
      <c r="B75" s="142" t="s">
        <v>233</v>
      </c>
      <c r="C75" s="141" t="s">
        <v>234</v>
      </c>
      <c r="D75" s="181"/>
      <c r="E75" s="181"/>
      <c r="F75" s="182"/>
      <c r="H75" s="182"/>
      <c r="I75" s="182"/>
      <c r="J75" s="187" t="n">
        <f aca="false">K75*J$8</f>
        <v>850.63</v>
      </c>
      <c r="K75" s="187" t="n">
        <f aca="false">(K$11*0.35+200)*CMF</f>
        <v>850.63</v>
      </c>
      <c r="L75" s="182" t="n">
        <f aca="false">+K75/K$11</f>
        <v>0.519310134310134</v>
      </c>
      <c r="M75" s="187" t="n">
        <f aca="false">N75*N$8</f>
        <v>44003.52</v>
      </c>
      <c r="N75" s="187" t="n">
        <f aca="false">(N$11*0.35+200)*CMF</f>
        <v>611.16</v>
      </c>
      <c r="O75" s="182" t="n">
        <f aca="false">+N75/N$11</f>
        <v>0.601535433070866</v>
      </c>
      <c r="P75" s="187" t="n">
        <f aca="false">Q75*Q$8</f>
        <v>41907.305</v>
      </c>
      <c r="Q75" s="187" t="n">
        <f aca="false">(Q$11*0.35+200)*CMF</f>
        <v>687.005</v>
      </c>
      <c r="R75" s="182" t="n">
        <f aca="false">+Q75/Q$11</f>
        <v>0.566368507831822</v>
      </c>
      <c r="S75" s="188" t="n">
        <f aca="false">+P75+M75</f>
        <v>85910.825</v>
      </c>
      <c r="T75" s="189" t="n">
        <f aca="false">+S75/S$8</f>
        <v>645.946052631579</v>
      </c>
      <c r="U75" s="182" t="n">
        <f aca="false">+S75/U$8</f>
        <v>0.5838514730368</v>
      </c>
      <c r="V75" s="186" t="n">
        <f aca="false">+S75/TotalCost</f>
        <v>0.00675842117854371</v>
      </c>
      <c r="W75" s="144" t="n">
        <f aca="false">+$S75/TotalValue</f>
        <v>0.00565481945930858</v>
      </c>
      <c r="X75" s="143"/>
      <c r="Y75" s="204"/>
      <c r="Z75" s="181" t="n">
        <f aca="false">PMT(Z73,Z74,Z54)</f>
        <v>-0</v>
      </c>
      <c r="AA75" s="181"/>
      <c r="AB75" s="146"/>
      <c r="AC75" s="143"/>
    </row>
    <row r="76" customFormat="false" ht="12.75" hidden="false" customHeight="false" outlineLevel="0" collapsed="false">
      <c r="A76" s="142" t="s">
        <v>199</v>
      </c>
      <c r="B76" s="142" t="s">
        <v>235</v>
      </c>
      <c r="C76" s="190" t="n">
        <v>0.29</v>
      </c>
      <c r="D76" s="181" t="s">
        <v>138</v>
      </c>
      <c r="E76" s="181"/>
      <c r="F76" s="182"/>
      <c r="H76" s="182"/>
      <c r="I76" s="182"/>
      <c r="J76" s="187" t="n">
        <f aca="false">K76*J$8</f>
        <v>522.522</v>
      </c>
      <c r="K76" s="187" t="n">
        <f aca="false">K$11*0.29*CMF</f>
        <v>522.522</v>
      </c>
      <c r="L76" s="182" t="n">
        <f aca="false">+K76/K$11</f>
        <v>0.319</v>
      </c>
      <c r="M76" s="187" t="n">
        <f aca="false">N76*N$8</f>
        <v>23335.488</v>
      </c>
      <c r="N76" s="187" t="n">
        <f aca="false">N$11*0.29*CMF</f>
        <v>324.104</v>
      </c>
      <c r="O76" s="182" t="n">
        <f aca="false">+N76/N$11</f>
        <v>0.319</v>
      </c>
      <c r="P76" s="187" t="n">
        <f aca="false">Q76*Q$8</f>
        <v>23603.767</v>
      </c>
      <c r="Q76" s="187" t="n">
        <f aca="false">Q$11*0.29*CMF</f>
        <v>386.947</v>
      </c>
      <c r="R76" s="182" t="n">
        <f aca="false">+Q76/Q$11</f>
        <v>0.319</v>
      </c>
      <c r="S76" s="188" t="n">
        <f aca="false">+P76+M76</f>
        <v>46939.255</v>
      </c>
      <c r="T76" s="189" t="n">
        <f aca="false">+S76/S$8</f>
        <v>352.926729323308</v>
      </c>
      <c r="U76" s="182" t="n">
        <f aca="false">+S76/U$8</f>
        <v>0.319</v>
      </c>
      <c r="V76" s="186" t="n">
        <f aca="false">+S76/TotalCost</f>
        <v>0.00369261097303004</v>
      </c>
      <c r="W76" s="144" t="n">
        <f aca="false">+$S76/TotalValue</f>
        <v>0.00308963407788771</v>
      </c>
      <c r="X76" s="143"/>
      <c r="Y76" s="204"/>
      <c r="Z76" s="181" t="n">
        <f aca="false">+AC69</f>
        <v>0</v>
      </c>
      <c r="AA76" s="181"/>
      <c r="AB76" s="146" t="n">
        <f aca="false">2700000*0.105</f>
        <v>283500</v>
      </c>
      <c r="AC76" s="143"/>
    </row>
    <row r="77" customFormat="false" ht="12.75" hidden="false" customHeight="false" outlineLevel="0" collapsed="false">
      <c r="A77" s="142" t="s">
        <v>236</v>
      </c>
      <c r="B77" s="142" t="s">
        <v>237</v>
      </c>
      <c r="C77" s="206" t="n">
        <f aca="false">(250+300+250+100)</f>
        <v>900</v>
      </c>
      <c r="D77" s="181" t="s">
        <v>137</v>
      </c>
      <c r="E77" s="181"/>
      <c r="F77" s="182"/>
      <c r="H77" s="182"/>
      <c r="I77" s="182"/>
      <c r="J77" s="187" t="n">
        <f aca="false">K77*J$8</f>
        <v>990</v>
      </c>
      <c r="K77" s="187" t="n">
        <f aca="false">(250+300+250+100)*CMF</f>
        <v>990</v>
      </c>
      <c r="L77" s="182" t="n">
        <f aca="false">+K77/K$11</f>
        <v>0.604395604395605</v>
      </c>
      <c r="M77" s="187" t="n">
        <f aca="false">N77*N$8</f>
        <v>71280</v>
      </c>
      <c r="N77" s="187" t="n">
        <f aca="false">(250+300+250+100)*CMF</f>
        <v>990</v>
      </c>
      <c r="O77" s="182" t="n">
        <f aca="false">+N77/N$11</f>
        <v>0.974409448818898</v>
      </c>
      <c r="P77" s="187" t="n">
        <f aca="false">Q77*Q$8</f>
        <v>60390</v>
      </c>
      <c r="Q77" s="187" t="n">
        <f aca="false">(250+300+250+100)*CMF</f>
        <v>990</v>
      </c>
      <c r="R77" s="182" t="n">
        <f aca="false">+Q77/Q$11</f>
        <v>0.816158285243199</v>
      </c>
      <c r="S77" s="188" t="n">
        <f aca="false">+P77+M77</f>
        <v>131670</v>
      </c>
      <c r="T77" s="189" t="n">
        <f aca="false">+S77/S$8</f>
        <v>990</v>
      </c>
      <c r="U77" s="182" t="n">
        <f aca="false">+S77/U$8</f>
        <v>0.894831628665602</v>
      </c>
      <c r="V77" s="186" t="n">
        <f aca="false">+S77/TotalCost</f>
        <v>0.0103581977775077</v>
      </c>
      <c r="W77" s="144" t="n">
        <f aca="false">+$S77/TotalValue</f>
        <v>0.00866677835077432</v>
      </c>
      <c r="X77" s="164"/>
      <c r="Y77" s="143"/>
      <c r="Z77" s="181" t="n">
        <f aca="false">0.9*Z76</f>
        <v>0</v>
      </c>
      <c r="AA77" s="181"/>
      <c r="AB77" s="146" t="n">
        <f aca="false">AB76/12</f>
        <v>23625</v>
      </c>
      <c r="AC77" s="143"/>
    </row>
    <row r="78" customFormat="false" ht="12.75" hidden="false" customHeight="false" outlineLevel="0" collapsed="false">
      <c r="A78" s="142" t="s">
        <v>238</v>
      </c>
      <c r="B78" s="142" t="s">
        <v>239</v>
      </c>
      <c r="C78" s="190" t="n">
        <v>1.22</v>
      </c>
      <c r="D78" s="181" t="s">
        <v>138</v>
      </c>
      <c r="E78" s="181"/>
      <c r="F78" s="182"/>
      <c r="H78" s="182"/>
      <c r="I78" s="182"/>
      <c r="J78" s="187" t="n">
        <f aca="false">K78*J$8</f>
        <v>2198.196</v>
      </c>
      <c r="K78" s="187" t="n">
        <f aca="false">1.22*K$11*CMF</f>
        <v>2198.196</v>
      </c>
      <c r="L78" s="182" t="n">
        <f aca="false">+K78/K$11</f>
        <v>1.342</v>
      </c>
      <c r="M78" s="187" t="n">
        <f aca="false">N78*N$8</f>
        <v>98169.984</v>
      </c>
      <c r="N78" s="187" t="n">
        <f aca="false">1.22*N$11*CMF</f>
        <v>1363.472</v>
      </c>
      <c r="O78" s="182" t="n">
        <f aca="false">+N78/N$11</f>
        <v>1.342</v>
      </c>
      <c r="P78" s="187" t="n">
        <f aca="false">Q78*Q$8</f>
        <v>99298.606</v>
      </c>
      <c r="Q78" s="187" t="n">
        <f aca="false">1.22*Q$11*CMF</f>
        <v>1627.846</v>
      </c>
      <c r="R78" s="182" t="n">
        <f aca="false">+Q78/Q$11</f>
        <v>1.342</v>
      </c>
      <c r="S78" s="188" t="n">
        <f aca="false">+P78+M78</f>
        <v>197468.59</v>
      </c>
      <c r="T78" s="189" t="n">
        <f aca="false">+S78/S$8</f>
        <v>1484.7262406015</v>
      </c>
      <c r="U78" s="182" t="n">
        <f aca="false">+S78/U$8</f>
        <v>1.342</v>
      </c>
      <c r="V78" s="186" t="n">
        <f aca="false">+S78/TotalCost</f>
        <v>0.0155344323692988</v>
      </c>
      <c r="W78" s="144" t="n">
        <f aca="false">+$S78/TotalValue</f>
        <v>0.0129977709483552</v>
      </c>
      <c r="X78" s="143"/>
      <c r="Y78" s="204"/>
      <c r="Z78" s="145" t="n">
        <f aca="false">((110000/28/1343)*1187*134)/12</f>
        <v>38773.3131227174</v>
      </c>
      <c r="AA78" s="181"/>
      <c r="AB78" s="146"/>
      <c r="AC78" s="143"/>
    </row>
    <row r="79" customFormat="false" ht="12.75" hidden="false" customHeight="false" outlineLevel="0" collapsed="false">
      <c r="A79" s="142" t="s">
        <v>212</v>
      </c>
      <c r="B79" s="142" t="s">
        <v>240</v>
      </c>
      <c r="C79" s="190" t="n">
        <v>157</v>
      </c>
      <c r="D79" s="181" t="s">
        <v>137</v>
      </c>
      <c r="E79" s="181"/>
      <c r="F79" s="182"/>
      <c r="H79" s="182"/>
      <c r="I79" s="182"/>
      <c r="J79" s="187" t="n">
        <f aca="false">K79*J$8</f>
        <v>172.7</v>
      </c>
      <c r="K79" s="187" t="n">
        <f aca="false">157*CMF</f>
        <v>172.7</v>
      </c>
      <c r="L79" s="182" t="n">
        <f aca="false">+K79/K$11</f>
        <v>0.105433455433455</v>
      </c>
      <c r="M79" s="187" t="n">
        <f aca="false">N79*N$8</f>
        <v>12434.4</v>
      </c>
      <c r="N79" s="187" t="n">
        <f aca="false">157*CMF</f>
        <v>172.7</v>
      </c>
      <c r="O79" s="182" t="n">
        <f aca="false">+N79/N$11</f>
        <v>0.16998031496063</v>
      </c>
      <c r="P79" s="187" t="n">
        <f aca="false">Q79*Q$8</f>
        <v>10534.7</v>
      </c>
      <c r="Q79" s="187" t="n">
        <f aca="false">157*CMF</f>
        <v>172.7</v>
      </c>
      <c r="R79" s="182" t="n">
        <f aca="false">+Q79/Q$11</f>
        <v>0.14237427864798</v>
      </c>
      <c r="S79" s="188" t="n">
        <f aca="false">+P79+M79</f>
        <v>22969.1</v>
      </c>
      <c r="T79" s="189" t="n">
        <f aca="false">+S79/S$8</f>
        <v>172.7</v>
      </c>
      <c r="U79" s="182" t="n">
        <f aca="false">+S79/U$8</f>
        <v>0.156098406333888</v>
      </c>
      <c r="V79" s="186" t="n">
        <f aca="false">+S79/TotalCost</f>
        <v>0.001806930056743</v>
      </c>
      <c r="W79" s="144" t="n">
        <f aca="false">+$S79/TotalValue</f>
        <v>0.00151187133452396</v>
      </c>
      <c r="X79" s="143"/>
      <c r="Y79" s="204"/>
      <c r="Z79" s="181" t="n">
        <f aca="false">+Z77-Z78</f>
        <v>-38773.3131227174</v>
      </c>
      <c r="AA79" s="181"/>
      <c r="AB79" s="146"/>
      <c r="AC79" s="143"/>
    </row>
    <row r="80" customFormat="false" ht="12.75" hidden="false" customHeight="false" outlineLevel="0" collapsed="false">
      <c r="A80" s="142" t="s">
        <v>241</v>
      </c>
      <c r="B80" s="191" t="s">
        <v>242</v>
      </c>
      <c r="C80" s="190" t="n">
        <v>2.25</v>
      </c>
      <c r="D80" s="181" t="s">
        <v>138</v>
      </c>
      <c r="E80" s="181"/>
      <c r="F80" s="182"/>
      <c r="H80" s="182"/>
      <c r="I80" s="182"/>
      <c r="J80" s="187" t="n">
        <f aca="false">K80*J$8</f>
        <v>158.4</v>
      </c>
      <c r="K80" s="187" t="n">
        <f aca="false">8*8*2.25*CMF</f>
        <v>158.4</v>
      </c>
      <c r="L80" s="182" t="n">
        <f aca="false">+K80/K$11</f>
        <v>0.0967032967032967</v>
      </c>
      <c r="M80" s="187" t="n">
        <f aca="false">N80*N$8</f>
        <v>11404.8</v>
      </c>
      <c r="N80" s="187" t="n">
        <f aca="false">8*8*2.25*CMF</f>
        <v>158.4</v>
      </c>
      <c r="O80" s="182" t="n">
        <f aca="false">+N80/N$11</f>
        <v>0.155905511811024</v>
      </c>
      <c r="P80" s="187" t="n">
        <f aca="false">Q80*Q$8</f>
        <v>9662.4</v>
      </c>
      <c r="Q80" s="187" t="n">
        <f aca="false">8*8*2.25*CMF</f>
        <v>158.4</v>
      </c>
      <c r="R80" s="182" t="n">
        <f aca="false">+Q80/Q$11</f>
        <v>0.130585325638912</v>
      </c>
      <c r="S80" s="188" t="n">
        <f aca="false">+P80+M80</f>
        <v>21067.2</v>
      </c>
      <c r="T80" s="189" t="n">
        <f aca="false">+S80/S$8</f>
        <v>158.4</v>
      </c>
      <c r="U80" s="182" t="n">
        <f aca="false">+S80/U$8</f>
        <v>0.143173060586496</v>
      </c>
      <c r="V80" s="186" t="n">
        <f aca="false">+S80/TotalCost</f>
        <v>0.00165731164440123</v>
      </c>
      <c r="W80" s="144" t="n">
        <f aca="false">+$S80/TotalValue</f>
        <v>0.00138668453612389</v>
      </c>
      <c r="X80" s="143"/>
      <c r="Y80" s="204"/>
      <c r="Z80" s="145" t="e">
        <f aca="false">+Z79/-Z75</f>
        <v>#DIV/0!</v>
      </c>
      <c r="AA80" s="181"/>
      <c r="AB80" s="146"/>
      <c r="AC80" s="143"/>
    </row>
    <row r="81" customFormat="false" ht="12.75" hidden="false" customHeight="false" outlineLevel="0" collapsed="false">
      <c r="A81" s="142" t="s">
        <v>241</v>
      </c>
      <c r="B81" s="142" t="s">
        <v>243</v>
      </c>
      <c r="C81" s="141" t="s">
        <v>244</v>
      </c>
      <c r="D81" s="181"/>
      <c r="E81" s="181"/>
      <c r="F81" s="182"/>
      <c r="H81" s="182"/>
      <c r="I81" s="182"/>
      <c r="J81" s="187"/>
      <c r="K81" s="187"/>
      <c r="L81" s="182"/>
      <c r="M81" s="187"/>
      <c r="N81" s="187"/>
      <c r="O81" s="182"/>
      <c r="P81" s="187"/>
      <c r="Q81" s="187"/>
      <c r="R81" s="182"/>
      <c r="S81" s="188"/>
      <c r="T81" s="189"/>
      <c r="U81" s="182"/>
      <c r="V81" s="144"/>
      <c r="W81" s="144"/>
      <c r="X81" s="164"/>
      <c r="Y81" s="204"/>
      <c r="Z81" s="181"/>
      <c r="AA81" s="181"/>
      <c r="AB81" s="146"/>
      <c r="AC81" s="143"/>
    </row>
    <row r="82" customFormat="false" ht="12.75" hidden="false" customHeight="false" outlineLevel="0" collapsed="false">
      <c r="A82" s="142" t="s">
        <v>241</v>
      </c>
      <c r="B82" s="142" t="s">
        <v>245</v>
      </c>
      <c r="C82" s="141" t="s">
        <v>244</v>
      </c>
      <c r="D82" s="181"/>
      <c r="E82" s="181"/>
      <c r="F82" s="182"/>
      <c r="H82" s="182"/>
      <c r="I82" s="182"/>
      <c r="J82" s="187"/>
      <c r="K82" s="187"/>
      <c r="L82" s="182"/>
      <c r="M82" s="187"/>
      <c r="N82" s="187"/>
      <c r="O82" s="182"/>
      <c r="P82" s="187"/>
      <c r="Q82" s="187"/>
      <c r="R82" s="182"/>
      <c r="S82" s="188"/>
      <c r="T82" s="189"/>
      <c r="U82" s="182"/>
      <c r="V82" s="144"/>
      <c r="W82" s="144"/>
      <c r="X82" s="143"/>
      <c r="Y82" s="143"/>
      <c r="Z82" s="181" t="n">
        <f aca="false">+Z76-Z78+0.05*Z76</f>
        <v>-38773.3131227174</v>
      </c>
      <c r="AA82" s="181"/>
      <c r="AB82" s="146" t="n">
        <f aca="false">AE82*12</f>
        <v>0</v>
      </c>
      <c r="AC82" s="143"/>
      <c r="AE82" s="207"/>
    </row>
    <row r="83" customFormat="false" ht="12.75" hidden="false" customHeight="false" outlineLevel="0" collapsed="false">
      <c r="A83" s="142" t="s">
        <v>241</v>
      </c>
      <c r="B83" s="142" t="s">
        <v>246</v>
      </c>
      <c r="C83" s="141" t="s">
        <v>244</v>
      </c>
      <c r="D83" s="181"/>
      <c r="E83" s="181"/>
      <c r="F83" s="182"/>
      <c r="H83" s="182"/>
      <c r="I83" s="182"/>
      <c r="J83" s="187"/>
      <c r="K83" s="187"/>
      <c r="L83" s="182"/>
      <c r="M83" s="187"/>
      <c r="N83" s="187"/>
      <c r="O83" s="182"/>
      <c r="P83" s="187"/>
      <c r="Q83" s="187"/>
      <c r="R83" s="182"/>
      <c r="S83" s="188"/>
      <c r="T83" s="189"/>
      <c r="U83" s="182"/>
      <c r="V83" s="144"/>
      <c r="W83" s="144"/>
      <c r="X83" s="143"/>
      <c r="Y83" s="204"/>
      <c r="Z83" s="181" t="n">
        <f aca="false">+Z75</f>
        <v>-0</v>
      </c>
      <c r="AA83" s="181"/>
      <c r="AB83" s="146" t="n">
        <f aca="false">0.8*AB82</f>
        <v>0</v>
      </c>
      <c r="AC83" s="143"/>
    </row>
    <row r="84" customFormat="false" ht="12.75" hidden="false" customHeight="false" outlineLevel="0" collapsed="false">
      <c r="A84" s="142" t="s">
        <v>247</v>
      </c>
      <c r="B84" s="191" t="s">
        <v>248</v>
      </c>
      <c r="C84" s="141" t="s">
        <v>249</v>
      </c>
      <c r="D84" s="181"/>
      <c r="E84" s="181"/>
      <c r="F84" s="182"/>
      <c r="H84" s="182"/>
      <c r="I84" s="182"/>
      <c r="J84" s="187"/>
      <c r="K84" s="187"/>
      <c r="L84" s="182"/>
      <c r="M84" s="187"/>
      <c r="N84" s="187"/>
      <c r="O84" s="182"/>
      <c r="P84" s="187"/>
      <c r="Q84" s="187"/>
      <c r="R84" s="182"/>
      <c r="S84" s="188"/>
      <c r="T84" s="189"/>
      <c r="U84" s="182"/>
      <c r="V84" s="144"/>
      <c r="W84" s="144"/>
      <c r="X84" s="164"/>
      <c r="Y84" s="143"/>
      <c r="Z84" s="181" t="n">
        <f aca="false">+Z83+Z82</f>
        <v>-38773.3131227174</v>
      </c>
      <c r="AA84" s="181"/>
      <c r="AB84" s="146"/>
      <c r="AC84" s="143"/>
    </row>
    <row r="85" customFormat="false" ht="12.75" hidden="false" customHeight="false" outlineLevel="0" collapsed="false">
      <c r="A85" s="142" t="s">
        <v>247</v>
      </c>
      <c r="B85" s="191" t="s">
        <v>250</v>
      </c>
      <c r="D85" s="181"/>
      <c r="E85" s="181"/>
      <c r="F85" s="182"/>
      <c r="H85" s="182"/>
      <c r="I85" s="182"/>
      <c r="J85" s="187"/>
      <c r="K85" s="143"/>
      <c r="L85" s="182"/>
      <c r="M85" s="187"/>
      <c r="N85" s="143"/>
      <c r="O85" s="182"/>
      <c r="P85" s="187"/>
      <c r="Q85" s="143"/>
      <c r="R85" s="182"/>
      <c r="S85" s="188"/>
      <c r="T85" s="189"/>
      <c r="U85" s="182"/>
      <c r="V85" s="144"/>
      <c r="W85" s="144"/>
      <c r="X85" s="143"/>
      <c r="Y85" s="204"/>
      <c r="Z85" s="181" t="n">
        <f aca="false">Z84*12</f>
        <v>-465279.757472609</v>
      </c>
      <c r="AA85" s="181"/>
      <c r="AB85" s="146"/>
      <c r="AC85" s="143"/>
    </row>
    <row r="86" customFormat="false" ht="12.75" hidden="false" customHeight="false" outlineLevel="0" collapsed="false">
      <c r="A86" s="142" t="s">
        <v>247</v>
      </c>
      <c r="B86" s="143" t="s">
        <v>251</v>
      </c>
      <c r="C86" s="141" t="s">
        <v>249</v>
      </c>
      <c r="D86" s="181"/>
      <c r="E86" s="181"/>
      <c r="F86" s="182"/>
      <c r="H86" s="182"/>
      <c r="I86" s="182"/>
      <c r="J86" s="187"/>
      <c r="K86" s="187"/>
      <c r="L86" s="182"/>
      <c r="M86" s="187"/>
      <c r="N86" s="187"/>
      <c r="O86" s="182"/>
      <c r="P86" s="187"/>
      <c r="Q86" s="187"/>
      <c r="R86" s="182"/>
      <c r="S86" s="188"/>
      <c r="T86" s="189"/>
      <c r="U86" s="182"/>
      <c r="V86" s="144"/>
      <c r="W86" s="144"/>
      <c r="X86" s="143"/>
      <c r="Y86" s="204"/>
      <c r="Z86" s="181" t="n">
        <f aca="false">Z85/0.105</f>
        <v>-4431235.78545342</v>
      </c>
      <c r="AA86" s="208"/>
      <c r="AB86" s="146"/>
      <c r="AC86" s="143"/>
    </row>
    <row r="87" customFormat="false" ht="12.75" hidden="false" customHeight="false" outlineLevel="0" collapsed="false">
      <c r="A87" s="142"/>
      <c r="B87" s="179" t="s">
        <v>252</v>
      </c>
      <c r="D87" s="181"/>
      <c r="E87" s="181"/>
      <c r="F87" s="182"/>
      <c r="H87" s="182"/>
      <c r="I87" s="182"/>
      <c r="J87" s="187"/>
      <c r="K87" s="187"/>
      <c r="L87" s="182"/>
      <c r="M87" s="187"/>
      <c r="N87" s="187"/>
      <c r="O87" s="182"/>
      <c r="P87" s="187"/>
      <c r="Q87" s="187"/>
      <c r="R87" s="182"/>
      <c r="S87" s="188"/>
      <c r="T87" s="189"/>
      <c r="U87" s="182"/>
      <c r="V87" s="144"/>
      <c r="W87" s="144"/>
      <c r="X87" s="143"/>
      <c r="Y87" s="204"/>
      <c r="Z87" s="181"/>
      <c r="AA87" s="181"/>
      <c r="AB87" s="146"/>
      <c r="AC87" s="143"/>
    </row>
    <row r="88" customFormat="false" ht="12.75" hidden="false" customHeight="false" outlineLevel="0" collapsed="false">
      <c r="A88" s="142" t="s">
        <v>253</v>
      </c>
      <c r="B88" s="143" t="s">
        <v>254</v>
      </c>
      <c r="C88" s="180" t="n">
        <f aca="false">2*8*40*4.33</f>
        <v>2771.2</v>
      </c>
      <c r="D88" s="181" t="s">
        <v>255</v>
      </c>
      <c r="E88" s="181"/>
      <c r="F88" s="182"/>
      <c r="H88" s="182"/>
      <c r="I88" s="182"/>
      <c r="J88" s="187" t="n">
        <f aca="false">K88*J$8</f>
        <v>343.795488721805</v>
      </c>
      <c r="K88" s="187" t="n">
        <f aca="false">(((40*8*2)*4.33*15)*CMF)/SM134Units</f>
        <v>343.795488721805</v>
      </c>
      <c r="L88" s="182" t="n">
        <f aca="false">+K88/K$11</f>
        <v>0.209887355752017</v>
      </c>
      <c r="M88" s="187" t="n">
        <f aca="false">N88*N$8</f>
        <v>24753.2751879699</v>
      </c>
      <c r="N88" s="187" t="n">
        <f aca="false">(((40*8*2)*4.33*15)*CMF)/SM134Units</f>
        <v>343.795488721805</v>
      </c>
      <c r="O88" s="182" t="n">
        <f aca="false">+N88/N$11</f>
        <v>0.338381386537209</v>
      </c>
      <c r="P88" s="187" t="n">
        <f aca="false">Q88*Q$8</f>
        <v>20971.5248120301</v>
      </c>
      <c r="Q88" s="187" t="n">
        <f aca="false">(((40*8*2)*4.33*15)*CMF)/SM134Units</f>
        <v>343.795488721805</v>
      </c>
      <c r="R88" s="182" t="n">
        <f aca="false">+Q88/Q$11</f>
        <v>0.28342579449448</v>
      </c>
      <c r="S88" s="188" t="n">
        <f aca="false">+P88+M88</f>
        <v>45724.8</v>
      </c>
      <c r="T88" s="189" t="n">
        <f aca="false">+S88/S$8</f>
        <v>343.795488721805</v>
      </c>
      <c r="U88" s="182" t="n">
        <f aca="false">+S88/U$8</f>
        <v>0.31074654252608</v>
      </c>
      <c r="V88" s="186" t="n">
        <f aca="false">+S88/TotalCost</f>
        <v>0.00359707239110642</v>
      </c>
      <c r="W88" s="144" t="n">
        <f aca="false">+$S88/TotalValue</f>
        <v>0.00300969626136163</v>
      </c>
      <c r="X88" s="164"/>
      <c r="Y88" s="143"/>
      <c r="Z88" s="181" t="n">
        <v>7000</v>
      </c>
      <c r="AA88" s="181"/>
      <c r="AB88" s="146"/>
      <c r="AC88" s="143"/>
    </row>
    <row r="89" customFormat="false" ht="12.75" hidden="false" customHeight="false" outlineLevel="0" collapsed="false">
      <c r="A89" s="142" t="s">
        <v>253</v>
      </c>
      <c r="B89" s="143" t="s">
        <v>256</v>
      </c>
      <c r="C89" s="180" t="n">
        <v>0.15</v>
      </c>
      <c r="D89" s="181" t="s">
        <v>138</v>
      </c>
      <c r="E89" s="181"/>
      <c r="F89" s="182"/>
      <c r="H89" s="182"/>
      <c r="I89" s="182"/>
      <c r="J89" s="187" t="n">
        <f aca="false">K89*J$8</f>
        <v>270.27</v>
      </c>
      <c r="K89" s="187" t="n">
        <f aca="false">$C89*K$11*CMF</f>
        <v>270.27</v>
      </c>
      <c r="L89" s="182" t="n">
        <f aca="false">+K89/K$11</f>
        <v>0.165</v>
      </c>
      <c r="M89" s="187" t="n">
        <f aca="false">N89*N$8</f>
        <v>12070.08</v>
      </c>
      <c r="N89" s="187" t="n">
        <f aca="false">$C89*N$11*CMF</f>
        <v>167.64</v>
      </c>
      <c r="O89" s="182" t="n">
        <f aca="false">+N89/N$11</f>
        <v>0.165</v>
      </c>
      <c r="P89" s="187" t="n">
        <f aca="false">Q89*Q$8</f>
        <v>12208.845</v>
      </c>
      <c r="Q89" s="187" t="n">
        <f aca="false">$C89*Q$11*CMF</f>
        <v>200.145</v>
      </c>
      <c r="R89" s="182" t="n">
        <f aca="false">+Q89/Q$11</f>
        <v>0.165</v>
      </c>
      <c r="S89" s="188" t="n">
        <f aca="false">+P89+M89</f>
        <v>24278.925</v>
      </c>
      <c r="T89" s="189" t="n">
        <f aca="false">+S89/S$8</f>
        <v>182.548308270677</v>
      </c>
      <c r="U89" s="182" t="n">
        <f aca="false">+S89/U$8</f>
        <v>0.165</v>
      </c>
      <c r="V89" s="186" t="n">
        <f aca="false">+S89/TotalCost</f>
        <v>0.00190997119294657</v>
      </c>
      <c r="W89" s="144" t="n">
        <f aca="false">+$S89/TotalValue</f>
        <v>0.00159808659201089</v>
      </c>
      <c r="X89" s="143"/>
      <c r="Y89" s="204"/>
      <c r="Z89" s="181" t="n">
        <f aca="false">1250*14+1220*14</f>
        <v>34580</v>
      </c>
      <c r="AA89" s="181"/>
      <c r="AB89" s="146"/>
      <c r="AC89" s="143"/>
    </row>
    <row r="90" customFormat="false" ht="12.75" hidden="false" customHeight="false" outlineLevel="0" collapsed="false">
      <c r="A90" s="142" t="s">
        <v>253</v>
      </c>
      <c r="B90" s="143" t="s">
        <v>257</v>
      </c>
      <c r="C90" s="180" t="n">
        <v>350</v>
      </c>
      <c r="D90" s="181" t="s">
        <v>137</v>
      </c>
      <c r="E90" s="181"/>
      <c r="F90" s="182"/>
      <c r="H90" s="182"/>
      <c r="I90" s="182"/>
      <c r="J90" s="187" t="n">
        <f aca="false">K90*J$8</f>
        <v>385</v>
      </c>
      <c r="K90" s="187" t="n">
        <f aca="false">$C90*CMF</f>
        <v>385</v>
      </c>
      <c r="L90" s="182" t="n">
        <f aca="false">+K90/K$11</f>
        <v>0.235042735042735</v>
      </c>
      <c r="M90" s="187" t="n">
        <f aca="false">N90*N$8</f>
        <v>27720</v>
      </c>
      <c r="N90" s="187" t="n">
        <f aca="false">$C90*CMF</f>
        <v>385</v>
      </c>
      <c r="O90" s="182" t="n">
        <f aca="false">+N90/N$11</f>
        <v>0.378937007874016</v>
      </c>
      <c r="P90" s="187" t="n">
        <f aca="false">Q90*Q$8</f>
        <v>23485</v>
      </c>
      <c r="Q90" s="187" t="n">
        <f aca="false">$C90*CMF</f>
        <v>385</v>
      </c>
      <c r="R90" s="182" t="n">
        <f aca="false">+Q90/Q$11</f>
        <v>0.317394888705688</v>
      </c>
      <c r="S90" s="188" t="n">
        <f aca="false">+P90+M90</f>
        <v>51205</v>
      </c>
      <c r="T90" s="189" t="n">
        <f aca="false">+S90/S$8</f>
        <v>385</v>
      </c>
      <c r="U90" s="182" t="n">
        <f aca="false">+S90/U$8</f>
        <v>0.347990077814401</v>
      </c>
      <c r="V90" s="186" t="n">
        <f aca="false">+S90/TotalCost</f>
        <v>0.00402818802458632</v>
      </c>
      <c r="W90" s="144" t="n">
        <f aca="false">+$S90/TotalValue</f>
        <v>0.0033704138030789</v>
      </c>
      <c r="X90" s="143"/>
      <c r="Y90" s="204"/>
      <c r="Z90" s="181" t="n">
        <f aca="false">28*3*475</f>
        <v>39900</v>
      </c>
      <c r="AA90" s="181"/>
      <c r="AB90" s="146"/>
      <c r="AC90" s="143"/>
    </row>
    <row r="91" customFormat="false" ht="12.75" hidden="false" customHeight="false" outlineLevel="0" collapsed="false">
      <c r="A91" s="142" t="s">
        <v>253</v>
      </c>
      <c r="B91" s="143" t="s">
        <v>258</v>
      </c>
      <c r="C91" s="180" t="n">
        <v>442</v>
      </c>
      <c r="D91" s="181" t="s">
        <v>137</v>
      </c>
      <c r="E91" s="181"/>
      <c r="F91" s="182"/>
      <c r="H91" s="182"/>
      <c r="I91" s="182"/>
      <c r="J91" s="187" t="n">
        <f aca="false">K91*J$8</f>
        <v>486.2</v>
      </c>
      <c r="K91" s="187" t="n">
        <f aca="false">442*CMF</f>
        <v>486.2</v>
      </c>
      <c r="L91" s="182" t="n">
        <f aca="false">+K91/K$11</f>
        <v>0.296825396825397</v>
      </c>
      <c r="M91" s="187" t="n">
        <f aca="false">N91*N$8</f>
        <v>35006.4</v>
      </c>
      <c r="N91" s="187" t="n">
        <f aca="false">442*CMF</f>
        <v>486.2</v>
      </c>
      <c r="O91" s="182" t="n">
        <f aca="false">+N91/N$11</f>
        <v>0.478543307086614</v>
      </c>
      <c r="P91" s="187" t="n">
        <f aca="false">Q91*Q$8</f>
        <v>29658.2</v>
      </c>
      <c r="Q91" s="187" t="n">
        <f aca="false">442*CMF</f>
        <v>486.2</v>
      </c>
      <c r="R91" s="182" t="n">
        <f aca="false">+Q91/Q$11</f>
        <v>0.400824402308327</v>
      </c>
      <c r="S91" s="188" t="n">
        <f aca="false">+P91+M91</f>
        <v>64664.6</v>
      </c>
      <c r="T91" s="189" t="n">
        <f aca="false">+S91/S$8</f>
        <v>486.2</v>
      </c>
      <c r="U91" s="182" t="n">
        <f aca="false">+S91/U$8</f>
        <v>0.439461755411329</v>
      </c>
      <c r="V91" s="186" t="n">
        <f aca="false">+S91/TotalCost</f>
        <v>0.00508702601962043</v>
      </c>
      <c r="W91" s="144" t="n">
        <f aca="false">+$S91/TotalValue</f>
        <v>0.0042563511456025</v>
      </c>
      <c r="X91" s="164"/>
      <c r="Y91" s="143"/>
      <c r="Z91" s="181" t="n">
        <f aca="false">+Z90-Z89</f>
        <v>5320</v>
      </c>
      <c r="AA91" s="181"/>
      <c r="AB91" s="146"/>
      <c r="AC91" s="143"/>
    </row>
    <row r="92" customFormat="false" ht="12.75" hidden="false" customHeight="false" outlineLevel="0" collapsed="false">
      <c r="A92" s="142" t="s">
        <v>253</v>
      </c>
      <c r="B92" s="143" t="s">
        <v>259</v>
      </c>
      <c r="C92" s="180" t="n">
        <v>70</v>
      </c>
      <c r="D92" s="181" t="s">
        <v>255</v>
      </c>
      <c r="E92" s="181"/>
      <c r="F92" s="182"/>
      <c r="H92" s="182"/>
      <c r="I92" s="182"/>
      <c r="J92" s="187" t="n">
        <f aca="false">K92*J$8</f>
        <v>37.6026315789474</v>
      </c>
      <c r="K92" s="187" t="n">
        <f aca="false">((70*4.33*15)*CMF)/SM134Units</f>
        <v>37.6026315789474</v>
      </c>
      <c r="L92" s="182" t="n">
        <f aca="false">+K92/K$11</f>
        <v>0.0229564295353769</v>
      </c>
      <c r="M92" s="187" t="n">
        <f aca="false">N92*N$8</f>
        <v>4001.68421052632</v>
      </c>
      <c r="N92" s="187" t="n">
        <f aca="false">((70*8*12)*CMF)/SM134Units</f>
        <v>55.5789473684211</v>
      </c>
      <c r="O92" s="182" t="n">
        <f aca="false">+N92/N$11</f>
        <v>0.0547036883547451</v>
      </c>
      <c r="P92" s="187" t="n">
        <f aca="false">Q92*Q$8</f>
        <v>3390.31578947368</v>
      </c>
      <c r="Q92" s="187" t="n">
        <f aca="false">((70*8*12)*CMF)/SM134Units</f>
        <v>55.5789473684211</v>
      </c>
      <c r="R92" s="182" t="n">
        <f aca="false">+Q92/Q$11</f>
        <v>0.0458194125048813</v>
      </c>
      <c r="S92" s="188" t="n">
        <f aca="false">+P92+M92</f>
        <v>7392</v>
      </c>
      <c r="T92" s="189" t="n">
        <f aca="false">+S92/S$8</f>
        <v>55.5789473684211</v>
      </c>
      <c r="U92" s="182" t="n">
        <f aca="false">+S92/U$8</f>
        <v>0.050236161609297</v>
      </c>
      <c r="V92" s="186" t="n">
        <f aca="false">+S92/TotalCost</f>
        <v>0.000581512857684641</v>
      </c>
      <c r="W92" s="144" t="n">
        <f aca="false">+$S92/TotalValue</f>
        <v>0.00048655597758733</v>
      </c>
      <c r="X92" s="143"/>
      <c r="Y92" s="204"/>
      <c r="Z92" s="181" t="n">
        <f aca="false">+Z91+Z88</f>
        <v>12320</v>
      </c>
      <c r="AA92" s="181"/>
      <c r="AB92" s="146"/>
      <c r="AC92" s="143"/>
    </row>
    <row r="93" customFormat="false" ht="12.75" hidden="false" customHeight="false" outlineLevel="0" collapsed="false">
      <c r="A93" s="142" t="s">
        <v>153</v>
      </c>
      <c r="B93" s="179" t="s">
        <v>260</v>
      </c>
      <c r="C93" s="180" t="n">
        <v>1000</v>
      </c>
      <c r="D93" s="181" t="s">
        <v>186</v>
      </c>
      <c r="E93" s="181"/>
      <c r="F93" s="182"/>
      <c r="H93" s="182"/>
      <c r="I93" s="182"/>
      <c r="J93" s="187" t="n">
        <f aca="false">K93*J$8</f>
        <v>1100</v>
      </c>
      <c r="K93" s="187" t="n">
        <f aca="false">1000*CMF</f>
        <v>1100</v>
      </c>
      <c r="L93" s="182" t="n">
        <f aca="false">+K93/K$11</f>
        <v>0.671550671550672</v>
      </c>
      <c r="M93" s="187" t="n">
        <f aca="false">N93*N$8</f>
        <v>79200</v>
      </c>
      <c r="N93" s="187" t="n">
        <f aca="false">1000*CMF</f>
        <v>1100</v>
      </c>
      <c r="O93" s="182" t="n">
        <f aca="false">+N93/N$11</f>
        <v>1.08267716535433</v>
      </c>
      <c r="P93" s="187" t="n">
        <f aca="false">Q93*Q$8</f>
        <v>100650</v>
      </c>
      <c r="Q93" s="187" t="n">
        <f aca="false">1500*CMF</f>
        <v>1650</v>
      </c>
      <c r="R93" s="182" t="n">
        <f aca="false">+Q93/Q$11</f>
        <v>1.36026380873866</v>
      </c>
      <c r="S93" s="188" t="n">
        <f aca="false">+P93+M93</f>
        <v>179850</v>
      </c>
      <c r="T93" s="189" t="n">
        <f aca="false">+S93/S$8</f>
        <v>1352.25563909774</v>
      </c>
      <c r="U93" s="182" t="n">
        <f aca="false">+S93/U$8</f>
        <v>1.22226375344048</v>
      </c>
      <c r="V93" s="186" t="n">
        <f aca="false">+S93/TotalCost</f>
        <v>0.0141484155106308</v>
      </c>
      <c r="W93" s="144" t="n">
        <f aca="false">+$S93/TotalValue</f>
        <v>0.0118380807046917</v>
      </c>
      <c r="X93" s="143"/>
      <c r="Y93" s="204"/>
      <c r="Z93" s="181" t="n">
        <f aca="false">Z92*0.58</f>
        <v>7145.6</v>
      </c>
      <c r="AA93" s="181"/>
      <c r="AB93" s="146"/>
      <c r="AC93" s="143"/>
      <c r="AE93" s="141" t="n">
        <f aca="false">AD93*12</f>
        <v>0</v>
      </c>
    </row>
    <row r="94" customFormat="false" ht="12.75" hidden="false" customHeight="false" outlineLevel="0" collapsed="false">
      <c r="A94" s="142" t="s">
        <v>261</v>
      </c>
      <c r="B94" s="179" t="s">
        <v>262</v>
      </c>
      <c r="C94" s="187" t="n">
        <f aca="false">(1000+500+500+500)*4.33</f>
        <v>10825</v>
      </c>
      <c r="D94" s="181" t="s">
        <v>255</v>
      </c>
      <c r="E94" s="0"/>
      <c r="F94" s="0"/>
      <c r="G94" s="0"/>
      <c r="H94" s="0"/>
      <c r="I94" s="182"/>
      <c r="J94" s="187" t="n">
        <f aca="false">K94*J$8</f>
        <v>1342.95112781955</v>
      </c>
      <c r="K94" s="187" t="n">
        <f aca="false">(((1000+500+500+500)*4.33*15)*CMF)/SM134Units</f>
        <v>1342.95112781955</v>
      </c>
      <c r="L94" s="182" t="n">
        <f aca="false">+K94/K$11</f>
        <v>0.819872483406318</v>
      </c>
      <c r="M94" s="187" t="n">
        <f aca="false">N94*N$8</f>
        <v>96692.4812030075</v>
      </c>
      <c r="N94" s="187" t="n">
        <f aca="false">(((1000+500+500+500)*4.33*15)*CMF)/SM134Units</f>
        <v>1342.95112781955</v>
      </c>
      <c r="O94" s="182" t="n">
        <f aca="false">+N94/N$11</f>
        <v>1.32180229116097</v>
      </c>
      <c r="P94" s="187" t="n">
        <f aca="false">Q94*Q$8</f>
        <v>81920.0187969925</v>
      </c>
      <c r="Q94" s="187" t="n">
        <f aca="false">(((1000+500+500+500)*4.33*15)*CMF)/SM134Units</f>
        <v>1342.95112781955</v>
      </c>
      <c r="R94" s="182" t="n">
        <f aca="false">+Q94/Q$11</f>
        <v>1.10713200974406</v>
      </c>
      <c r="S94" s="209" t="n">
        <f aca="false">+P94+M94</f>
        <v>178612.5</v>
      </c>
      <c r="T94" s="189" t="n">
        <f aca="false">+S94/S$8</f>
        <v>1342.95112781955</v>
      </c>
      <c r="U94" s="182" t="n">
        <f aca="false">+S94/U$8</f>
        <v>1.2138536817425</v>
      </c>
      <c r="V94" s="210" t="n">
        <f aca="false">+S94/TotalCost</f>
        <v>0.0140510640277595</v>
      </c>
      <c r="W94" s="210" t="n">
        <f aca="false">+$S94/TotalValue</f>
        <v>0.0117566260209439</v>
      </c>
      <c r="X94" s="181"/>
      <c r="Y94" s="143"/>
      <c r="Z94" s="143" t="n">
        <f aca="false">0.5*Z85/12</f>
        <v>-19386.6565613587</v>
      </c>
      <c r="AA94" s="143"/>
      <c r="AB94" s="146"/>
      <c r="AC94" s="143"/>
      <c r="AE94" s="141" t="n">
        <f aca="false">AD94*12</f>
        <v>0</v>
      </c>
    </row>
    <row r="95" customFormat="false" ht="13.5" hidden="false" customHeight="false" outlineLevel="0" collapsed="false">
      <c r="A95" s="211"/>
      <c r="B95" s="212" t="s">
        <v>263</v>
      </c>
      <c r="D95" s="0"/>
      <c r="E95" s="0"/>
      <c r="F95" s="0"/>
      <c r="G95" s="0"/>
      <c r="H95" s="0"/>
      <c r="I95" s="213"/>
      <c r="J95" s="214" t="n">
        <f aca="false">K95*J$8</f>
        <v>85506.6058883378</v>
      </c>
      <c r="K95" s="214" t="n">
        <f aca="false">+SUM(K14:K94)</f>
        <v>85506.6058883378</v>
      </c>
      <c r="L95" s="215" t="n">
        <f aca="false">+K95/K$11</f>
        <v>52.2018350966653</v>
      </c>
      <c r="M95" s="214" t="n">
        <f aca="false">N95*N$8</f>
        <v>4019181.96109716</v>
      </c>
      <c r="N95" s="214" t="n">
        <f aca="false">+SUM(N14:N94)</f>
        <v>55821.971681905</v>
      </c>
      <c r="O95" s="216" t="n">
        <f aca="false">+N95/N$11</f>
        <v>54.942885513686</v>
      </c>
      <c r="P95" s="214" t="n">
        <f aca="false">Q95*Q$8</f>
        <v>4114104.92308232</v>
      </c>
      <c r="Q95" s="214" t="n">
        <f aca="false">+SUM(Q14:Q94)</f>
        <v>67444.3430013495</v>
      </c>
      <c r="R95" s="216" t="n">
        <f aca="false">+Q95/Q$11</f>
        <v>55.6012720538742</v>
      </c>
      <c r="S95" s="188" t="n">
        <f aca="false">SUM(S14:S94)</f>
        <v>7918059.05886698</v>
      </c>
      <c r="T95" s="214" t="n">
        <f aca="false">+SUM(T14:T94)</f>
        <v>59534.2786380976</v>
      </c>
      <c r="U95" s="216" t="n">
        <f aca="false">+S95/U$8</f>
        <v>53.8112681971319</v>
      </c>
      <c r="V95" s="217" t="n">
        <f aca="false">+S95/TotalCost</f>
        <v>0.622896800681479</v>
      </c>
      <c r="W95" s="218" t="n">
        <f aca="false">+$S95/TotalValue</f>
        <v>0.521182219423869</v>
      </c>
      <c r="X95" s="143"/>
      <c r="Y95" s="143"/>
      <c r="Z95" s="143"/>
      <c r="AA95" s="143"/>
      <c r="AB95" s="146"/>
      <c r="AC95" s="143"/>
    </row>
    <row r="96" customFormat="false" ht="13.5" hidden="false" customHeight="false" outlineLevel="0" collapsed="false">
      <c r="A96" s="142"/>
      <c r="B96" s="143"/>
      <c r="C96" s="219" t="s">
        <v>137</v>
      </c>
      <c r="D96" s="219" t="s">
        <v>264</v>
      </c>
      <c r="E96" s="219" t="s">
        <v>265</v>
      </c>
      <c r="F96" s="219" t="s">
        <v>54</v>
      </c>
      <c r="G96" s="219" t="s">
        <v>266</v>
      </c>
      <c r="H96" s="143"/>
      <c r="I96" s="143"/>
      <c r="J96" s="143"/>
      <c r="K96" s="143"/>
      <c r="L96" s="143"/>
      <c r="M96" s="143"/>
      <c r="N96" s="143"/>
      <c r="O96" s="220"/>
      <c r="P96" s="143"/>
      <c r="Q96" s="143"/>
      <c r="R96" s="143"/>
      <c r="S96" s="146"/>
      <c r="T96" s="143"/>
      <c r="U96" s="143"/>
      <c r="V96" s="144"/>
      <c r="W96" s="144"/>
      <c r="X96" s="143"/>
      <c r="Y96" s="143"/>
      <c r="Z96" s="143"/>
      <c r="AA96" s="143"/>
      <c r="AB96" s="146"/>
      <c r="AC96" s="143"/>
    </row>
    <row r="97" customFormat="false" ht="12.75" hidden="false" customHeight="false" outlineLevel="0" collapsed="false">
      <c r="A97" s="142"/>
      <c r="B97" s="179" t="s">
        <v>267</v>
      </c>
      <c r="C97" s="143" t="s">
        <v>268</v>
      </c>
      <c r="D97" s="143"/>
      <c r="E97" s="143"/>
      <c r="F97" s="143" t="n">
        <f aca="false">10.3*43560*2.5</f>
        <v>1121670</v>
      </c>
      <c r="G97" s="143" t="n">
        <f aca="false">F97/10.3</f>
        <v>108900</v>
      </c>
      <c r="H97" s="143"/>
      <c r="I97" s="143"/>
      <c r="J97" s="221"/>
      <c r="K97" s="221"/>
      <c r="L97" s="184"/>
      <c r="M97" s="221" t="n">
        <f aca="false">N97*N$8</f>
        <v>607219.84962406</v>
      </c>
      <c r="N97" s="221" t="n">
        <f aca="false">+$F97/SM134Units</f>
        <v>8433.60902255639</v>
      </c>
      <c r="O97" s="222" t="n">
        <f aca="false">+N97/N$11</f>
        <v>8.30079628204369</v>
      </c>
      <c r="P97" s="221" t="n">
        <f aca="false">Q97*Q$8</f>
        <v>514450.15037594</v>
      </c>
      <c r="Q97" s="221" t="n">
        <f aca="false">+$F97/SM134Units</f>
        <v>8433.60902255639</v>
      </c>
      <c r="R97" s="184" t="n">
        <f aca="false">+Q97/Q$11</f>
        <v>6.95268674571838</v>
      </c>
      <c r="S97" s="223" t="n">
        <f aca="false">+P97+M97</f>
        <v>1121670</v>
      </c>
      <c r="T97" s="221" t="n">
        <f aca="false">+S97/S$8</f>
        <v>8433.60902255639</v>
      </c>
      <c r="U97" s="184" t="n">
        <f aca="false">+S97/U$8</f>
        <v>7.62288898705359</v>
      </c>
      <c r="V97" s="186" t="n">
        <f aca="false">+S97/TotalCost</f>
        <v>0.0882393840745578</v>
      </c>
      <c r="W97" s="144" t="n">
        <f aca="false">+$S97/TotalValue</f>
        <v>0.0738305253490775</v>
      </c>
      <c r="X97" s="143"/>
      <c r="Y97" s="143"/>
      <c r="Z97" s="143"/>
      <c r="AA97" s="143"/>
      <c r="AB97" s="146"/>
      <c r="AC97" s="143"/>
    </row>
    <row r="98" customFormat="false" ht="12.75" hidden="false" customHeight="false" outlineLevel="0" collapsed="false">
      <c r="A98" s="142"/>
      <c r="B98" s="224" t="s">
        <v>269</v>
      </c>
      <c r="C98" s="143"/>
      <c r="D98" s="143"/>
      <c r="E98" s="143"/>
      <c r="F98" s="143"/>
      <c r="G98" s="143"/>
      <c r="H98" s="143"/>
      <c r="I98" s="143"/>
      <c r="J98" s="187"/>
      <c r="K98" s="143"/>
      <c r="L98" s="182"/>
      <c r="M98" s="187"/>
      <c r="N98" s="143"/>
      <c r="O98" s="220"/>
      <c r="P98" s="187"/>
      <c r="Q98" s="143"/>
      <c r="R98" s="182"/>
      <c r="S98" s="146"/>
      <c r="T98" s="143"/>
      <c r="U98" s="143"/>
      <c r="V98" s="144"/>
      <c r="W98" s="144"/>
      <c r="X98" s="143"/>
      <c r="Y98" s="143"/>
      <c r="Z98" s="143"/>
      <c r="AA98" s="143"/>
      <c r="AB98" s="146"/>
      <c r="AC98" s="143"/>
    </row>
    <row r="99" customFormat="false" ht="12.75" hidden="false" customHeight="false" outlineLevel="0" collapsed="false">
      <c r="A99" s="142"/>
      <c r="B99" s="143" t="s">
        <v>270</v>
      </c>
      <c r="C99" s="143" t="s">
        <v>271</v>
      </c>
      <c r="D99" s="143" t="n">
        <v>1</v>
      </c>
      <c r="E99" s="143" t="n">
        <v>37800</v>
      </c>
      <c r="F99" s="143" t="n">
        <f aca="false">+E99*D99</f>
        <v>37800</v>
      </c>
      <c r="G99" s="143" t="n">
        <f aca="false">F99/10.3</f>
        <v>3669.90291262136</v>
      </c>
      <c r="H99" s="143"/>
      <c r="I99" s="143"/>
      <c r="J99" s="187"/>
      <c r="K99" s="182"/>
      <c r="L99" s="182"/>
      <c r="M99" s="202" t="n">
        <f aca="false">N99*N$8</f>
        <v>20310.447761194</v>
      </c>
      <c r="N99" s="202" t="n">
        <f aca="false">(37800)/134</f>
        <v>282.089552238806</v>
      </c>
      <c r="O99" s="225" t="n">
        <f aca="false">+N99/N$11</f>
        <v>0.277647197085439</v>
      </c>
      <c r="P99" s="202" t="n">
        <f aca="false">Q99*Q$8</f>
        <v>17207.4626865672</v>
      </c>
      <c r="Q99" s="202" t="n">
        <f aca="false">(37800)/134</f>
        <v>282.089552238806</v>
      </c>
      <c r="R99" s="182" t="n">
        <f aca="false">+Q99/Q$11</f>
        <v>0.23255527802045</v>
      </c>
      <c r="S99" s="223" t="n">
        <f aca="false">+P99+M99</f>
        <v>37517.9104477612</v>
      </c>
      <c r="T99" s="189" t="n">
        <f aca="false">+S99/S$8</f>
        <v>282.089552238806</v>
      </c>
      <c r="U99" s="184" t="n">
        <f aca="false">+S99/U$8</f>
        <v>0.254972377231718</v>
      </c>
      <c r="V99" s="186" t="n">
        <f aca="false">+S99/TotalCost</f>
        <v>0.00295145391217993</v>
      </c>
      <c r="W99" s="144" t="n">
        <f aca="false">+$S99/TotalValue</f>
        <v>0.00246950265083122</v>
      </c>
      <c r="X99" s="143"/>
      <c r="Y99" s="143"/>
      <c r="Z99" s="143"/>
      <c r="AA99" s="143"/>
      <c r="AB99" s="146"/>
      <c r="AC99" s="143"/>
    </row>
    <row r="100" customFormat="false" ht="12.75" hidden="false" customHeight="false" outlineLevel="0" collapsed="false">
      <c r="A100" s="142"/>
      <c r="B100" s="143" t="s">
        <v>272</v>
      </c>
      <c r="C100" s="143" t="s">
        <v>273</v>
      </c>
      <c r="D100" s="143" t="n">
        <v>13100</v>
      </c>
      <c r="E100" s="184" t="n">
        <v>5.75</v>
      </c>
      <c r="F100" s="143" t="n">
        <f aca="false">+E100*D100</f>
        <v>75325</v>
      </c>
      <c r="G100" s="143" t="n">
        <f aca="false">F100/10.3</f>
        <v>7313.1067961165</v>
      </c>
      <c r="H100" s="143"/>
      <c r="I100" s="143"/>
      <c r="J100" s="187"/>
      <c r="K100" s="143"/>
      <c r="L100" s="182"/>
      <c r="M100" s="187" t="n">
        <f aca="false">N100*N$8</f>
        <v>40777.4436090226</v>
      </c>
      <c r="N100" s="143" t="n">
        <f aca="false">+$F100/SM134Units</f>
        <v>566.353383458647</v>
      </c>
      <c r="O100" s="182" t="n">
        <f aca="false">+N100/N$11</f>
        <v>0.557434432538038</v>
      </c>
      <c r="P100" s="187" t="n">
        <f aca="false">Q100*Q$8</f>
        <v>34547.5563909774</v>
      </c>
      <c r="Q100" s="143" t="n">
        <f aca="false">+$F100/SM134Units</f>
        <v>566.353383458647</v>
      </c>
      <c r="R100" s="182" t="n">
        <f aca="false">+Q100/Q$11</f>
        <v>0.466903036651811</v>
      </c>
      <c r="S100" s="146" t="n">
        <f aca="false">+P100+M100</f>
        <v>75325</v>
      </c>
      <c r="T100" s="189" t="n">
        <f aca="false">+S100/S$8</f>
        <v>566.353383458647</v>
      </c>
      <c r="U100" s="206" t="n">
        <f aca="false">+S100/U$8</f>
        <v>0.511910020727854</v>
      </c>
      <c r="V100" s="186" t="n">
        <f aca="false">+S100/TotalCost</f>
        <v>0.00592565692709626</v>
      </c>
      <c r="W100" s="144" t="n">
        <f aca="false">+$S100/TotalValue</f>
        <v>0.00495803963903756</v>
      </c>
      <c r="X100" s="143"/>
      <c r="Y100" s="143"/>
      <c r="Z100" s="143"/>
      <c r="AA100" s="143"/>
      <c r="AB100" s="146"/>
      <c r="AC100" s="143"/>
    </row>
    <row r="101" customFormat="false" ht="12.75" hidden="false" customHeight="false" outlineLevel="0" collapsed="false">
      <c r="A101" s="142"/>
      <c r="B101" s="143" t="s">
        <v>274</v>
      </c>
      <c r="C101" s="143" t="s">
        <v>273</v>
      </c>
      <c r="D101" s="143" t="n">
        <v>13100</v>
      </c>
      <c r="E101" s="182" t="n">
        <v>3.75</v>
      </c>
      <c r="F101" s="143" t="n">
        <f aca="false">+E101*D101</f>
        <v>49125</v>
      </c>
      <c r="G101" s="143" t="n">
        <f aca="false">F101/10.3</f>
        <v>4769.41747572816</v>
      </c>
      <c r="H101" s="143"/>
      <c r="I101" s="143"/>
      <c r="J101" s="187"/>
      <c r="K101" s="143"/>
      <c r="L101" s="182"/>
      <c r="M101" s="187" t="n">
        <f aca="false">N101*N$8</f>
        <v>26593.984962406</v>
      </c>
      <c r="N101" s="143" t="n">
        <f aca="false">+$F101/SM134Units</f>
        <v>369.360902255639</v>
      </c>
      <c r="O101" s="182" t="n">
        <f aca="false">+N101/N$11</f>
        <v>0.363544195133503</v>
      </c>
      <c r="P101" s="187" t="n">
        <f aca="false">Q101*Q$8</f>
        <v>22531.015037594</v>
      </c>
      <c r="Q101" s="143" t="n">
        <f aca="false">+$F101/SM134Units</f>
        <v>369.360902255639</v>
      </c>
      <c r="R101" s="182" t="n">
        <f aca="false">+Q101/Q$11</f>
        <v>0.304501980425094</v>
      </c>
      <c r="S101" s="146" t="n">
        <f aca="false">+P101+M101</f>
        <v>49125</v>
      </c>
      <c r="T101" s="189" t="n">
        <f aca="false">+S101/S$8</f>
        <v>369.360902255639</v>
      </c>
      <c r="U101" s="206" t="n">
        <f aca="false">+S101/U$8</f>
        <v>0.333854361344252</v>
      </c>
      <c r="V101" s="186" t="n">
        <f aca="false">+S101/TotalCost</f>
        <v>0.00386455886549756</v>
      </c>
      <c r="W101" s="144" t="n">
        <f aca="false">+$S101/TotalValue</f>
        <v>0.0032335041124158</v>
      </c>
      <c r="X101" s="143"/>
      <c r="Y101" s="143"/>
      <c r="Z101" s="143"/>
      <c r="AA101" s="143"/>
      <c r="AB101" s="146"/>
      <c r="AC101" s="143"/>
    </row>
    <row r="102" customFormat="false" ht="12.75" hidden="false" customHeight="false" outlineLevel="0" collapsed="false">
      <c r="A102" s="142"/>
      <c r="B102" s="143" t="s">
        <v>275</v>
      </c>
      <c r="C102" s="143" t="s">
        <v>276</v>
      </c>
      <c r="D102" s="143" t="n">
        <v>10000</v>
      </c>
      <c r="E102" s="182" t="n">
        <v>3</v>
      </c>
      <c r="F102" s="143" t="n">
        <f aca="false">+E102*D102</f>
        <v>30000</v>
      </c>
      <c r="G102" s="143" t="n">
        <f aca="false">F102/10.3</f>
        <v>2912.6213592233</v>
      </c>
      <c r="H102" s="143"/>
      <c r="I102" s="143"/>
      <c r="J102" s="187"/>
      <c r="K102" s="143"/>
      <c r="L102" s="182"/>
      <c r="M102" s="187" t="n">
        <f aca="false">N102*N$8</f>
        <v>16240.6015037594</v>
      </c>
      <c r="N102" s="143" t="n">
        <f aca="false">+$F102/SM134Units</f>
        <v>225.563909774436</v>
      </c>
      <c r="O102" s="182" t="n">
        <f aca="false">+N102/N$11</f>
        <v>0.222011722218933</v>
      </c>
      <c r="P102" s="187" t="n">
        <f aca="false">Q102*Q$8</f>
        <v>13759.3984962406</v>
      </c>
      <c r="Q102" s="143" t="n">
        <f aca="false">+$F102/SM134Units</f>
        <v>225.563909774436</v>
      </c>
      <c r="R102" s="182" t="n">
        <f aca="false">+Q102/Q$11</f>
        <v>0.185955407893187</v>
      </c>
      <c r="S102" s="146" t="n">
        <f aca="false">+P102+M102</f>
        <v>30000</v>
      </c>
      <c r="T102" s="189" t="n">
        <f aca="false">+S102/S$8</f>
        <v>225.563909774436</v>
      </c>
      <c r="U102" s="206" t="n">
        <f aca="false">+S102/U$8</f>
        <v>0.203880526011757</v>
      </c>
      <c r="V102" s="186" t="n">
        <f aca="false">+S102/TotalCost</f>
        <v>0.00236003594839546</v>
      </c>
      <c r="W102" s="144" t="n">
        <f aca="false">+$S102/TotalValue</f>
        <v>0.00197465899994858</v>
      </c>
      <c r="X102" s="143"/>
      <c r="Y102" s="143"/>
      <c r="Z102" s="143"/>
      <c r="AA102" s="143"/>
      <c r="AB102" s="146"/>
      <c r="AC102" s="143"/>
    </row>
    <row r="103" customFormat="false" ht="12.75" hidden="false" customHeight="false" outlineLevel="0" collapsed="false">
      <c r="A103" s="142"/>
      <c r="B103" s="143" t="s">
        <v>277</v>
      </c>
      <c r="C103" s="143" t="s">
        <v>278</v>
      </c>
      <c r="D103" s="143" t="n">
        <v>5000</v>
      </c>
      <c r="E103" s="182" t="n">
        <v>6</v>
      </c>
      <c r="F103" s="143" t="n">
        <f aca="false">+E103*D103</f>
        <v>30000</v>
      </c>
      <c r="G103" s="143" t="n">
        <f aca="false">F103/10.3</f>
        <v>2912.6213592233</v>
      </c>
      <c r="H103" s="143"/>
      <c r="I103" s="143"/>
      <c r="J103" s="187"/>
      <c r="K103" s="143"/>
      <c r="L103" s="182"/>
      <c r="M103" s="187" t="n">
        <f aca="false">N103*N$8</f>
        <v>16240.6015037594</v>
      </c>
      <c r="N103" s="143" t="n">
        <f aca="false">+$F103/SM134Units</f>
        <v>225.563909774436</v>
      </c>
      <c r="O103" s="182" t="n">
        <f aca="false">+N103/N$11</f>
        <v>0.222011722218933</v>
      </c>
      <c r="P103" s="187" t="n">
        <f aca="false">Q103*Q$8</f>
        <v>13759.3984962406</v>
      </c>
      <c r="Q103" s="143" t="n">
        <f aca="false">+$F103/SM134Units</f>
        <v>225.563909774436</v>
      </c>
      <c r="R103" s="182" t="n">
        <f aca="false">+Q103/Q$11</f>
        <v>0.185955407893187</v>
      </c>
      <c r="S103" s="146" t="n">
        <f aca="false">+P103+M103</f>
        <v>30000</v>
      </c>
      <c r="T103" s="189" t="n">
        <f aca="false">+S103/S$8</f>
        <v>225.563909774436</v>
      </c>
      <c r="U103" s="206" t="n">
        <f aca="false">+S103/U$8</f>
        <v>0.203880526011757</v>
      </c>
      <c r="V103" s="186" t="n">
        <f aca="false">+S103/TotalCost</f>
        <v>0.00236003594839546</v>
      </c>
      <c r="W103" s="144" t="n">
        <f aca="false">+$S103/TotalValue</f>
        <v>0.00197465899994858</v>
      </c>
      <c r="X103" s="143"/>
      <c r="Y103" s="143"/>
      <c r="Z103" s="143"/>
      <c r="AA103" s="143"/>
      <c r="AB103" s="146"/>
      <c r="AC103" s="143"/>
    </row>
    <row r="104" customFormat="false" ht="12.75" hidden="false" customHeight="false" outlineLevel="0" collapsed="false">
      <c r="A104" s="142"/>
      <c r="B104" s="143" t="s">
        <v>279</v>
      </c>
      <c r="C104" s="143" t="s">
        <v>278</v>
      </c>
      <c r="D104" s="143" t="n">
        <v>2200</v>
      </c>
      <c r="E104" s="182" t="n">
        <v>25</v>
      </c>
      <c r="F104" s="143" t="n">
        <f aca="false">+E104*D104</f>
        <v>55000</v>
      </c>
      <c r="G104" s="143" t="n">
        <f aca="false">F104/10.3</f>
        <v>5339.80582524272</v>
      </c>
      <c r="H104" s="143"/>
      <c r="I104" s="143"/>
      <c r="J104" s="187"/>
      <c r="K104" s="143"/>
      <c r="L104" s="182"/>
      <c r="M104" s="187" t="n">
        <f aca="false">N104*N$8</f>
        <v>29774.4360902256</v>
      </c>
      <c r="N104" s="143" t="n">
        <f aca="false">+$F104/SM134Units</f>
        <v>413.533834586466</v>
      </c>
      <c r="O104" s="182" t="n">
        <f aca="false">+N104/N$11</f>
        <v>0.407021490734711</v>
      </c>
      <c r="P104" s="187" t="n">
        <f aca="false">Q104*Q$8</f>
        <v>25225.5639097744</v>
      </c>
      <c r="Q104" s="143" t="n">
        <f aca="false">+$F104/SM134Units</f>
        <v>413.533834586466</v>
      </c>
      <c r="R104" s="182" t="n">
        <f aca="false">+Q104/Q$11</f>
        <v>0.340918247804177</v>
      </c>
      <c r="S104" s="146" t="n">
        <f aca="false">+P104+M104</f>
        <v>55000</v>
      </c>
      <c r="T104" s="189" t="n">
        <f aca="false">+S104/S$8</f>
        <v>413.533834586466</v>
      </c>
      <c r="U104" s="206" t="n">
        <f aca="false">+S104/U$8</f>
        <v>0.373780964354888</v>
      </c>
      <c r="V104" s="186" t="n">
        <f aca="false">+S104/TotalCost</f>
        <v>0.00432673257205834</v>
      </c>
      <c r="W104" s="144" t="n">
        <f aca="false">+$S104/TotalValue</f>
        <v>0.0036202081665724</v>
      </c>
      <c r="X104" s="143"/>
      <c r="Y104" s="143"/>
      <c r="Z104" s="143"/>
      <c r="AA104" s="143"/>
      <c r="AB104" s="146"/>
      <c r="AC104" s="143"/>
    </row>
    <row r="105" customFormat="false" ht="12.75" hidden="false" customHeight="false" outlineLevel="0" collapsed="false">
      <c r="A105" s="142"/>
      <c r="B105" s="143" t="s">
        <v>280</v>
      </c>
      <c r="C105" s="143" t="s">
        <v>278</v>
      </c>
      <c r="D105" s="143" t="n">
        <v>210</v>
      </c>
      <c r="E105" s="182" t="n">
        <v>17</v>
      </c>
      <c r="F105" s="143" t="n">
        <f aca="false">+E105*D105</f>
        <v>3570</v>
      </c>
      <c r="G105" s="143" t="n">
        <f aca="false">F105/10.3</f>
        <v>346.601941747573</v>
      </c>
      <c r="H105" s="143"/>
      <c r="I105" s="143"/>
      <c r="J105" s="187"/>
      <c r="K105" s="143"/>
      <c r="L105" s="182"/>
      <c r="M105" s="187" t="n">
        <f aca="false">N105*N$8</f>
        <v>1932.63157894737</v>
      </c>
      <c r="N105" s="143" t="n">
        <f aca="false">+$F105/SM134Units</f>
        <v>26.8421052631579</v>
      </c>
      <c r="O105" s="182" t="n">
        <f aca="false">+N105/N$11</f>
        <v>0.026419394944053</v>
      </c>
      <c r="P105" s="187" t="n">
        <f aca="false">Q105*Q$8</f>
        <v>1637.36842105263</v>
      </c>
      <c r="Q105" s="143" t="n">
        <f aca="false">+$F105/SM134Units</f>
        <v>26.8421052631579</v>
      </c>
      <c r="R105" s="182" t="n">
        <f aca="false">+Q105/Q$11</f>
        <v>0.0221286935392893</v>
      </c>
      <c r="S105" s="146" t="n">
        <f aca="false">+P105+M105</f>
        <v>3570</v>
      </c>
      <c r="T105" s="189" t="n">
        <f aca="false">+S105/S$8</f>
        <v>26.8421052631579</v>
      </c>
      <c r="U105" s="206" t="n">
        <f aca="false">+S105/U$8</f>
        <v>0.0242617825953991</v>
      </c>
      <c r="V105" s="186" t="n">
        <f aca="false">+S105/TotalCost</f>
        <v>0.00028084427785906</v>
      </c>
      <c r="W105" s="144" t="n">
        <f aca="false">+$S105/TotalValue</f>
        <v>0.000234984420993881</v>
      </c>
      <c r="X105" s="143"/>
      <c r="Y105" s="143"/>
      <c r="Z105" s="143"/>
      <c r="AA105" s="143"/>
      <c r="AB105" s="146"/>
      <c r="AC105" s="143"/>
    </row>
    <row r="106" customFormat="false" ht="12.75" hidden="false" customHeight="false" outlineLevel="0" collapsed="false">
      <c r="A106" s="142"/>
      <c r="B106" s="143" t="s">
        <v>281</v>
      </c>
      <c r="C106" s="143" t="s">
        <v>282</v>
      </c>
      <c r="D106" s="143" t="n">
        <v>134</v>
      </c>
      <c r="E106" s="143" t="n">
        <v>600</v>
      </c>
      <c r="F106" s="143" t="n">
        <f aca="false">+E106*D106</f>
        <v>80400</v>
      </c>
      <c r="G106" s="143" t="n">
        <f aca="false">F106/10.3</f>
        <v>7805.82524271845</v>
      </c>
      <c r="H106" s="143"/>
      <c r="I106" s="143"/>
      <c r="J106" s="187"/>
      <c r="K106" s="143"/>
      <c r="L106" s="182"/>
      <c r="M106" s="187" t="n">
        <f aca="false">N106*N$8</f>
        <v>43524.8120300752</v>
      </c>
      <c r="N106" s="143" t="n">
        <f aca="false">+$F106/SM134Units</f>
        <v>604.511278195489</v>
      </c>
      <c r="O106" s="182" t="n">
        <f aca="false">+N106/N$11</f>
        <v>0.594991415546741</v>
      </c>
      <c r="P106" s="187" t="n">
        <f aca="false">Q106*Q$8</f>
        <v>36875.1879699248</v>
      </c>
      <c r="Q106" s="143" t="n">
        <f aca="false">+$F106/SM134Units</f>
        <v>604.511278195489</v>
      </c>
      <c r="R106" s="182" t="n">
        <f aca="false">+Q106/Q$11</f>
        <v>0.498360493153742</v>
      </c>
      <c r="S106" s="146" t="n">
        <f aca="false">+P106+M106</f>
        <v>80400</v>
      </c>
      <c r="T106" s="189" t="n">
        <f aca="false">+S106/S$8</f>
        <v>604.511278195489</v>
      </c>
      <c r="U106" s="206" t="n">
        <f aca="false">+S106/U$8</f>
        <v>0.546399809711509</v>
      </c>
      <c r="V106" s="186" t="n">
        <f aca="false">+S106/TotalCost</f>
        <v>0.00632489634169983</v>
      </c>
      <c r="W106" s="144" t="n">
        <f aca="false">+$S106/TotalValue</f>
        <v>0.0052920861198622</v>
      </c>
      <c r="X106" s="143"/>
      <c r="Y106" s="143"/>
      <c r="Z106" s="143"/>
      <c r="AA106" s="143"/>
      <c r="AB106" s="146"/>
      <c r="AC106" s="143"/>
    </row>
    <row r="107" customFormat="false" ht="12.75" hidden="false" customHeight="false" outlineLevel="0" collapsed="false">
      <c r="A107" s="142"/>
      <c r="B107" s="143" t="s">
        <v>283</v>
      </c>
      <c r="C107" s="143" t="s">
        <v>282</v>
      </c>
      <c r="D107" s="143" t="n">
        <v>2</v>
      </c>
      <c r="E107" s="143" t="n">
        <v>17500</v>
      </c>
      <c r="F107" s="143" t="n">
        <f aca="false">+E107*D107</f>
        <v>35000</v>
      </c>
      <c r="G107" s="143" t="n">
        <f aca="false">F107/10.3</f>
        <v>3398.05825242718</v>
      </c>
      <c r="H107" s="143"/>
      <c r="I107" s="143"/>
      <c r="J107" s="187"/>
      <c r="K107" s="143"/>
      <c r="L107" s="182"/>
      <c r="M107" s="187" t="n">
        <f aca="false">N107*N$8</f>
        <v>18947.3684210526</v>
      </c>
      <c r="N107" s="143" t="n">
        <f aca="false">+$F107/SM134Units</f>
        <v>263.157894736842</v>
      </c>
      <c r="O107" s="182" t="n">
        <f aca="false">+N107/N$11</f>
        <v>0.259013675922089</v>
      </c>
      <c r="P107" s="187" t="n">
        <f aca="false">Q107*Q$8</f>
        <v>16052.6315789474</v>
      </c>
      <c r="Q107" s="143" t="n">
        <f aca="false">+$F107/SM134Units</f>
        <v>263.157894736842</v>
      </c>
      <c r="R107" s="182" t="n">
        <f aca="false">+Q107/Q$11</f>
        <v>0.216947975875385</v>
      </c>
      <c r="S107" s="146" t="n">
        <f aca="false">+P107+M107</f>
        <v>35000</v>
      </c>
      <c r="T107" s="189" t="n">
        <f aca="false">+S107/S$8</f>
        <v>263.157894736842</v>
      </c>
      <c r="U107" s="206" t="n">
        <f aca="false">+S107/U$8</f>
        <v>0.237860613680383</v>
      </c>
      <c r="V107" s="186" t="n">
        <f aca="false">+S107/TotalCost</f>
        <v>0.00275337527312803</v>
      </c>
      <c r="W107" s="144" t="n">
        <f aca="false">+$S107/TotalValue</f>
        <v>0.00230376883327334</v>
      </c>
      <c r="X107" s="143"/>
      <c r="Y107" s="143"/>
      <c r="Z107" s="143"/>
      <c r="AA107" s="143"/>
      <c r="AB107" s="146"/>
      <c r="AC107" s="143"/>
    </row>
    <row r="108" customFormat="false" ht="12.75" hidden="false" customHeight="false" outlineLevel="0" collapsed="false">
      <c r="A108" s="142"/>
      <c r="B108" s="143" t="s">
        <v>284</v>
      </c>
      <c r="C108" s="143" t="s">
        <v>282</v>
      </c>
      <c r="D108" s="143" t="n">
        <v>9</v>
      </c>
      <c r="E108" s="143" t="n">
        <v>2000</v>
      </c>
      <c r="F108" s="143" t="n">
        <f aca="false">+E108*D108</f>
        <v>18000</v>
      </c>
      <c r="G108" s="143" t="n">
        <f aca="false">F108/10.3</f>
        <v>1747.57281553398</v>
      </c>
      <c r="H108" s="143"/>
      <c r="I108" s="143"/>
      <c r="J108" s="187"/>
      <c r="K108" s="143"/>
      <c r="L108" s="182"/>
      <c r="M108" s="187" t="n">
        <f aca="false">N108*N$8</f>
        <v>9744.36090225564</v>
      </c>
      <c r="N108" s="143" t="n">
        <f aca="false">+$F108/SM134Units</f>
        <v>135.338345864662</v>
      </c>
      <c r="O108" s="182" t="n">
        <f aca="false">+N108/N$11</f>
        <v>0.13320703333136</v>
      </c>
      <c r="P108" s="187" t="n">
        <f aca="false">Q108*Q$8</f>
        <v>8255.63909774436</v>
      </c>
      <c r="Q108" s="143" t="n">
        <f aca="false">+$F108/SM134Units</f>
        <v>135.338345864662</v>
      </c>
      <c r="R108" s="182" t="n">
        <f aca="false">+Q108/Q$11</f>
        <v>0.111573244735912</v>
      </c>
      <c r="S108" s="146" t="n">
        <f aca="false">+P108+M108</f>
        <v>18000</v>
      </c>
      <c r="T108" s="189" t="n">
        <f aca="false">+S108/S$8</f>
        <v>135.338345864662</v>
      </c>
      <c r="U108" s="206" t="n">
        <f aca="false">+S108/U$8</f>
        <v>0.122328315607054</v>
      </c>
      <c r="V108" s="186" t="n">
        <f aca="false">+S108/TotalCost</f>
        <v>0.00141602156903727</v>
      </c>
      <c r="W108" s="144" t="n">
        <f aca="false">+$S108/TotalValue</f>
        <v>0.00118479539996915</v>
      </c>
      <c r="X108" s="143"/>
      <c r="Y108" s="143"/>
      <c r="Z108" s="143"/>
      <c r="AA108" s="143"/>
      <c r="AB108" s="146"/>
      <c r="AC108" s="143"/>
    </row>
    <row r="109" customFormat="false" ht="12.75" hidden="false" customHeight="false" outlineLevel="0" collapsed="false">
      <c r="A109" s="142"/>
      <c r="B109" s="143" t="s">
        <v>285</v>
      </c>
      <c r="C109" s="143" t="s">
        <v>278</v>
      </c>
      <c r="D109" s="143" t="n">
        <v>1860</v>
      </c>
      <c r="E109" s="182" t="n">
        <v>25</v>
      </c>
      <c r="F109" s="143" t="n">
        <f aca="false">+E109*D109</f>
        <v>46500</v>
      </c>
      <c r="G109" s="143" t="n">
        <f aca="false">F109/10.3</f>
        <v>4514.56310679612</v>
      </c>
      <c r="H109" s="143"/>
      <c r="I109" s="143"/>
      <c r="J109" s="187"/>
      <c r="K109" s="143"/>
      <c r="L109" s="182"/>
      <c r="M109" s="187" t="n">
        <f aca="false">N109*N$8</f>
        <v>25172.9323308271</v>
      </c>
      <c r="N109" s="143" t="n">
        <f aca="false">+$F109/SM134Units</f>
        <v>349.624060150376</v>
      </c>
      <c r="O109" s="182" t="n">
        <f aca="false">+N109/N$11</f>
        <v>0.344118169439346</v>
      </c>
      <c r="P109" s="187" t="n">
        <f aca="false">Q109*Q$8</f>
        <v>21327.0676691729</v>
      </c>
      <c r="Q109" s="143" t="n">
        <f aca="false">+$F109/SM134Units</f>
        <v>349.624060150376</v>
      </c>
      <c r="R109" s="182" t="n">
        <f aca="false">+Q109/Q$11</f>
        <v>0.28823088223444</v>
      </c>
      <c r="S109" s="146" t="n">
        <f aca="false">+P109+M109</f>
        <v>46500</v>
      </c>
      <c r="T109" s="189" t="n">
        <f aca="false">+S109/S$8</f>
        <v>349.624060150376</v>
      </c>
      <c r="U109" s="206" t="n">
        <f aca="false">+S109/U$8</f>
        <v>0.316014815318224</v>
      </c>
      <c r="V109" s="186" t="n">
        <f aca="false">+S109/TotalCost</f>
        <v>0.00365805572001296</v>
      </c>
      <c r="W109" s="144" t="n">
        <f aca="false">+$S109/TotalValue</f>
        <v>0.0030607214499203</v>
      </c>
      <c r="X109" s="143"/>
      <c r="Y109" s="143"/>
      <c r="Z109" s="143"/>
      <c r="AA109" s="143"/>
      <c r="AB109" s="146"/>
      <c r="AC109" s="143"/>
    </row>
    <row r="110" customFormat="false" ht="12.75" hidden="false" customHeight="false" outlineLevel="0" collapsed="false">
      <c r="A110" s="142"/>
      <c r="B110" s="143" t="s">
        <v>286</v>
      </c>
      <c r="C110" s="143" t="s">
        <v>282</v>
      </c>
      <c r="D110" s="143" t="n">
        <v>12</v>
      </c>
      <c r="E110" s="143" t="n">
        <v>2000</v>
      </c>
      <c r="F110" s="143" t="n">
        <f aca="false">+E110*D110</f>
        <v>24000</v>
      </c>
      <c r="G110" s="143" t="n">
        <f aca="false">F110/10.3</f>
        <v>2330.09708737864</v>
      </c>
      <c r="H110" s="143"/>
      <c r="I110" s="143"/>
      <c r="J110" s="187"/>
      <c r="K110" s="143"/>
      <c r="L110" s="182"/>
      <c r="M110" s="187" t="n">
        <f aca="false">N110*N$8</f>
        <v>12992.4812030075</v>
      </c>
      <c r="N110" s="143" t="n">
        <f aca="false">+$F110/SM134Units</f>
        <v>180.451127819549</v>
      </c>
      <c r="O110" s="182" t="n">
        <f aca="false">+N110/N$11</f>
        <v>0.177609377775147</v>
      </c>
      <c r="P110" s="187" t="n">
        <f aca="false">Q110*Q$8</f>
        <v>11007.5187969925</v>
      </c>
      <c r="Q110" s="143" t="n">
        <f aca="false">+$F110/SM134Units</f>
        <v>180.451127819549</v>
      </c>
      <c r="R110" s="182" t="n">
        <f aca="false">+Q110/Q$11</f>
        <v>0.14876432631455</v>
      </c>
      <c r="S110" s="146" t="n">
        <f aca="false">+P110+M110</f>
        <v>24000</v>
      </c>
      <c r="T110" s="189" t="n">
        <f aca="false">+S110/S$8</f>
        <v>180.451127819549</v>
      </c>
      <c r="U110" s="206" t="n">
        <f aca="false">+S110/U$8</f>
        <v>0.163104420809406</v>
      </c>
      <c r="V110" s="186" t="n">
        <f aca="false">+S110/TotalCost</f>
        <v>0.00188802875871637</v>
      </c>
      <c r="W110" s="144" t="n">
        <f aca="false">+$S110/TotalValue</f>
        <v>0.00157972719995886</v>
      </c>
      <c r="X110" s="143"/>
      <c r="Y110" s="143"/>
      <c r="Z110" s="143"/>
      <c r="AA110" s="143"/>
      <c r="AB110" s="146"/>
      <c r="AC110" s="143"/>
    </row>
    <row r="111" customFormat="false" ht="12.75" hidden="false" customHeight="false" outlineLevel="0" collapsed="false">
      <c r="A111" s="142"/>
      <c r="B111" s="143" t="s">
        <v>287</v>
      </c>
      <c r="C111" s="143" t="s">
        <v>282</v>
      </c>
      <c r="D111" s="143" t="n">
        <v>2</v>
      </c>
      <c r="E111" s="143" t="n">
        <v>2000</v>
      </c>
      <c r="F111" s="143" t="n">
        <f aca="false">+E111*D111</f>
        <v>4000</v>
      </c>
      <c r="G111" s="143" t="n">
        <f aca="false">F111/10.3</f>
        <v>388.349514563107</v>
      </c>
      <c r="H111" s="143"/>
      <c r="I111" s="143"/>
      <c r="J111" s="187"/>
      <c r="K111" s="143"/>
      <c r="L111" s="182"/>
      <c r="M111" s="187" t="n">
        <f aca="false">N111*N$8</f>
        <v>2165.41353383459</v>
      </c>
      <c r="N111" s="143" t="n">
        <f aca="false">+$F111/SM134Units</f>
        <v>30.0751879699248</v>
      </c>
      <c r="O111" s="182" t="n">
        <f aca="false">+N111/N$11</f>
        <v>0.0296015629625244</v>
      </c>
      <c r="P111" s="187" t="n">
        <f aca="false">Q111*Q$8</f>
        <v>1834.58646616541</v>
      </c>
      <c r="Q111" s="143" t="n">
        <f aca="false">+$F111/SM134Units</f>
        <v>30.0751879699248</v>
      </c>
      <c r="R111" s="182" t="n">
        <f aca="false">+Q111/Q$11</f>
        <v>0.0247940543857583</v>
      </c>
      <c r="S111" s="146" t="n">
        <f aca="false">+P111+M111</f>
        <v>4000</v>
      </c>
      <c r="T111" s="189" t="n">
        <f aca="false">+S111/S$8</f>
        <v>30.0751879699248</v>
      </c>
      <c r="U111" s="206" t="n">
        <f aca="false">+S111/U$8</f>
        <v>0.027184070134901</v>
      </c>
      <c r="V111" s="186" t="n">
        <f aca="false">+S111/TotalCost</f>
        <v>0.000314671459786061</v>
      </c>
      <c r="W111" s="144" t="n">
        <f aca="false">+$S111/TotalValue</f>
        <v>0.000263287866659811</v>
      </c>
      <c r="X111" s="143"/>
      <c r="Y111" s="143"/>
      <c r="Z111" s="143"/>
      <c r="AA111" s="143"/>
      <c r="AB111" s="146"/>
      <c r="AC111" s="143"/>
    </row>
    <row r="112" customFormat="false" ht="12.75" hidden="false" customHeight="false" outlineLevel="0" collapsed="false">
      <c r="A112" s="142"/>
      <c r="B112" s="143" t="s">
        <v>288</v>
      </c>
      <c r="C112" s="143" t="s">
        <v>271</v>
      </c>
      <c r="D112" s="143" t="n">
        <v>1</v>
      </c>
      <c r="E112" s="143" t="n">
        <v>10000</v>
      </c>
      <c r="F112" s="143" t="n">
        <f aca="false">+E112*D112</f>
        <v>10000</v>
      </c>
      <c r="G112" s="143" t="n">
        <f aca="false">F112/10.3</f>
        <v>970.873786407767</v>
      </c>
      <c r="H112" s="143"/>
      <c r="I112" s="143"/>
      <c r="J112" s="187"/>
      <c r="K112" s="143"/>
      <c r="L112" s="182"/>
      <c r="M112" s="187" t="n">
        <f aca="false">N112*N$8</f>
        <v>5413.53383458647</v>
      </c>
      <c r="N112" s="143" t="n">
        <f aca="false">+$F112/SM134Units</f>
        <v>75.187969924812</v>
      </c>
      <c r="O112" s="182" t="n">
        <f aca="false">+N112/N$11</f>
        <v>0.0740039074063111</v>
      </c>
      <c r="P112" s="187" t="n">
        <f aca="false">Q112*Q$8</f>
        <v>4586.46616541353</v>
      </c>
      <c r="Q112" s="143" t="n">
        <f aca="false">+$F112/SM134Units</f>
        <v>75.187969924812</v>
      </c>
      <c r="R112" s="182" t="n">
        <f aca="false">+Q112/Q$11</f>
        <v>0.0619851359643957</v>
      </c>
      <c r="S112" s="146" t="n">
        <f aca="false">+P112+M112</f>
        <v>10000</v>
      </c>
      <c r="T112" s="189" t="n">
        <f aca="false">+S112/S$8</f>
        <v>75.187969924812</v>
      </c>
      <c r="U112" s="206" t="n">
        <f aca="false">+S112/U$8</f>
        <v>0.0679601753372524</v>
      </c>
      <c r="V112" s="186" t="n">
        <f aca="false">+S112/TotalCost</f>
        <v>0.000786678649465153</v>
      </c>
      <c r="W112" s="144" t="n">
        <f aca="false">+$S112/TotalValue</f>
        <v>0.000658219666649527</v>
      </c>
      <c r="X112" s="143"/>
      <c r="Y112" s="143"/>
      <c r="Z112" s="143"/>
      <c r="AA112" s="143"/>
      <c r="AB112" s="146"/>
      <c r="AC112" s="143"/>
    </row>
    <row r="113" customFormat="false" ht="12.75" hidden="false" customHeight="false" outlineLevel="0" collapsed="false">
      <c r="A113" s="142"/>
      <c r="B113" s="143" t="s">
        <v>289</v>
      </c>
      <c r="C113" s="143" t="s">
        <v>271</v>
      </c>
      <c r="D113" s="143" t="n">
        <v>1</v>
      </c>
      <c r="E113" s="143" t="n">
        <v>75000</v>
      </c>
      <c r="F113" s="143" t="n">
        <f aca="false">+E113*D113</f>
        <v>75000</v>
      </c>
      <c r="G113" s="143" t="n">
        <f aca="false">F113/10.3</f>
        <v>7281.55339805825</v>
      </c>
      <c r="H113" s="143"/>
      <c r="I113" s="143"/>
      <c r="J113" s="187"/>
      <c r="K113" s="143"/>
      <c r="L113" s="182"/>
      <c r="M113" s="187" t="n">
        <f aca="false">N113*N$8</f>
        <v>40601.5037593985</v>
      </c>
      <c r="N113" s="143" t="n">
        <f aca="false">+$F113/SM134Units</f>
        <v>563.90977443609</v>
      </c>
      <c r="O113" s="182" t="n">
        <f aca="false">+N113/N$11</f>
        <v>0.555029305547333</v>
      </c>
      <c r="P113" s="187" t="n">
        <f aca="false">Q113*Q$8</f>
        <v>34398.4962406015</v>
      </c>
      <c r="Q113" s="143" t="n">
        <f aca="false">+$F113/SM134Units</f>
        <v>563.90977443609</v>
      </c>
      <c r="R113" s="182" t="n">
        <f aca="false">+Q113/Q$11</f>
        <v>0.464888519732968</v>
      </c>
      <c r="S113" s="146" t="n">
        <f aca="false">+P113+M113</f>
        <v>75000</v>
      </c>
      <c r="T113" s="189" t="n">
        <f aca="false">+S113/S$8</f>
        <v>563.90977443609</v>
      </c>
      <c r="U113" s="206" t="n">
        <f aca="false">+S113/U$8</f>
        <v>0.509701315029393</v>
      </c>
      <c r="V113" s="186" t="n">
        <f aca="false">+S113/TotalCost</f>
        <v>0.00590008987098865</v>
      </c>
      <c r="W113" s="144" t="n">
        <f aca="false">+$S113/TotalValue</f>
        <v>0.00493664749987145</v>
      </c>
      <c r="X113" s="143"/>
      <c r="Y113" s="143"/>
      <c r="Z113" s="143"/>
      <c r="AA113" s="143"/>
      <c r="AB113" s="146"/>
      <c r="AC113" s="143"/>
    </row>
    <row r="114" customFormat="false" ht="12.75" hidden="false" customHeight="false" outlineLevel="0" collapsed="false">
      <c r="A114" s="142"/>
      <c r="B114" s="143" t="s">
        <v>290</v>
      </c>
      <c r="C114" s="226" t="s">
        <v>271</v>
      </c>
      <c r="D114" s="227" t="n">
        <v>1</v>
      </c>
      <c r="E114" s="226" t="n">
        <v>53592</v>
      </c>
      <c r="F114" s="228" t="n">
        <f aca="false">+E114*D114</f>
        <v>53592</v>
      </c>
      <c r="G114" s="143" t="n">
        <f aca="false">F114/10.3</f>
        <v>5203.1067961165</v>
      </c>
      <c r="H114" s="143"/>
      <c r="I114" s="143"/>
      <c r="J114" s="229"/>
      <c r="K114" s="228"/>
      <c r="L114" s="227"/>
      <c r="M114" s="229" t="n">
        <f aca="false">N114*N$8</f>
        <v>29012.2105263158</v>
      </c>
      <c r="N114" s="228" t="n">
        <f aca="false">+$F114/SM134Units</f>
        <v>402.947368421053</v>
      </c>
      <c r="O114" s="227" t="n">
        <f aca="false">+N114/N$11</f>
        <v>0.396601740571902</v>
      </c>
      <c r="P114" s="229" t="n">
        <f aca="false">Q114*Q$8</f>
        <v>24579.7894736842</v>
      </c>
      <c r="Q114" s="228" t="n">
        <f aca="false">+$F114/SM134Units</f>
        <v>402.947368421053</v>
      </c>
      <c r="R114" s="227" t="n">
        <f aca="false">+Q114/Q$11</f>
        <v>0.33219074066039</v>
      </c>
      <c r="S114" s="146" t="n">
        <f aca="false">+P114+M114</f>
        <v>53592</v>
      </c>
      <c r="T114" s="230" t="n">
        <f aca="false">+S114/S$8</f>
        <v>402.947368421053</v>
      </c>
      <c r="U114" s="206" t="n">
        <f aca="false">+S114/U$8</f>
        <v>0.364212171667403</v>
      </c>
      <c r="V114" s="210" t="n">
        <f aca="false">+S114/TotalCost</f>
        <v>0.00421596821821365</v>
      </c>
      <c r="W114" s="210" t="n">
        <f aca="false">+$S114/TotalValue</f>
        <v>0.00352753083750814</v>
      </c>
      <c r="X114" s="143"/>
      <c r="Y114" s="143"/>
      <c r="Z114" s="143"/>
      <c r="AA114" s="143"/>
      <c r="AB114" s="146"/>
      <c r="AC114" s="143"/>
    </row>
    <row r="115" customFormat="false" ht="12.75" hidden="false" customHeight="false" outlineLevel="0" collapsed="false">
      <c r="A115" s="142"/>
      <c r="B115" s="231" t="s">
        <v>291</v>
      </c>
      <c r="C115" s="143"/>
      <c r="D115" s="143"/>
      <c r="E115" s="143"/>
      <c r="F115" s="232" t="n">
        <f aca="false">SUM(F99:F114)</f>
        <v>627312</v>
      </c>
      <c r="G115" s="231" t="n">
        <f aca="false">SUM(G99:G114)</f>
        <v>60904.0776699029</v>
      </c>
      <c r="H115" s="143"/>
      <c r="I115" s="143"/>
      <c r="J115" s="233"/>
      <c r="K115" s="233"/>
      <c r="L115" s="234"/>
      <c r="M115" s="233" t="n">
        <f aca="false">SUM(M99:M114)</f>
        <v>339444.763550668</v>
      </c>
      <c r="N115" s="233" t="n">
        <f aca="false">SUM(N99:N114)</f>
        <v>4714.51060487039</v>
      </c>
      <c r="O115" s="234" t="n">
        <f aca="false">+N115/N$11</f>
        <v>4.64026634337636</v>
      </c>
      <c r="P115" s="233" t="n">
        <f aca="false">SUM(P99:P114)</f>
        <v>287585.146897094</v>
      </c>
      <c r="Q115" s="233" t="n">
        <f aca="false">SUM(Q99:Q114)</f>
        <v>4714.51060487039</v>
      </c>
      <c r="R115" s="234" t="n">
        <f aca="false">SUM(R99:R114)</f>
        <v>3.88665342528474</v>
      </c>
      <c r="S115" s="235" t="n">
        <f aca="false">SUM(S99:S114)</f>
        <v>627029.910447761</v>
      </c>
      <c r="T115" s="233" t="n">
        <f aca="false">SUM(T99:T114)</f>
        <v>4714.51060487039</v>
      </c>
      <c r="U115" s="234" t="n">
        <f aca="false">+S115/U$8</f>
        <v>4.26130626557315</v>
      </c>
      <c r="V115" s="144" t="n">
        <f aca="false">+S115/TotalCost</f>
        <v>0.04932710431253</v>
      </c>
      <c r="W115" s="144" t="n">
        <f aca="false">+$S115/TotalValue</f>
        <v>0.0412723418634208</v>
      </c>
      <c r="X115" s="143"/>
      <c r="Y115" s="143"/>
      <c r="Z115" s="143"/>
      <c r="AA115" s="143"/>
      <c r="AB115" s="146"/>
      <c r="AC115" s="143"/>
    </row>
    <row r="116" customFormat="false" ht="12.75" hidden="false" customHeight="false" outlineLevel="0" collapsed="false">
      <c r="A116" s="142"/>
      <c r="B116" s="224" t="s">
        <v>292</v>
      </c>
      <c r="C116" s="143"/>
      <c r="D116" s="143"/>
      <c r="E116" s="143"/>
      <c r="F116" s="143"/>
      <c r="G116" s="143"/>
      <c r="H116" s="143"/>
      <c r="I116" s="143"/>
      <c r="J116" s="187"/>
      <c r="K116" s="143"/>
      <c r="L116" s="182"/>
      <c r="M116" s="187"/>
      <c r="N116" s="143"/>
      <c r="O116" s="182" t="n">
        <f aca="false">+N116/N$11</f>
        <v>0</v>
      </c>
      <c r="P116" s="187"/>
      <c r="Q116" s="143"/>
      <c r="R116" s="182"/>
      <c r="S116" s="146"/>
      <c r="T116" s="143"/>
      <c r="U116" s="143"/>
      <c r="V116" s="144"/>
      <c r="W116" s="144"/>
      <c r="X116" s="143"/>
      <c r="Y116" s="143"/>
      <c r="Z116" s="143"/>
      <c r="AA116" s="143"/>
      <c r="AB116" s="146"/>
      <c r="AC116" s="143"/>
    </row>
    <row r="117" customFormat="false" ht="12.75" hidden="false" customHeight="false" outlineLevel="0" collapsed="false">
      <c r="A117" s="142"/>
      <c r="B117" s="143" t="s">
        <v>293</v>
      </c>
      <c r="C117" s="143" t="s">
        <v>278</v>
      </c>
      <c r="D117" s="143" t="n">
        <v>670</v>
      </c>
      <c r="E117" s="182" t="n">
        <v>55</v>
      </c>
      <c r="F117" s="143" t="n">
        <f aca="false">+E117*D117</f>
        <v>36850</v>
      </c>
      <c r="G117" s="143" t="n">
        <f aca="false">F117/10.3</f>
        <v>3577.66990291262</v>
      </c>
      <c r="H117" s="143"/>
      <c r="I117" s="143"/>
      <c r="J117" s="187"/>
      <c r="K117" s="143"/>
      <c r="L117" s="182"/>
      <c r="M117" s="202" t="n">
        <f aca="false">N117*N$8</f>
        <v>19948.8721804511</v>
      </c>
      <c r="N117" s="202" t="n">
        <f aca="false">+$F117/SM134Units</f>
        <v>277.067669172932</v>
      </c>
      <c r="O117" s="236" t="n">
        <f aca="false">+N117/N$11</f>
        <v>0.272704398792256</v>
      </c>
      <c r="P117" s="202" t="n">
        <f aca="false">Q117*Q$8</f>
        <v>16901.1278195489</v>
      </c>
      <c r="Q117" s="202" t="n">
        <f aca="false">+$F117/SM134Units</f>
        <v>277.067669172932</v>
      </c>
      <c r="R117" s="236" t="n">
        <f aca="false">+Q117/Q$11</f>
        <v>0.228415226028798</v>
      </c>
      <c r="S117" s="223" t="n">
        <f aca="false">+P117+M117</f>
        <v>36850</v>
      </c>
      <c r="T117" s="202" t="n">
        <f aca="false">+S117/S$8</f>
        <v>277.067669172932</v>
      </c>
      <c r="U117" s="184" t="n">
        <f aca="false">+S117/U$8</f>
        <v>0.250433246117775</v>
      </c>
      <c r="V117" s="144" t="n">
        <f aca="false">+S117/TotalCost</f>
        <v>0.00289891082327909</v>
      </c>
      <c r="W117" s="144" t="n">
        <f aca="false">+$S117/TotalValue</f>
        <v>0.00242553947160351</v>
      </c>
      <c r="X117" s="143"/>
      <c r="Y117" s="143"/>
      <c r="Z117" s="143"/>
      <c r="AA117" s="143"/>
      <c r="AB117" s="146"/>
      <c r="AC117" s="143"/>
    </row>
    <row r="118" customFormat="false" ht="12.75" hidden="false" customHeight="false" outlineLevel="0" collapsed="false">
      <c r="A118" s="142"/>
      <c r="B118" s="143" t="s">
        <v>294</v>
      </c>
      <c r="C118" s="143" t="s">
        <v>278</v>
      </c>
      <c r="D118" s="143" t="n">
        <f aca="false">670*3</f>
        <v>2010</v>
      </c>
      <c r="E118" s="182" t="n">
        <v>30</v>
      </c>
      <c r="F118" s="143" t="n">
        <f aca="false">+E118*D118</f>
        <v>60300</v>
      </c>
      <c r="G118" s="143" t="n">
        <f aca="false">F118/10.3</f>
        <v>5854.36893203884</v>
      </c>
      <c r="H118" s="143"/>
      <c r="I118" s="143"/>
      <c r="J118" s="187"/>
      <c r="K118" s="143"/>
      <c r="L118" s="182"/>
      <c r="M118" s="187" t="n">
        <f aca="false">N118*N$8</f>
        <v>32643.6090225564</v>
      </c>
      <c r="N118" s="143" t="n">
        <f aca="false">+$F118/SM134Units</f>
        <v>453.383458646617</v>
      </c>
      <c r="O118" s="182" t="n">
        <f aca="false">+N118/N$11</f>
        <v>0.446243561660056</v>
      </c>
      <c r="P118" s="187" t="n">
        <f aca="false">Q118*Q$8</f>
        <v>27656.3909774436</v>
      </c>
      <c r="Q118" s="143" t="n">
        <f aca="false">+$F118/SM134Units</f>
        <v>453.383458646617</v>
      </c>
      <c r="R118" s="182" t="n">
        <f aca="false">+Q118/Q$11</f>
        <v>0.373770369865306</v>
      </c>
      <c r="S118" s="146" t="n">
        <f aca="false">+P118+M118</f>
        <v>60300</v>
      </c>
      <c r="T118" s="189" t="n">
        <f aca="false">+S118/S$8</f>
        <v>453.383458646617</v>
      </c>
      <c r="U118" s="206" t="n">
        <f aca="false">+S118/U$8</f>
        <v>0.409799857283632</v>
      </c>
      <c r="V118" s="144" t="n">
        <f aca="false">+S118/TotalCost</f>
        <v>0.00474367225627487</v>
      </c>
      <c r="W118" s="144" t="n">
        <f aca="false">+$S118/TotalValue</f>
        <v>0.00396906458989665</v>
      </c>
      <c r="X118" s="143"/>
      <c r="Y118" s="143"/>
      <c r="Z118" s="143"/>
      <c r="AA118" s="143"/>
      <c r="AB118" s="146"/>
      <c r="AC118" s="143"/>
    </row>
    <row r="119" customFormat="false" ht="12.75" hidden="false" customHeight="false" outlineLevel="0" collapsed="false">
      <c r="A119" s="142"/>
      <c r="B119" s="143" t="s">
        <v>295</v>
      </c>
      <c r="C119" s="143" t="s">
        <v>296</v>
      </c>
      <c r="D119" s="143" t="n">
        <f aca="false">LandscapeArea</f>
        <v>179968.684329609</v>
      </c>
      <c r="E119" s="182" t="n">
        <v>2</v>
      </c>
      <c r="F119" s="143" t="n">
        <f aca="false">+E119*D119</f>
        <v>359937.368659217</v>
      </c>
      <c r="G119" s="143" t="n">
        <f aca="false">F119/10.3</f>
        <v>34945.3755979823</v>
      </c>
      <c r="H119" s="143"/>
      <c r="I119" s="143"/>
      <c r="J119" s="187"/>
      <c r="K119" s="143"/>
      <c r="L119" s="182"/>
      <c r="M119" s="187" t="n">
        <f aca="false">N119*N$8</f>
        <v>194853.31235687</v>
      </c>
      <c r="N119" s="143" t="n">
        <f aca="false">+$F119/SM134Units</f>
        <v>2706.29600495652</v>
      </c>
      <c r="O119" s="182" t="n">
        <f aca="false">+N119/N$11</f>
        <v>2.6636771702328</v>
      </c>
      <c r="P119" s="187" t="n">
        <f aca="false">Q119*Q$8</f>
        <v>165084.056302348</v>
      </c>
      <c r="Q119" s="143" t="n">
        <f aca="false">+$F119/SM134Units</f>
        <v>2706.29600495652</v>
      </c>
      <c r="R119" s="182" t="n">
        <f aca="false">+Q119/Q$11</f>
        <v>2.23107667350084</v>
      </c>
      <c r="S119" s="146" t="n">
        <f aca="false">+P119+M119</f>
        <v>359937.368659217</v>
      </c>
      <c r="T119" s="189" t="n">
        <f aca="false">+S119/S$8</f>
        <v>2706.29600495652</v>
      </c>
      <c r="U119" s="206" t="n">
        <f aca="false">+S119/U$8</f>
        <v>2.44614066845097</v>
      </c>
      <c r="V119" s="144" t="n">
        <f aca="false">+S119/TotalCost</f>
        <v>0.0283155043068874</v>
      </c>
      <c r="W119" s="144" t="n">
        <f aca="false">+$S119/TotalValue</f>
        <v>0.0236917854813578</v>
      </c>
      <c r="X119" s="143"/>
      <c r="Y119" s="143"/>
      <c r="Z119" s="143"/>
      <c r="AA119" s="143"/>
      <c r="AB119" s="146"/>
      <c r="AC119" s="143"/>
    </row>
    <row r="120" customFormat="false" ht="12.75" hidden="false" customHeight="false" outlineLevel="0" collapsed="false">
      <c r="A120" s="142"/>
      <c r="B120" s="143" t="s">
        <v>297</v>
      </c>
      <c r="C120" s="143" t="s">
        <v>282</v>
      </c>
      <c r="D120" s="143" t="n">
        <v>2</v>
      </c>
      <c r="E120" s="182" t="n">
        <v>4000</v>
      </c>
      <c r="F120" s="143" t="n">
        <f aca="false">+E120*D120</f>
        <v>8000</v>
      </c>
      <c r="G120" s="143" t="n">
        <f aca="false">F120/10.3</f>
        <v>776.699029126214</v>
      </c>
      <c r="H120" s="143"/>
      <c r="I120" s="143"/>
      <c r="J120" s="187"/>
      <c r="K120" s="143"/>
      <c r="L120" s="182"/>
      <c r="M120" s="187" t="n">
        <f aca="false">N120*N$8</f>
        <v>4330.82706766917</v>
      </c>
      <c r="N120" s="143" t="n">
        <f aca="false">+$F120/SM134Units</f>
        <v>60.1503759398496</v>
      </c>
      <c r="O120" s="182" t="n">
        <f aca="false">+N120/N$11</f>
        <v>0.0592031259250488</v>
      </c>
      <c r="P120" s="187" t="n">
        <f aca="false">Q120*Q$8</f>
        <v>3669.17293233083</v>
      </c>
      <c r="Q120" s="143" t="n">
        <f aca="false">+$F120/SM134Units</f>
        <v>60.1503759398496</v>
      </c>
      <c r="R120" s="182" t="n">
        <f aca="false">+Q120/Q$11</f>
        <v>0.0495881087715166</v>
      </c>
      <c r="S120" s="146" t="n">
        <f aca="false">+P120+M120</f>
        <v>8000</v>
      </c>
      <c r="T120" s="189" t="n">
        <f aca="false">+S120/S$8</f>
        <v>60.1503759398496</v>
      </c>
      <c r="U120" s="206" t="n">
        <f aca="false">+S120/U$8</f>
        <v>0.0543681402698019</v>
      </c>
      <c r="V120" s="144" t="n">
        <f aca="false">+S120/TotalCost</f>
        <v>0.000629342919572122</v>
      </c>
      <c r="W120" s="144" t="n">
        <f aca="false">+$S120/TotalValue</f>
        <v>0.000526575733319622</v>
      </c>
      <c r="X120" s="143"/>
      <c r="Y120" s="143"/>
      <c r="Z120" s="143"/>
      <c r="AA120" s="143"/>
      <c r="AB120" s="146"/>
      <c r="AC120" s="143"/>
    </row>
    <row r="121" customFormat="false" ht="25.5" hidden="false" customHeight="false" outlineLevel="0" collapsed="false">
      <c r="A121" s="142"/>
      <c r="B121" s="237" t="s">
        <v>298</v>
      </c>
      <c r="C121" s="221" t="s">
        <v>271</v>
      </c>
      <c r="D121" s="182" t="n">
        <v>1</v>
      </c>
      <c r="E121" s="221" t="n">
        <f aca="false">+K95</f>
        <v>85506.6058883378</v>
      </c>
      <c r="F121" s="143" t="n">
        <f aca="false">+E121*D121</f>
        <v>85506.6058883378</v>
      </c>
      <c r="G121" s="143" t="n">
        <f aca="false">F121/10.3</f>
        <v>8301.61222216871</v>
      </c>
      <c r="H121" s="143"/>
      <c r="I121" s="143"/>
      <c r="J121" s="187"/>
      <c r="K121" s="143"/>
      <c r="L121" s="182"/>
      <c r="M121" s="187" t="n">
        <f aca="false">N121*N$8</f>
        <v>46289.2904057167</v>
      </c>
      <c r="N121" s="238" t="n">
        <f aca="false">+$K$95/SM134Units</f>
        <v>642.906811190509</v>
      </c>
      <c r="O121" s="182" t="n">
        <f aca="false">+N121/N$11</f>
        <v>0.632782294478848</v>
      </c>
      <c r="P121" s="187" t="n">
        <f aca="false">Q121*Q$8</f>
        <v>39217.3154826211</v>
      </c>
      <c r="Q121" s="238" t="n">
        <f aca="false">+$K$95/SM134Units</f>
        <v>642.906811190509</v>
      </c>
      <c r="R121" s="182" t="n">
        <f aca="false">+Q121/Q$11</f>
        <v>0.530013859184262</v>
      </c>
      <c r="S121" s="239" t="n">
        <f aca="false">+P121+M121</f>
        <v>85506.6058883377</v>
      </c>
      <c r="T121" s="189" t="n">
        <f aca="false">+S121/S$8</f>
        <v>642.906811190509</v>
      </c>
      <c r="U121" s="206" t="n">
        <f aca="false">+S121/U$8</f>
        <v>0.581104392866477</v>
      </c>
      <c r="V121" s="240" t="n">
        <f aca="false">+S121/TotalCost</f>
        <v>0.00672662212405866</v>
      </c>
      <c r="W121" s="240" t="n">
        <f aca="false">+$S121/TotalValue</f>
        <v>0.00562821296241541</v>
      </c>
      <c r="X121" s="143"/>
      <c r="Y121" s="143"/>
      <c r="Z121" s="143"/>
      <c r="AA121" s="143"/>
      <c r="AB121" s="146"/>
      <c r="AC121" s="143"/>
    </row>
    <row r="122" customFormat="false" ht="12.75" hidden="false" customHeight="false" outlineLevel="0" collapsed="false">
      <c r="A122" s="142"/>
      <c r="B122" s="143" t="s">
        <v>299</v>
      </c>
      <c r="C122" s="221" t="s">
        <v>271</v>
      </c>
      <c r="D122" s="182" t="n">
        <v>3</v>
      </c>
      <c r="E122" s="221" t="n">
        <v>7500</v>
      </c>
      <c r="F122" s="143" t="n">
        <f aca="false">+E122*D122</f>
        <v>22500</v>
      </c>
      <c r="G122" s="143" t="n">
        <f aca="false">F122/10.3</f>
        <v>2184.46601941748</v>
      </c>
      <c r="H122" s="143"/>
      <c r="I122" s="143"/>
      <c r="J122" s="187"/>
      <c r="K122" s="143"/>
      <c r="L122" s="182"/>
      <c r="M122" s="187" t="n">
        <f aca="false">N122*N$8</f>
        <v>12180.4511278196</v>
      </c>
      <c r="N122" s="143" t="n">
        <f aca="false">+$F122/SM134Units</f>
        <v>169.172932330827</v>
      </c>
      <c r="O122" s="182" t="n">
        <f aca="false">+N122/N$11</f>
        <v>0.1665087916642</v>
      </c>
      <c r="P122" s="187" t="n">
        <f aca="false">Q122*Q$8</f>
        <v>10319.5488721805</v>
      </c>
      <c r="Q122" s="143" t="n">
        <f aca="false">+$F122/SM134Units</f>
        <v>169.172932330827</v>
      </c>
      <c r="R122" s="182" t="n">
        <f aca="false">+Q122/Q$11</f>
        <v>0.13946655591989</v>
      </c>
      <c r="S122" s="146" t="n">
        <f aca="false">+P122+M122</f>
        <v>22500</v>
      </c>
      <c r="T122" s="189" t="n">
        <f aca="false">+S122/S$8</f>
        <v>169.172932330827</v>
      </c>
      <c r="U122" s="206" t="n">
        <f aca="false">+S122/U$8</f>
        <v>0.152910394508818</v>
      </c>
      <c r="V122" s="144" t="n">
        <f aca="false">+S122/TotalCost</f>
        <v>0.00177002696129659</v>
      </c>
      <c r="W122" s="144" t="n">
        <f aca="false">+$S122/TotalValue</f>
        <v>0.00148099424996144</v>
      </c>
      <c r="X122" s="143"/>
      <c r="Y122" s="143"/>
      <c r="Z122" s="143"/>
      <c r="AA122" s="143"/>
      <c r="AB122" s="146"/>
      <c r="AC122" s="143"/>
    </row>
    <row r="123" customFormat="false" ht="12.75" hidden="false" customHeight="false" outlineLevel="0" collapsed="false">
      <c r="A123" s="142"/>
      <c r="B123" s="143" t="s">
        <v>300</v>
      </c>
      <c r="C123" s="221" t="s">
        <v>282</v>
      </c>
      <c r="D123" s="182" t="n">
        <v>134</v>
      </c>
      <c r="E123" s="221" t="n">
        <v>200</v>
      </c>
      <c r="F123" s="143" t="n">
        <f aca="false">+E123*D123</f>
        <v>26800</v>
      </c>
      <c r="G123" s="143" t="n">
        <f aca="false">F123/10.3</f>
        <v>2601.94174757282</v>
      </c>
      <c r="H123" s="143"/>
      <c r="I123" s="143"/>
      <c r="J123" s="187"/>
      <c r="K123" s="143"/>
      <c r="L123" s="182"/>
      <c r="M123" s="187" t="n">
        <f aca="false">N123*N$8</f>
        <v>14508.2706766917</v>
      </c>
      <c r="N123" s="143" t="n">
        <f aca="false">+$F123/SM134Units</f>
        <v>201.503759398496</v>
      </c>
      <c r="O123" s="182" t="n">
        <f aca="false">+N123/N$11</f>
        <v>0.198330471848914</v>
      </c>
      <c r="P123" s="187" t="n">
        <f aca="false">Q123*Q$8</f>
        <v>12291.7293233083</v>
      </c>
      <c r="Q123" s="143" t="n">
        <f aca="false">+$F123/SM134Units</f>
        <v>201.503759398496</v>
      </c>
      <c r="R123" s="182" t="n">
        <f aca="false">+Q123/Q$11</f>
        <v>0.166120164384581</v>
      </c>
      <c r="S123" s="146" t="n">
        <f aca="false">+P123+M123</f>
        <v>26800</v>
      </c>
      <c r="T123" s="189" t="n">
        <f aca="false">+S123/S$8</f>
        <v>201.503759398496</v>
      </c>
      <c r="U123" s="206" t="n">
        <f aca="false">+S123/U$8</f>
        <v>0.182133269903836</v>
      </c>
      <c r="V123" s="144" t="n">
        <f aca="false">+S123/TotalCost</f>
        <v>0.00210829878056661</v>
      </c>
      <c r="W123" s="144" t="n">
        <f aca="false">+$S123/TotalValue</f>
        <v>0.00176402870662073</v>
      </c>
      <c r="X123" s="143"/>
      <c r="Y123" s="143"/>
      <c r="Z123" s="143"/>
      <c r="AA123" s="143"/>
      <c r="AB123" s="146"/>
      <c r="AC123" s="143"/>
    </row>
    <row r="124" customFormat="false" ht="12.75" hidden="false" customHeight="false" outlineLevel="0" collapsed="false">
      <c r="A124" s="142"/>
      <c r="B124" s="143" t="s">
        <v>301</v>
      </c>
      <c r="C124" s="143" t="s">
        <v>271</v>
      </c>
      <c r="D124" s="182" t="n">
        <v>1</v>
      </c>
      <c r="E124" s="221" t="n">
        <f aca="false">65000+5000+3000</f>
        <v>73000</v>
      </c>
      <c r="F124" s="143" t="n">
        <f aca="false">+E124*D124</f>
        <v>73000</v>
      </c>
      <c r="G124" s="143" t="n">
        <f aca="false">F124/10.3</f>
        <v>7087.3786407767</v>
      </c>
      <c r="H124" s="143"/>
      <c r="I124" s="143"/>
      <c r="J124" s="187"/>
      <c r="K124" s="143"/>
      <c r="L124" s="182"/>
      <c r="M124" s="187" t="n">
        <f aca="false">N124*N$8</f>
        <v>39518.7969924812</v>
      </c>
      <c r="N124" s="143" t="n">
        <f aca="false">+$F124/SM134Units</f>
        <v>548.872180451128</v>
      </c>
      <c r="O124" s="182" t="n">
        <f aca="false">+N124/N$11</f>
        <v>0.540228524066071</v>
      </c>
      <c r="P124" s="187" t="n">
        <f aca="false">Q124*Q$8</f>
        <v>33481.2030075188</v>
      </c>
      <c r="Q124" s="143" t="n">
        <f aca="false">+$F124/SM134Units</f>
        <v>548.872180451128</v>
      </c>
      <c r="R124" s="182" t="n">
        <f aca="false">+Q124/Q$11</f>
        <v>0.452491492540089</v>
      </c>
      <c r="S124" s="146" t="n">
        <f aca="false">+P124+M124</f>
        <v>73000</v>
      </c>
      <c r="T124" s="189" t="n">
        <f aca="false">+S124/S$8</f>
        <v>548.872180451128</v>
      </c>
      <c r="U124" s="206" t="n">
        <f aca="false">+S124/U$8</f>
        <v>0.496109279961942</v>
      </c>
      <c r="V124" s="144" t="n">
        <f aca="false">+S124/TotalCost</f>
        <v>0.00574275414109561</v>
      </c>
      <c r="W124" s="144" t="n">
        <f aca="false">+$S124/TotalValue</f>
        <v>0.00480500356654155</v>
      </c>
      <c r="X124" s="143"/>
      <c r="Y124" s="143"/>
      <c r="Z124" s="143"/>
      <c r="AA124" s="143"/>
      <c r="AB124" s="146"/>
      <c r="AC124" s="143"/>
    </row>
    <row r="125" customFormat="false" ht="12.75" hidden="false" customHeight="false" outlineLevel="0" collapsed="false">
      <c r="A125" s="142"/>
      <c r="B125" s="143" t="s">
        <v>302</v>
      </c>
      <c r="C125" s="143" t="s">
        <v>271</v>
      </c>
      <c r="D125" s="182" t="n">
        <v>1</v>
      </c>
      <c r="E125" s="221" t="n">
        <f aca="false">30000+800*30+2200+8000+2000*3</f>
        <v>70200</v>
      </c>
      <c r="F125" s="143" t="n">
        <f aca="false">+E125*D125</f>
        <v>70200</v>
      </c>
      <c r="G125" s="143" t="n">
        <f aca="false">F125/10.3</f>
        <v>6815.53398058252</v>
      </c>
      <c r="H125" s="143"/>
      <c r="I125" s="143"/>
      <c r="J125" s="187"/>
      <c r="K125" s="143"/>
      <c r="L125" s="182"/>
      <c r="M125" s="187" t="n">
        <f aca="false">N125*N$8</f>
        <v>38003.007518797</v>
      </c>
      <c r="N125" s="143" t="n">
        <f aca="false">+$F125/SM134Units</f>
        <v>527.819548872181</v>
      </c>
      <c r="O125" s="182" t="n">
        <f aca="false">+N125/N$11</f>
        <v>0.519507429992304</v>
      </c>
      <c r="P125" s="187" t="n">
        <f aca="false">Q125*Q$8</f>
        <v>32196.992481203</v>
      </c>
      <c r="Q125" s="143" t="n">
        <f aca="false">+$F125/SM134Units</f>
        <v>527.819548872181</v>
      </c>
      <c r="R125" s="182" t="n">
        <f aca="false">+Q125/Q$11</f>
        <v>0.435135654470058</v>
      </c>
      <c r="S125" s="146" t="n">
        <f aca="false">+P125+M125</f>
        <v>70200</v>
      </c>
      <c r="T125" s="189" t="n">
        <f aca="false">+S125/S$8</f>
        <v>527.819548872181</v>
      </c>
      <c r="U125" s="206" t="n">
        <f aca="false">+S125/U$8</f>
        <v>0.477080430867512</v>
      </c>
      <c r="V125" s="144" t="n">
        <f aca="false">+S125/TotalCost</f>
        <v>0.00552248411924537</v>
      </c>
      <c r="W125" s="144" t="n">
        <f aca="false">+$S125/TotalValue</f>
        <v>0.00462070205987968</v>
      </c>
      <c r="X125" s="143"/>
      <c r="Y125" s="143"/>
      <c r="Z125" s="143"/>
      <c r="AA125" s="143"/>
      <c r="AB125" s="146"/>
      <c r="AC125" s="143"/>
    </row>
    <row r="126" customFormat="false" ht="12.75" hidden="false" customHeight="false" outlineLevel="0" collapsed="false">
      <c r="A126" s="142"/>
      <c r="B126" s="143" t="s">
        <v>303</v>
      </c>
      <c r="C126" s="143" t="s">
        <v>271</v>
      </c>
      <c r="D126" s="182" t="n">
        <v>1</v>
      </c>
      <c r="E126" s="221" t="n">
        <v>20000</v>
      </c>
      <c r="F126" s="143" t="n">
        <f aca="false">+E126*D126</f>
        <v>20000</v>
      </c>
      <c r="G126" s="143" t="n">
        <f aca="false">F126/10.3</f>
        <v>1941.74757281553</v>
      </c>
      <c r="H126" s="143"/>
      <c r="I126" s="143"/>
      <c r="J126" s="187"/>
      <c r="K126" s="143"/>
      <c r="L126" s="182"/>
      <c r="M126" s="187" t="n">
        <f aca="false">N126*N$8</f>
        <v>10827.0676691729</v>
      </c>
      <c r="N126" s="143" t="n">
        <f aca="false">+$F126/SM134Units</f>
        <v>150.375939849624</v>
      </c>
      <c r="O126" s="182" t="n">
        <f aca="false">+N126/N$11</f>
        <v>0.148007814812622</v>
      </c>
      <c r="P126" s="187" t="n">
        <f aca="false">Q126*Q$8</f>
        <v>9172.93233082707</v>
      </c>
      <c r="Q126" s="143" t="n">
        <f aca="false">+$F126/SM134Units</f>
        <v>150.375939849624</v>
      </c>
      <c r="R126" s="182" t="n">
        <f aca="false">+Q126/Q$11</f>
        <v>0.123970271928791</v>
      </c>
      <c r="S126" s="146" t="n">
        <f aca="false">+P126+M126</f>
        <v>20000</v>
      </c>
      <c r="T126" s="189" t="n">
        <f aca="false">+S126/S$8</f>
        <v>150.375939849624</v>
      </c>
      <c r="U126" s="206" t="n">
        <f aca="false">+S126/U$8</f>
        <v>0.135920350674505</v>
      </c>
      <c r="V126" s="144" t="n">
        <f aca="false">+S126/TotalCost</f>
        <v>0.00157335729893031</v>
      </c>
      <c r="W126" s="144" t="n">
        <f aca="false">+$S126/TotalValue</f>
        <v>0.00131643933329905</v>
      </c>
      <c r="X126" s="143"/>
      <c r="Y126" s="143"/>
      <c r="Z126" s="143"/>
      <c r="AA126" s="143"/>
      <c r="AB126" s="146"/>
      <c r="AC126" s="143"/>
    </row>
    <row r="127" customFormat="false" ht="12.75" hidden="false" customHeight="false" outlineLevel="0" collapsed="false">
      <c r="A127" s="142"/>
      <c r="B127" s="143" t="s">
        <v>304</v>
      </c>
      <c r="C127" s="143" t="s">
        <v>271</v>
      </c>
      <c r="D127" s="182" t="n">
        <v>1</v>
      </c>
      <c r="E127" s="221" t="n">
        <v>25000</v>
      </c>
      <c r="F127" s="143" t="n">
        <f aca="false">+E127*D127</f>
        <v>25000</v>
      </c>
      <c r="G127" s="143" t="n">
        <f aca="false">F127/10.3</f>
        <v>2427.18446601942</v>
      </c>
      <c r="H127" s="143"/>
      <c r="I127" s="143"/>
      <c r="J127" s="229"/>
      <c r="K127" s="228"/>
      <c r="L127" s="227"/>
      <c r="M127" s="229" t="n">
        <f aca="false">N127*N$8</f>
        <v>13533.8345864662</v>
      </c>
      <c r="N127" s="228" t="n">
        <f aca="false">+$F127/SM134Units</f>
        <v>187.96992481203</v>
      </c>
      <c r="O127" s="227" t="n">
        <f aca="false">+N127/N$11</f>
        <v>0.185009768515778</v>
      </c>
      <c r="P127" s="229" t="n">
        <f aca="false">Q127*Q$8</f>
        <v>11466.1654135338</v>
      </c>
      <c r="Q127" s="228" t="n">
        <f aca="false">+$F127/SM134Units</f>
        <v>187.96992481203</v>
      </c>
      <c r="R127" s="227" t="n">
        <f aca="false">+Q127/Q$11</f>
        <v>0.154962839910989</v>
      </c>
      <c r="S127" s="146" t="n">
        <f aca="false">+P127+M127</f>
        <v>25000</v>
      </c>
      <c r="T127" s="189" t="n">
        <f aca="false">+S127/S$8</f>
        <v>187.96992481203</v>
      </c>
      <c r="U127" s="206" t="n">
        <f aca="false">+S127/U$8</f>
        <v>0.169900438343131</v>
      </c>
      <c r="V127" s="144" t="n">
        <f aca="false">+S127/TotalCost</f>
        <v>0.00196669662366288</v>
      </c>
      <c r="W127" s="210" t="n">
        <f aca="false">+$S127/TotalValue</f>
        <v>0.00164554916662382</v>
      </c>
      <c r="X127" s="143"/>
      <c r="Y127" s="143"/>
      <c r="Z127" s="143"/>
      <c r="AA127" s="143"/>
      <c r="AB127" s="146"/>
      <c r="AC127" s="143"/>
    </row>
    <row r="128" customFormat="false" ht="12.75" hidden="false" customHeight="false" outlineLevel="0" collapsed="false">
      <c r="A128" s="142"/>
      <c r="B128" s="231" t="s">
        <v>305</v>
      </c>
      <c r="C128" s="241"/>
      <c r="D128" s="231"/>
      <c r="E128" s="231"/>
      <c r="F128" s="231" t="n">
        <f aca="false">SUM(F117:F127)</f>
        <v>788093.974547555</v>
      </c>
      <c r="G128" s="231" t="n">
        <f aca="false">SUM(G124:G126)</f>
        <v>15844.6601941748</v>
      </c>
      <c r="H128" s="143"/>
      <c r="I128" s="143"/>
      <c r="J128" s="233"/>
      <c r="K128" s="233"/>
      <c r="L128" s="242"/>
      <c r="M128" s="233" t="n">
        <f aca="false">SUM(M117:M127)</f>
        <v>426637.339604691</v>
      </c>
      <c r="N128" s="233" t="n">
        <f aca="false">SUM(N117:N127)</f>
        <v>5925.51860562072</v>
      </c>
      <c r="O128" s="242" t="n">
        <f aca="false">+N128/N$11</f>
        <v>5.83220335198889</v>
      </c>
      <c r="P128" s="233" t="n">
        <f aca="false">SUM(P117:P127)</f>
        <v>361456.634942864</v>
      </c>
      <c r="Q128" s="233" t="n">
        <f aca="false">SUM(Q117:Q127)</f>
        <v>5925.51860562072</v>
      </c>
      <c r="R128" s="242" t="n">
        <f aca="false">SUM(R117:R127)</f>
        <v>4.88501121650512</v>
      </c>
      <c r="S128" s="235" t="n">
        <f aca="false">SUM(S117:S127)</f>
        <v>788093.974547555</v>
      </c>
      <c r="T128" s="233" t="n">
        <f aca="false">SUM(T117:T127)</f>
        <v>5925.51860562072</v>
      </c>
      <c r="U128" s="234" t="n">
        <f aca="false">+S128/U$8</f>
        <v>5.35590046924839</v>
      </c>
      <c r="V128" s="243" t="n">
        <f aca="false">+S128/TotalCost</f>
        <v>0.0619976703548695</v>
      </c>
      <c r="W128" s="243" t="n">
        <f aca="false">+$S128/TotalValue</f>
        <v>0.0518738953215192</v>
      </c>
      <c r="X128" s="143"/>
      <c r="Y128" s="143"/>
      <c r="Z128" s="143"/>
      <c r="AA128" s="143"/>
      <c r="AB128" s="146"/>
      <c r="AC128" s="143"/>
    </row>
    <row r="129" customFormat="false" ht="12.75" hidden="false" customHeight="false" outlineLevel="0" collapsed="false">
      <c r="A129" s="142"/>
      <c r="B129" s="212" t="s">
        <v>306</v>
      </c>
      <c r="C129" s="241"/>
      <c r="D129" s="241"/>
      <c r="E129" s="241"/>
      <c r="F129" s="231" t="n">
        <f aca="false">+F128+F115</f>
        <v>1415405.97454756</v>
      </c>
      <c r="G129" s="231" t="n">
        <f aca="false">+G128+G115</f>
        <v>76748.7378640777</v>
      </c>
      <c r="H129" s="143"/>
      <c r="I129" s="143"/>
      <c r="J129" s="233"/>
      <c r="K129" s="233"/>
      <c r="L129" s="242"/>
      <c r="M129" s="233" t="n">
        <f aca="false">+M128+M115</f>
        <v>766082.103155359</v>
      </c>
      <c r="N129" s="233" t="n">
        <f aca="false">+N128+N115</f>
        <v>10640.0292104911</v>
      </c>
      <c r="O129" s="242" t="n">
        <f aca="false">+N129/N$11</f>
        <v>10.4724696953653</v>
      </c>
      <c r="P129" s="233" t="n">
        <f aca="false">+P128+P115</f>
        <v>649041.781839957</v>
      </c>
      <c r="Q129" s="233" t="n">
        <f aca="false">+Q128+Q115</f>
        <v>10640.0292104911</v>
      </c>
      <c r="R129" s="242" t="n">
        <f aca="false">+R128+R115</f>
        <v>8.77166464178986</v>
      </c>
      <c r="S129" s="235" t="n">
        <f aca="false">+S128+S115</f>
        <v>1415123.88499532</v>
      </c>
      <c r="T129" s="233" t="n">
        <f aca="false">+T128+T115</f>
        <v>10640.0292104911</v>
      </c>
      <c r="U129" s="234" t="n">
        <f aca="false">+S129/U$8</f>
        <v>9.61720673482155</v>
      </c>
      <c r="V129" s="243" t="n">
        <f aca="false">+S129/TotalCost</f>
        <v>0.1113247746674</v>
      </c>
      <c r="W129" s="243" t="n">
        <f aca="false">$S129/TotalValue</f>
        <v>0.09314623718494</v>
      </c>
      <c r="X129" s="143"/>
      <c r="Y129" s="143"/>
      <c r="Z129" s="143"/>
      <c r="AA129" s="143"/>
      <c r="AB129" s="146"/>
      <c r="AC129" s="143"/>
    </row>
    <row r="130" customFormat="false" ht="12.75" hidden="false" customHeight="false" outlineLevel="0" collapsed="false">
      <c r="A130" s="142"/>
      <c r="B130" s="212" t="s">
        <v>307</v>
      </c>
      <c r="C130" s="143"/>
      <c r="D130" s="143"/>
      <c r="E130" s="143"/>
      <c r="F130" s="214" t="n">
        <f aca="false">+F129+F97</f>
        <v>2537075.97454756</v>
      </c>
      <c r="G130" s="214" t="n">
        <f aca="false">+G129+G97</f>
        <v>185648.737864078</v>
      </c>
      <c r="H130" s="213"/>
      <c r="I130" s="213"/>
      <c r="J130" s="214"/>
      <c r="K130" s="214"/>
      <c r="L130" s="216"/>
      <c r="M130" s="214" t="n">
        <f aca="false">+M129+M97</f>
        <v>1373301.95277942</v>
      </c>
      <c r="N130" s="214" t="n">
        <f aca="false">+N129+N97</f>
        <v>19073.6382330475</v>
      </c>
      <c r="O130" s="216" t="n">
        <f aca="false">+N130/N$11</f>
        <v>18.7732659774089</v>
      </c>
      <c r="P130" s="214" t="n">
        <f aca="false">+P129+P97</f>
        <v>1163491.9322159</v>
      </c>
      <c r="Q130" s="214" t="n">
        <f aca="false">+Q129+Q97</f>
        <v>19073.6382330475</v>
      </c>
      <c r="R130" s="216" t="n">
        <f aca="false">+R129+R97</f>
        <v>15.7243513875082</v>
      </c>
      <c r="S130" s="244" t="n">
        <f aca="false">+S129+S97</f>
        <v>2536793.88499532</v>
      </c>
      <c r="T130" s="214" t="n">
        <f aca="false">+T129+T97</f>
        <v>19073.6382330475</v>
      </c>
      <c r="U130" s="234" t="n">
        <f aca="false">+S130/U$8</f>
        <v>17.2400957218751</v>
      </c>
      <c r="V130" s="245" t="n">
        <f aca="false">+S130/TotalCost</f>
        <v>0.199564158741957</v>
      </c>
      <c r="W130" s="245" t="n">
        <f aca="false">+$S130/TotalValue</f>
        <v>0.166976762534018</v>
      </c>
      <c r="X130" s="143"/>
      <c r="Y130" s="143"/>
      <c r="Z130" s="143"/>
      <c r="AA130" s="143"/>
      <c r="AB130" s="146"/>
      <c r="AC130" s="143"/>
    </row>
    <row r="131" customFormat="false" ht="12.75" hidden="false" customHeight="false" outlineLevel="0" collapsed="false">
      <c r="A131" s="142"/>
      <c r="B131" s="201" t="s">
        <v>15</v>
      </c>
      <c r="C131" s="143"/>
      <c r="D131" s="143"/>
      <c r="E131" s="143"/>
      <c r="F131" s="143"/>
      <c r="G131" s="143"/>
      <c r="H131" s="143"/>
      <c r="I131" s="143"/>
      <c r="J131" s="187"/>
      <c r="K131" s="208"/>
      <c r="L131" s="208"/>
      <c r="M131" s="187" t="n">
        <f aca="false">N131*N$8</f>
        <v>717789.609637878</v>
      </c>
      <c r="N131" s="143" t="n">
        <f aca="false">(N129+N95)*Const_Profit</f>
        <v>9969.30013385942</v>
      </c>
      <c r="O131" s="208" t="n">
        <f aca="false">+N131/N$11</f>
        <v>9.81230328135769</v>
      </c>
      <c r="P131" s="187" t="n">
        <f aca="false">Q131*Q$8</f>
        <v>714472.005738341</v>
      </c>
      <c r="Q131" s="143" t="n">
        <f aca="false">(Q129+Q95)*Const_Profit</f>
        <v>11712.6558317761</v>
      </c>
      <c r="R131" s="208" t="n">
        <f aca="false">0.15*(R129+R95)</f>
        <v>9.65594050434961</v>
      </c>
      <c r="S131" s="188" t="n">
        <f aca="false">T131*S$8</f>
        <v>1399977.44157934</v>
      </c>
      <c r="T131" s="143" t="n">
        <f aca="false">(T129+T95)*Const_Profit</f>
        <v>10526.1461772883</v>
      </c>
      <c r="U131" s="206" t="n">
        <f aca="false">+S131/U$8</f>
        <v>9.51427123979302</v>
      </c>
      <c r="V131" s="210" t="n">
        <f aca="false">+S131/TotalCost</f>
        <v>0.110133236302332</v>
      </c>
      <c r="W131" s="210" t="n">
        <f aca="false">+$S131/TotalValue</f>
        <v>0.0921492684913213</v>
      </c>
      <c r="X131" s="143"/>
      <c r="Y131" s="143"/>
      <c r="Z131" s="143"/>
      <c r="AA131" s="143"/>
      <c r="AB131" s="146"/>
      <c r="AC131" s="143"/>
    </row>
    <row r="132" customFormat="false" ht="12.75" hidden="false" customHeight="false" outlineLevel="0" collapsed="false">
      <c r="A132" s="142"/>
      <c r="B132" s="212" t="s">
        <v>308</v>
      </c>
      <c r="C132" s="143"/>
      <c r="D132" s="143"/>
      <c r="E132" s="143"/>
      <c r="F132" s="143"/>
      <c r="G132" s="143"/>
      <c r="H132" s="143"/>
      <c r="I132" s="213"/>
      <c r="J132" s="214"/>
      <c r="K132" s="214"/>
      <c r="L132" s="216"/>
      <c r="M132" s="214" t="n">
        <f aca="false">+M131+M130+M95</f>
        <v>6110273.52351446</v>
      </c>
      <c r="N132" s="214" t="n">
        <f aca="false">+N131+N130+N95</f>
        <v>84864.9100488119</v>
      </c>
      <c r="O132" s="216" t="n">
        <f aca="false">+N132/N$11</f>
        <v>83.5284547724527</v>
      </c>
      <c r="P132" s="214" t="n">
        <f aca="false">+P131+P130+P95</f>
        <v>5992068.86103655</v>
      </c>
      <c r="Q132" s="214" t="n">
        <f aca="false">+Q131+Q130+Q95</f>
        <v>98230.637066173</v>
      </c>
      <c r="R132" s="216" t="n">
        <f aca="false">+R131+R130+R95</f>
        <v>80.9815639457321</v>
      </c>
      <c r="S132" s="244" t="n">
        <f aca="false">+S131+S130+S95</f>
        <v>11854830.3854416</v>
      </c>
      <c r="T132" s="214" t="n">
        <f aca="false">+T131+T130+T95</f>
        <v>89134.0630484334</v>
      </c>
      <c r="U132" s="234" t="n">
        <f aca="false">+S132/U$8</f>
        <v>80.5656351588001</v>
      </c>
      <c r="V132" s="144" t="n">
        <f aca="false">+S132/TotalCost</f>
        <v>0.932594195725768</v>
      </c>
      <c r="W132" s="144" t="n">
        <f aca="false">+$S132/TotalValue</f>
        <v>0.780308250449208</v>
      </c>
      <c r="X132" s="143"/>
      <c r="Y132" s="143"/>
      <c r="Z132" s="143"/>
      <c r="AA132" s="143"/>
      <c r="AB132" s="146"/>
      <c r="AC132" s="143"/>
    </row>
    <row r="133" customFormat="false" ht="12.75" hidden="false" customHeight="false" outlineLevel="0" collapsed="false">
      <c r="A133" s="142"/>
      <c r="B133" s="201"/>
      <c r="C133" s="143"/>
      <c r="D133" s="143"/>
      <c r="E133" s="143"/>
      <c r="F133" s="143"/>
      <c r="G133" s="143"/>
      <c r="H133" s="143"/>
      <c r="I133" s="143"/>
      <c r="J133" s="143"/>
      <c r="K133" s="143"/>
      <c r="L133" s="182"/>
      <c r="M133" s="143"/>
      <c r="N133" s="143"/>
      <c r="O133" s="143"/>
      <c r="P133" s="143"/>
      <c r="Q133" s="143"/>
      <c r="R133" s="143"/>
      <c r="S133" s="146"/>
      <c r="T133" s="143"/>
      <c r="U133" s="143"/>
      <c r="V133" s="143"/>
      <c r="W133" s="143"/>
      <c r="X133" s="143"/>
      <c r="Y133" s="143"/>
      <c r="Z133" s="143"/>
      <c r="AA133" s="143"/>
      <c r="AB133" s="146"/>
      <c r="AC133" s="143"/>
    </row>
    <row r="134" customFormat="false" ht="12.75" hidden="false" customHeight="false" outlineLevel="0" collapsed="false">
      <c r="A134" s="142"/>
      <c r="B134" s="224" t="s">
        <v>309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6"/>
      <c r="T134" s="143"/>
      <c r="U134" s="143"/>
      <c r="V134" s="143"/>
      <c r="W134" s="143"/>
      <c r="X134" s="143"/>
      <c r="Y134" s="143"/>
      <c r="Z134" s="143"/>
      <c r="AA134" s="143"/>
      <c r="AB134" s="146"/>
      <c r="AC134" s="143"/>
    </row>
    <row r="135" customFormat="false" ht="12.75" hidden="false" customHeight="false" outlineLevel="0" collapsed="false">
      <c r="A135" s="142"/>
      <c r="B135" s="143" t="s">
        <v>310</v>
      </c>
      <c r="C135" s="143"/>
      <c r="D135" s="143"/>
      <c r="E135" s="143"/>
      <c r="F135" s="143" t="n">
        <v>3500</v>
      </c>
      <c r="G135" s="143"/>
      <c r="H135" s="143"/>
      <c r="I135" s="143"/>
      <c r="J135" s="221"/>
      <c r="K135" s="221"/>
      <c r="L135" s="184"/>
      <c r="M135" s="221" t="n">
        <f aca="false">N135*N$8</f>
        <v>1894.73684210526</v>
      </c>
      <c r="N135" s="221" t="n">
        <f aca="false">+$F135/SM134Units</f>
        <v>26.3157894736842</v>
      </c>
      <c r="O135" s="184" t="n">
        <f aca="false">+N135/N$11</f>
        <v>0.0259013675922089</v>
      </c>
      <c r="P135" s="221" t="n">
        <f aca="false">Q135*Q$8</f>
        <v>1605.26315789474</v>
      </c>
      <c r="Q135" s="221" t="n">
        <f aca="false">+$F135/SM134Units</f>
        <v>26.3157894736842</v>
      </c>
      <c r="R135" s="184" t="n">
        <f aca="false">+Q135/Q$11</f>
        <v>0.0216947975875385</v>
      </c>
      <c r="S135" s="223" t="n">
        <f aca="false">+P135+M135</f>
        <v>3500</v>
      </c>
      <c r="T135" s="221" t="n">
        <f aca="false">+S135/S$8</f>
        <v>26.3157894736842</v>
      </c>
      <c r="U135" s="184" t="n">
        <f aca="false">+T135/U$8</f>
        <v>0.00017884256667698</v>
      </c>
      <c r="V135" s="144" t="n">
        <f aca="false">+S135/TotalCost</f>
        <v>0.000275337527312803</v>
      </c>
      <c r="W135" s="144" t="n">
        <f aca="false">+S135/TotalValue</f>
        <v>0.000230376883327334</v>
      </c>
      <c r="X135" s="143"/>
      <c r="Y135" s="143"/>
      <c r="Z135" s="143"/>
      <c r="AA135" s="143"/>
      <c r="AB135" s="146"/>
      <c r="AC135" s="143"/>
    </row>
    <row r="136" customFormat="false" ht="12.75" hidden="false" customHeight="false" outlineLevel="0" collapsed="false">
      <c r="A136" s="142"/>
      <c r="B136" s="246" t="s">
        <v>311</v>
      </c>
      <c r="C136" s="143"/>
      <c r="D136" s="143"/>
      <c r="E136" s="143"/>
      <c r="F136" s="143"/>
      <c r="G136" s="143"/>
      <c r="H136" s="143"/>
      <c r="I136" s="143"/>
      <c r="J136" s="221"/>
      <c r="K136" s="221"/>
      <c r="L136" s="184"/>
      <c r="M136" s="221"/>
      <c r="N136" s="221"/>
      <c r="O136" s="184" t="n">
        <f aca="false">+N136/N$11</f>
        <v>0</v>
      </c>
      <c r="P136" s="221"/>
      <c r="Q136" s="221"/>
      <c r="R136" s="184"/>
      <c r="S136" s="223"/>
      <c r="T136" s="221"/>
      <c r="U136" s="184"/>
      <c r="V136" s="144"/>
      <c r="W136" s="143"/>
      <c r="X136" s="143"/>
      <c r="Y136" s="143"/>
      <c r="Z136" s="143"/>
      <c r="AA136" s="143"/>
      <c r="AB136" s="146"/>
      <c r="AC136" s="143"/>
    </row>
    <row r="137" customFormat="false" ht="12.75" hidden="false" customHeight="false" outlineLevel="0" collapsed="false">
      <c r="A137" s="142"/>
      <c r="B137" s="143" t="s">
        <v>312</v>
      </c>
      <c r="C137" s="143"/>
      <c r="D137" s="19" t="n">
        <v>0.01</v>
      </c>
      <c r="E137" s="143"/>
      <c r="F137" s="143" t="n">
        <f aca="false">15500000*0.75*0.01</f>
        <v>116250</v>
      </c>
      <c r="G137" s="145"/>
      <c r="H137" s="143"/>
      <c r="I137" s="143"/>
      <c r="J137" s="187"/>
      <c r="K137" s="143"/>
      <c r="L137" s="182"/>
      <c r="M137" s="187" t="n">
        <f aca="false">N137*N$8</f>
        <v>62932.3308270677</v>
      </c>
      <c r="N137" s="143" t="n">
        <f aca="false">+$F137/SM134Units</f>
        <v>874.06015037594</v>
      </c>
      <c r="O137" s="182" t="n">
        <f aca="false">+N137/N$11</f>
        <v>0.860295423598366</v>
      </c>
      <c r="P137" s="187" t="n">
        <f aca="false">Q137*Q$8</f>
        <v>53317.6691729323</v>
      </c>
      <c r="Q137" s="143" t="n">
        <f aca="false">+$F137/SM134Units</f>
        <v>874.06015037594</v>
      </c>
      <c r="R137" s="182" t="n">
        <f aca="false">+Q137/Q$11</f>
        <v>0.720577205586101</v>
      </c>
      <c r="S137" s="146" t="n">
        <f aca="false">+P137+M137</f>
        <v>116250</v>
      </c>
      <c r="T137" s="189" t="n">
        <f aca="false">+S137/S$8</f>
        <v>874.06015037594</v>
      </c>
      <c r="U137" s="182" t="n">
        <f aca="false">+T137/U$8</f>
        <v>0.0059401281074854</v>
      </c>
      <c r="V137" s="144" t="n">
        <f aca="false">+S137/TotalCost</f>
        <v>0.0091451393000324</v>
      </c>
      <c r="W137" s="144" t="n">
        <f aca="false">+S137/TotalValue</f>
        <v>0.00765180362480075</v>
      </c>
      <c r="X137" s="143"/>
      <c r="Y137" s="143"/>
      <c r="Z137" s="143"/>
      <c r="AA137" s="143"/>
      <c r="AB137" s="146"/>
      <c r="AC137" s="143"/>
    </row>
    <row r="138" customFormat="false" ht="12.75" hidden="false" customHeight="false" outlineLevel="0" collapsed="false">
      <c r="A138" s="142"/>
      <c r="B138" s="143" t="s">
        <v>313</v>
      </c>
      <c r="C138" s="143"/>
      <c r="D138" s="19" t="n">
        <v>0.0025</v>
      </c>
      <c r="E138" s="143"/>
      <c r="F138" s="143" t="n">
        <f aca="false">15500000*0.75*0.0025</f>
        <v>29062.5</v>
      </c>
      <c r="G138" s="143"/>
      <c r="H138" s="143"/>
      <c r="I138" s="143"/>
      <c r="J138" s="187"/>
      <c r="K138" s="143"/>
      <c r="L138" s="182"/>
      <c r="M138" s="187" t="n">
        <f aca="false">N138*N$8</f>
        <v>15733.0827067669</v>
      </c>
      <c r="N138" s="143" t="n">
        <f aca="false">+$F138/SM134Units</f>
        <v>218.515037593985</v>
      </c>
      <c r="O138" s="182" t="n">
        <f aca="false">+N138/N$11</f>
        <v>0.215073855899592</v>
      </c>
      <c r="P138" s="187" t="n">
        <f aca="false">Q138*Q$8</f>
        <v>13329.4172932331</v>
      </c>
      <c r="Q138" s="143" t="n">
        <f aca="false">+$F138/SM134Units</f>
        <v>218.515037593985</v>
      </c>
      <c r="R138" s="182" t="n">
        <f aca="false">+Q138/Q$11</f>
        <v>0.180144301396525</v>
      </c>
      <c r="S138" s="146" t="n">
        <f aca="false">+P138+M138</f>
        <v>29062.5</v>
      </c>
      <c r="T138" s="189" t="n">
        <f aca="false">+S138/S$8</f>
        <v>218.515037593985</v>
      </c>
      <c r="U138" s="182" t="n">
        <f aca="false">+T138/U$8</f>
        <v>0.00148503202687135</v>
      </c>
      <c r="V138" s="144" t="n">
        <f aca="false">+S138/TotalCost</f>
        <v>0.0022862848250081</v>
      </c>
      <c r="W138" s="144" t="n">
        <f aca="false">+S138/TotalValue</f>
        <v>0.00191295090620019</v>
      </c>
      <c r="X138" s="143"/>
      <c r="Y138" s="143"/>
      <c r="Z138" s="143"/>
      <c r="AA138" s="143"/>
      <c r="AB138" s="146"/>
      <c r="AC138" s="143"/>
    </row>
    <row r="139" customFormat="false" ht="12.75" hidden="false" customHeight="false" outlineLevel="0" collapsed="false">
      <c r="A139" s="142"/>
      <c r="B139" s="143" t="s">
        <v>314</v>
      </c>
      <c r="C139" s="143" t="s">
        <v>315</v>
      </c>
      <c r="D139" s="247" t="n">
        <f aca="false">0.0975</f>
        <v>0.0975</v>
      </c>
      <c r="E139" s="143"/>
      <c r="F139" s="143" t="n">
        <f aca="false">(TotalDirectCost*1.1*0.9*0.75*Interim_Int_Rate*0.75)*1.1</f>
        <v>708027.892453254</v>
      </c>
      <c r="G139" s="143"/>
      <c r="H139" s="143"/>
      <c r="I139" s="143"/>
      <c r="J139" s="187"/>
      <c r="K139" s="143"/>
      <c r="L139" s="182"/>
      <c r="M139" s="187" t="n">
        <f aca="false">N139*N$8</f>
        <v>383293.295162664</v>
      </c>
      <c r="N139" s="143" t="n">
        <f aca="false">+$F139/SM134Units</f>
        <v>5323.51798837033</v>
      </c>
      <c r="O139" s="182" t="n">
        <f aca="false">+N139/N$11</f>
        <v>5.23968305941962</v>
      </c>
      <c r="P139" s="187" t="n">
        <f aca="false">Q139*Q$8</f>
        <v>324734.59729059</v>
      </c>
      <c r="Q139" s="143" t="n">
        <f aca="false">+$F139/SM134Units</f>
        <v>5323.51798837033</v>
      </c>
      <c r="R139" s="182" t="n">
        <f aca="false">+Q139/Q$11</f>
        <v>4.38872051802995</v>
      </c>
      <c r="S139" s="146" t="n">
        <f aca="false">+P139+M139</f>
        <v>708027.892453254</v>
      </c>
      <c r="T139" s="189" t="n">
        <f aca="false">+S139/S$8</f>
        <v>5323.51798837033</v>
      </c>
      <c r="U139" s="182" t="n">
        <f aca="false">+T139/U$8</f>
        <v>0.0361787215900665</v>
      </c>
      <c r="V139" s="144" t="n">
        <f aca="false">+S139/TotalCost</f>
        <v>0.0556990426218784</v>
      </c>
      <c r="W139" s="144" t="n">
        <f aca="false">+S139/TotalValue</f>
        <v>0.0466037883349148</v>
      </c>
      <c r="X139" s="143"/>
      <c r="Y139" s="143"/>
      <c r="Z139" s="143"/>
      <c r="AA139" s="143"/>
      <c r="AB139" s="146"/>
      <c r="AC139" s="143"/>
    </row>
    <row r="140" customFormat="false" ht="12.75" hidden="true" customHeight="false" outlineLevel="0" collapsed="false">
      <c r="A140" s="142"/>
      <c r="B140" s="143" t="s">
        <v>316</v>
      </c>
      <c r="C140" s="143" t="s">
        <v>317</v>
      </c>
      <c r="D140" s="19" t="n">
        <v>0.01</v>
      </c>
      <c r="E140" s="143"/>
      <c r="F140" s="143" t="n">
        <v>0</v>
      </c>
      <c r="G140" s="143"/>
      <c r="H140" s="143"/>
      <c r="I140" s="143"/>
      <c r="J140" s="187"/>
      <c r="K140" s="143"/>
      <c r="L140" s="182"/>
      <c r="M140" s="187" t="n">
        <f aca="false">N140*N$8</f>
        <v>0</v>
      </c>
      <c r="N140" s="143" t="n">
        <f aca="false">+$F140/SM134Units</f>
        <v>0</v>
      </c>
      <c r="O140" s="182" t="n">
        <f aca="false">+N140/N$11</f>
        <v>0</v>
      </c>
      <c r="P140" s="187" t="n">
        <f aca="false">Q140*Q$8</f>
        <v>0</v>
      </c>
      <c r="Q140" s="143" t="n">
        <f aca="false">+$F140/SM134Units</f>
        <v>0</v>
      </c>
      <c r="R140" s="182" t="n">
        <f aca="false">+Q140/Q$11</f>
        <v>0</v>
      </c>
      <c r="S140" s="146" t="n">
        <f aca="false">+P140+M140</f>
        <v>0</v>
      </c>
      <c r="T140" s="189" t="n">
        <f aca="false">+S140/S$8</f>
        <v>0</v>
      </c>
      <c r="U140" s="182" t="n">
        <f aca="false">+T140/U$8</f>
        <v>0</v>
      </c>
      <c r="V140" s="144" t="n">
        <f aca="false">+S140/TotalCost</f>
        <v>0</v>
      </c>
      <c r="W140" s="144" t="n">
        <f aca="false">+S140/TotalValue</f>
        <v>0</v>
      </c>
      <c r="X140" s="143"/>
      <c r="Y140" s="143"/>
      <c r="Z140" s="143"/>
      <c r="AA140" s="143"/>
      <c r="AB140" s="146"/>
      <c r="AC140" s="143"/>
    </row>
    <row r="141" customFormat="false" ht="12.75" hidden="false" customHeight="false" outlineLevel="0" collapsed="false">
      <c r="A141" s="142"/>
      <c r="B141" s="241" t="s">
        <v>318</v>
      </c>
      <c r="C141" s="143"/>
      <c r="D141" s="143"/>
      <c r="E141" s="143"/>
      <c r="F141" s="241" t="n">
        <f aca="false">SUM(F135:F140)</f>
        <v>856840.392453254</v>
      </c>
      <c r="G141" s="241"/>
      <c r="H141" s="143"/>
      <c r="I141" s="143"/>
      <c r="J141" s="248"/>
      <c r="K141" s="248"/>
      <c r="L141" s="249"/>
      <c r="M141" s="248" t="n">
        <f aca="false">SUM(M135:M140)</f>
        <v>463853.445538604</v>
      </c>
      <c r="N141" s="248" t="n">
        <f aca="false">SUM(N135:N140)</f>
        <v>6442.40896581394</v>
      </c>
      <c r="O141" s="249" t="n">
        <f aca="false">+N141/N$11</f>
        <v>6.34095370650979</v>
      </c>
      <c r="P141" s="248" t="n">
        <f aca="false">SUM(P135:P140)</f>
        <v>392986.94691465</v>
      </c>
      <c r="Q141" s="248" t="n">
        <f aca="false">SUM(Q135:Q140)</f>
        <v>6442.40896581394</v>
      </c>
      <c r="R141" s="249" t="n">
        <f aca="false">SUM(R135:R140)</f>
        <v>5.31113682260012</v>
      </c>
      <c r="S141" s="250" t="n">
        <f aca="false">SUM(S135:S140)</f>
        <v>856840.392453254</v>
      </c>
      <c r="T141" s="248" t="n">
        <f aca="false">SUM(T135:T140)</f>
        <v>6442.40896581394</v>
      </c>
      <c r="U141" s="249" t="n">
        <f aca="false">SUM(U135:U140)</f>
        <v>0.0437827242911002</v>
      </c>
      <c r="V141" s="243" t="n">
        <f aca="false">+S141/TotalCost</f>
        <v>0.0674058042742317</v>
      </c>
      <c r="W141" s="243" t="n">
        <f aca="false">+S141/TotalValue</f>
        <v>0.0563989197492431</v>
      </c>
      <c r="X141" s="143"/>
      <c r="Y141" s="143"/>
      <c r="Z141" s="143"/>
      <c r="AA141" s="143"/>
      <c r="AB141" s="146"/>
      <c r="AC141" s="143"/>
    </row>
    <row r="142" customFormat="false" ht="12.75" hidden="false" customHeight="false" outlineLevel="0" collapsed="false">
      <c r="A142" s="142"/>
      <c r="B142" s="231"/>
      <c r="C142" s="143"/>
      <c r="D142" s="143"/>
      <c r="E142" s="143"/>
      <c r="F142" s="231"/>
      <c r="G142" s="231"/>
      <c r="H142" s="143"/>
      <c r="I142" s="143"/>
      <c r="J142" s="233"/>
      <c r="K142" s="233"/>
      <c r="L142" s="234"/>
      <c r="M142" s="233"/>
      <c r="N142" s="233"/>
      <c r="O142" s="234" t="n">
        <f aca="false">+N142/N$11</f>
        <v>0</v>
      </c>
      <c r="P142" s="233"/>
      <c r="Q142" s="233"/>
      <c r="R142" s="234"/>
      <c r="S142" s="235"/>
      <c r="T142" s="233"/>
      <c r="U142" s="234"/>
      <c r="V142" s="143"/>
      <c r="W142" s="143"/>
      <c r="X142" s="143"/>
      <c r="Y142" s="143"/>
      <c r="Z142" s="143"/>
      <c r="AA142" s="143"/>
      <c r="AB142" s="146"/>
      <c r="AC142" s="143"/>
    </row>
    <row r="143" customFormat="false" ht="13.5" hidden="false" customHeight="false" outlineLevel="0" collapsed="false">
      <c r="A143" s="142"/>
      <c r="B143" s="251" t="s">
        <v>16</v>
      </c>
      <c r="C143" s="143"/>
      <c r="D143" s="143"/>
      <c r="E143" s="143"/>
      <c r="F143" s="251" t="n">
        <f aca="false">+F141+F132+D95</f>
        <v>856840.392453254</v>
      </c>
      <c r="G143" s="251"/>
      <c r="H143" s="143"/>
      <c r="I143" s="143"/>
      <c r="J143" s="252"/>
      <c r="K143" s="252"/>
      <c r="L143" s="253"/>
      <c r="M143" s="252" t="n">
        <f aca="false">+M141+M132</f>
        <v>6574126.96905306</v>
      </c>
      <c r="N143" s="252" t="n">
        <f aca="false">+N141+N132</f>
        <v>91307.3190146259</v>
      </c>
      <c r="O143" s="253" t="n">
        <f aca="false">+N143/N$11</f>
        <v>89.8694084789625</v>
      </c>
      <c r="P143" s="252" t="n">
        <f aca="false">+P141+P132</f>
        <v>6385055.8079512</v>
      </c>
      <c r="Q143" s="252" t="n">
        <f aca="false">+Q141+Q132</f>
        <v>104673.046031987</v>
      </c>
      <c r="R143" s="253" t="n">
        <f aca="false">+R141+R132</f>
        <v>86.2927007683322</v>
      </c>
      <c r="S143" s="254" t="n">
        <f aca="false">+S141+S132</f>
        <v>12711670.7778949</v>
      </c>
      <c r="T143" s="252" t="n">
        <f aca="false">+T141+T132</f>
        <v>95576.4720142473</v>
      </c>
      <c r="U143" s="253" t="n">
        <f aca="false">+U141+U132</f>
        <v>80.6094178830912</v>
      </c>
      <c r="V143" s="255" t="n">
        <f aca="false">+$S143/TotalCost</f>
        <v>1</v>
      </c>
      <c r="W143" s="256" t="n">
        <f aca="false">+$S143/TotalValue</f>
        <v>0.836707170198451</v>
      </c>
      <c r="X143" s="143"/>
      <c r="Y143" s="143"/>
      <c r="Z143" s="143"/>
      <c r="AA143" s="143"/>
      <c r="AB143" s="146"/>
      <c r="AC143" s="143"/>
      <c r="AD143" s="257"/>
    </row>
    <row r="144" customFormat="false" ht="13.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  <c r="K144" s="208"/>
      <c r="L144" s="143"/>
      <c r="M144" s="143"/>
      <c r="N144" s="143"/>
      <c r="O144" s="143"/>
      <c r="P144" s="143"/>
      <c r="Q144" s="143"/>
      <c r="R144" s="143"/>
      <c r="S144" s="146"/>
      <c r="T144" s="208"/>
      <c r="U144" s="143"/>
      <c r="V144" s="143"/>
      <c r="W144" s="143"/>
      <c r="X144" s="143"/>
      <c r="Y144" s="143"/>
      <c r="Z144" s="143"/>
      <c r="AA144" s="143"/>
      <c r="AB144" s="146"/>
      <c r="AC144" s="143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 t="s">
        <v>319</v>
      </c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6"/>
      <c r="T145" s="143"/>
      <c r="U145" s="143"/>
      <c r="V145" s="143"/>
      <c r="W145" s="143"/>
      <c r="X145" s="143"/>
      <c r="Y145" s="143"/>
      <c r="Z145" s="143"/>
      <c r="AA145" s="143"/>
      <c r="AB145" s="146"/>
      <c r="AC145" s="143"/>
    </row>
    <row r="146" customFormat="false" ht="12.75" hidden="false" customHeight="false" outlineLevel="0" collapsed="false">
      <c r="A146" s="142"/>
      <c r="B146" s="224" t="s">
        <v>320</v>
      </c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6"/>
      <c r="T146" s="143"/>
      <c r="U146" s="143"/>
      <c r="V146" s="143"/>
      <c r="W146" s="143"/>
      <c r="X146" s="143"/>
      <c r="Y146" s="143"/>
      <c r="Z146" s="143"/>
      <c r="AA146" s="143"/>
      <c r="AB146" s="146"/>
      <c r="AC146" s="143"/>
    </row>
    <row r="147" customFormat="false" ht="12.75" hidden="true" customHeight="false" outlineLevel="0" collapsed="false">
      <c r="A147" s="142"/>
      <c r="B147" s="246" t="s">
        <v>321</v>
      </c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6"/>
      <c r="T147" s="143"/>
      <c r="U147" s="143"/>
      <c r="V147" s="143"/>
      <c r="W147" s="143"/>
      <c r="X147" s="143"/>
      <c r="Y147" s="143"/>
      <c r="Z147" s="143"/>
      <c r="AA147" s="143"/>
      <c r="AB147" s="146"/>
      <c r="AC147" s="143"/>
    </row>
    <row r="148" customFormat="false" ht="12.75" hidden="true" customHeight="false" outlineLevel="0" collapsed="false">
      <c r="A148" s="142"/>
      <c r="B148" s="143" t="s">
        <v>54</v>
      </c>
      <c r="C148" s="143"/>
      <c r="D148" s="143"/>
      <c r="E148" s="143"/>
      <c r="F148" s="143"/>
      <c r="G148" s="143"/>
      <c r="H148" s="143"/>
      <c r="I148" s="143"/>
      <c r="J148" s="143" t="e">
        <f aca="false">J$8*K148</f>
        <v>#REF!</v>
      </c>
      <c r="K148" s="143" t="e">
        <f aca="false">+K$143-#REF!</f>
        <v>#REF!</v>
      </c>
      <c r="L148" s="182" t="e">
        <f aca="false">+K148/K$11</f>
        <v>#REF!</v>
      </c>
      <c r="M148" s="143" t="e">
        <f aca="false">N$8*N148</f>
        <v>#REF!</v>
      </c>
      <c r="N148" s="143" t="e">
        <f aca="false">+N$143-#REF!</f>
        <v>#REF!</v>
      </c>
      <c r="O148" s="182" t="e">
        <f aca="false">+N148/N$11</f>
        <v>#REF!</v>
      </c>
      <c r="P148" s="143" t="e">
        <f aca="false">Q$8*Q148</f>
        <v>#REF!</v>
      </c>
      <c r="Q148" s="143" t="e">
        <f aca="false">+Q$143-#REF!</f>
        <v>#REF!</v>
      </c>
      <c r="R148" s="182" t="e">
        <f aca="false">+Q148/Q$11</f>
        <v>#REF!</v>
      </c>
      <c r="S148" s="146"/>
      <c r="T148" s="143" t="e">
        <f aca="false">+T$143-#REF!</f>
        <v>#REF!</v>
      </c>
      <c r="U148" s="182" t="e">
        <f aca="false">+T148/U$8</f>
        <v>#REF!</v>
      </c>
      <c r="V148" s="143"/>
      <c r="W148" s="143"/>
      <c r="X148" s="143"/>
      <c r="Y148" s="143"/>
      <c r="Z148" s="143"/>
      <c r="AA148" s="143"/>
      <c r="AB148" s="146"/>
      <c r="AC148" s="143"/>
    </row>
    <row r="149" customFormat="false" ht="12.75" hidden="true" customHeight="false" outlineLevel="0" collapsed="false">
      <c r="A149" s="142"/>
      <c r="B149" s="143" t="s">
        <v>322</v>
      </c>
      <c r="C149" s="143"/>
      <c r="D149" s="143"/>
      <c r="E149" s="143"/>
      <c r="F149" s="143"/>
      <c r="G149" s="143"/>
      <c r="H149" s="143"/>
      <c r="I149" s="143"/>
      <c r="J149" s="143" t="n">
        <f aca="false">J$8*K149</f>
        <v>-0</v>
      </c>
      <c r="K149" s="143" t="n">
        <f aca="false">-K$131</f>
        <v>-0</v>
      </c>
      <c r="L149" s="208" t="n">
        <f aca="false">+K149/K$11</f>
        <v>-0</v>
      </c>
      <c r="M149" s="143" t="n">
        <f aca="false">N$8*N149</f>
        <v>-717789.609637878</v>
      </c>
      <c r="N149" s="143" t="n">
        <f aca="false">-N$131</f>
        <v>-9969.30013385942</v>
      </c>
      <c r="O149" s="208" t="n">
        <f aca="false">+N149/N$11</f>
        <v>-9.81230328135769</v>
      </c>
      <c r="P149" s="143" t="n">
        <f aca="false">Q$8*Q149</f>
        <v>-714472.005738341</v>
      </c>
      <c r="Q149" s="143" t="n">
        <f aca="false">-Q$131</f>
        <v>-11712.6558317761</v>
      </c>
      <c r="R149" s="208" t="n">
        <f aca="false">+Q149/Q$11</f>
        <v>-9.65594050434962</v>
      </c>
      <c r="S149" s="146"/>
      <c r="T149" s="143" t="n">
        <f aca="false">-T$131</f>
        <v>-10526.1461772883</v>
      </c>
      <c r="U149" s="208" t="n">
        <f aca="false">+T149/U$8</f>
        <v>-0.0715358739834062</v>
      </c>
      <c r="V149" s="143"/>
      <c r="W149" s="143"/>
      <c r="X149" s="143"/>
      <c r="Y149" s="143"/>
      <c r="Z149" s="143"/>
      <c r="AA149" s="143"/>
      <c r="AB149" s="146"/>
      <c r="AC149" s="143"/>
    </row>
    <row r="150" customFormat="false" ht="12.75" hidden="true" customHeight="false" outlineLevel="0" collapsed="false">
      <c r="A150" s="142"/>
      <c r="B150" s="143" t="s">
        <v>323</v>
      </c>
      <c r="C150" s="143"/>
      <c r="D150" s="143"/>
      <c r="E150" s="143"/>
      <c r="F150" s="143"/>
      <c r="G150" s="143"/>
      <c r="H150" s="143"/>
      <c r="I150" s="143"/>
      <c r="J150" s="143" t="e">
        <f aca="false">J$8*K150</f>
        <v>#REF!</v>
      </c>
      <c r="K150" s="143" t="e">
        <f aca="false">N150</f>
        <v>#REF!</v>
      </c>
      <c r="L150" s="208" t="e">
        <f aca="false">+K150/K$11</f>
        <v>#REF!</v>
      </c>
      <c r="M150" s="143" t="e">
        <f aca="false">N$8*N150</f>
        <v>#REF!</v>
      </c>
      <c r="N150" s="143" t="e">
        <f aca="false">Q150</f>
        <v>#REF!</v>
      </c>
      <c r="O150" s="208" t="e">
        <f aca="false">+N150/N$11</f>
        <v>#REF!</v>
      </c>
      <c r="P150" s="143" t="e">
        <f aca="false">Q$8*Q150</f>
        <v>#REF!</v>
      </c>
      <c r="Q150" s="143" t="e">
        <f aca="false">#REF!</f>
        <v>#REF!</v>
      </c>
      <c r="R150" s="208" t="e">
        <f aca="false">+Q150/Q$11</f>
        <v>#REF!</v>
      </c>
      <c r="S150" s="146"/>
      <c r="T150" s="143" t="n">
        <f aca="false">S150/SM134Units</f>
        <v>0</v>
      </c>
      <c r="U150" s="208" t="n">
        <f aca="false">+T150/U$8</f>
        <v>0</v>
      </c>
      <c r="V150" s="143"/>
      <c r="W150" s="143"/>
      <c r="X150" s="143"/>
      <c r="Y150" s="143"/>
      <c r="Z150" s="143"/>
      <c r="AA150" s="143"/>
      <c r="AB150" s="146"/>
      <c r="AC150" s="143"/>
    </row>
    <row r="151" customFormat="false" ht="12.75" hidden="true" customHeight="false" outlineLevel="0" collapsed="false">
      <c r="A151" s="142"/>
      <c r="B151" s="143" t="s">
        <v>324</v>
      </c>
      <c r="C151" s="143"/>
      <c r="D151" s="143"/>
      <c r="E151" s="143"/>
      <c r="F151" s="143"/>
      <c r="G151" s="143"/>
      <c r="H151" s="143"/>
      <c r="I151" s="143"/>
      <c r="J151" s="143" t="e">
        <f aca="false">J$8*K151</f>
        <v>#REF!</v>
      </c>
      <c r="K151" s="143" t="e">
        <f aca="false">+K149+K148+K150</f>
        <v>#REF!</v>
      </c>
      <c r="L151" s="182" t="e">
        <f aca="false">+K151/K$11</f>
        <v>#REF!</v>
      </c>
      <c r="M151" s="143" t="e">
        <f aca="false">N$8*N151</f>
        <v>#REF!</v>
      </c>
      <c r="N151" s="143" t="e">
        <f aca="false">+N149+N148+N150</f>
        <v>#REF!</v>
      </c>
      <c r="O151" s="182" t="e">
        <f aca="false">+N151/N$11</f>
        <v>#REF!</v>
      </c>
      <c r="P151" s="143" t="e">
        <f aca="false">Q$8*Q151</f>
        <v>#REF!</v>
      </c>
      <c r="Q151" s="143" t="e">
        <f aca="false">+Q149+Q148+Q150</f>
        <v>#REF!</v>
      </c>
      <c r="R151" s="182" t="e">
        <f aca="false">+Q151/Q$11</f>
        <v>#REF!</v>
      </c>
      <c r="S151" s="146"/>
      <c r="T151" s="143" t="e">
        <f aca="false">+T149+T148+T150</f>
        <v>#REF!</v>
      </c>
      <c r="U151" s="182" t="e">
        <f aca="false">+T151/U$8</f>
        <v>#REF!</v>
      </c>
      <c r="V151" s="143"/>
      <c r="W151" s="143"/>
      <c r="X151" s="143"/>
      <c r="Y151" s="143"/>
      <c r="Z151" s="143"/>
      <c r="AA151" s="143"/>
      <c r="AB151" s="146"/>
      <c r="AC151" s="143"/>
    </row>
    <row r="152" customFormat="false" ht="12.75" hidden="false" customHeight="false" outlineLevel="0" collapsed="false">
      <c r="A152" s="142"/>
      <c r="B152" s="258" t="s">
        <v>325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259"/>
      <c r="M152" s="54"/>
      <c r="N152" s="54"/>
      <c r="O152" s="259"/>
      <c r="P152" s="54"/>
      <c r="Q152" s="54"/>
      <c r="R152" s="259"/>
      <c r="S152" s="260"/>
      <c r="T152" s="54"/>
      <c r="U152" s="259"/>
      <c r="V152" s="54"/>
      <c r="W152" s="143"/>
      <c r="X152" s="143"/>
      <c r="Y152" s="143"/>
      <c r="Z152" s="143"/>
      <c r="AA152" s="143"/>
      <c r="AB152" s="146"/>
      <c r="AC152" s="143"/>
    </row>
    <row r="153" customFormat="false" ht="12.75" hidden="false" customHeight="false" outlineLevel="0" collapsed="false">
      <c r="A153" s="142"/>
      <c r="B153" s="261"/>
      <c r="C153" s="54"/>
      <c r="D153" s="54"/>
      <c r="E153" s="54"/>
      <c r="F153" s="54"/>
      <c r="G153" s="54"/>
      <c r="H153" s="54"/>
      <c r="I153" s="54"/>
      <c r="J153" s="54"/>
      <c r="K153" s="54"/>
      <c r="L153" s="259"/>
      <c r="M153" s="54"/>
      <c r="N153" s="54"/>
      <c r="O153" s="259"/>
      <c r="P153" s="54"/>
      <c r="Q153" s="54"/>
      <c r="R153" s="259"/>
      <c r="S153" s="260"/>
      <c r="T153" s="54"/>
      <c r="U153" s="259"/>
      <c r="V153" s="54"/>
      <c r="W153" s="143"/>
      <c r="X153" s="143"/>
      <c r="Y153" s="143"/>
      <c r="Z153" s="143"/>
      <c r="AA153" s="143"/>
      <c r="AB153" s="146"/>
      <c r="AC153" s="143"/>
    </row>
    <row r="154" customFormat="false" ht="12.75" hidden="false" customHeight="false" outlineLevel="0" collapsed="false">
      <c r="A154" s="142"/>
      <c r="B154" s="50" t="s">
        <v>326</v>
      </c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262" t="n">
        <f aca="false">+M97</f>
        <v>607219.84962406</v>
      </c>
      <c r="N154" s="262" t="n">
        <f aca="false">+M154/N$8</f>
        <v>8433.60902255639</v>
      </c>
      <c r="O154" s="263" t="n">
        <f aca="false">+N154/N$11</f>
        <v>8.30079628204369</v>
      </c>
      <c r="P154" s="262" t="n">
        <f aca="false">+P97</f>
        <v>514450.15037594</v>
      </c>
      <c r="Q154" s="262" t="n">
        <f aca="false">+P154/Q$8</f>
        <v>8433.60902255639</v>
      </c>
      <c r="R154" s="263" t="n">
        <f aca="false">+Q154/Q$11</f>
        <v>6.95268674571838</v>
      </c>
      <c r="S154" s="264" t="n">
        <f aca="false">+P154+M154</f>
        <v>1121670</v>
      </c>
      <c r="T154" s="262" t="n">
        <f aca="false">+S154/S$8</f>
        <v>8433.60902255639</v>
      </c>
      <c r="U154" s="263" t="n">
        <f aca="false">+T154/U$8</f>
        <v>0.0573149547898766</v>
      </c>
      <c r="V154" s="265" t="n">
        <f aca="false">+S154/S$169</f>
        <v>0.0865540689795945</v>
      </c>
      <c r="W154" s="144" t="n">
        <f aca="false">+S154/TotalValue</f>
        <v>0.0738305253490775</v>
      </c>
      <c r="X154" s="143"/>
      <c r="Y154" s="143"/>
      <c r="Z154" s="143"/>
      <c r="AA154" s="143"/>
      <c r="AB154" s="146"/>
      <c r="AC154" s="143"/>
    </row>
    <row r="155" customFormat="false" ht="12.75" hidden="false" customHeight="false" outlineLevel="0" collapsed="false">
      <c r="A155" s="142"/>
      <c r="B155" s="50" t="s">
        <v>327</v>
      </c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 t="n">
        <f aca="false">+M115</f>
        <v>339444.763550668</v>
      </c>
      <c r="N155" s="50" t="n">
        <f aca="false">+M155/N$8</f>
        <v>4714.51060487039</v>
      </c>
      <c r="O155" s="259" t="n">
        <f aca="false">+N155/N$11</f>
        <v>4.64026634337636</v>
      </c>
      <c r="P155" s="50" t="n">
        <f aca="false">+P115</f>
        <v>287585.146897094</v>
      </c>
      <c r="Q155" s="50" t="n">
        <f aca="false">+P155/Q$8</f>
        <v>4714.51060487039</v>
      </c>
      <c r="R155" s="259" t="n">
        <f aca="false">+Q155/Q$11</f>
        <v>3.88665342528474</v>
      </c>
      <c r="S155" s="260" t="n">
        <f aca="false">+P155+M155</f>
        <v>627029.910447761</v>
      </c>
      <c r="T155" s="50" t="n">
        <f aca="false">+S155/S$8</f>
        <v>4714.51060487039</v>
      </c>
      <c r="U155" s="259" t="n">
        <f aca="false">+T155/U$8</f>
        <v>0.0320398967336327</v>
      </c>
      <c r="V155" s="265" t="n">
        <f aca="false">+S155/S$169</f>
        <v>0.0483849885627363</v>
      </c>
      <c r="W155" s="144" t="n">
        <f aca="false">+S155/TotalValue</f>
        <v>0.0412723418634208</v>
      </c>
      <c r="X155" s="143"/>
      <c r="Y155" s="143"/>
      <c r="Z155" s="143"/>
      <c r="AA155" s="143"/>
      <c r="AB155" s="146"/>
      <c r="AC155" s="143"/>
    </row>
    <row r="156" customFormat="false" ht="12.75" hidden="false" customHeight="false" outlineLevel="0" collapsed="false">
      <c r="A156" s="142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59"/>
      <c r="P156" s="50"/>
      <c r="Q156" s="50"/>
      <c r="R156" s="266"/>
      <c r="S156" s="260"/>
      <c r="T156" s="50"/>
      <c r="U156" s="259"/>
      <c r="V156" s="265"/>
      <c r="W156" s="144"/>
      <c r="X156" s="143"/>
      <c r="Y156" s="143"/>
      <c r="Z156" s="143"/>
      <c r="AA156" s="143"/>
      <c r="AB156" s="146"/>
      <c r="AC156" s="143"/>
    </row>
    <row r="157" customFormat="false" ht="12.75" hidden="false" customHeight="false" outlineLevel="0" collapsed="false">
      <c r="A157" s="142"/>
      <c r="B157" s="135" t="s">
        <v>328</v>
      </c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267" t="n">
        <f aca="false">+M155+M154</f>
        <v>946664.613174728</v>
      </c>
      <c r="N157" s="267" t="n">
        <f aca="false">+M157/N$8</f>
        <v>13148.1196274268</v>
      </c>
      <c r="O157" s="266" t="n">
        <f aca="false">+N157/N$11</f>
        <v>12.9410626254201</v>
      </c>
      <c r="P157" s="267" t="n">
        <f aca="false">+P155+P154</f>
        <v>802035.297273034</v>
      </c>
      <c r="Q157" s="267" t="n">
        <f aca="false">+P157/Q$8</f>
        <v>13148.1196274268</v>
      </c>
      <c r="R157" s="266" t="n">
        <f aca="false">+Q157/Q$11</f>
        <v>10.8393401710031</v>
      </c>
      <c r="S157" s="264" t="n">
        <f aca="false">+P157+M157</f>
        <v>1748699.91044776</v>
      </c>
      <c r="T157" s="267" t="n">
        <f aca="false">+S157/S$8</f>
        <v>13148.1196274268</v>
      </c>
      <c r="U157" s="266" t="n">
        <f aca="false">+T157/U$8</f>
        <v>0.0893548515235093</v>
      </c>
      <c r="V157" s="268" t="n">
        <f aca="false">+S157/S$169</f>
        <v>0.134939057542331</v>
      </c>
      <c r="W157" s="218" t="n">
        <f aca="false">+S157/TotalValue</f>
        <v>0.115102867212498</v>
      </c>
      <c r="X157" s="143"/>
      <c r="Y157" s="143"/>
      <c r="Z157" s="143"/>
      <c r="AA157" s="143"/>
      <c r="AB157" s="146"/>
      <c r="AC157" s="143"/>
    </row>
    <row r="158" customFormat="false" ht="12.75" hidden="false" customHeight="false" outlineLevel="0" collapsed="false">
      <c r="A158" s="142"/>
      <c r="B158" s="135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267"/>
      <c r="N158" s="267"/>
      <c r="O158" s="266"/>
      <c r="P158" s="267"/>
      <c r="Q158" s="267"/>
      <c r="R158" s="266"/>
      <c r="S158" s="264"/>
      <c r="T158" s="267"/>
      <c r="U158" s="266"/>
      <c r="V158" s="268"/>
      <c r="W158" s="144"/>
      <c r="X158" s="143"/>
      <c r="Y158" s="143"/>
      <c r="Z158" s="143"/>
      <c r="AA158" s="143"/>
      <c r="AB158" s="146"/>
      <c r="AC158" s="143"/>
    </row>
    <row r="159" customFormat="false" ht="12.75" hidden="false" customHeight="false" outlineLevel="0" collapsed="false">
      <c r="A159" s="142"/>
      <c r="B159" s="258" t="s">
        <v>329</v>
      </c>
      <c r="C159" s="54"/>
      <c r="D159" s="54"/>
      <c r="E159" s="54"/>
      <c r="F159" s="54"/>
      <c r="G159" s="54"/>
      <c r="H159" s="54"/>
      <c r="I159" s="54"/>
      <c r="J159" s="54"/>
      <c r="K159" s="54"/>
      <c r="L159" s="259"/>
      <c r="M159" s="54"/>
      <c r="N159" s="54"/>
      <c r="O159" s="259"/>
      <c r="P159" s="54"/>
      <c r="Q159" s="54"/>
      <c r="R159" s="259"/>
      <c r="S159" s="260"/>
      <c r="T159" s="54"/>
      <c r="U159" s="259"/>
      <c r="V159" s="269"/>
      <c r="W159" s="144"/>
      <c r="X159" s="143"/>
      <c r="Y159" s="143"/>
      <c r="Z159" s="143"/>
      <c r="AA159" s="143"/>
      <c r="AB159" s="146"/>
      <c r="AC159" s="143"/>
    </row>
    <row r="160" customFormat="false" ht="12.75" hidden="false" customHeight="false" outlineLevel="0" collapsed="false">
      <c r="A160" s="142"/>
      <c r="B160" s="261"/>
      <c r="C160" s="54"/>
      <c r="D160" s="54"/>
      <c r="E160" s="54"/>
      <c r="F160" s="54"/>
      <c r="G160" s="54"/>
      <c r="H160" s="54"/>
      <c r="I160" s="54"/>
      <c r="J160" s="54"/>
      <c r="K160" s="54"/>
      <c r="L160" s="259"/>
      <c r="M160" s="54"/>
      <c r="N160" s="54"/>
      <c r="O160" s="259"/>
      <c r="P160" s="54"/>
      <c r="Q160" s="54"/>
      <c r="R160" s="259"/>
      <c r="S160" s="260"/>
      <c r="T160" s="54"/>
      <c r="U160" s="259"/>
      <c r="V160" s="269"/>
      <c r="W160" s="144"/>
      <c r="X160" s="143"/>
      <c r="Y160" s="143"/>
      <c r="Z160" s="143"/>
      <c r="AA160" s="143"/>
      <c r="AB160" s="146"/>
      <c r="AC160" s="143"/>
    </row>
    <row r="161" customFormat="false" ht="12.75" hidden="false" customHeight="false" outlineLevel="0" collapsed="false">
      <c r="A161" s="142"/>
      <c r="B161" s="50" t="s">
        <v>330</v>
      </c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 t="n">
        <f aca="false">+M128</f>
        <v>426637.339604691</v>
      </c>
      <c r="N161" s="50" t="n">
        <f aca="false">+M161/N$8</f>
        <v>5925.51860562071</v>
      </c>
      <c r="O161" s="259" t="n">
        <f aca="false">+N161/N$11</f>
        <v>5.83220335198889</v>
      </c>
      <c r="P161" s="50" t="n">
        <f aca="false">+P128</f>
        <v>361456.634942864</v>
      </c>
      <c r="Q161" s="50" t="n">
        <f aca="false">+P161/Q$8</f>
        <v>5925.51860562072</v>
      </c>
      <c r="R161" s="259" t="n">
        <f aca="false">+Q161/Q$11</f>
        <v>4.88501121650512</v>
      </c>
      <c r="S161" s="260" t="n">
        <f aca="false">+P161+M161</f>
        <v>788093.974547555</v>
      </c>
      <c r="T161" s="50" t="n">
        <f aca="false">+S161/S$8</f>
        <v>5925.51860562071</v>
      </c>
      <c r="U161" s="259" t="n">
        <f aca="false">+T161/U$8</f>
        <v>0.0402699283402135</v>
      </c>
      <c r="V161" s="265" t="n">
        <f aca="false">+S161/S$169</f>
        <v>0.0608135549987</v>
      </c>
      <c r="W161" s="144" t="n">
        <f aca="false">+S161/TotalValue</f>
        <v>0.0518738953215192</v>
      </c>
      <c r="X161" s="143"/>
      <c r="Y161" s="143"/>
      <c r="Z161" s="143"/>
      <c r="AA161" s="143"/>
      <c r="AB161" s="146"/>
      <c r="AC161" s="143"/>
    </row>
    <row r="162" customFormat="false" ht="12.75" hidden="false" customHeight="false" outlineLevel="0" collapsed="false">
      <c r="A162" s="142"/>
      <c r="B162" s="50" t="s">
        <v>329</v>
      </c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 t="n">
        <f aca="false">+M95</f>
        <v>4019181.96109716</v>
      </c>
      <c r="N162" s="50" t="n">
        <f aca="false">+M162/N$8</f>
        <v>55821.971681905</v>
      </c>
      <c r="O162" s="259" t="n">
        <f aca="false">+N162/N$11</f>
        <v>54.942885513686</v>
      </c>
      <c r="P162" s="50" t="n">
        <f aca="false">+P95</f>
        <v>4114104.92308232</v>
      </c>
      <c r="Q162" s="50" t="n">
        <f aca="false">+P162/Q$8</f>
        <v>67444.3430013495</v>
      </c>
      <c r="R162" s="259" t="n">
        <f aca="false">+Q162/Q$11</f>
        <v>55.6012720538742</v>
      </c>
      <c r="S162" s="260" t="n">
        <f aca="false">+P162+M162</f>
        <v>8133286.88417948</v>
      </c>
      <c r="T162" s="50" t="n">
        <f aca="false">+S162/S$8</f>
        <v>61152.5329637555</v>
      </c>
      <c r="U162" s="259" t="n">
        <f aca="false">+T162/U$8</f>
        <v>0.415593686253393</v>
      </c>
      <c r="V162" s="265" t="n">
        <f aca="false">+S162/S$169</f>
        <v>0.627608007706457</v>
      </c>
      <c r="W162" s="144" t="n">
        <f aca="false">+S162/TotalValue</f>
        <v>0.535348938166959</v>
      </c>
      <c r="X162" s="143"/>
      <c r="Y162" s="143"/>
      <c r="Z162" s="143"/>
      <c r="AA162" s="143"/>
      <c r="AB162" s="146"/>
      <c r="AC162" s="143"/>
    </row>
    <row r="163" customFormat="false" ht="12.75" hidden="false" customHeight="false" outlineLevel="0" collapsed="false">
      <c r="A163" s="142"/>
      <c r="B163" s="50" t="s">
        <v>331</v>
      </c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 t="n">
        <f aca="false">+M131</f>
        <v>717789.609637878</v>
      </c>
      <c r="N163" s="50" t="n">
        <f aca="false">+M163/N$8</f>
        <v>9969.30013385942</v>
      </c>
      <c r="O163" s="259" t="n">
        <f aca="false">+N163/N$11</f>
        <v>9.81230328135769</v>
      </c>
      <c r="P163" s="50" t="n">
        <f aca="false">+P131</f>
        <v>714472.005738341</v>
      </c>
      <c r="Q163" s="50" t="n">
        <f aca="false">+P163/Q$8</f>
        <v>11712.6558317761</v>
      </c>
      <c r="R163" s="259" t="n">
        <f aca="false">+Q163/Q$11</f>
        <v>9.65594050434962</v>
      </c>
      <c r="S163" s="260" t="n">
        <f aca="false">+P163+M163</f>
        <v>1432261.61537622</v>
      </c>
      <c r="T163" s="50" t="n">
        <f aca="false">+S163/S$8</f>
        <v>10768.884326137</v>
      </c>
      <c r="U163" s="259" t="n">
        <f aca="false">+T163/U$8</f>
        <v>0.0731855266990858</v>
      </c>
      <c r="V163" s="265" t="n">
        <f aca="false">+S163/S$169</f>
        <v>0.110520982690184</v>
      </c>
      <c r="W163" s="144" t="n">
        <f aca="false">+S163/TotalValue</f>
        <v>0.0942742763027848</v>
      </c>
      <c r="X163" s="143"/>
      <c r="Y163" s="143"/>
      <c r="Z163" s="143"/>
      <c r="AA163" s="143"/>
      <c r="AB163" s="146"/>
      <c r="AC163" s="143"/>
    </row>
    <row r="164" customFormat="false" ht="12.75" hidden="false" customHeight="false" outlineLevel="0" collapsed="false">
      <c r="A164" s="142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59"/>
      <c r="P164" s="50"/>
      <c r="Q164" s="50"/>
      <c r="R164" s="259"/>
      <c r="S164" s="260"/>
      <c r="T164" s="50"/>
      <c r="U164" s="259"/>
      <c r="V164" s="265"/>
      <c r="W164" s="144"/>
      <c r="X164" s="143"/>
      <c r="Y164" s="143"/>
      <c r="Z164" s="143"/>
      <c r="AA164" s="143"/>
      <c r="AB164" s="146"/>
      <c r="AC164" s="143"/>
    </row>
    <row r="165" customFormat="false" ht="12.75" hidden="false" customHeight="false" outlineLevel="0" collapsed="false">
      <c r="A165" s="142"/>
      <c r="B165" s="135" t="s">
        <v>308</v>
      </c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267" t="n">
        <f aca="false">SUM(M157:M163)</f>
        <v>6110273.52351446</v>
      </c>
      <c r="N165" s="267" t="n">
        <f aca="false">+M165/N$8</f>
        <v>84864.9100488119</v>
      </c>
      <c r="O165" s="266" t="n">
        <f aca="false">+N165/N$11</f>
        <v>83.5284547724527</v>
      </c>
      <c r="P165" s="267" t="n">
        <f aca="false">SUM(P157:P163)</f>
        <v>5992068.86103656</v>
      </c>
      <c r="Q165" s="267" t="n">
        <f aca="false">+P165/Q$8</f>
        <v>98230.637066173</v>
      </c>
      <c r="R165" s="266" t="n">
        <f aca="false">+Q165/Q$11</f>
        <v>80.9815639457321</v>
      </c>
      <c r="S165" s="264" t="n">
        <f aca="false">+P165+M165</f>
        <v>12102342.384551</v>
      </c>
      <c r="T165" s="267" t="n">
        <f aca="false">+S165/S$8</f>
        <v>90995.05552294</v>
      </c>
      <c r="U165" s="266" t="n">
        <f aca="false">+T165/U$8</f>
        <v>0.618403992816201</v>
      </c>
      <c r="V165" s="268" t="n">
        <f aca="false">+S165/S$169</f>
        <v>0.933881602937672</v>
      </c>
      <c r="W165" s="218" t="n">
        <f aca="false">+S165/TotalValue</f>
        <v>0.796599977003761</v>
      </c>
      <c r="X165" s="143"/>
      <c r="Y165" s="143"/>
      <c r="Z165" s="143"/>
      <c r="AA165" s="143"/>
      <c r="AB165" s="146"/>
      <c r="AC165" s="143"/>
    </row>
    <row r="166" customFormat="false" ht="12.75" hidden="false" customHeight="false" outlineLevel="0" collapsed="false">
      <c r="A166" s="142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260"/>
      <c r="T166" s="50"/>
      <c r="U166" s="259"/>
      <c r="V166" s="270"/>
      <c r="W166" s="144"/>
      <c r="X166" s="143"/>
      <c r="Y166" s="143"/>
      <c r="Z166" s="143"/>
      <c r="AA166" s="143"/>
      <c r="AB166" s="146"/>
      <c r="AC166" s="143"/>
    </row>
    <row r="167" customFormat="false" ht="12.75" hidden="false" customHeight="false" outlineLevel="0" collapsed="false">
      <c r="A167" s="142"/>
      <c r="B167" s="50" t="s">
        <v>332</v>
      </c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 t="n">
        <f aca="false">+M141</f>
        <v>463853.445538604</v>
      </c>
      <c r="N167" s="50" t="n">
        <f aca="false">+M167/N$8</f>
        <v>6442.40896581394</v>
      </c>
      <c r="O167" s="259" t="n">
        <f aca="false">+N167/N$11</f>
        <v>6.34095370650979</v>
      </c>
      <c r="P167" s="50" t="n">
        <f aca="false">+P141</f>
        <v>392986.94691465</v>
      </c>
      <c r="Q167" s="50" t="n">
        <f aca="false">+P167/Q$8</f>
        <v>6442.40896581394</v>
      </c>
      <c r="R167" s="259" t="n">
        <f aca="false">+Q167/Q$11</f>
        <v>5.31113682260012</v>
      </c>
      <c r="S167" s="260" t="n">
        <f aca="false">+P167+M167</f>
        <v>856840.392453254</v>
      </c>
      <c r="T167" s="50" t="n">
        <f aca="false">+S167/S$8</f>
        <v>6442.40896581394</v>
      </c>
      <c r="U167" s="259" t="n">
        <f aca="false">+T167/U$8</f>
        <v>0.0437827242911002</v>
      </c>
      <c r="V167" s="265" t="n">
        <f aca="false">+S167/S$169</f>
        <v>0.0661183970623283</v>
      </c>
      <c r="W167" s="144" t="n">
        <f aca="false">+S167/TotalValue</f>
        <v>0.0563989197492431</v>
      </c>
      <c r="X167" s="143"/>
      <c r="Y167" s="143"/>
      <c r="Z167" s="143"/>
      <c r="AA167" s="143"/>
      <c r="AB167" s="146"/>
      <c r="AC167" s="143"/>
    </row>
    <row r="168" customFormat="false" ht="12.75" hidden="false" customHeight="false" outlineLevel="0" collapsed="false">
      <c r="A168" s="142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59"/>
      <c r="P168" s="50"/>
      <c r="Q168" s="50"/>
      <c r="R168" s="259"/>
      <c r="S168" s="260"/>
      <c r="T168" s="50"/>
      <c r="U168" s="259"/>
      <c r="V168" s="270"/>
      <c r="W168" s="144"/>
      <c r="X168" s="143"/>
      <c r="Y168" s="143"/>
      <c r="Z168" s="143"/>
      <c r="AA168" s="143"/>
      <c r="AB168" s="146"/>
      <c r="AC168" s="143"/>
    </row>
    <row r="169" customFormat="false" ht="12.75" hidden="false" customHeight="false" outlineLevel="0" collapsed="false">
      <c r="A169" s="142"/>
      <c r="B169" s="271" t="s">
        <v>16</v>
      </c>
      <c r="C169" s="272"/>
      <c r="D169" s="272"/>
      <c r="E169" s="272"/>
      <c r="F169" s="272"/>
      <c r="G169" s="272"/>
      <c r="H169" s="272"/>
      <c r="I169" s="272"/>
      <c r="J169" s="272"/>
      <c r="K169" s="272"/>
      <c r="L169" s="272"/>
      <c r="M169" s="273" t="n">
        <f aca="false">+M167+M165</f>
        <v>6574126.96905306</v>
      </c>
      <c r="N169" s="273" t="n">
        <f aca="false">+M169/N$8</f>
        <v>91307.3190146259</v>
      </c>
      <c r="O169" s="274" t="n">
        <f aca="false">+N169/N$11</f>
        <v>89.8694084789625</v>
      </c>
      <c r="P169" s="273" t="n">
        <f aca="false">+P167+P165</f>
        <v>6385055.80795121</v>
      </c>
      <c r="Q169" s="273" t="n">
        <f aca="false">+P169/Q$8</f>
        <v>104673.046031987</v>
      </c>
      <c r="R169" s="274" t="n">
        <f aca="false">+Q169/Q$11</f>
        <v>86.2927007683322</v>
      </c>
      <c r="S169" s="275" t="n">
        <f aca="false">+P169+M169</f>
        <v>12959182.7770043</v>
      </c>
      <c r="T169" s="273" t="n">
        <f aca="false">+S169/S$8</f>
        <v>97437.4644887539</v>
      </c>
      <c r="U169" s="274" t="n">
        <f aca="false">+T169/U$8</f>
        <v>0.662186717107302</v>
      </c>
      <c r="V169" s="276" t="n">
        <f aca="false">+S169/S$169</f>
        <v>1</v>
      </c>
      <c r="W169" s="276" t="n">
        <f aca="false">+S169/TotalValue</f>
        <v>0.852998896753004</v>
      </c>
      <c r="X169" s="143"/>
      <c r="Y169" s="143"/>
      <c r="Z169" s="143"/>
      <c r="AA169" s="143"/>
      <c r="AB169" s="146"/>
      <c r="AC169" s="143"/>
    </row>
    <row r="170" customFormat="false" ht="12.75" hidden="false" customHeight="false" outlineLevel="0" collapsed="false">
      <c r="A170" s="142"/>
      <c r="B170" s="261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267"/>
      <c r="N170" s="267"/>
      <c r="O170" s="266"/>
      <c r="P170" s="267"/>
      <c r="Q170" s="267"/>
      <c r="R170" s="266"/>
      <c r="S170" s="264"/>
      <c r="T170" s="267"/>
      <c r="U170" s="266"/>
      <c r="V170" s="277"/>
      <c r="W170" s="277"/>
      <c r="X170" s="143"/>
      <c r="Y170" s="143"/>
      <c r="Z170" s="143"/>
      <c r="AA170" s="143"/>
      <c r="AB170" s="146"/>
      <c r="AC170" s="143"/>
    </row>
    <row r="171" customFormat="false" ht="12.75" hidden="false" customHeight="false" outlineLevel="0" collapsed="false">
      <c r="A171" s="142"/>
      <c r="B171" s="271" t="s">
        <v>97</v>
      </c>
      <c r="C171" s="272"/>
      <c r="D171" s="272"/>
      <c r="E171" s="272"/>
      <c r="F171" s="272"/>
      <c r="G171" s="272"/>
      <c r="H171" s="272"/>
      <c r="I171" s="272"/>
      <c r="J171" s="272"/>
      <c r="K171" s="272"/>
      <c r="L171" s="272"/>
      <c r="M171" s="273" t="n">
        <f aca="false">+Proforma!J44</f>
        <v>7007719.22473647</v>
      </c>
      <c r="N171" s="273" t="n">
        <f aca="false">+Proforma!K44</f>
        <v>95996.1537635132</v>
      </c>
      <c r="O171" s="274" t="n">
        <f aca="false">+Proforma!L44</f>
        <v>94.4844033105445</v>
      </c>
      <c r="P171" s="273" t="n">
        <f aca="false">+Proforma!N44</f>
        <v>8184777.30290764</v>
      </c>
      <c r="Q171" s="273" t="n">
        <f aca="false">+Proforma!O44</f>
        <v>134176.677096847</v>
      </c>
      <c r="R171" s="274" t="n">
        <f aca="false">+Proforma!P44</f>
        <v>110.615562322215</v>
      </c>
      <c r="S171" s="275" t="n">
        <f aca="false">Project_Value</f>
        <v>15192496.5276441</v>
      </c>
      <c r="T171" s="273" t="n">
        <f aca="false">S171/SM134Units</f>
        <v>114229.297200332</v>
      </c>
      <c r="U171" s="274" t="n">
        <f aca="false">+S171/U8</f>
        <v>103.248472782929</v>
      </c>
      <c r="V171" s="276" t="n">
        <f aca="false">+S171/S169</f>
        <v>1.17233445882118</v>
      </c>
      <c r="W171" s="276" t="n">
        <f aca="false">+S171/TotalValue</f>
        <v>1</v>
      </c>
      <c r="X171" s="143"/>
      <c r="Y171" s="143"/>
      <c r="Z171" s="143"/>
      <c r="AA171" s="143"/>
      <c r="AB171" s="146"/>
      <c r="AC171" s="143"/>
    </row>
    <row r="172" customFormat="false" ht="12.75" hidden="false" customHeight="false" outlineLevel="0" collapsed="false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6"/>
      <c r="T172" s="142"/>
      <c r="U172" s="182"/>
      <c r="V172" s="142"/>
      <c r="W172" s="143"/>
      <c r="X172" s="143"/>
      <c r="Y172" s="143"/>
      <c r="Z172" s="143"/>
      <c r="AA172" s="143"/>
      <c r="AB172" s="146"/>
      <c r="AC172" s="143"/>
    </row>
    <row r="173" customFormat="false" ht="12.75" hidden="false" customHeight="false" outlineLevel="0" collapsed="false">
      <c r="A173" s="142"/>
      <c r="B173" s="278" t="s">
        <v>98</v>
      </c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6"/>
      <c r="T173" s="142"/>
      <c r="U173" s="182"/>
      <c r="V173" s="142"/>
      <c r="W173" s="143"/>
      <c r="X173" s="143"/>
      <c r="Y173" s="143"/>
      <c r="Z173" s="143"/>
      <c r="AA173" s="143"/>
      <c r="AB173" s="146"/>
      <c r="AC173" s="143"/>
    </row>
    <row r="174" customFormat="false" ht="13.5" hidden="false" customHeight="false" outlineLevel="0" collapsed="false">
      <c r="A174" s="142"/>
      <c r="B174" s="142" t="s">
        <v>333</v>
      </c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279" t="n">
        <f aca="false">0.75*Project_Value</f>
        <v>11394372.3957331</v>
      </c>
      <c r="T174" s="280"/>
      <c r="U174" s="280"/>
      <c r="V174" s="280"/>
      <c r="W174" s="143"/>
      <c r="X174" s="143"/>
      <c r="Y174" s="143"/>
      <c r="Z174" s="143"/>
      <c r="AA174" s="143"/>
      <c r="AB174" s="143"/>
      <c r="AC174" s="143"/>
    </row>
    <row r="175" customFormat="false" ht="12.75" hidden="false" customHeight="false" outlineLevel="0" collapsed="false">
      <c r="A175" s="142"/>
      <c r="B175" s="281" t="s">
        <v>334</v>
      </c>
      <c r="C175" s="282"/>
      <c r="D175" s="19" t="n">
        <f aca="false">Const_Profit</f>
        <v>0.15</v>
      </c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79" t="n">
        <f aca="false">0.8*TotalCost</f>
        <v>10169336.6223159</v>
      </c>
      <c r="T175" s="142"/>
      <c r="U175" s="142"/>
      <c r="V175" s="142"/>
      <c r="W175" s="143"/>
      <c r="X175" s="143"/>
      <c r="Y175" s="143"/>
      <c r="Z175" s="143"/>
      <c r="AA175" s="143"/>
      <c r="AB175" s="143"/>
      <c r="AC175" s="143"/>
    </row>
    <row r="176" customFormat="false" ht="12.75" hidden="false" customHeight="false" outlineLevel="0" collapsed="false">
      <c r="A176" s="142"/>
      <c r="B176" s="283" t="s">
        <v>335</v>
      </c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91"/>
      <c r="T176" s="142"/>
      <c r="U176" s="142"/>
      <c r="V176" s="142"/>
      <c r="W176" s="143"/>
      <c r="X176" s="143"/>
      <c r="Y176" s="143"/>
      <c r="Z176" s="143"/>
      <c r="AA176" s="143"/>
      <c r="AB176" s="143"/>
      <c r="AC176" s="143"/>
    </row>
    <row r="177" customFormat="false" ht="12.75" hidden="false" customHeight="false" outlineLevel="0" collapsed="false">
      <c r="A177" s="142"/>
      <c r="B177" s="284" t="s">
        <v>336</v>
      </c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279" t="n">
        <f aca="false">+S169-S174</f>
        <v>1564810.38127119</v>
      </c>
      <c r="T177" s="142"/>
      <c r="U177" s="142"/>
      <c r="V177" s="142"/>
      <c r="W177" s="143"/>
      <c r="X177" s="143"/>
      <c r="Y177" s="143"/>
      <c r="Z177" s="143"/>
      <c r="AA177" s="143"/>
      <c r="AB177" s="143"/>
      <c r="AC177" s="143"/>
    </row>
    <row r="178" customFormat="false" ht="12.75" hidden="false" customHeight="false" outlineLevel="0" collapsed="false">
      <c r="A178" s="142"/>
      <c r="B178" s="142" t="s">
        <v>337</v>
      </c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1" t="n">
        <f aca="false">-S$97</f>
        <v>-1121670</v>
      </c>
      <c r="T178" s="142"/>
      <c r="U178" s="142"/>
      <c r="V178" s="142"/>
      <c r="W178" s="143"/>
      <c r="X178" s="143"/>
      <c r="Y178" s="143"/>
      <c r="Z178" s="143"/>
      <c r="AA178" s="143"/>
      <c r="AB178" s="143"/>
      <c r="AC178" s="143"/>
    </row>
    <row r="179" customFormat="false" ht="12.75" hidden="false" customHeight="false" outlineLevel="0" collapsed="false">
      <c r="A179" s="142"/>
      <c r="B179" s="141" t="s">
        <v>338</v>
      </c>
      <c r="S179" s="141" t="n">
        <f aca="false">-S$163</f>
        <v>-1432261.61537622</v>
      </c>
      <c r="T179" s="142"/>
      <c r="U179" s="142"/>
      <c r="V179" s="142"/>
      <c r="W179" s="143"/>
      <c r="X179" s="143"/>
      <c r="Y179" s="143"/>
      <c r="Z179" s="143"/>
      <c r="AA179" s="143"/>
      <c r="AB179" s="143"/>
      <c r="AC179" s="143"/>
    </row>
    <row r="180" customFormat="false" ht="12" hidden="false" customHeight="false" outlineLevel="0" collapsed="false">
      <c r="B180" s="141" t="s">
        <v>339</v>
      </c>
      <c r="S180" s="141" t="n">
        <f aca="false">SUM(S177:S179)</f>
        <v>-989121.234105032</v>
      </c>
    </row>
    <row r="181" customFormat="false" ht="12.75" hidden="false" customHeight="false" outlineLevel="0" collapsed="false"/>
    <row r="182" customFormat="false" ht="12.75" hidden="false" customHeight="false" outlineLevel="0" collapsed="false">
      <c r="B182" s="285" t="s">
        <v>340</v>
      </c>
      <c r="C182" s="286"/>
      <c r="D182" s="286"/>
      <c r="E182" s="286"/>
      <c r="F182" s="286"/>
      <c r="G182" s="286"/>
      <c r="H182" s="286"/>
      <c r="I182" s="286"/>
      <c r="J182" s="286"/>
      <c r="K182" s="286"/>
      <c r="L182" s="286"/>
      <c r="M182" s="286"/>
      <c r="N182" s="286"/>
      <c r="O182" s="286"/>
      <c r="P182" s="286"/>
      <c r="Q182" s="286"/>
      <c r="R182" s="286"/>
      <c r="S182" s="287" t="n">
        <f aca="false">+S169-S175</f>
        <v>2789846.15468835</v>
      </c>
    </row>
    <row r="183" customFormat="false" ht="12.75" hidden="false" customHeight="false" outlineLevel="0" collapsed="false">
      <c r="B183" s="288" t="s">
        <v>337</v>
      </c>
      <c r="C183" s="289"/>
      <c r="D183" s="289"/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89"/>
      <c r="Q183" s="289"/>
      <c r="R183" s="289"/>
      <c r="S183" s="290" t="n">
        <f aca="false">-S$97</f>
        <v>-1121670</v>
      </c>
    </row>
    <row r="184" customFormat="false" ht="12" hidden="false" customHeight="false" outlineLevel="0" collapsed="false">
      <c r="B184" s="291" t="s">
        <v>338</v>
      </c>
      <c r="C184" s="289"/>
      <c r="D184" s="289"/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89"/>
      <c r="Q184" s="289"/>
      <c r="R184" s="289"/>
      <c r="S184" s="290" t="n">
        <f aca="false">-S$163</f>
        <v>-1432261.61537622</v>
      </c>
    </row>
    <row r="185" customFormat="false" ht="12.75" hidden="false" customHeight="false" outlineLevel="0" collapsed="false">
      <c r="B185" s="292" t="s">
        <v>339</v>
      </c>
      <c r="C185" s="293"/>
      <c r="D185" s="293"/>
      <c r="E185" s="293"/>
      <c r="F185" s="293"/>
      <c r="G185" s="293"/>
      <c r="H185" s="293"/>
      <c r="I185" s="293"/>
      <c r="J185" s="293"/>
      <c r="K185" s="293"/>
      <c r="L185" s="293"/>
      <c r="M185" s="293"/>
      <c r="N185" s="293"/>
      <c r="O185" s="293"/>
      <c r="P185" s="293"/>
      <c r="Q185" s="293"/>
      <c r="R185" s="293"/>
      <c r="S185" s="294" t="n">
        <f aca="false">SUM(S182:S184)</f>
        <v>235914.539312135</v>
      </c>
    </row>
  </sheetData>
  <mergeCells count="6">
    <mergeCell ref="J5:L5"/>
    <mergeCell ref="M5:O5"/>
    <mergeCell ref="P5:R5"/>
    <mergeCell ref="S5:V5"/>
    <mergeCell ref="S6:S7"/>
    <mergeCell ref="T6:U6"/>
  </mergeCells>
  <printOptions headings="false" gridLines="false" gridLinesSet="true" horizontalCentered="true" verticalCentered="false"/>
  <pageMargins left="0.5" right="0.5" top="1.27986111111111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Roman,Bold"&amp;12&amp;USM134:  CONSTRUCTION COST DETAIL</oddHeader>
    <oddFooter>&amp;L&amp;8 &amp;F
 &amp;A&amp;C&amp;8 &amp;R&amp;8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X5" activePane="bottomRight" state="frozen"/>
      <selection pane="topLeft" activeCell="A1" activeCellId="0" sqref="A1"/>
      <selection pane="topRight" activeCell="X1" activeCellId="0" sqref="X1"/>
      <selection pane="bottomLeft" activeCell="A5" activeCellId="0" sqref="A5"/>
      <selection pane="bottomRight" activeCell="AX5" activeCellId="0" sqref="AX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5" width="15.82"/>
    <col collapsed="false" customWidth="false" hidden="false" outlineLevel="0" max="3" min="2" style="295" width="9.32"/>
    <col collapsed="false" customWidth="true" hidden="false" outlineLevel="0" max="4" min="4" style="295" width="0.99"/>
    <col collapsed="false" customWidth="false" hidden="false" outlineLevel="0" max="8" min="5" style="295" width="9.32"/>
    <col collapsed="false" customWidth="true" hidden="false" outlineLevel="0" max="9" min="9" style="295" width="0.99"/>
    <col collapsed="false" customWidth="false" hidden="false" outlineLevel="0" max="13" min="10" style="295" width="9.32"/>
    <col collapsed="false" customWidth="true" hidden="false" outlineLevel="0" max="14" min="14" style="295" width="0.99"/>
    <col collapsed="false" customWidth="false" hidden="false" outlineLevel="0" max="15" min="15" style="295" width="9.32"/>
    <col collapsed="false" customWidth="true" hidden="false" outlineLevel="0" max="16" min="16" style="295" width="9.99"/>
    <col collapsed="false" customWidth="false" hidden="false" outlineLevel="0" max="18" min="17" style="295" width="9.32"/>
    <col collapsed="false" customWidth="true" hidden="false" outlineLevel="0" max="19" min="19" style="295" width="0.99"/>
    <col collapsed="false" customWidth="false" hidden="false" outlineLevel="0" max="20" min="20" style="295" width="9.32"/>
    <col collapsed="false" customWidth="true" hidden="false" outlineLevel="0" max="21" min="21" style="295" width="9.99"/>
    <col collapsed="false" customWidth="false" hidden="false" outlineLevel="0" max="23" min="22" style="295" width="9.32"/>
    <col collapsed="false" customWidth="true" hidden="false" outlineLevel="0" max="24" min="24" style="295" width="0.99"/>
    <col collapsed="false" customWidth="true" hidden="false" outlineLevel="0" max="25" min="25" style="295" width="7.65"/>
    <col collapsed="false" customWidth="true" hidden="false" outlineLevel="0" max="26" min="26" style="295" width="9.99"/>
    <col collapsed="false" customWidth="false" hidden="false" outlineLevel="0" max="28" min="27" style="295" width="9.32"/>
    <col collapsed="false" customWidth="true" hidden="false" outlineLevel="0" max="29" min="29" style="295" width="0.99"/>
    <col collapsed="false" customWidth="false" hidden="false" outlineLevel="0" max="30" min="30" style="295" width="9.32"/>
    <col collapsed="false" customWidth="true" hidden="false" outlineLevel="0" max="31" min="31" style="295" width="9.99"/>
    <col collapsed="false" customWidth="false" hidden="false" outlineLevel="0" max="33" min="32" style="295" width="9.32"/>
    <col collapsed="false" customWidth="true" hidden="false" outlineLevel="0" max="34" min="34" style="295" width="0.99"/>
    <col collapsed="false" customWidth="false" hidden="false" outlineLevel="0" max="35" min="35" style="295" width="9.32"/>
    <col collapsed="false" customWidth="true" hidden="false" outlineLevel="0" max="36" min="36" style="295" width="9.99"/>
    <col collapsed="false" customWidth="false" hidden="false" outlineLevel="0" max="38" min="37" style="295" width="9.32"/>
    <col collapsed="false" customWidth="true" hidden="false" outlineLevel="0" max="39" min="39" style="295" width="0.99"/>
    <col collapsed="false" customWidth="false" hidden="false" outlineLevel="0" max="40" min="40" style="295" width="9.32"/>
    <col collapsed="false" customWidth="true" hidden="false" outlineLevel="0" max="41" min="41" style="295" width="9.99"/>
    <col collapsed="false" customWidth="false" hidden="false" outlineLevel="0" max="43" min="42" style="295" width="9.32"/>
    <col collapsed="false" customWidth="true" hidden="false" outlineLevel="0" max="44" min="44" style="295" width="0.99"/>
    <col collapsed="false" customWidth="false" hidden="false" outlineLevel="0" max="45" min="45" style="295" width="9.32"/>
    <col collapsed="false" customWidth="true" hidden="false" outlineLevel="0" max="46" min="46" style="295" width="9.99"/>
    <col collapsed="false" customWidth="false" hidden="false" outlineLevel="0" max="48" min="47" style="295" width="9.32"/>
    <col collapsed="false" customWidth="true" hidden="false" outlineLevel="0" max="49" min="49" style="295" width="0.99"/>
    <col collapsed="false" customWidth="false" hidden="false" outlineLevel="0" max="257" min="50" style="295" width="9.32"/>
  </cols>
  <sheetData>
    <row r="1" customFormat="false" ht="12.75" hidden="false" customHeight="false" outlineLevel="0" collapsed="false">
      <c r="E1" s="296" t="s">
        <v>47</v>
      </c>
      <c r="F1" s="296"/>
      <c r="G1" s="296"/>
      <c r="H1" s="296"/>
      <c r="I1" s="296"/>
      <c r="J1" s="296"/>
      <c r="K1" s="296"/>
      <c r="L1" s="296"/>
      <c r="M1" s="296"/>
      <c r="O1" s="297"/>
      <c r="P1" s="296" t="s">
        <v>341</v>
      </c>
      <c r="Q1" s="296"/>
      <c r="R1" s="296"/>
      <c r="S1" s="296"/>
      <c r="T1" s="296"/>
      <c r="U1" s="296"/>
      <c r="V1" s="296"/>
      <c r="W1" s="296"/>
      <c r="Y1" s="296" t="s">
        <v>342</v>
      </c>
      <c r="Z1" s="296"/>
      <c r="AA1" s="296"/>
      <c r="AB1" s="296"/>
      <c r="AC1" s="296"/>
      <c r="AD1" s="296"/>
      <c r="AE1" s="296"/>
      <c r="AF1" s="296"/>
      <c r="AG1" s="296"/>
      <c r="AI1" s="298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</row>
    <row r="2" customFormat="false" ht="12.75" hidden="false" customHeight="false" outlineLevel="0" collapsed="false">
      <c r="E2" s="299" t="s">
        <v>343</v>
      </c>
      <c r="F2" s="299"/>
      <c r="G2" s="299"/>
      <c r="H2" s="299"/>
      <c r="I2" s="296"/>
      <c r="J2" s="299" t="s">
        <v>344</v>
      </c>
      <c r="K2" s="299"/>
      <c r="L2" s="299"/>
      <c r="M2" s="299"/>
      <c r="O2" s="299" t="s">
        <v>345</v>
      </c>
      <c r="P2" s="299"/>
      <c r="Q2" s="299"/>
      <c r="R2" s="299"/>
      <c r="S2" s="296"/>
      <c r="T2" s="299" t="s">
        <v>346</v>
      </c>
      <c r="U2" s="299"/>
      <c r="V2" s="299"/>
      <c r="W2" s="299"/>
      <c r="X2" s="296"/>
      <c r="Y2" s="299" t="s">
        <v>346</v>
      </c>
      <c r="Z2" s="299"/>
      <c r="AA2" s="299"/>
      <c r="AB2" s="299"/>
      <c r="AD2" s="299" t="s">
        <v>347</v>
      </c>
      <c r="AE2" s="299"/>
      <c r="AF2" s="299"/>
      <c r="AG2" s="299"/>
      <c r="AI2" s="299" t="s">
        <v>348</v>
      </c>
      <c r="AJ2" s="299"/>
      <c r="AK2" s="299"/>
      <c r="AL2" s="299"/>
      <c r="AN2" s="299" t="s">
        <v>349</v>
      </c>
      <c r="AO2" s="299"/>
      <c r="AP2" s="299"/>
      <c r="AQ2" s="299"/>
      <c r="AS2" s="299" t="s">
        <v>350</v>
      </c>
      <c r="AT2" s="299"/>
      <c r="AU2" s="299"/>
      <c r="AV2" s="299"/>
    </row>
    <row r="3" customFormat="false" ht="12.75" hidden="false" customHeight="false" outlineLevel="0" collapsed="false">
      <c r="B3" s="295" t="s">
        <v>351</v>
      </c>
      <c r="C3" s="295" t="s">
        <v>352</v>
      </c>
      <c r="E3" s="295" t="s">
        <v>353</v>
      </c>
      <c r="F3" s="295" t="s">
        <v>354</v>
      </c>
      <c r="G3" s="295" t="s">
        <v>355</v>
      </c>
      <c r="H3" s="295" t="s">
        <v>356</v>
      </c>
      <c r="J3" s="295" t="s">
        <v>353</v>
      </c>
      <c r="K3" s="295" t="s">
        <v>354</v>
      </c>
      <c r="L3" s="295" t="s">
        <v>355</v>
      </c>
      <c r="M3" s="295" t="s">
        <v>356</v>
      </c>
      <c r="O3" s="295" t="s">
        <v>353</v>
      </c>
      <c r="P3" s="295" t="s">
        <v>354</v>
      </c>
      <c r="Q3" s="295" t="s">
        <v>355</v>
      </c>
      <c r="R3" s="295" t="s">
        <v>356</v>
      </c>
      <c r="T3" s="295" t="s">
        <v>353</v>
      </c>
      <c r="U3" s="295" t="s">
        <v>354</v>
      </c>
      <c r="V3" s="295" t="s">
        <v>355</v>
      </c>
      <c r="W3" s="295" t="s">
        <v>356</v>
      </c>
      <c r="Y3" s="295" t="s">
        <v>353</v>
      </c>
      <c r="Z3" s="295" t="s">
        <v>354</v>
      </c>
      <c r="AA3" s="295" t="s">
        <v>355</v>
      </c>
      <c r="AB3" s="295" t="s">
        <v>356</v>
      </c>
      <c r="AD3" s="295" t="s">
        <v>353</v>
      </c>
      <c r="AE3" s="295" t="s">
        <v>354</v>
      </c>
      <c r="AF3" s="295" t="s">
        <v>355</v>
      </c>
      <c r="AG3" s="295" t="s">
        <v>356</v>
      </c>
      <c r="AI3" s="295" t="s">
        <v>353</v>
      </c>
      <c r="AJ3" s="295" t="s">
        <v>354</v>
      </c>
      <c r="AK3" s="295" t="s">
        <v>355</v>
      </c>
      <c r="AL3" s="295" t="s">
        <v>356</v>
      </c>
      <c r="AN3" s="295" t="s">
        <v>353</v>
      </c>
      <c r="AO3" s="295" t="s">
        <v>354</v>
      </c>
      <c r="AP3" s="295" t="s">
        <v>355</v>
      </c>
      <c r="AQ3" s="295" t="s">
        <v>356</v>
      </c>
      <c r="AS3" s="295" t="s">
        <v>353</v>
      </c>
      <c r="AT3" s="295" t="s">
        <v>354</v>
      </c>
      <c r="AU3" s="295" t="s">
        <v>355</v>
      </c>
      <c r="AV3" s="295" t="s">
        <v>356</v>
      </c>
    </row>
    <row r="5" customFormat="false" ht="12.75" hidden="false" customHeight="false" outlineLevel="0" collapsed="false">
      <c r="A5" s="300" t="s">
        <v>357</v>
      </c>
      <c r="B5" s="301" t="n">
        <v>173</v>
      </c>
      <c r="C5" s="301" t="n">
        <v>1</v>
      </c>
      <c r="D5" s="301"/>
      <c r="E5" s="301" t="n">
        <v>477</v>
      </c>
      <c r="F5" s="302" t="n">
        <v>650</v>
      </c>
      <c r="G5" s="303" t="n">
        <v>1.36</v>
      </c>
      <c r="H5" s="302" t="n">
        <v>650</v>
      </c>
      <c r="I5" s="301"/>
      <c r="J5" s="301"/>
      <c r="K5" s="302"/>
      <c r="L5" s="301"/>
      <c r="M5" s="302"/>
      <c r="N5" s="301"/>
      <c r="O5" s="301"/>
      <c r="P5" s="302"/>
      <c r="Q5" s="301"/>
      <c r="R5" s="302"/>
      <c r="S5" s="301"/>
      <c r="T5" s="301" t="n">
        <v>800</v>
      </c>
      <c r="U5" s="302" t="n">
        <v>1000</v>
      </c>
      <c r="V5" s="303" t="n">
        <v>1.25</v>
      </c>
      <c r="W5" s="302" t="n">
        <v>500</v>
      </c>
      <c r="X5" s="301"/>
      <c r="Y5" s="301"/>
      <c r="Z5" s="302"/>
      <c r="AA5" s="301"/>
      <c r="AB5" s="302"/>
      <c r="AC5" s="301"/>
      <c r="AD5" s="301" t="n">
        <v>944</v>
      </c>
      <c r="AE5" s="302" t="n">
        <v>1374</v>
      </c>
      <c r="AF5" s="303" t="n">
        <v>1.46</v>
      </c>
      <c r="AG5" s="302" t="n">
        <v>458</v>
      </c>
      <c r="AH5" s="301"/>
      <c r="AI5" s="301" t="n">
        <v>1100</v>
      </c>
      <c r="AJ5" s="302" t="n">
        <v>1600</v>
      </c>
      <c r="AK5" s="303" t="n">
        <v>1.45</v>
      </c>
      <c r="AL5" s="302" t="n">
        <v>400</v>
      </c>
      <c r="AM5" s="301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1"/>
      <c r="AY5" s="301"/>
      <c r="AZ5" s="301"/>
      <c r="BA5" s="301"/>
      <c r="BB5" s="305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4"/>
      <c r="IL5" s="304"/>
      <c r="IM5" s="304"/>
      <c r="IN5" s="304"/>
      <c r="IO5" s="304"/>
      <c r="IP5" s="304"/>
      <c r="IQ5" s="304"/>
      <c r="IR5" s="304"/>
      <c r="IS5" s="304"/>
      <c r="IT5" s="304"/>
      <c r="IU5" s="304"/>
      <c r="IV5" s="304"/>
      <c r="IW5" s="304"/>
    </row>
    <row r="6" customFormat="false" ht="12.75" hidden="false" customHeight="false" outlineLevel="0" collapsed="false">
      <c r="A6" s="306" t="s">
        <v>358</v>
      </c>
      <c r="B6" s="307" t="n">
        <v>152</v>
      </c>
      <c r="C6" s="307" t="n">
        <v>3</v>
      </c>
      <c r="D6" s="307"/>
      <c r="E6" s="307" t="n">
        <v>689</v>
      </c>
      <c r="F6" s="308" t="n">
        <v>705</v>
      </c>
      <c r="G6" s="309" t="n">
        <v>1.02</v>
      </c>
      <c r="H6" s="308" t="n">
        <v>705</v>
      </c>
      <c r="I6" s="307"/>
      <c r="J6" s="307" t="n">
        <v>806</v>
      </c>
      <c r="K6" s="308" t="n">
        <v>755</v>
      </c>
      <c r="L6" s="309" t="n">
        <v>0.94</v>
      </c>
      <c r="M6" s="308" t="n">
        <v>755</v>
      </c>
      <c r="N6" s="307"/>
      <c r="O6" s="307" t="n">
        <v>988</v>
      </c>
      <c r="P6" s="308" t="n">
        <v>910</v>
      </c>
      <c r="Q6" s="309" t="n">
        <v>0.92</v>
      </c>
      <c r="R6" s="308" t="n">
        <v>455</v>
      </c>
      <c r="S6" s="307"/>
      <c r="T6" s="307" t="n">
        <v>1105</v>
      </c>
      <c r="U6" s="308" t="n">
        <v>1025</v>
      </c>
      <c r="V6" s="309" t="n">
        <v>0.93</v>
      </c>
      <c r="W6" s="308" t="n">
        <v>512.5</v>
      </c>
      <c r="X6" s="307"/>
      <c r="Y6" s="307" t="n">
        <v>1250</v>
      </c>
      <c r="Z6" s="308" t="n">
        <v>1210</v>
      </c>
      <c r="AA6" s="309" t="n">
        <v>0.97</v>
      </c>
      <c r="AB6" s="308" t="n">
        <v>403.33</v>
      </c>
      <c r="AC6" s="307"/>
      <c r="AD6" s="307" t="n">
        <v>1250</v>
      </c>
      <c r="AE6" s="308" t="n">
        <v>1210</v>
      </c>
      <c r="AF6" s="309" t="n">
        <v>0.97</v>
      </c>
      <c r="AG6" s="308" t="n">
        <v>403.33</v>
      </c>
      <c r="AH6" s="307"/>
      <c r="AI6" s="307" t="n">
        <v>1350</v>
      </c>
      <c r="AJ6" s="308" t="n">
        <v>1624</v>
      </c>
      <c r="AK6" s="309" t="n">
        <v>1.2</v>
      </c>
      <c r="AL6" s="308" t="n">
        <v>406</v>
      </c>
      <c r="AM6" s="301"/>
      <c r="AN6" s="307"/>
      <c r="AO6" s="308"/>
      <c r="AP6" s="307"/>
      <c r="AQ6" s="308"/>
      <c r="AR6" s="307"/>
      <c r="AS6" s="307"/>
      <c r="AT6" s="308"/>
      <c r="AU6" s="307"/>
      <c r="AV6" s="308"/>
      <c r="AW6" s="307"/>
      <c r="AX6" s="307"/>
      <c r="AY6" s="307"/>
      <c r="AZ6" s="307"/>
      <c r="BA6" s="307"/>
      <c r="BB6" s="310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  <c r="IO6" s="304"/>
      <c r="IP6" s="304"/>
      <c r="IQ6" s="304"/>
      <c r="IR6" s="304"/>
      <c r="IS6" s="304"/>
      <c r="IT6" s="304"/>
      <c r="IU6" s="304"/>
      <c r="IV6" s="304"/>
      <c r="IW6" s="304"/>
    </row>
    <row r="7" customFormat="false" ht="12.75" hidden="false" customHeight="false" outlineLevel="0" collapsed="false">
      <c r="A7" s="306" t="s">
        <v>359</v>
      </c>
      <c r="B7" s="307" t="n">
        <v>258</v>
      </c>
      <c r="C7" s="307" t="n">
        <v>3</v>
      </c>
      <c r="D7" s="307"/>
      <c r="E7" s="307" t="n">
        <v>501</v>
      </c>
      <c r="F7" s="308" t="n">
        <v>600</v>
      </c>
      <c r="G7" s="309" t="n">
        <v>1.2</v>
      </c>
      <c r="H7" s="308" t="n">
        <v>600</v>
      </c>
      <c r="I7" s="307"/>
      <c r="J7" s="307" t="n">
        <v>755</v>
      </c>
      <c r="K7" s="308" t="n">
        <v>725</v>
      </c>
      <c r="L7" s="309" t="n">
        <v>0.96</v>
      </c>
      <c r="M7" s="308" t="n">
        <v>725</v>
      </c>
      <c r="N7" s="307"/>
      <c r="O7" s="307" t="n">
        <v>886</v>
      </c>
      <c r="P7" s="308" t="n">
        <v>810</v>
      </c>
      <c r="Q7" s="309" t="n">
        <v>0.91</v>
      </c>
      <c r="R7" s="308" t="n">
        <v>405</v>
      </c>
      <c r="S7" s="307"/>
      <c r="T7" s="307" t="n">
        <v>933</v>
      </c>
      <c r="U7" s="308" t="n">
        <v>900</v>
      </c>
      <c r="V7" s="309" t="n">
        <v>0.96</v>
      </c>
      <c r="W7" s="308" t="n">
        <v>450</v>
      </c>
      <c r="X7" s="307"/>
      <c r="Y7" s="307"/>
      <c r="Z7" s="308"/>
      <c r="AA7" s="307"/>
      <c r="AB7" s="308"/>
      <c r="AC7" s="307"/>
      <c r="AD7" s="307"/>
      <c r="AE7" s="308"/>
      <c r="AF7" s="307"/>
      <c r="AG7" s="308"/>
      <c r="AH7" s="307"/>
      <c r="AI7" s="307" t="n">
        <v>1556</v>
      </c>
      <c r="AJ7" s="308" t="n">
        <v>1880</v>
      </c>
      <c r="AK7" s="309" t="n">
        <v>1.21</v>
      </c>
      <c r="AL7" s="308" t="n">
        <v>470</v>
      </c>
      <c r="AM7" s="301"/>
      <c r="AN7" s="307"/>
      <c r="AO7" s="308"/>
      <c r="AP7" s="307"/>
      <c r="AQ7" s="308"/>
      <c r="AR7" s="307"/>
      <c r="AS7" s="307"/>
      <c r="AT7" s="308"/>
      <c r="AU7" s="307"/>
      <c r="AV7" s="308"/>
      <c r="AW7" s="307"/>
      <c r="AX7" s="307"/>
      <c r="AY7" s="307"/>
      <c r="AZ7" s="307"/>
      <c r="BA7" s="307"/>
      <c r="BB7" s="310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304"/>
      <c r="FE7" s="304"/>
      <c r="FF7" s="304"/>
      <c r="FG7" s="304"/>
      <c r="FH7" s="304"/>
      <c r="FI7" s="304"/>
      <c r="FJ7" s="304"/>
      <c r="FK7" s="304"/>
      <c r="FL7" s="304"/>
      <c r="FM7" s="304"/>
      <c r="FN7" s="304"/>
      <c r="FO7" s="304"/>
      <c r="FP7" s="304"/>
      <c r="FQ7" s="304"/>
      <c r="FR7" s="304"/>
      <c r="FS7" s="304"/>
      <c r="FT7" s="304"/>
      <c r="FU7" s="304"/>
      <c r="FV7" s="304"/>
      <c r="FW7" s="304"/>
      <c r="FX7" s="304"/>
      <c r="FY7" s="304"/>
      <c r="FZ7" s="304"/>
      <c r="GA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GP7" s="304"/>
      <c r="GQ7" s="304"/>
      <c r="GR7" s="304"/>
      <c r="GS7" s="304"/>
      <c r="GT7" s="304"/>
      <c r="GU7" s="304"/>
      <c r="GV7" s="304"/>
      <c r="GW7" s="304"/>
      <c r="GX7" s="304"/>
      <c r="GY7" s="304"/>
      <c r="GZ7" s="304"/>
      <c r="HA7" s="304"/>
      <c r="HB7" s="304"/>
      <c r="HC7" s="304"/>
      <c r="HD7" s="304"/>
      <c r="HE7" s="304"/>
      <c r="HF7" s="304"/>
      <c r="HG7" s="304"/>
      <c r="HH7" s="304"/>
      <c r="HI7" s="304"/>
      <c r="HJ7" s="304"/>
      <c r="HK7" s="304"/>
      <c r="HL7" s="304"/>
      <c r="HM7" s="304"/>
      <c r="HN7" s="304"/>
      <c r="HO7" s="304"/>
      <c r="HP7" s="304"/>
      <c r="HQ7" s="304"/>
      <c r="HR7" s="304"/>
      <c r="HS7" s="304"/>
      <c r="HT7" s="304"/>
      <c r="HU7" s="304"/>
      <c r="HV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  <c r="IK7" s="304"/>
      <c r="IL7" s="304"/>
      <c r="IM7" s="304"/>
      <c r="IN7" s="304"/>
      <c r="IO7" s="304"/>
      <c r="IP7" s="304"/>
      <c r="IQ7" s="304"/>
      <c r="IR7" s="304"/>
      <c r="IS7" s="304"/>
      <c r="IT7" s="304"/>
      <c r="IU7" s="304"/>
      <c r="IV7" s="304"/>
      <c r="IW7" s="304"/>
    </row>
    <row r="8" customFormat="false" ht="12.75" hidden="false" customHeight="false" outlineLevel="0" collapsed="false">
      <c r="A8" s="306" t="s">
        <v>360</v>
      </c>
      <c r="B8" s="307" t="n">
        <v>192</v>
      </c>
      <c r="C8" s="307" t="n">
        <v>3</v>
      </c>
      <c r="D8" s="307"/>
      <c r="E8" s="307"/>
      <c r="F8" s="308"/>
      <c r="G8" s="307"/>
      <c r="H8" s="308"/>
      <c r="I8" s="307"/>
      <c r="J8" s="307"/>
      <c r="K8" s="308"/>
      <c r="L8" s="307"/>
      <c r="M8" s="308"/>
      <c r="N8" s="307"/>
      <c r="O8" s="307"/>
      <c r="P8" s="308"/>
      <c r="Q8" s="307"/>
      <c r="R8" s="308"/>
      <c r="S8" s="307"/>
      <c r="T8" s="307" t="n">
        <v>1058</v>
      </c>
      <c r="U8" s="308" t="n">
        <v>1064</v>
      </c>
      <c r="V8" s="309" t="n">
        <v>1.01</v>
      </c>
      <c r="W8" s="308" t="n">
        <v>532</v>
      </c>
      <c r="X8" s="307"/>
      <c r="Y8" s="307"/>
      <c r="Z8" s="308"/>
      <c r="AA8" s="307"/>
      <c r="AB8" s="308"/>
      <c r="AC8" s="307"/>
      <c r="AD8" s="307" t="n">
        <v>1000</v>
      </c>
      <c r="AE8" s="308" t="n">
        <v>1281</v>
      </c>
      <c r="AF8" s="309" t="n">
        <v>1.28</v>
      </c>
      <c r="AG8" s="308" t="n">
        <v>427</v>
      </c>
      <c r="AH8" s="307"/>
      <c r="AI8" s="307"/>
      <c r="AJ8" s="308"/>
      <c r="AK8" s="307"/>
      <c r="AL8" s="308"/>
      <c r="AM8" s="307"/>
      <c r="AN8" s="307"/>
      <c r="AO8" s="308"/>
      <c r="AP8" s="307"/>
      <c r="AQ8" s="308"/>
      <c r="AR8" s="307"/>
      <c r="AS8" s="307"/>
      <c r="AT8" s="308"/>
      <c r="AU8" s="307"/>
      <c r="AV8" s="308"/>
      <c r="AW8" s="307"/>
      <c r="AX8" s="307"/>
      <c r="AY8" s="307"/>
      <c r="AZ8" s="307"/>
      <c r="BA8" s="307"/>
      <c r="BB8" s="310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  <c r="EO8" s="304"/>
      <c r="EP8" s="304"/>
      <c r="EQ8" s="304"/>
      <c r="ER8" s="304"/>
      <c r="ES8" s="304"/>
      <c r="ET8" s="304"/>
      <c r="EU8" s="304"/>
      <c r="EV8" s="304"/>
      <c r="EW8" s="304"/>
      <c r="EX8" s="304"/>
      <c r="EY8" s="304"/>
      <c r="EZ8" s="304"/>
      <c r="FA8" s="304"/>
      <c r="FB8" s="304"/>
      <c r="FC8" s="304"/>
      <c r="FD8" s="304"/>
      <c r="FE8" s="304"/>
      <c r="FF8" s="304"/>
      <c r="FG8" s="304"/>
      <c r="FH8" s="304"/>
      <c r="FI8" s="304"/>
      <c r="FJ8" s="304"/>
      <c r="FK8" s="304"/>
      <c r="FL8" s="304"/>
      <c r="FM8" s="304"/>
      <c r="FN8" s="304"/>
      <c r="FO8" s="304"/>
      <c r="FP8" s="304"/>
      <c r="FQ8" s="304"/>
      <c r="FR8" s="304"/>
      <c r="FS8" s="304"/>
      <c r="FT8" s="304"/>
      <c r="FU8" s="304"/>
      <c r="FV8" s="304"/>
      <c r="FW8" s="304"/>
      <c r="FX8" s="304"/>
      <c r="FY8" s="304"/>
      <c r="FZ8" s="304"/>
      <c r="GA8" s="304"/>
      <c r="GB8" s="304"/>
      <c r="GC8" s="304"/>
      <c r="GD8" s="304"/>
      <c r="GE8" s="304"/>
      <c r="GF8" s="304"/>
      <c r="GG8" s="304"/>
      <c r="GH8" s="304"/>
      <c r="GI8" s="304"/>
      <c r="GJ8" s="304"/>
      <c r="GK8" s="304"/>
      <c r="GL8" s="304"/>
      <c r="GM8" s="304"/>
      <c r="GN8" s="304"/>
      <c r="GO8" s="304"/>
      <c r="GP8" s="304"/>
      <c r="GQ8" s="304"/>
      <c r="GR8" s="304"/>
      <c r="GS8" s="304"/>
      <c r="GT8" s="304"/>
      <c r="GU8" s="304"/>
      <c r="GV8" s="304"/>
      <c r="GW8" s="304"/>
      <c r="GX8" s="304"/>
      <c r="GY8" s="304"/>
      <c r="GZ8" s="304"/>
      <c r="HA8" s="304"/>
      <c r="HB8" s="304"/>
      <c r="HC8" s="304"/>
      <c r="HD8" s="304"/>
      <c r="HE8" s="304"/>
      <c r="HF8" s="304"/>
      <c r="HG8" s="304"/>
      <c r="HH8" s="304"/>
      <c r="HI8" s="304"/>
      <c r="HJ8" s="304"/>
      <c r="HK8" s="304"/>
      <c r="HL8" s="304"/>
      <c r="HM8" s="304"/>
      <c r="HN8" s="304"/>
      <c r="HO8" s="304"/>
      <c r="HP8" s="304"/>
      <c r="HQ8" s="304"/>
      <c r="HR8" s="304"/>
      <c r="HS8" s="304"/>
      <c r="HT8" s="304"/>
      <c r="HU8" s="304"/>
      <c r="HV8" s="304"/>
      <c r="HW8" s="304"/>
      <c r="HX8" s="304"/>
      <c r="HY8" s="304"/>
      <c r="HZ8" s="304"/>
      <c r="IA8" s="304"/>
      <c r="IB8" s="304"/>
      <c r="IC8" s="304"/>
      <c r="ID8" s="304"/>
      <c r="IE8" s="304"/>
      <c r="IF8" s="304"/>
      <c r="IG8" s="304"/>
      <c r="IH8" s="304"/>
      <c r="II8" s="304"/>
      <c r="IJ8" s="304"/>
      <c r="IK8" s="304"/>
      <c r="IL8" s="304"/>
      <c r="IM8" s="304"/>
      <c r="IN8" s="304"/>
      <c r="IO8" s="304"/>
      <c r="IP8" s="304"/>
      <c r="IQ8" s="304"/>
      <c r="IR8" s="304"/>
      <c r="IS8" s="304"/>
      <c r="IT8" s="304"/>
      <c r="IU8" s="304"/>
      <c r="IV8" s="304"/>
      <c r="IW8" s="304"/>
    </row>
    <row r="9" customFormat="false" ht="12.75" hidden="false" customHeight="false" outlineLevel="0" collapsed="false">
      <c r="A9" s="306" t="s">
        <v>360</v>
      </c>
      <c r="B9" s="307"/>
      <c r="C9" s="307"/>
      <c r="D9" s="307"/>
      <c r="E9" s="307"/>
      <c r="F9" s="308"/>
      <c r="G9" s="307"/>
      <c r="H9" s="308"/>
      <c r="I9" s="307"/>
      <c r="J9" s="307"/>
      <c r="K9" s="308"/>
      <c r="L9" s="307"/>
      <c r="M9" s="308"/>
      <c r="N9" s="307"/>
      <c r="O9" s="307"/>
      <c r="P9" s="308"/>
      <c r="Q9" s="307"/>
      <c r="R9" s="308"/>
      <c r="S9" s="307"/>
      <c r="T9" s="307" t="n">
        <v>1058</v>
      </c>
      <c r="U9" s="308" t="n">
        <v>976</v>
      </c>
      <c r="V9" s="309" t="n">
        <v>0.92</v>
      </c>
      <c r="W9" s="308" t="n">
        <v>488</v>
      </c>
      <c r="X9" s="307"/>
      <c r="Y9" s="307"/>
      <c r="Z9" s="308"/>
      <c r="AA9" s="307"/>
      <c r="AB9" s="308"/>
      <c r="AC9" s="307"/>
      <c r="AD9" s="307"/>
      <c r="AE9" s="308"/>
      <c r="AF9" s="307"/>
      <c r="AG9" s="308"/>
      <c r="AH9" s="307"/>
      <c r="AI9" s="307"/>
      <c r="AJ9" s="308"/>
      <c r="AK9" s="307"/>
      <c r="AL9" s="308"/>
      <c r="AM9" s="307"/>
      <c r="AN9" s="307"/>
      <c r="AO9" s="308"/>
      <c r="AP9" s="307"/>
      <c r="AQ9" s="308"/>
      <c r="AR9" s="307"/>
      <c r="AS9" s="307"/>
      <c r="AT9" s="308"/>
      <c r="AU9" s="307"/>
      <c r="AV9" s="308"/>
      <c r="AW9" s="307"/>
      <c r="AX9" s="307"/>
      <c r="AY9" s="307"/>
      <c r="AZ9" s="307"/>
      <c r="BA9" s="307"/>
      <c r="BB9" s="310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  <c r="IW9" s="304"/>
    </row>
    <row r="10" customFormat="false" ht="12.75" hidden="false" customHeight="false" outlineLevel="0" collapsed="false">
      <c r="A10" s="311"/>
      <c r="B10" s="312"/>
      <c r="C10" s="312"/>
      <c r="D10" s="312"/>
      <c r="E10" s="312"/>
      <c r="F10" s="313"/>
      <c r="G10" s="312"/>
      <c r="H10" s="313"/>
      <c r="I10" s="312"/>
      <c r="J10" s="312"/>
      <c r="K10" s="313"/>
      <c r="L10" s="312"/>
      <c r="M10" s="313"/>
      <c r="N10" s="312"/>
      <c r="O10" s="312"/>
      <c r="P10" s="313"/>
      <c r="Q10" s="312"/>
      <c r="R10" s="313"/>
      <c r="S10" s="312"/>
      <c r="T10" s="312" t="n">
        <v>990.8</v>
      </c>
      <c r="U10" s="313" t="n">
        <v>993</v>
      </c>
      <c r="V10" s="314" t="n">
        <v>1.01</v>
      </c>
      <c r="W10" s="313" t="n">
        <v>496.5</v>
      </c>
      <c r="X10" s="312"/>
      <c r="Y10" s="315" t="n">
        <f aca="false">AVERAGE(Y5:Y9)</f>
        <v>1250</v>
      </c>
      <c r="Z10" s="315" t="n">
        <f aca="false">AVERAGE(Z5:Z9)</f>
        <v>1210</v>
      </c>
      <c r="AA10" s="316" t="n">
        <f aca="false">AVERAGE(AA5:AA9)</f>
        <v>0.97</v>
      </c>
      <c r="AB10" s="315" t="n">
        <f aca="false">AVERAGE(AB5:AB9)</f>
        <v>403.33</v>
      </c>
      <c r="AC10" s="312"/>
      <c r="AD10" s="315" t="n">
        <f aca="false">AVERAGE(AD5:AD9)</f>
        <v>1064.66666666667</v>
      </c>
      <c r="AE10" s="315" t="n">
        <f aca="false">AVERAGE(AE5:AE9)</f>
        <v>1288.33333333333</v>
      </c>
      <c r="AF10" s="316" t="n">
        <f aca="false">AVERAGE(AF5:AF9)</f>
        <v>1.23666666666667</v>
      </c>
      <c r="AG10" s="315" t="n">
        <f aca="false">AVERAGE(AG5:AG9)</f>
        <v>429.443333333333</v>
      </c>
      <c r="AH10" s="312"/>
      <c r="AI10" s="315" t="n">
        <f aca="false">AVERAGE(AI5:AI9)</f>
        <v>1335.33333333333</v>
      </c>
      <c r="AJ10" s="315" t="n">
        <f aca="false">AVERAGE(AJ5:AJ9)</f>
        <v>1701.33333333333</v>
      </c>
      <c r="AK10" s="316" t="n">
        <f aca="false">AVERAGE(AK5:AK9)</f>
        <v>1.28666666666667</v>
      </c>
      <c r="AL10" s="315" t="n">
        <f aca="false">AVERAGE(AL5:AL9)</f>
        <v>425.333333333333</v>
      </c>
      <c r="AM10" s="312"/>
      <c r="AN10" s="312"/>
      <c r="AO10" s="313"/>
      <c r="AP10" s="312"/>
      <c r="AQ10" s="313"/>
      <c r="AR10" s="312"/>
      <c r="AS10" s="312"/>
      <c r="AT10" s="313"/>
      <c r="AU10" s="312"/>
      <c r="AV10" s="313"/>
      <c r="AW10" s="312"/>
      <c r="AX10" s="312"/>
      <c r="AY10" s="312"/>
      <c r="AZ10" s="312"/>
      <c r="BA10" s="312"/>
      <c r="BB10" s="317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  <c r="CL10" s="318"/>
      <c r="CM10" s="318"/>
      <c r="CN10" s="318"/>
      <c r="CO10" s="318"/>
      <c r="CP10" s="318"/>
      <c r="CQ10" s="318"/>
      <c r="CR10" s="318"/>
      <c r="CS10" s="318"/>
      <c r="CT10" s="318"/>
      <c r="CU10" s="318"/>
      <c r="CV10" s="318"/>
      <c r="CW10" s="318"/>
      <c r="CX10" s="318"/>
      <c r="CY10" s="318"/>
      <c r="CZ10" s="318"/>
      <c r="DA10" s="318"/>
      <c r="DB10" s="318"/>
      <c r="DC10" s="318"/>
      <c r="DD10" s="318"/>
      <c r="DE10" s="318"/>
      <c r="DF10" s="318"/>
      <c r="DG10" s="318"/>
      <c r="DH10" s="318"/>
      <c r="DI10" s="318"/>
      <c r="DJ10" s="318"/>
      <c r="DK10" s="318"/>
      <c r="DL10" s="318"/>
      <c r="DM10" s="318"/>
      <c r="DN10" s="318"/>
      <c r="DO10" s="318"/>
      <c r="DP10" s="318"/>
      <c r="DQ10" s="318"/>
      <c r="DR10" s="318"/>
      <c r="DS10" s="318"/>
      <c r="DT10" s="318"/>
      <c r="DU10" s="318"/>
      <c r="DV10" s="318"/>
      <c r="DW10" s="318"/>
      <c r="DX10" s="318"/>
      <c r="DY10" s="318"/>
      <c r="DZ10" s="318"/>
      <c r="EA10" s="318"/>
      <c r="EB10" s="318"/>
      <c r="EC10" s="318"/>
      <c r="ED10" s="318"/>
      <c r="EE10" s="318"/>
      <c r="EF10" s="318"/>
      <c r="EG10" s="318"/>
      <c r="EH10" s="318"/>
      <c r="EI10" s="318"/>
      <c r="EJ10" s="318"/>
      <c r="EK10" s="318"/>
      <c r="EL10" s="318"/>
      <c r="EM10" s="318"/>
      <c r="EN10" s="318"/>
      <c r="EO10" s="318"/>
      <c r="EP10" s="318"/>
      <c r="EQ10" s="318"/>
      <c r="ER10" s="318"/>
      <c r="ES10" s="318"/>
      <c r="ET10" s="318"/>
      <c r="EU10" s="318"/>
      <c r="EV10" s="318"/>
      <c r="EW10" s="318"/>
      <c r="EX10" s="318"/>
      <c r="EY10" s="318"/>
      <c r="EZ10" s="318"/>
      <c r="FA10" s="318"/>
      <c r="FB10" s="318"/>
      <c r="FC10" s="318"/>
      <c r="FD10" s="318"/>
      <c r="FE10" s="318"/>
      <c r="FF10" s="318"/>
      <c r="FG10" s="318"/>
      <c r="FH10" s="318"/>
      <c r="FI10" s="318"/>
      <c r="FJ10" s="318"/>
      <c r="FK10" s="318"/>
      <c r="FL10" s="318"/>
      <c r="FM10" s="318"/>
      <c r="FN10" s="318"/>
      <c r="FO10" s="318"/>
      <c r="FP10" s="318"/>
      <c r="FQ10" s="318"/>
      <c r="FR10" s="318"/>
      <c r="FS10" s="318"/>
      <c r="FT10" s="318"/>
      <c r="FU10" s="318"/>
      <c r="FV10" s="318"/>
      <c r="FW10" s="318"/>
      <c r="FX10" s="318"/>
      <c r="FY10" s="318"/>
      <c r="FZ10" s="318"/>
      <c r="GA10" s="318"/>
      <c r="GB10" s="318"/>
      <c r="GC10" s="318"/>
      <c r="GD10" s="318"/>
      <c r="GE10" s="318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  <c r="IN10" s="318"/>
      <c r="IO10" s="318"/>
      <c r="IP10" s="318"/>
      <c r="IQ10" s="318"/>
      <c r="IR10" s="318"/>
      <c r="IS10" s="318"/>
      <c r="IT10" s="318"/>
      <c r="IU10" s="318"/>
      <c r="IV10" s="318"/>
      <c r="IW10" s="318"/>
    </row>
    <row r="11" customFormat="false" ht="12.75" hidden="false" customHeight="false" outlineLevel="0" collapsed="false">
      <c r="F11" s="319"/>
      <c r="G11" s="320"/>
      <c r="H11" s="319"/>
      <c r="K11" s="321"/>
      <c r="M11" s="321"/>
      <c r="P11" s="321"/>
      <c r="Q11" s="320"/>
      <c r="R11" s="319"/>
      <c r="U11" s="321"/>
      <c r="V11" s="320"/>
      <c r="W11" s="319"/>
      <c r="Z11" s="321"/>
      <c r="AB11" s="321"/>
      <c r="AE11" s="321"/>
      <c r="AG11" s="321"/>
      <c r="AJ11" s="321"/>
      <c r="AL11" s="321"/>
      <c r="AO11" s="321"/>
      <c r="AQ11" s="321"/>
      <c r="AT11" s="321"/>
      <c r="AV11" s="321"/>
    </row>
    <row r="12" customFormat="false" ht="12.75" hidden="false" customHeight="false" outlineLevel="0" collapsed="false">
      <c r="A12" s="322" t="s">
        <v>361</v>
      </c>
      <c r="B12" s="323" t="n">
        <v>134</v>
      </c>
      <c r="C12" s="323" t="n">
        <v>0</v>
      </c>
      <c r="D12" s="323"/>
      <c r="E12" s="323" t="n">
        <v>0</v>
      </c>
      <c r="F12" s="324" t="n">
        <v>0</v>
      </c>
      <c r="G12" s="325"/>
      <c r="H12" s="324"/>
      <c r="I12" s="323"/>
      <c r="J12" s="323" t="n">
        <v>0</v>
      </c>
      <c r="K12" s="326" t="n">
        <v>0</v>
      </c>
      <c r="L12" s="323" t="n">
        <v>0</v>
      </c>
      <c r="M12" s="326" t="n">
        <v>0</v>
      </c>
      <c r="N12" s="323"/>
      <c r="O12" s="323"/>
      <c r="P12" s="326"/>
      <c r="Q12" s="325"/>
      <c r="R12" s="324"/>
      <c r="S12" s="323"/>
      <c r="T12" s="323" t="n">
        <v>1107</v>
      </c>
      <c r="U12" s="326" t="n">
        <v>1150</v>
      </c>
      <c r="V12" s="325" t="n">
        <f aca="false">+U12/T12</f>
        <v>1.03884372177055</v>
      </c>
      <c r="W12" s="324" t="n">
        <f aca="false">+U12/2</f>
        <v>575</v>
      </c>
      <c r="X12" s="323"/>
      <c r="Y12" s="323"/>
      <c r="Z12" s="326"/>
      <c r="AA12" s="323"/>
      <c r="AB12" s="326"/>
      <c r="AC12" s="323"/>
      <c r="AD12" s="323" t="n">
        <f aca="false">1298</f>
        <v>1298</v>
      </c>
      <c r="AE12" s="326" t="n">
        <f aca="false">475*3</f>
        <v>1425</v>
      </c>
      <c r="AF12" s="325" t="n">
        <f aca="false">+AE12/AD12</f>
        <v>1.09784283513097</v>
      </c>
      <c r="AG12" s="324" t="n">
        <f aca="false">+AE12/3</f>
        <v>475</v>
      </c>
      <c r="AH12" s="323"/>
      <c r="AI12" s="323"/>
      <c r="AJ12" s="326"/>
      <c r="AK12" s="323"/>
      <c r="AL12" s="326"/>
      <c r="AM12" s="323"/>
      <c r="AN12" s="323"/>
      <c r="AO12" s="326"/>
      <c r="AP12" s="323"/>
      <c r="AQ12" s="326"/>
      <c r="AR12" s="323"/>
      <c r="AS12" s="323"/>
      <c r="AT12" s="326"/>
      <c r="AU12" s="323"/>
      <c r="AV12" s="327"/>
    </row>
    <row r="13" customFormat="false" ht="12.75" hidden="false" customHeight="false" outlineLevel="0" collapsed="false">
      <c r="A13" s="328"/>
      <c r="B13" s="329"/>
      <c r="C13" s="329"/>
      <c r="D13" s="329"/>
      <c r="E13" s="329"/>
      <c r="F13" s="330"/>
      <c r="G13" s="331"/>
      <c r="H13" s="330"/>
      <c r="I13" s="329"/>
      <c r="J13" s="329"/>
      <c r="K13" s="332"/>
      <c r="L13" s="329"/>
      <c r="M13" s="332"/>
      <c r="N13" s="329"/>
      <c r="O13" s="329"/>
      <c r="P13" s="332"/>
      <c r="Q13" s="331"/>
      <c r="R13" s="330"/>
      <c r="S13" s="329"/>
      <c r="T13" s="329" t="n">
        <v>1198</v>
      </c>
      <c r="U13" s="332" t="n">
        <v>1200</v>
      </c>
      <c r="V13" s="331" t="n">
        <f aca="false">+U13/T13</f>
        <v>1.0016694490818</v>
      </c>
      <c r="W13" s="330" t="n">
        <f aca="false">+U13/2</f>
        <v>600</v>
      </c>
      <c r="X13" s="329"/>
      <c r="Y13" s="329"/>
      <c r="Z13" s="332"/>
      <c r="AA13" s="329"/>
      <c r="AB13" s="332"/>
      <c r="AC13" s="329"/>
      <c r="AD13" s="329"/>
      <c r="AE13" s="332"/>
      <c r="AF13" s="329"/>
      <c r="AG13" s="332"/>
      <c r="AH13" s="329"/>
      <c r="AI13" s="329"/>
      <c r="AJ13" s="332"/>
      <c r="AK13" s="329"/>
      <c r="AL13" s="332"/>
      <c r="AM13" s="329"/>
      <c r="AN13" s="329"/>
      <c r="AO13" s="332"/>
      <c r="AP13" s="329"/>
      <c r="AQ13" s="332"/>
      <c r="AR13" s="329"/>
      <c r="AS13" s="329"/>
      <c r="AT13" s="332"/>
      <c r="AU13" s="329"/>
      <c r="AV13" s="333"/>
    </row>
    <row r="14" customFormat="false" ht="12.75" hidden="false" customHeight="false" outlineLevel="0" collapsed="false">
      <c r="F14" s="319"/>
      <c r="G14" s="320"/>
      <c r="H14" s="319"/>
      <c r="K14" s="321"/>
      <c r="M14" s="321"/>
      <c r="P14" s="321"/>
      <c r="Q14" s="320"/>
      <c r="R14" s="319"/>
      <c r="T14" s="323" t="n">
        <f aca="false">1107-150</f>
        <v>957</v>
      </c>
      <c r="U14" s="321" t="n">
        <f aca="false">W14*2</f>
        <v>1200</v>
      </c>
      <c r="V14" s="334" t="n">
        <f aca="false">+U14/U14</f>
        <v>1</v>
      </c>
      <c r="W14" s="330" t="n">
        <v>600</v>
      </c>
      <c r="Z14" s="321"/>
      <c r="AB14" s="321"/>
      <c r="AE14" s="321"/>
      <c r="AG14" s="321"/>
      <c r="AJ14" s="321"/>
      <c r="AL14" s="321"/>
      <c r="AO14" s="321"/>
      <c r="AQ14" s="321"/>
      <c r="AT14" s="321"/>
      <c r="AV14" s="321"/>
    </row>
    <row r="15" customFormat="false" ht="12.75" hidden="false" customHeight="false" outlineLevel="0" collapsed="false">
      <c r="F15" s="319"/>
      <c r="G15" s="320"/>
      <c r="H15" s="319"/>
      <c r="K15" s="321"/>
      <c r="M15" s="321"/>
      <c r="P15" s="321"/>
      <c r="Q15" s="320"/>
      <c r="R15" s="319"/>
      <c r="T15" s="329" t="n">
        <v>1198</v>
      </c>
      <c r="U15" s="321" t="n">
        <f aca="false">V15*T15</f>
        <v>1497.5</v>
      </c>
      <c r="V15" s="295" t="n">
        <v>1.25</v>
      </c>
      <c r="W15" s="330" t="n">
        <f aca="false">+U15/2</f>
        <v>748.75</v>
      </c>
      <c r="Z15" s="321"/>
      <c r="AB15" s="321"/>
      <c r="AE15" s="321"/>
      <c r="AG15" s="321"/>
      <c r="AJ15" s="321"/>
      <c r="AL15" s="321"/>
      <c r="AO15" s="321"/>
      <c r="AQ15" s="321"/>
      <c r="AT15" s="321"/>
      <c r="AV15" s="321"/>
    </row>
    <row r="16" customFormat="false" ht="12.75" hidden="false" customHeight="false" outlineLevel="0" collapsed="false">
      <c r="F16" s="319"/>
      <c r="G16" s="320"/>
      <c r="H16" s="319"/>
      <c r="K16" s="321"/>
      <c r="M16" s="321"/>
      <c r="P16" s="321"/>
      <c r="Q16" s="320"/>
      <c r="R16" s="319"/>
      <c r="U16" s="321"/>
      <c r="W16" s="321"/>
      <c r="Z16" s="321"/>
      <c r="AB16" s="321"/>
      <c r="AE16" s="321"/>
      <c r="AG16" s="321"/>
      <c r="AJ16" s="321"/>
      <c r="AL16" s="321"/>
      <c r="AO16" s="321"/>
      <c r="AQ16" s="321"/>
      <c r="AT16" s="321"/>
      <c r="AV16" s="321"/>
    </row>
    <row r="17" customFormat="false" ht="12.75" hidden="false" customHeight="false" outlineLevel="0" collapsed="false">
      <c r="F17" s="319"/>
      <c r="G17" s="320"/>
      <c r="H17" s="319"/>
      <c r="K17" s="321"/>
      <c r="M17" s="321"/>
      <c r="P17" s="321"/>
      <c r="Q17" s="320"/>
      <c r="R17" s="319"/>
      <c r="U17" s="321"/>
      <c r="W17" s="321"/>
      <c r="Z17" s="321"/>
      <c r="AB17" s="321"/>
      <c r="AE17" s="321"/>
      <c r="AG17" s="321"/>
      <c r="AJ17" s="321"/>
      <c r="AL17" s="321"/>
      <c r="AO17" s="321"/>
      <c r="AQ17" s="321"/>
      <c r="AT17" s="321"/>
      <c r="AV17" s="321"/>
    </row>
    <row r="18" customFormat="false" ht="12.75" hidden="false" customHeight="false" outlineLevel="0" collapsed="false">
      <c r="F18" s="319"/>
      <c r="G18" s="320"/>
      <c r="H18" s="319"/>
      <c r="K18" s="321"/>
      <c r="M18" s="321"/>
      <c r="P18" s="321"/>
      <c r="Q18" s="320"/>
      <c r="R18" s="319"/>
      <c r="U18" s="321"/>
      <c r="W18" s="321"/>
      <c r="Z18" s="321"/>
      <c r="AB18" s="321"/>
      <c r="AE18" s="321"/>
      <c r="AG18" s="321"/>
      <c r="AJ18" s="321"/>
      <c r="AL18" s="321"/>
      <c r="AO18" s="321"/>
      <c r="AQ18" s="321"/>
      <c r="AT18" s="321"/>
      <c r="AV18" s="321"/>
    </row>
    <row r="19" customFormat="false" ht="12.75" hidden="false" customHeight="false" outlineLevel="0" collapsed="false">
      <c r="F19" s="319"/>
      <c r="G19" s="320"/>
      <c r="H19" s="319"/>
      <c r="K19" s="321"/>
      <c r="M19" s="321"/>
      <c r="P19" s="321"/>
      <c r="Q19" s="320"/>
      <c r="R19" s="319"/>
      <c r="U19" s="321"/>
      <c r="W19" s="321"/>
      <c r="Z19" s="321"/>
      <c r="AB19" s="321"/>
      <c r="AE19" s="321"/>
      <c r="AG19" s="321"/>
      <c r="AJ19" s="321"/>
      <c r="AL19" s="321"/>
      <c r="AO19" s="321"/>
      <c r="AQ19" s="321"/>
      <c r="AT19" s="321"/>
      <c r="AV19" s="321"/>
    </row>
    <row r="20" customFormat="false" ht="12.75" hidden="false" customHeight="false" outlineLevel="0" collapsed="false">
      <c r="F20" s="319"/>
      <c r="G20" s="320"/>
      <c r="H20" s="319"/>
      <c r="K20" s="321"/>
      <c r="M20" s="321"/>
      <c r="P20" s="321"/>
      <c r="Q20" s="320"/>
      <c r="R20" s="319"/>
      <c r="U20" s="321"/>
      <c r="W20" s="321"/>
      <c r="Z20" s="321"/>
      <c r="AB20" s="321"/>
      <c r="AE20" s="321"/>
      <c r="AG20" s="321"/>
      <c r="AJ20" s="321"/>
      <c r="AL20" s="321"/>
      <c r="AO20" s="321"/>
      <c r="AQ20" s="321"/>
      <c r="AT20" s="321"/>
      <c r="AV20" s="321"/>
    </row>
    <row r="21" customFormat="false" ht="12.75" hidden="false" customHeight="false" outlineLevel="0" collapsed="false">
      <c r="F21" s="319"/>
      <c r="G21" s="320"/>
      <c r="H21" s="319"/>
      <c r="K21" s="321"/>
      <c r="M21" s="321"/>
      <c r="P21" s="321"/>
      <c r="Q21" s="320"/>
      <c r="R21" s="319"/>
      <c r="U21" s="321"/>
      <c r="W21" s="321"/>
      <c r="Z21" s="321"/>
      <c r="AB21" s="321"/>
      <c r="AE21" s="321"/>
      <c r="AG21" s="321"/>
      <c r="AJ21" s="321"/>
      <c r="AL21" s="321"/>
      <c r="AO21" s="321"/>
      <c r="AQ21" s="321"/>
      <c r="AT21" s="321"/>
      <c r="AV21" s="321"/>
    </row>
    <row r="22" customFormat="false" ht="12.75" hidden="false" customHeight="false" outlineLevel="0" collapsed="false">
      <c r="F22" s="319"/>
      <c r="G22" s="320"/>
      <c r="H22" s="319"/>
      <c r="K22" s="321"/>
      <c r="M22" s="321"/>
      <c r="P22" s="321"/>
      <c r="Q22" s="320"/>
      <c r="R22" s="319"/>
      <c r="U22" s="321"/>
      <c r="W22" s="321"/>
      <c r="Z22" s="321"/>
      <c r="AB22" s="321"/>
      <c r="AE22" s="321"/>
      <c r="AG22" s="321"/>
      <c r="AJ22" s="321"/>
      <c r="AL22" s="321"/>
      <c r="AO22" s="321"/>
      <c r="AQ22" s="321"/>
      <c r="AT22" s="321"/>
      <c r="AV22" s="321"/>
    </row>
    <row r="23" customFormat="false" ht="12.75" hidden="false" customHeight="false" outlineLevel="0" collapsed="false">
      <c r="F23" s="319"/>
      <c r="G23" s="320"/>
      <c r="H23" s="319"/>
      <c r="K23" s="321"/>
      <c r="M23" s="321"/>
      <c r="P23" s="321"/>
      <c r="Q23" s="320"/>
      <c r="R23" s="319"/>
      <c r="U23" s="321"/>
      <c r="W23" s="321"/>
      <c r="Z23" s="321"/>
      <c r="AB23" s="321"/>
      <c r="AE23" s="321"/>
      <c r="AG23" s="321"/>
      <c r="AJ23" s="321"/>
      <c r="AL23" s="321"/>
      <c r="AO23" s="321"/>
      <c r="AQ23" s="321"/>
      <c r="AT23" s="321"/>
      <c r="AV23" s="321"/>
    </row>
    <row r="24" customFormat="false" ht="12.75" hidden="false" customHeight="false" outlineLevel="0" collapsed="false">
      <c r="F24" s="319"/>
      <c r="G24" s="320"/>
      <c r="H24" s="319"/>
      <c r="K24" s="321"/>
      <c r="M24" s="321"/>
      <c r="P24" s="321"/>
      <c r="Q24" s="320"/>
      <c r="R24" s="319"/>
      <c r="U24" s="321"/>
      <c r="W24" s="321"/>
      <c r="Z24" s="321"/>
      <c r="AB24" s="321"/>
      <c r="AE24" s="321"/>
      <c r="AG24" s="321"/>
      <c r="AJ24" s="321"/>
      <c r="AL24" s="321"/>
      <c r="AO24" s="321"/>
      <c r="AQ24" s="321"/>
      <c r="AT24" s="321"/>
      <c r="AV24" s="321"/>
    </row>
    <row r="25" customFormat="false" ht="12.75" hidden="false" customHeight="false" outlineLevel="0" collapsed="false">
      <c r="F25" s="319"/>
      <c r="G25" s="320"/>
      <c r="H25" s="319"/>
      <c r="K25" s="321"/>
      <c r="M25" s="321"/>
      <c r="P25" s="321"/>
      <c r="Q25" s="320"/>
      <c r="R25" s="319"/>
      <c r="U25" s="321"/>
      <c r="W25" s="321"/>
      <c r="Z25" s="321"/>
      <c r="AB25" s="321"/>
      <c r="AE25" s="321"/>
      <c r="AG25" s="321"/>
      <c r="AJ25" s="321"/>
      <c r="AL25" s="321"/>
      <c r="AO25" s="321"/>
      <c r="AQ25" s="321"/>
      <c r="AT25" s="321"/>
      <c r="AV25" s="321"/>
    </row>
    <row r="26" customFormat="false" ht="12.75" hidden="false" customHeight="false" outlineLevel="0" collapsed="false">
      <c r="F26" s="319"/>
      <c r="G26" s="320"/>
      <c r="H26" s="319"/>
      <c r="K26" s="321"/>
      <c r="M26" s="321"/>
      <c r="P26" s="321"/>
      <c r="Q26" s="320"/>
      <c r="R26" s="319"/>
      <c r="U26" s="321"/>
      <c r="W26" s="321"/>
      <c r="Z26" s="321"/>
      <c r="AB26" s="321"/>
      <c r="AE26" s="321"/>
      <c r="AG26" s="321"/>
      <c r="AJ26" s="321"/>
      <c r="AL26" s="321"/>
      <c r="AO26" s="321"/>
      <c r="AQ26" s="321"/>
      <c r="AT26" s="321"/>
      <c r="AV26" s="321"/>
    </row>
    <row r="27" customFormat="false" ht="12.75" hidden="false" customHeight="false" outlineLevel="0" collapsed="false">
      <c r="F27" s="319"/>
      <c r="G27" s="320"/>
      <c r="H27" s="319"/>
      <c r="K27" s="321"/>
      <c r="M27" s="321"/>
      <c r="P27" s="321"/>
      <c r="Q27" s="320"/>
      <c r="R27" s="319"/>
      <c r="U27" s="321"/>
      <c r="W27" s="321"/>
      <c r="Z27" s="321"/>
      <c r="AB27" s="321"/>
      <c r="AE27" s="321"/>
      <c r="AG27" s="321"/>
      <c r="AJ27" s="321"/>
      <c r="AL27" s="321"/>
      <c r="AO27" s="321"/>
      <c r="AQ27" s="321"/>
      <c r="AT27" s="321"/>
      <c r="AV27" s="321"/>
    </row>
    <row r="28" customFormat="false" ht="12.75" hidden="false" customHeight="false" outlineLevel="0" collapsed="false">
      <c r="F28" s="319"/>
      <c r="G28" s="320"/>
      <c r="H28" s="319"/>
      <c r="K28" s="321"/>
      <c r="M28" s="321"/>
      <c r="P28" s="321"/>
      <c r="Q28" s="320"/>
      <c r="R28" s="319"/>
      <c r="U28" s="321"/>
      <c r="W28" s="321"/>
      <c r="Z28" s="321"/>
      <c r="AB28" s="321"/>
      <c r="AE28" s="321"/>
      <c r="AG28" s="321"/>
      <c r="AJ28" s="321"/>
      <c r="AL28" s="321"/>
      <c r="AO28" s="321"/>
      <c r="AQ28" s="321"/>
      <c r="AT28" s="321"/>
      <c r="AV28" s="321"/>
    </row>
    <row r="29" customFormat="false" ht="12.75" hidden="false" customHeight="false" outlineLevel="0" collapsed="false">
      <c r="F29" s="319"/>
      <c r="G29" s="320"/>
      <c r="H29" s="319"/>
      <c r="K29" s="321"/>
      <c r="M29" s="321"/>
      <c r="P29" s="321"/>
      <c r="Q29" s="320"/>
      <c r="R29" s="319"/>
      <c r="U29" s="321"/>
      <c r="W29" s="321"/>
      <c r="Z29" s="321"/>
      <c r="AB29" s="321"/>
      <c r="AE29" s="321"/>
      <c r="AG29" s="321"/>
      <c r="AJ29" s="321"/>
      <c r="AL29" s="321"/>
      <c r="AO29" s="321"/>
      <c r="AQ29" s="321"/>
      <c r="AT29" s="321"/>
      <c r="AV29" s="321"/>
    </row>
    <row r="30" customFormat="false" ht="12.75" hidden="false" customHeight="false" outlineLevel="0" collapsed="false">
      <c r="F30" s="319"/>
      <c r="G30" s="320"/>
      <c r="H30" s="319"/>
      <c r="K30" s="321"/>
      <c r="M30" s="321"/>
      <c r="P30" s="321"/>
      <c r="Q30" s="320"/>
      <c r="R30" s="319"/>
      <c r="U30" s="321"/>
      <c r="W30" s="321"/>
      <c r="Z30" s="321"/>
      <c r="AB30" s="321"/>
      <c r="AE30" s="321"/>
      <c r="AG30" s="321"/>
      <c r="AJ30" s="321"/>
      <c r="AL30" s="321"/>
      <c r="AO30" s="321"/>
      <c r="AQ30" s="321"/>
      <c r="AT30" s="321"/>
      <c r="AV30" s="321"/>
    </row>
    <row r="31" customFormat="false" ht="12.75" hidden="false" customHeight="false" outlineLevel="0" collapsed="false">
      <c r="F31" s="319"/>
      <c r="G31" s="320"/>
      <c r="H31" s="319"/>
      <c r="K31" s="321"/>
      <c r="M31" s="321"/>
      <c r="P31" s="321"/>
      <c r="Q31" s="320"/>
      <c r="R31" s="319"/>
      <c r="U31" s="321"/>
      <c r="W31" s="321"/>
      <c r="Z31" s="321"/>
      <c r="AB31" s="321"/>
      <c r="AE31" s="321"/>
      <c r="AG31" s="321"/>
      <c r="AJ31" s="321"/>
      <c r="AL31" s="321"/>
      <c r="AO31" s="321"/>
      <c r="AQ31" s="321"/>
      <c r="AT31" s="321"/>
      <c r="AV31" s="321"/>
    </row>
    <row r="32" customFormat="false" ht="12.75" hidden="false" customHeight="false" outlineLevel="0" collapsed="false">
      <c r="F32" s="319"/>
      <c r="G32" s="320"/>
      <c r="H32" s="319"/>
      <c r="K32" s="321"/>
      <c r="M32" s="321"/>
      <c r="P32" s="321"/>
      <c r="Q32" s="320"/>
      <c r="R32" s="319"/>
      <c r="U32" s="321"/>
      <c r="W32" s="321"/>
      <c r="Z32" s="321"/>
      <c r="AB32" s="321"/>
      <c r="AE32" s="321"/>
      <c r="AG32" s="321"/>
      <c r="AJ32" s="321"/>
      <c r="AL32" s="321"/>
      <c r="AO32" s="321"/>
      <c r="AQ32" s="321"/>
      <c r="AT32" s="321"/>
      <c r="AV32" s="321"/>
    </row>
    <row r="33" customFormat="false" ht="12.75" hidden="false" customHeight="false" outlineLevel="0" collapsed="false">
      <c r="F33" s="319"/>
      <c r="G33" s="320"/>
      <c r="H33" s="319"/>
      <c r="K33" s="321"/>
      <c r="M33" s="321"/>
      <c r="P33" s="321"/>
      <c r="Q33" s="320"/>
      <c r="R33" s="319"/>
      <c r="U33" s="321"/>
      <c r="W33" s="321"/>
      <c r="Z33" s="321"/>
      <c r="AB33" s="321"/>
      <c r="AE33" s="321"/>
      <c r="AG33" s="321"/>
      <c r="AJ33" s="321"/>
      <c r="AL33" s="321"/>
      <c r="AO33" s="321"/>
      <c r="AQ33" s="321"/>
      <c r="AT33" s="321"/>
      <c r="AV33" s="321"/>
    </row>
    <row r="34" customFormat="false" ht="12.75" hidden="false" customHeight="false" outlineLevel="0" collapsed="false">
      <c r="F34" s="319"/>
      <c r="G34" s="320"/>
      <c r="H34" s="319"/>
      <c r="K34" s="321"/>
      <c r="M34" s="321"/>
      <c r="P34" s="321"/>
      <c r="Q34" s="320"/>
      <c r="R34" s="319"/>
      <c r="U34" s="321"/>
      <c r="W34" s="321"/>
      <c r="Z34" s="321"/>
      <c r="AB34" s="321"/>
      <c r="AE34" s="321"/>
      <c r="AG34" s="321"/>
      <c r="AJ34" s="321"/>
      <c r="AL34" s="321"/>
      <c r="AO34" s="321"/>
      <c r="AQ34" s="321"/>
      <c r="AT34" s="321"/>
      <c r="AV34" s="321"/>
    </row>
    <row r="35" customFormat="false" ht="12.75" hidden="false" customHeight="false" outlineLevel="0" collapsed="false">
      <c r="F35" s="319"/>
      <c r="G35" s="320"/>
      <c r="H35" s="319"/>
      <c r="K35" s="321"/>
      <c r="M35" s="321"/>
      <c r="P35" s="321"/>
      <c r="Q35" s="320"/>
      <c r="R35" s="319"/>
      <c r="U35" s="321"/>
      <c r="W35" s="321"/>
      <c r="Z35" s="321"/>
      <c r="AB35" s="321"/>
      <c r="AE35" s="321"/>
      <c r="AG35" s="321"/>
      <c r="AJ35" s="321"/>
      <c r="AL35" s="321"/>
      <c r="AO35" s="321"/>
      <c r="AQ35" s="321"/>
      <c r="AT35" s="321"/>
      <c r="AV35" s="321"/>
    </row>
    <row r="36" customFormat="false" ht="12.75" hidden="false" customHeight="false" outlineLevel="0" collapsed="false">
      <c r="F36" s="321"/>
      <c r="H36" s="321"/>
      <c r="K36" s="321"/>
      <c r="M36" s="321"/>
      <c r="P36" s="321"/>
      <c r="Q36" s="320"/>
      <c r="R36" s="319"/>
      <c r="U36" s="321"/>
      <c r="W36" s="321"/>
      <c r="Z36" s="321"/>
      <c r="AB36" s="321"/>
      <c r="AE36" s="321"/>
      <c r="AG36" s="321"/>
      <c r="AJ36" s="321"/>
      <c r="AL36" s="321"/>
      <c r="AO36" s="321"/>
      <c r="AQ36" s="321"/>
      <c r="AT36" s="321"/>
      <c r="AV36" s="321"/>
    </row>
    <row r="37" customFormat="false" ht="12.75" hidden="false" customHeight="false" outlineLevel="0" collapsed="false">
      <c r="F37" s="321"/>
      <c r="H37" s="321"/>
      <c r="K37" s="321"/>
      <c r="M37" s="321"/>
      <c r="P37" s="321"/>
      <c r="Q37" s="320"/>
      <c r="R37" s="319"/>
      <c r="U37" s="321"/>
      <c r="W37" s="321"/>
      <c r="Z37" s="321"/>
      <c r="AB37" s="321"/>
      <c r="AE37" s="321"/>
      <c r="AG37" s="321"/>
      <c r="AJ37" s="321"/>
      <c r="AL37" s="321"/>
      <c r="AO37" s="321"/>
      <c r="AQ37" s="321"/>
      <c r="AT37" s="321"/>
      <c r="AV37" s="321"/>
    </row>
    <row r="38" customFormat="false" ht="12.75" hidden="false" customHeight="false" outlineLevel="0" collapsed="false">
      <c r="F38" s="321"/>
      <c r="H38" s="321"/>
      <c r="K38" s="321"/>
      <c r="M38" s="321"/>
      <c r="P38" s="321"/>
      <c r="R38" s="321"/>
      <c r="U38" s="321"/>
      <c r="W38" s="321"/>
      <c r="Z38" s="321"/>
      <c r="AB38" s="321"/>
      <c r="AE38" s="321"/>
      <c r="AG38" s="321"/>
      <c r="AJ38" s="321"/>
      <c r="AL38" s="321"/>
      <c r="AO38" s="321"/>
      <c r="AQ38" s="321"/>
      <c r="AT38" s="321"/>
      <c r="AV38" s="321"/>
    </row>
    <row r="39" customFormat="false" ht="12.75" hidden="false" customHeight="false" outlineLevel="0" collapsed="false">
      <c r="F39" s="321"/>
      <c r="H39" s="321"/>
      <c r="K39" s="321"/>
      <c r="M39" s="321"/>
      <c r="P39" s="321"/>
      <c r="R39" s="321"/>
      <c r="U39" s="321"/>
      <c r="W39" s="321"/>
      <c r="Z39" s="321"/>
      <c r="AB39" s="321"/>
      <c r="AE39" s="321"/>
      <c r="AG39" s="321"/>
      <c r="AJ39" s="321"/>
      <c r="AL39" s="321"/>
      <c r="AO39" s="321"/>
      <c r="AQ39" s="321"/>
      <c r="AT39" s="321"/>
      <c r="AV39" s="321"/>
    </row>
    <row r="40" customFormat="false" ht="12.75" hidden="false" customHeight="false" outlineLevel="0" collapsed="false">
      <c r="F40" s="321"/>
      <c r="H40" s="321"/>
      <c r="K40" s="321"/>
      <c r="M40" s="321"/>
      <c r="P40" s="321"/>
      <c r="R40" s="321"/>
      <c r="U40" s="321"/>
      <c r="W40" s="321"/>
      <c r="Z40" s="321"/>
      <c r="AB40" s="321"/>
      <c r="AE40" s="321"/>
      <c r="AG40" s="321"/>
      <c r="AJ40" s="321"/>
      <c r="AL40" s="321"/>
      <c r="AO40" s="321"/>
      <c r="AQ40" s="321"/>
      <c r="AT40" s="321"/>
      <c r="AV40" s="321"/>
    </row>
    <row r="41" customFormat="false" ht="12.75" hidden="false" customHeight="false" outlineLevel="0" collapsed="false">
      <c r="F41" s="321"/>
      <c r="H41" s="321"/>
      <c r="K41" s="321"/>
      <c r="M41" s="321"/>
      <c r="P41" s="321"/>
      <c r="R41" s="321"/>
      <c r="U41" s="321"/>
      <c r="W41" s="321"/>
      <c r="Z41" s="321"/>
      <c r="AB41" s="321"/>
      <c r="AE41" s="321"/>
      <c r="AG41" s="321"/>
      <c r="AJ41" s="321"/>
      <c r="AL41" s="321"/>
      <c r="AO41" s="321"/>
      <c r="AQ41" s="321"/>
      <c r="AT41" s="321"/>
      <c r="AV41" s="321"/>
    </row>
    <row r="42" customFormat="false" ht="12.75" hidden="false" customHeight="false" outlineLevel="0" collapsed="false">
      <c r="F42" s="321"/>
      <c r="H42" s="321"/>
      <c r="K42" s="321"/>
      <c r="M42" s="321"/>
      <c r="P42" s="321"/>
      <c r="R42" s="321"/>
      <c r="U42" s="321"/>
      <c r="W42" s="321"/>
      <c r="Z42" s="321"/>
      <c r="AB42" s="321"/>
      <c r="AE42" s="321"/>
      <c r="AG42" s="321"/>
      <c r="AJ42" s="321"/>
      <c r="AL42" s="321"/>
      <c r="AO42" s="321"/>
      <c r="AQ42" s="321"/>
      <c r="AT42" s="321"/>
      <c r="AV42" s="321"/>
    </row>
    <row r="43" customFormat="false" ht="12.75" hidden="false" customHeight="false" outlineLevel="0" collapsed="false">
      <c r="F43" s="321"/>
      <c r="H43" s="321"/>
      <c r="K43" s="321"/>
      <c r="M43" s="321"/>
      <c r="P43" s="321"/>
      <c r="R43" s="321"/>
      <c r="U43" s="321"/>
      <c r="W43" s="321"/>
      <c r="Z43" s="321"/>
      <c r="AB43" s="321"/>
      <c r="AE43" s="321"/>
      <c r="AG43" s="321"/>
      <c r="AJ43" s="321"/>
      <c r="AL43" s="321"/>
      <c r="AO43" s="321"/>
      <c r="AQ43" s="321"/>
      <c r="AT43" s="321"/>
      <c r="AV43" s="321"/>
    </row>
    <row r="44" customFormat="false" ht="12.75" hidden="false" customHeight="false" outlineLevel="0" collapsed="false">
      <c r="F44" s="321"/>
      <c r="H44" s="321"/>
      <c r="K44" s="321"/>
      <c r="M44" s="321"/>
      <c r="P44" s="321"/>
      <c r="R44" s="321"/>
      <c r="U44" s="321"/>
      <c r="W44" s="321"/>
      <c r="Z44" s="321"/>
      <c r="AB44" s="321"/>
      <c r="AE44" s="321"/>
      <c r="AG44" s="321"/>
      <c r="AJ44" s="321"/>
      <c r="AL44" s="321"/>
      <c r="AO44" s="321"/>
      <c r="AQ44" s="321"/>
      <c r="AT44" s="321"/>
      <c r="AV44" s="321"/>
    </row>
    <row r="45" customFormat="false" ht="12.75" hidden="false" customHeight="false" outlineLevel="0" collapsed="false">
      <c r="F45" s="321"/>
      <c r="H45" s="321"/>
      <c r="K45" s="321"/>
      <c r="M45" s="321"/>
      <c r="P45" s="321"/>
      <c r="R45" s="321"/>
      <c r="U45" s="321"/>
      <c r="W45" s="321"/>
      <c r="Z45" s="321"/>
      <c r="AB45" s="321"/>
      <c r="AE45" s="321"/>
      <c r="AG45" s="321"/>
      <c r="AJ45" s="321"/>
      <c r="AL45" s="321"/>
      <c r="AO45" s="321"/>
      <c r="AQ45" s="321"/>
      <c r="AT45" s="321"/>
      <c r="AV45" s="321"/>
    </row>
    <row r="46" customFormat="false" ht="12.75" hidden="false" customHeight="false" outlineLevel="0" collapsed="false">
      <c r="F46" s="321"/>
      <c r="H46" s="321"/>
      <c r="K46" s="321"/>
      <c r="M46" s="321"/>
      <c r="P46" s="321"/>
      <c r="R46" s="321"/>
      <c r="U46" s="321"/>
      <c r="W46" s="321"/>
      <c r="Z46" s="321"/>
      <c r="AB46" s="321"/>
      <c r="AE46" s="321"/>
      <c r="AG46" s="321"/>
      <c r="AJ46" s="321"/>
      <c r="AL46" s="321"/>
      <c r="AO46" s="321"/>
      <c r="AQ46" s="321"/>
      <c r="AT46" s="321"/>
      <c r="AV46" s="321"/>
    </row>
    <row r="47" customFormat="false" ht="12.75" hidden="false" customHeight="false" outlineLevel="0" collapsed="false">
      <c r="F47" s="321"/>
      <c r="H47" s="321"/>
      <c r="K47" s="321"/>
      <c r="M47" s="321"/>
      <c r="P47" s="321"/>
      <c r="R47" s="321"/>
      <c r="U47" s="321"/>
      <c r="W47" s="321"/>
      <c r="Z47" s="321"/>
      <c r="AB47" s="321"/>
      <c r="AE47" s="321"/>
      <c r="AG47" s="321"/>
      <c r="AJ47" s="321"/>
      <c r="AL47" s="321"/>
      <c r="AO47" s="321"/>
      <c r="AQ47" s="321"/>
      <c r="AT47" s="321"/>
      <c r="AV47" s="321"/>
    </row>
    <row r="48" customFormat="false" ht="12.75" hidden="false" customHeight="false" outlineLevel="0" collapsed="false">
      <c r="F48" s="321"/>
      <c r="H48" s="321"/>
      <c r="K48" s="321"/>
      <c r="M48" s="321"/>
      <c r="P48" s="321"/>
      <c r="R48" s="321"/>
      <c r="U48" s="321"/>
      <c r="W48" s="321"/>
      <c r="Z48" s="321"/>
      <c r="AB48" s="321"/>
      <c r="AE48" s="321"/>
      <c r="AG48" s="321"/>
      <c r="AJ48" s="321"/>
      <c r="AL48" s="321"/>
      <c r="AO48" s="321"/>
      <c r="AQ48" s="321"/>
      <c r="AT48" s="321"/>
      <c r="AV48" s="321"/>
    </row>
    <row r="49" customFormat="false" ht="12.75" hidden="false" customHeight="false" outlineLevel="0" collapsed="false">
      <c r="F49" s="321"/>
      <c r="H49" s="321"/>
      <c r="K49" s="321"/>
      <c r="M49" s="321"/>
      <c r="P49" s="321"/>
      <c r="R49" s="321"/>
      <c r="U49" s="321"/>
      <c r="W49" s="321"/>
      <c r="Z49" s="321"/>
      <c r="AB49" s="321"/>
      <c r="AE49" s="321"/>
      <c r="AG49" s="321"/>
      <c r="AJ49" s="321"/>
      <c r="AL49" s="321"/>
      <c r="AO49" s="321"/>
      <c r="AQ49" s="321"/>
      <c r="AT49" s="321"/>
      <c r="AV49" s="321"/>
    </row>
    <row r="50" customFormat="false" ht="12.75" hidden="false" customHeight="false" outlineLevel="0" collapsed="false">
      <c r="F50" s="321"/>
      <c r="H50" s="321"/>
      <c r="K50" s="321"/>
      <c r="M50" s="321"/>
      <c r="P50" s="321"/>
      <c r="R50" s="321"/>
      <c r="U50" s="321"/>
      <c r="W50" s="321"/>
      <c r="Z50" s="321"/>
      <c r="AB50" s="321"/>
      <c r="AE50" s="321"/>
      <c r="AG50" s="321"/>
      <c r="AJ50" s="321"/>
      <c r="AL50" s="321"/>
      <c r="AO50" s="321"/>
      <c r="AQ50" s="321"/>
      <c r="AT50" s="321"/>
      <c r="AV50" s="321"/>
    </row>
    <row r="51" customFormat="false" ht="12.75" hidden="false" customHeight="false" outlineLevel="0" collapsed="false">
      <c r="F51" s="321"/>
      <c r="H51" s="321"/>
      <c r="K51" s="321"/>
      <c r="M51" s="321"/>
      <c r="P51" s="321"/>
      <c r="R51" s="321"/>
      <c r="U51" s="321"/>
      <c r="W51" s="321"/>
      <c r="Z51" s="321"/>
      <c r="AB51" s="321"/>
      <c r="AE51" s="321"/>
      <c r="AG51" s="321"/>
      <c r="AJ51" s="321"/>
      <c r="AL51" s="321"/>
      <c r="AO51" s="321"/>
      <c r="AQ51" s="321"/>
      <c r="AT51" s="321"/>
      <c r="AV51" s="321"/>
    </row>
    <row r="52" customFormat="false" ht="12.75" hidden="false" customHeight="false" outlineLevel="0" collapsed="false">
      <c r="F52" s="321"/>
      <c r="H52" s="321"/>
      <c r="K52" s="321"/>
      <c r="M52" s="321"/>
      <c r="P52" s="321"/>
      <c r="R52" s="321"/>
      <c r="U52" s="321"/>
      <c r="W52" s="321"/>
      <c r="Z52" s="321"/>
      <c r="AB52" s="321"/>
      <c r="AE52" s="321"/>
      <c r="AG52" s="321"/>
      <c r="AJ52" s="321"/>
      <c r="AL52" s="321"/>
      <c r="AO52" s="321"/>
      <c r="AQ52" s="321"/>
      <c r="AT52" s="321"/>
      <c r="AV52" s="321"/>
    </row>
    <row r="53" customFormat="false" ht="12.75" hidden="false" customHeight="false" outlineLevel="0" collapsed="false">
      <c r="F53" s="321"/>
      <c r="H53" s="321"/>
      <c r="K53" s="321"/>
      <c r="M53" s="321"/>
      <c r="P53" s="321"/>
      <c r="R53" s="321"/>
      <c r="U53" s="321"/>
      <c r="W53" s="321"/>
      <c r="Z53" s="321"/>
      <c r="AB53" s="321"/>
      <c r="AE53" s="321"/>
      <c r="AG53" s="321"/>
      <c r="AJ53" s="321"/>
      <c r="AL53" s="321"/>
      <c r="AO53" s="321"/>
      <c r="AQ53" s="321"/>
      <c r="AT53" s="321"/>
      <c r="AV53" s="321"/>
    </row>
    <row r="54" customFormat="false" ht="12.75" hidden="false" customHeight="false" outlineLevel="0" collapsed="false">
      <c r="F54" s="321"/>
      <c r="H54" s="321"/>
      <c r="K54" s="321"/>
      <c r="M54" s="321"/>
      <c r="P54" s="321"/>
      <c r="R54" s="321"/>
      <c r="U54" s="321"/>
      <c r="W54" s="321"/>
      <c r="Z54" s="321"/>
      <c r="AB54" s="321"/>
      <c r="AE54" s="321"/>
      <c r="AG54" s="321"/>
      <c r="AJ54" s="321"/>
      <c r="AL54" s="321"/>
      <c r="AO54" s="321"/>
      <c r="AQ54" s="321"/>
      <c r="AT54" s="321"/>
      <c r="AV54" s="321"/>
    </row>
    <row r="55" customFormat="false" ht="12.75" hidden="false" customHeight="false" outlineLevel="0" collapsed="false">
      <c r="F55" s="321"/>
      <c r="H55" s="321"/>
      <c r="K55" s="321"/>
      <c r="M55" s="321"/>
      <c r="P55" s="321"/>
      <c r="R55" s="321"/>
      <c r="U55" s="321"/>
      <c r="W55" s="321"/>
      <c r="Z55" s="321"/>
      <c r="AB55" s="321"/>
      <c r="AE55" s="321"/>
      <c r="AG55" s="321"/>
      <c r="AJ55" s="321"/>
      <c r="AL55" s="321"/>
      <c r="AO55" s="321"/>
      <c r="AQ55" s="321"/>
      <c r="AT55" s="321"/>
      <c r="AV55" s="321"/>
    </row>
    <row r="56" customFormat="false" ht="12.75" hidden="false" customHeight="false" outlineLevel="0" collapsed="false">
      <c r="F56" s="321"/>
      <c r="H56" s="321"/>
      <c r="K56" s="321"/>
      <c r="M56" s="321"/>
      <c r="P56" s="321"/>
      <c r="R56" s="321"/>
      <c r="U56" s="321"/>
      <c r="W56" s="321"/>
      <c r="Z56" s="321"/>
      <c r="AB56" s="321"/>
      <c r="AE56" s="321"/>
      <c r="AG56" s="321"/>
      <c r="AJ56" s="321"/>
      <c r="AL56" s="321"/>
      <c r="AO56" s="321"/>
      <c r="AQ56" s="321"/>
      <c r="AT56" s="321"/>
      <c r="AV56" s="321"/>
    </row>
  </sheetData>
  <mergeCells count="12">
    <mergeCell ref="E1:M1"/>
    <mergeCell ref="P1:W1"/>
    <mergeCell ref="Y1:AG1"/>
    <mergeCell ref="E2:H2"/>
    <mergeCell ref="J2:M2"/>
    <mergeCell ref="O2:R2"/>
    <mergeCell ref="T2:W2"/>
    <mergeCell ref="Y2:AB2"/>
    <mergeCell ref="AD2:AG2"/>
    <mergeCell ref="AI2:AL2"/>
    <mergeCell ref="AN2:AQ2"/>
    <mergeCell ref="AS2:AV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L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H3" activePane="bottomRight" state="frozen"/>
      <selection pane="topLeft" activeCell="A1" activeCellId="0" sqref="A1"/>
      <selection pane="topRight" activeCell="BH1" activeCellId="0" sqref="BH1"/>
      <selection pane="bottomLeft" activeCell="A3" activeCellId="0" sqref="A3"/>
      <selection pane="bottomRight" activeCell="BX3" activeCellId="0" sqref="BX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1.15"/>
    <col collapsed="false" customWidth="true" hidden="false" outlineLevel="0" max="4" min="3" style="0" width="11.65"/>
    <col collapsed="false" customWidth="true" hidden="false" outlineLevel="0" max="6" min="5" style="0" width="10.65"/>
    <col collapsed="false" customWidth="true" hidden="false" outlineLevel="0" max="9" min="7" style="0" width="11.65"/>
    <col collapsed="false" customWidth="true" hidden="false" outlineLevel="0" max="10" min="10" style="0" width="10.49"/>
    <col collapsed="false" customWidth="true" hidden="false" outlineLevel="0" max="14" min="11" style="0" width="11.49"/>
    <col collapsed="false" customWidth="true" hidden="false" outlineLevel="0" max="15" min="15" style="0" width="10.99"/>
    <col collapsed="false" customWidth="true" hidden="false" outlineLevel="0" max="18" min="16" style="0" width="11.99"/>
    <col collapsed="false" customWidth="true" hidden="false" outlineLevel="0" max="20" min="19" style="0" width="10.65"/>
    <col collapsed="false" customWidth="true" hidden="false" outlineLevel="0" max="23" min="21" style="0" width="11.65"/>
    <col collapsed="false" customWidth="true" hidden="false" outlineLevel="0" max="24" min="24" style="0" width="10.99"/>
    <col collapsed="false" customWidth="true" hidden="false" outlineLevel="0" max="27" min="25" style="0" width="11.99"/>
  </cols>
  <sheetData>
    <row r="1" customFormat="false" ht="51.75" hidden="false" customHeight="true" outlineLevel="0" collapsed="false">
      <c r="B1" s="335" t="s">
        <v>362</v>
      </c>
      <c r="C1" s="336" t="n">
        <f aca="false">+D1-7</f>
        <v>36878</v>
      </c>
      <c r="D1" s="336" t="n">
        <f aca="false">+E1-7</f>
        <v>36885</v>
      </c>
      <c r="E1" s="336" t="n">
        <v>36892</v>
      </c>
      <c r="F1" s="336" t="n">
        <f aca="false">+E1+7</f>
        <v>36899</v>
      </c>
      <c r="G1" s="336" t="n">
        <f aca="false">+F1+7</f>
        <v>36906</v>
      </c>
      <c r="H1" s="336" t="n">
        <f aca="false">+G1+7</f>
        <v>36913</v>
      </c>
      <c r="I1" s="336" t="n">
        <f aca="false">+H1+7</f>
        <v>36920</v>
      </c>
      <c r="J1" s="336" t="n">
        <f aca="false">+I1+7</f>
        <v>36927</v>
      </c>
      <c r="K1" s="336" t="n">
        <f aca="false">+J1+7</f>
        <v>36934</v>
      </c>
      <c r="L1" s="336" t="n">
        <f aca="false">+K1+7</f>
        <v>36941</v>
      </c>
      <c r="M1" s="336" t="n">
        <f aca="false">+L1+7</f>
        <v>36948</v>
      </c>
      <c r="N1" s="336" t="n">
        <f aca="false">+M1+7</f>
        <v>36955</v>
      </c>
      <c r="O1" s="336" t="n">
        <f aca="false">+N1+7</f>
        <v>36962</v>
      </c>
      <c r="P1" s="336" t="n">
        <f aca="false">+O1+7</f>
        <v>36969</v>
      </c>
      <c r="Q1" s="336" t="n">
        <f aca="false">+P1+7</f>
        <v>36976</v>
      </c>
      <c r="R1" s="336" t="n">
        <f aca="false">+Q1+7</f>
        <v>36983</v>
      </c>
      <c r="S1" s="336" t="n">
        <f aca="false">+R1+7</f>
        <v>36990</v>
      </c>
      <c r="T1" s="336" t="n">
        <f aca="false">+S1+7</f>
        <v>36997</v>
      </c>
      <c r="U1" s="336" t="n">
        <f aca="false">+T1+7</f>
        <v>37004</v>
      </c>
      <c r="V1" s="336" t="n">
        <f aca="false">+U1+7</f>
        <v>37011</v>
      </c>
      <c r="W1" s="336" t="n">
        <f aca="false">+V1+7</f>
        <v>37018</v>
      </c>
      <c r="X1" s="336" t="n">
        <f aca="false">+W1+7</f>
        <v>37025</v>
      </c>
      <c r="Y1" s="336" t="n">
        <f aca="false">+X1+7</f>
        <v>37032</v>
      </c>
      <c r="Z1" s="336" t="n">
        <f aca="false">+Y1+7</f>
        <v>37039</v>
      </c>
      <c r="AA1" s="336" t="n">
        <f aca="false">+Z1+7</f>
        <v>37046</v>
      </c>
      <c r="AB1" s="336" t="n">
        <f aca="false">+AA1+7</f>
        <v>37053</v>
      </c>
      <c r="AC1" s="336" t="n">
        <f aca="false">+AB1+7</f>
        <v>37060</v>
      </c>
      <c r="AD1" s="336" t="n">
        <f aca="false">+AC1+7</f>
        <v>37067</v>
      </c>
      <c r="AE1" s="336" t="n">
        <f aca="false">+AD1+7</f>
        <v>37074</v>
      </c>
      <c r="AF1" s="336" t="n">
        <f aca="false">+AE1+7</f>
        <v>37081</v>
      </c>
      <c r="AG1" s="336" t="n">
        <f aca="false">+AF1+7</f>
        <v>37088</v>
      </c>
      <c r="AH1" s="336" t="n">
        <f aca="false">+AG1+7</f>
        <v>37095</v>
      </c>
      <c r="AI1" s="336" t="n">
        <f aca="false">+AH1+7</f>
        <v>37102</v>
      </c>
      <c r="AJ1" s="336" t="n">
        <f aca="false">+AI1+7</f>
        <v>37109</v>
      </c>
      <c r="AK1" s="336" t="n">
        <f aca="false">+AJ1+7</f>
        <v>37116</v>
      </c>
      <c r="AL1" s="336" t="n">
        <f aca="false">+AK1+7</f>
        <v>37123</v>
      </c>
      <c r="AM1" s="336" t="n">
        <f aca="false">+AL1+7</f>
        <v>37130</v>
      </c>
      <c r="AN1" s="336" t="n">
        <f aca="false">+AM1+7</f>
        <v>37137</v>
      </c>
      <c r="AO1" s="336" t="n">
        <f aca="false">+AN1+7</f>
        <v>37144</v>
      </c>
      <c r="AP1" s="336" t="n">
        <f aca="false">+AO1+7</f>
        <v>37151</v>
      </c>
      <c r="AQ1" s="336" t="n">
        <f aca="false">+AP1+7</f>
        <v>37158</v>
      </c>
      <c r="AR1" s="337" t="n">
        <f aca="false">+AQ1+7</f>
        <v>37165</v>
      </c>
      <c r="AS1" s="336" t="n">
        <f aca="false">+AR1+7</f>
        <v>37172</v>
      </c>
      <c r="AT1" s="336" t="n">
        <f aca="false">+AS1+7</f>
        <v>37179</v>
      </c>
      <c r="AU1" s="336" t="n">
        <f aca="false">+AT1+7</f>
        <v>37186</v>
      </c>
      <c r="AV1" s="336" t="n">
        <f aca="false">+AU1+7</f>
        <v>37193</v>
      </c>
      <c r="AW1" s="336" t="n">
        <f aca="false">+AV1+7</f>
        <v>37200</v>
      </c>
      <c r="AX1" s="336" t="n">
        <f aca="false">+AW1+7</f>
        <v>37207</v>
      </c>
      <c r="AY1" s="336" t="n">
        <f aca="false">+AX1+7</f>
        <v>37214</v>
      </c>
      <c r="AZ1" s="336" t="n">
        <f aca="false">+AY1+7</f>
        <v>37221</v>
      </c>
      <c r="BA1" s="336" t="n">
        <f aca="false">+AZ1+7</f>
        <v>37228</v>
      </c>
      <c r="BB1" s="336" t="n">
        <f aca="false">+BA1+7</f>
        <v>37235</v>
      </c>
      <c r="BC1" s="336" t="n">
        <f aca="false">+BB1+7</f>
        <v>37242</v>
      </c>
      <c r="BD1" s="336" t="n">
        <f aca="false">+BC1+7</f>
        <v>37249</v>
      </c>
      <c r="BE1" s="336" t="n">
        <f aca="false">+BD1+7</f>
        <v>37256</v>
      </c>
      <c r="BF1" s="336" t="n">
        <f aca="false">+BE1+7</f>
        <v>37263</v>
      </c>
      <c r="BG1" s="336" t="n">
        <f aca="false">+BF1+7</f>
        <v>37270</v>
      </c>
      <c r="BH1" s="336" t="n">
        <f aca="false">+BG1+7</f>
        <v>37277</v>
      </c>
      <c r="BI1" s="336" t="n">
        <f aca="false">+BH1+7</f>
        <v>37284</v>
      </c>
      <c r="BJ1" s="336" t="n">
        <f aca="false">+BI1+7</f>
        <v>37291</v>
      </c>
      <c r="BK1" s="336" t="n">
        <f aca="false">+BJ1+7</f>
        <v>37298</v>
      </c>
      <c r="BL1" s="337" t="n">
        <f aca="false">+BK1+7</f>
        <v>37305</v>
      </c>
      <c r="BM1" s="336" t="n">
        <f aca="false">+BL1+7</f>
        <v>37312</v>
      </c>
      <c r="BN1" s="336" t="n">
        <f aca="false">+BM1+7</f>
        <v>37319</v>
      </c>
      <c r="BO1" s="336" t="n">
        <f aca="false">+BN1+7</f>
        <v>37326</v>
      </c>
      <c r="BP1" s="336" t="n">
        <f aca="false">+BO1+7</f>
        <v>37333</v>
      </c>
      <c r="BQ1" s="336" t="n">
        <f aca="false">+BP1+7</f>
        <v>37340</v>
      </c>
      <c r="BR1" s="336" t="n">
        <f aca="false">+BQ1+7</f>
        <v>37347</v>
      </c>
      <c r="BS1" s="336" t="n">
        <f aca="false">+BR1+7</f>
        <v>37354</v>
      </c>
      <c r="BT1" s="336" t="n">
        <f aca="false">+BS1+7</f>
        <v>37361</v>
      </c>
      <c r="BU1" s="336" t="n">
        <f aca="false">+BT1+7</f>
        <v>37368</v>
      </c>
      <c r="BV1" s="336" t="n">
        <f aca="false">+BU1+7</f>
        <v>37375</v>
      </c>
      <c r="BW1" s="336" t="n">
        <f aca="false">+BV1+7</f>
        <v>37382</v>
      </c>
      <c r="BX1" s="338" t="n">
        <f aca="false">+BW1+7</f>
        <v>37389</v>
      </c>
      <c r="BY1" s="336" t="n">
        <f aca="false">+BX1+7</f>
        <v>37396</v>
      </c>
      <c r="BZ1" s="336" t="n">
        <f aca="false">+BY1+7</f>
        <v>37403</v>
      </c>
      <c r="CA1" s="336" t="n">
        <f aca="false">+BZ1+7</f>
        <v>37410</v>
      </c>
      <c r="CB1" s="336" t="n">
        <f aca="false">+CA1+7</f>
        <v>37417</v>
      </c>
      <c r="CC1" s="336" t="n">
        <f aca="false">+CB1+7</f>
        <v>37424</v>
      </c>
      <c r="CD1" s="336" t="n">
        <f aca="false">+CC1+7</f>
        <v>37431</v>
      </c>
      <c r="CE1" s="336" t="n">
        <f aca="false">+CD1+7</f>
        <v>37438</v>
      </c>
      <c r="CF1" s="336" t="n">
        <f aca="false">+CE1+7</f>
        <v>37445</v>
      </c>
      <c r="CG1" s="336" t="n">
        <f aca="false">+CF1+7</f>
        <v>37452</v>
      </c>
      <c r="CH1" s="336" t="n">
        <f aca="false">+CG1+7</f>
        <v>37459</v>
      </c>
      <c r="CI1" s="336" t="n">
        <f aca="false">+CH1+7</f>
        <v>37466</v>
      </c>
      <c r="CJ1" s="336" t="n">
        <f aca="false">+CI1+7</f>
        <v>37473</v>
      </c>
      <c r="CK1" s="336" t="n">
        <f aca="false">+CJ1+7</f>
        <v>37480</v>
      </c>
      <c r="CL1" s="336" t="n">
        <f aca="false">+CK1+7</f>
        <v>37487</v>
      </c>
      <c r="CM1" s="339" t="n">
        <f aca="false">+CL1+7</f>
        <v>37494</v>
      </c>
      <c r="CN1" s="336" t="n">
        <f aca="false">+CM1+7</f>
        <v>37501</v>
      </c>
      <c r="CO1" s="336" t="n">
        <f aca="false">+CN1+7</f>
        <v>37508</v>
      </c>
      <c r="CP1" s="336" t="n">
        <f aca="false">+CO1+7</f>
        <v>37515</v>
      </c>
      <c r="CQ1" s="336" t="n">
        <f aca="false">+CP1+7</f>
        <v>37522</v>
      </c>
      <c r="CR1" s="336" t="n">
        <f aca="false">+CQ1+7</f>
        <v>37529</v>
      </c>
      <c r="CS1" s="336" t="n">
        <f aca="false">+CR1+7</f>
        <v>37536</v>
      </c>
      <c r="CT1" s="336" t="n">
        <f aca="false">+CS1+7</f>
        <v>37543</v>
      </c>
      <c r="CU1" s="336" t="n">
        <f aca="false">+CT1+7</f>
        <v>37550</v>
      </c>
    </row>
    <row r="2" customFormat="false" ht="12.75" hidden="false" customHeight="false" outlineLevel="0" collapsed="false">
      <c r="A2" s="0" t="s">
        <v>363</v>
      </c>
      <c r="G2" s="0" t="n">
        <v>0</v>
      </c>
      <c r="H2" s="340" t="n">
        <f aca="false">+G2+0.25</f>
        <v>0.25</v>
      </c>
      <c r="I2" s="340" t="n">
        <f aca="false">+H2+0.25</f>
        <v>0.5</v>
      </c>
      <c r="J2" s="340" t="n">
        <f aca="false">+I2+0.25</f>
        <v>0.75</v>
      </c>
      <c r="K2" s="340" t="n">
        <f aca="false">+J2+0.25</f>
        <v>1</v>
      </c>
      <c r="L2" s="340" t="n">
        <f aca="false">+K2+0.25</f>
        <v>1.25</v>
      </c>
      <c r="M2" s="340" t="n">
        <f aca="false">+L2+0.25</f>
        <v>1.5</v>
      </c>
      <c r="N2" s="340" t="n">
        <f aca="false">+M2+0.25</f>
        <v>1.75</v>
      </c>
      <c r="O2" s="340" t="n">
        <f aca="false">+N2+0.25</f>
        <v>2</v>
      </c>
      <c r="P2" s="340" t="n">
        <f aca="false">+O2+0.25</f>
        <v>2.25</v>
      </c>
      <c r="Q2" s="340" t="n">
        <f aca="false">+P2+0.25</f>
        <v>2.5</v>
      </c>
      <c r="R2" s="340" t="n">
        <f aca="false">+Q2+0.25</f>
        <v>2.75</v>
      </c>
      <c r="S2" s="340" t="n">
        <f aca="false">+R2+0.25</f>
        <v>3</v>
      </c>
      <c r="T2" s="340" t="n">
        <f aca="false">+S2+0.25</f>
        <v>3.25</v>
      </c>
      <c r="U2" s="340" t="n">
        <f aca="false">+T2+0.25</f>
        <v>3.5</v>
      </c>
      <c r="V2" s="340" t="n">
        <f aca="false">+U2+0.25</f>
        <v>3.75</v>
      </c>
      <c r="W2" s="340" t="n">
        <f aca="false">+V2+0.25</f>
        <v>4</v>
      </c>
      <c r="X2" s="340" t="n">
        <f aca="false">+W2+0.25</f>
        <v>4.25</v>
      </c>
      <c r="Y2" s="340" t="n">
        <f aca="false">+X2+0.25</f>
        <v>4.5</v>
      </c>
      <c r="Z2" s="340" t="n">
        <f aca="false">+Y2+0.25</f>
        <v>4.75</v>
      </c>
      <c r="AA2" s="340" t="n">
        <f aca="false">+Z2+0.25</f>
        <v>5</v>
      </c>
      <c r="AB2" s="340" t="n">
        <f aca="false">+AA2+0.25</f>
        <v>5.25</v>
      </c>
      <c r="AC2" s="340" t="n">
        <f aca="false">+AB2+0.25</f>
        <v>5.5</v>
      </c>
      <c r="AD2" s="340" t="n">
        <f aca="false">+AC2+0.25</f>
        <v>5.75</v>
      </c>
      <c r="AE2" s="340" t="n">
        <f aca="false">+AD2+0.25</f>
        <v>6</v>
      </c>
      <c r="AF2" s="340" t="n">
        <f aca="false">+AE2+0.25</f>
        <v>6.25</v>
      </c>
      <c r="AG2" s="340" t="n">
        <f aca="false">+AF2+0.25</f>
        <v>6.5</v>
      </c>
      <c r="AH2" s="340" t="n">
        <f aca="false">+AG2+0.25</f>
        <v>6.75</v>
      </c>
      <c r="AI2" s="340" t="n">
        <f aca="false">+AH2+0.25</f>
        <v>7</v>
      </c>
      <c r="AJ2" s="340" t="n">
        <f aca="false">+AI2+0.25</f>
        <v>7.25</v>
      </c>
      <c r="AK2" s="340" t="n">
        <f aca="false">+AJ2+0.25</f>
        <v>7.5</v>
      </c>
      <c r="AL2" s="340" t="n">
        <f aca="false">+AK2+0.25</f>
        <v>7.75</v>
      </c>
      <c r="AM2" s="340" t="n">
        <f aca="false">+AL2+0.25</f>
        <v>8</v>
      </c>
      <c r="AN2" s="340" t="n">
        <f aca="false">+AM2+0.25</f>
        <v>8.25</v>
      </c>
      <c r="AO2" s="340" t="n">
        <f aca="false">+AN2+0.25</f>
        <v>8.5</v>
      </c>
      <c r="AP2" s="340" t="n">
        <f aca="false">+AO2+0.25</f>
        <v>8.75</v>
      </c>
      <c r="AQ2" s="340" t="n">
        <f aca="false">+AP2+0.25</f>
        <v>9</v>
      </c>
      <c r="AR2" s="340" t="n">
        <f aca="false">+AQ2+0.25</f>
        <v>9.25</v>
      </c>
      <c r="AS2" s="340" t="n">
        <f aca="false">+AR2+0.25</f>
        <v>9.5</v>
      </c>
      <c r="AT2" s="340" t="n">
        <f aca="false">+AS2+0.25</f>
        <v>9.75</v>
      </c>
      <c r="AU2" s="340" t="n">
        <f aca="false">+AT2+0.25</f>
        <v>10</v>
      </c>
      <c r="AV2" s="340" t="n">
        <f aca="false">+AU2+0.25</f>
        <v>10.25</v>
      </c>
      <c r="AW2" s="340" t="n">
        <f aca="false">+AV2+0.25</f>
        <v>10.5</v>
      </c>
      <c r="AX2" s="340" t="n">
        <f aca="false">+AW2+0.25</f>
        <v>10.75</v>
      </c>
      <c r="AY2" s="340" t="n">
        <f aca="false">+AX2+0.25</f>
        <v>11</v>
      </c>
      <c r="AZ2" s="340" t="n">
        <f aca="false">+AY2+0.25</f>
        <v>11.25</v>
      </c>
      <c r="BA2" s="340" t="n">
        <f aca="false">+AZ2+0.25</f>
        <v>11.5</v>
      </c>
      <c r="BB2" s="340" t="n">
        <f aca="false">+BA2+0.25</f>
        <v>11.75</v>
      </c>
      <c r="BC2" s="340" t="n">
        <f aca="false">+BB2+0.25</f>
        <v>12</v>
      </c>
      <c r="BD2" s="340" t="n">
        <f aca="false">+BC2+0.25</f>
        <v>12.25</v>
      </c>
      <c r="BE2" s="340" t="n">
        <f aca="false">+BD2+0.25</f>
        <v>12.5</v>
      </c>
      <c r="BF2" s="340" t="n">
        <f aca="false">+BE2+0.25</f>
        <v>12.75</v>
      </c>
      <c r="BG2" s="340" t="n">
        <f aca="false">+BF2+0.25</f>
        <v>13</v>
      </c>
      <c r="BH2" s="340" t="n">
        <f aca="false">+BG2+0.25</f>
        <v>13.25</v>
      </c>
      <c r="BI2" s="340" t="n">
        <f aca="false">+BH2+0.25</f>
        <v>13.5</v>
      </c>
      <c r="BJ2" s="340" t="n">
        <f aca="false">+BI2+0.25</f>
        <v>13.75</v>
      </c>
      <c r="BK2" s="340" t="n">
        <f aca="false">+BJ2+0.25</f>
        <v>14</v>
      </c>
      <c r="BL2" s="340" t="n">
        <f aca="false">+BK2+0.25</f>
        <v>14.25</v>
      </c>
      <c r="BM2" s="340" t="n">
        <f aca="false">+BL2+0.25</f>
        <v>14.5</v>
      </c>
      <c r="BN2" s="340" t="n">
        <f aca="false">+BM2+0.25</f>
        <v>14.75</v>
      </c>
      <c r="BO2" s="340" t="n">
        <f aca="false">+BN2+0.25</f>
        <v>15</v>
      </c>
      <c r="BP2" s="340" t="n">
        <f aca="false">+BO2+0.25</f>
        <v>15.25</v>
      </c>
      <c r="BQ2" s="340" t="n">
        <f aca="false">+BP2+0.25</f>
        <v>15.5</v>
      </c>
      <c r="BR2" s="340" t="n">
        <f aca="false">+BQ2+0.25</f>
        <v>15.75</v>
      </c>
      <c r="BS2" s="340" t="n">
        <f aca="false">+BR2+0.25</f>
        <v>16</v>
      </c>
      <c r="BT2" s="340" t="n">
        <f aca="false">+BS2+0.25</f>
        <v>16.25</v>
      </c>
      <c r="BU2" s="340" t="n">
        <f aca="false">+BT2+0.25</f>
        <v>16.5</v>
      </c>
      <c r="BV2" s="340" t="n">
        <f aca="false">+BU2+0.25</f>
        <v>16.75</v>
      </c>
      <c r="BW2" s="340" t="n">
        <f aca="false">+BV2+0.25</f>
        <v>17</v>
      </c>
      <c r="BX2" s="340" t="n">
        <f aca="false">+BW2+0.25</f>
        <v>17.25</v>
      </c>
      <c r="BY2" s="340" t="n">
        <f aca="false">+BX2+0.25</f>
        <v>17.5</v>
      </c>
      <c r="BZ2" s="340" t="n">
        <f aca="false">+BY2+0.25</f>
        <v>17.75</v>
      </c>
      <c r="CA2" s="340" t="n">
        <f aca="false">+BZ2+0.25</f>
        <v>18</v>
      </c>
      <c r="CB2" s="340" t="n">
        <f aca="false">+CA2+0.25</f>
        <v>18.25</v>
      </c>
      <c r="CC2" s="340" t="n">
        <f aca="false">+CB2+0.25</f>
        <v>18.5</v>
      </c>
      <c r="CD2" s="340" t="n">
        <f aca="false">+CC2+0.25</f>
        <v>18.75</v>
      </c>
      <c r="CE2" s="340" t="n">
        <f aca="false">+CD2+0.25</f>
        <v>19</v>
      </c>
      <c r="CF2" s="340" t="n">
        <f aca="false">+CE2+0.25</f>
        <v>19.25</v>
      </c>
      <c r="CG2" s="340" t="n">
        <f aca="false">+CF2+0.25</f>
        <v>19.5</v>
      </c>
      <c r="CH2" s="340" t="n">
        <f aca="false">+CG2+0.25</f>
        <v>19.75</v>
      </c>
      <c r="CI2" s="340" t="n">
        <f aca="false">+CH2+0.25</f>
        <v>20</v>
      </c>
      <c r="CJ2" s="340" t="n">
        <f aca="false">+CI2+0.25</f>
        <v>20.25</v>
      </c>
      <c r="CK2" s="340" t="n">
        <f aca="false">+CJ2+0.25</f>
        <v>20.5</v>
      </c>
      <c r="CL2" s="340" t="n">
        <f aca="false">+CK2+0.25</f>
        <v>20.75</v>
      </c>
      <c r="CM2" s="340" t="n">
        <f aca="false">+CL2+0.25</f>
        <v>21</v>
      </c>
      <c r="CN2" s="340"/>
      <c r="CO2" s="340"/>
      <c r="CP2" s="340"/>
      <c r="CQ2" s="340"/>
      <c r="CR2" s="340"/>
      <c r="CS2" s="340"/>
      <c r="CT2" s="340"/>
      <c r="CU2" s="340"/>
      <c r="CV2" s="340"/>
      <c r="CW2" s="340"/>
      <c r="CX2" s="340"/>
      <c r="CY2" s="340"/>
      <c r="CZ2" s="340"/>
      <c r="DA2" s="340"/>
      <c r="DB2" s="340"/>
      <c r="DC2" s="340"/>
      <c r="DD2" s="340"/>
      <c r="DE2" s="340"/>
      <c r="DF2" s="340"/>
      <c r="DG2" s="340"/>
      <c r="DH2" s="340"/>
      <c r="DI2" s="340"/>
      <c r="DJ2" s="340"/>
      <c r="DK2" s="340"/>
      <c r="DL2" s="340"/>
      <c r="DM2" s="340"/>
      <c r="DN2" s="340"/>
      <c r="DO2" s="340"/>
      <c r="DP2" s="340"/>
      <c r="DQ2" s="340"/>
      <c r="DR2" s="340"/>
      <c r="DS2" s="340"/>
      <c r="DT2" s="340"/>
      <c r="DU2" s="340"/>
      <c r="DV2" s="340"/>
      <c r="DW2" s="340"/>
      <c r="DX2" s="340"/>
      <c r="DY2" s="340"/>
      <c r="DZ2" s="340"/>
      <c r="EA2" s="340"/>
      <c r="EB2" s="340"/>
      <c r="EC2" s="340"/>
      <c r="ED2" s="340"/>
      <c r="EE2" s="340"/>
      <c r="EF2" s="340"/>
      <c r="EG2" s="340"/>
      <c r="EH2" s="340"/>
      <c r="EI2" s="340"/>
      <c r="EJ2" s="340"/>
      <c r="EK2" s="340"/>
      <c r="EL2" s="340"/>
    </row>
    <row r="3" customFormat="false" ht="12.75" hidden="false" customHeight="false" outlineLevel="0" collapsed="false">
      <c r="BG3" s="341" t="s">
        <v>364</v>
      </c>
    </row>
    <row r="4" customFormat="false" ht="12.75" hidden="false" customHeight="false" outlineLevel="0" collapsed="false">
      <c r="A4" s="0" t="s">
        <v>365</v>
      </c>
      <c r="C4" s="0" t="s">
        <v>366</v>
      </c>
    </row>
    <row r="5" customFormat="false" ht="12.75" hidden="false" customHeight="false" outlineLevel="0" collapsed="false">
      <c r="A5" s="0" t="s">
        <v>367</v>
      </c>
      <c r="C5" s="0" t="s">
        <v>366</v>
      </c>
    </row>
    <row r="6" customFormat="false" ht="12.75" hidden="false" customHeight="false" outlineLevel="0" collapsed="false">
      <c r="A6" s="0" t="s">
        <v>368</v>
      </c>
      <c r="C6" s="0" t="s">
        <v>366</v>
      </c>
    </row>
    <row r="7" customFormat="false" ht="12.75" hidden="false" customHeight="false" outlineLevel="0" collapsed="false">
      <c r="A7" s="0" t="s">
        <v>369</v>
      </c>
      <c r="F7" s="0" t="s">
        <v>366</v>
      </c>
    </row>
    <row r="8" customFormat="false" ht="12.75" hidden="false" customHeight="false" outlineLevel="0" collapsed="false">
      <c r="A8" s="0" t="s">
        <v>370</v>
      </c>
      <c r="B8" s="0" t="n">
        <v>10</v>
      </c>
      <c r="D8" s="0" t="s">
        <v>366</v>
      </c>
      <c r="E8" s="0" t="s">
        <v>366</v>
      </c>
      <c r="F8" s="0" t="s">
        <v>366</v>
      </c>
      <c r="H8" s="0" t="s">
        <v>366</v>
      </c>
      <c r="I8" s="0" t="s">
        <v>366</v>
      </c>
      <c r="J8" s="0" t="s">
        <v>366</v>
      </c>
    </row>
    <row r="9" customFormat="false" ht="12.75" hidden="false" customHeight="false" outlineLevel="0" collapsed="false">
      <c r="A9" s="0" t="s">
        <v>371</v>
      </c>
      <c r="F9" s="342"/>
      <c r="G9" s="342"/>
    </row>
    <row r="10" customFormat="false" ht="12.75" hidden="false" customHeight="false" outlineLevel="0" collapsed="false">
      <c r="A10" s="0" t="s">
        <v>372</v>
      </c>
      <c r="B10" s="0" t="n">
        <v>2</v>
      </c>
      <c r="F10" s="0" t="s">
        <v>366</v>
      </c>
      <c r="H10" s="343" t="s">
        <v>366</v>
      </c>
    </row>
    <row r="11" customFormat="false" ht="12.75" hidden="false" customHeight="false" outlineLevel="0" collapsed="false">
      <c r="A11" s="0" t="s">
        <v>373</v>
      </c>
      <c r="B11" s="0" t="n">
        <v>22</v>
      </c>
      <c r="I11" s="343" t="s">
        <v>366</v>
      </c>
      <c r="J11" s="343" t="s">
        <v>366</v>
      </c>
      <c r="K11" s="343" t="s">
        <v>366</v>
      </c>
      <c r="L11" s="343" t="s">
        <v>366</v>
      </c>
      <c r="M11" s="343"/>
    </row>
    <row r="12" customFormat="false" ht="12.75" hidden="false" customHeight="false" outlineLevel="0" collapsed="false">
      <c r="A12" s="0" t="s">
        <v>374</v>
      </c>
      <c r="K12" s="344" t="s">
        <v>366</v>
      </c>
      <c r="L12" s="344" t="s">
        <v>366</v>
      </c>
      <c r="M12" s="344"/>
      <c r="N12" s="344" t="s">
        <v>366</v>
      </c>
      <c r="O12" s="344" t="s">
        <v>366</v>
      </c>
    </row>
    <row r="13" customFormat="false" ht="12.75" hidden="false" customHeight="false" outlineLevel="0" collapsed="false">
      <c r="A13" s="0" t="s">
        <v>375</v>
      </c>
      <c r="I13" s="345"/>
      <c r="J13" s="345"/>
      <c r="K13" s="346"/>
      <c r="L13" s="345"/>
      <c r="M13" s="345"/>
      <c r="N13" s="346"/>
    </row>
    <row r="14" customFormat="false" ht="12.75" hidden="false" customHeight="false" outlineLevel="0" collapsed="false">
      <c r="A14" s="0" t="s">
        <v>376</v>
      </c>
      <c r="K14" s="346"/>
      <c r="N14" s="346"/>
    </row>
    <row r="15" customFormat="false" ht="12.75" hidden="false" customHeight="false" outlineLevel="0" collapsed="false">
      <c r="A15" s="0" t="s">
        <v>377</v>
      </c>
      <c r="K15" s="346"/>
      <c r="N15" s="346"/>
    </row>
    <row r="16" customFormat="false" ht="12.75" hidden="false" customHeight="false" outlineLevel="0" collapsed="false">
      <c r="A16" s="0" t="s">
        <v>378</v>
      </c>
      <c r="O16" s="347" t="s">
        <v>366</v>
      </c>
      <c r="P16" s="343" t="s">
        <v>366</v>
      </c>
      <c r="Q16" s="343" t="s">
        <v>366</v>
      </c>
      <c r="R16" s="343" t="s">
        <v>366</v>
      </c>
      <c r="S16" s="347" t="s">
        <v>366</v>
      </c>
    </row>
    <row r="17" customFormat="false" ht="12.75" hidden="false" customHeight="false" outlineLevel="0" collapsed="false">
      <c r="A17" s="0" t="s">
        <v>379</v>
      </c>
      <c r="R17" s="348"/>
      <c r="S17" s="348"/>
    </row>
    <row r="19" customFormat="false" ht="12.75" hidden="false" customHeight="false" outlineLevel="0" collapsed="false">
      <c r="A19" s="0" t="s">
        <v>380</v>
      </c>
      <c r="N19" s="349"/>
    </row>
    <row r="20" customFormat="false" ht="12.75" hidden="false" customHeight="false" outlineLevel="0" collapsed="false">
      <c r="A20" s="0" t="s">
        <v>381</v>
      </c>
      <c r="O20" s="350"/>
      <c r="P20" s="350"/>
      <c r="Q20" s="350"/>
      <c r="R20" s="351"/>
      <c r="S20" s="350"/>
      <c r="T20" s="350"/>
      <c r="U20" s="350"/>
    </row>
    <row r="21" customFormat="false" ht="12.75" hidden="false" customHeight="false" outlineLevel="0" collapsed="false">
      <c r="A21" s="0" t="s">
        <v>382</v>
      </c>
      <c r="R21" s="351"/>
    </row>
    <row r="22" customFormat="false" ht="12.75" hidden="false" customHeight="false" outlineLevel="0" collapsed="false">
      <c r="A22" s="0" t="s">
        <v>383</v>
      </c>
      <c r="Q22" s="352"/>
      <c r="R22" s="352"/>
      <c r="S22" s="352"/>
      <c r="T22" s="352"/>
      <c r="U22" s="352"/>
      <c r="V22" s="352"/>
      <c r="W22" s="352"/>
      <c r="X22" s="352"/>
    </row>
    <row r="23" customFormat="false" ht="12.75" hidden="false" customHeight="false" outlineLevel="0" collapsed="false">
      <c r="A23" s="0" t="s">
        <v>382</v>
      </c>
      <c r="T23" s="353"/>
      <c r="X23" s="353"/>
    </row>
    <row r="24" customFormat="false" ht="12.75" hidden="false" customHeight="false" outlineLevel="0" collapsed="false">
      <c r="T24" s="353"/>
      <c r="X24" s="353"/>
    </row>
    <row r="25" customFormat="false" ht="12.75" hidden="false" customHeight="false" outlineLevel="0" collapsed="false">
      <c r="A25" s="354" t="s">
        <v>269</v>
      </c>
    </row>
    <row r="26" customFormat="false" ht="12.75" hidden="false" customHeight="false" outlineLevel="0" collapsed="false">
      <c r="A26" s="141" t="s">
        <v>275</v>
      </c>
      <c r="B26" s="141"/>
      <c r="C26" s="141"/>
      <c r="S26" s="355" t="s">
        <v>366</v>
      </c>
      <c r="T26" s="356"/>
      <c r="U26" s="356"/>
      <c r="V26" s="356"/>
    </row>
    <row r="27" customFormat="false" ht="12.75" hidden="false" customHeight="false" outlineLevel="0" collapsed="false">
      <c r="A27" s="141" t="s">
        <v>272</v>
      </c>
      <c r="B27" s="141"/>
      <c r="C27" s="141"/>
      <c r="V27" s="356"/>
    </row>
    <row r="28" customFormat="false" ht="12.75" hidden="false" customHeight="false" outlineLevel="0" collapsed="false">
      <c r="A28" s="141" t="s">
        <v>279</v>
      </c>
      <c r="B28" s="141"/>
      <c r="C28" s="141"/>
      <c r="W28" s="357"/>
      <c r="X28" s="358"/>
      <c r="Y28" s="358"/>
      <c r="Z28" s="358"/>
      <c r="AA28" s="358"/>
      <c r="AB28" s="358"/>
      <c r="AC28" s="358"/>
      <c r="AD28" s="358"/>
      <c r="AE28" s="358"/>
    </row>
    <row r="29" customFormat="false" ht="12.75" hidden="false" customHeight="false" outlineLevel="0" collapsed="false">
      <c r="A29" s="141" t="s">
        <v>280</v>
      </c>
      <c r="B29" s="141"/>
      <c r="C29" s="141"/>
      <c r="W29" s="357"/>
      <c r="X29" s="358"/>
      <c r="Y29" s="358"/>
      <c r="Z29" s="358"/>
      <c r="AA29" s="358"/>
      <c r="AB29" s="358"/>
      <c r="AC29" s="358"/>
      <c r="AD29" s="358"/>
      <c r="AE29" s="358"/>
    </row>
    <row r="30" customFormat="false" ht="12.75" hidden="false" customHeight="false" outlineLevel="0" collapsed="false">
      <c r="A30" s="141" t="s">
        <v>285</v>
      </c>
      <c r="B30" s="141"/>
      <c r="C30" s="141"/>
      <c r="W30" s="357"/>
      <c r="X30" s="358"/>
      <c r="Y30" s="358"/>
      <c r="Z30" s="358"/>
      <c r="AA30" s="358"/>
      <c r="AB30" s="358"/>
      <c r="AC30" s="358"/>
      <c r="AD30" s="358"/>
      <c r="AE30" s="358"/>
    </row>
    <row r="31" customFormat="false" ht="12.75" hidden="false" customHeight="false" outlineLevel="0" collapsed="false">
      <c r="A31" s="141" t="s">
        <v>286</v>
      </c>
      <c r="B31" s="141"/>
      <c r="C31" s="141"/>
      <c r="W31" s="357"/>
      <c r="X31" s="358"/>
      <c r="Y31" s="358"/>
      <c r="Z31" s="358"/>
      <c r="AA31" s="358"/>
      <c r="AB31" s="358"/>
      <c r="AC31" s="358"/>
      <c r="AD31" s="358"/>
      <c r="AE31" s="358"/>
    </row>
    <row r="32" customFormat="false" ht="12.75" hidden="false" customHeight="false" outlineLevel="0" collapsed="false">
      <c r="A32" s="141" t="s">
        <v>281</v>
      </c>
      <c r="B32" s="141"/>
      <c r="C32" s="141"/>
      <c r="W32" s="357"/>
      <c r="X32" s="358"/>
      <c r="Y32" s="358"/>
      <c r="Z32" s="358"/>
      <c r="AA32" s="358"/>
      <c r="AB32" s="358"/>
      <c r="AC32" s="358"/>
      <c r="AD32" s="358"/>
      <c r="AE32" s="358"/>
    </row>
    <row r="33" customFormat="false" ht="12.75" hidden="false" customHeight="false" outlineLevel="0" collapsed="false">
      <c r="A33" s="141" t="s">
        <v>283</v>
      </c>
      <c r="B33" s="141"/>
      <c r="C33" s="141"/>
      <c r="W33" s="357"/>
      <c r="X33" s="358"/>
      <c r="Y33" s="358"/>
      <c r="Z33" s="358"/>
      <c r="AA33" s="358"/>
      <c r="AB33" s="358"/>
      <c r="AC33" s="358"/>
      <c r="AD33" s="358"/>
      <c r="AE33" s="358"/>
    </row>
    <row r="34" customFormat="false" ht="12.75" hidden="false" customHeight="false" outlineLevel="0" collapsed="false">
      <c r="A34" s="141" t="s">
        <v>284</v>
      </c>
      <c r="B34" s="141"/>
      <c r="C34" s="141"/>
      <c r="W34" s="357"/>
      <c r="X34" s="358"/>
      <c r="Y34" s="358"/>
      <c r="Z34" s="358"/>
      <c r="AA34" s="358"/>
      <c r="AB34" s="358"/>
      <c r="AC34" s="358"/>
      <c r="AD34" s="358"/>
      <c r="AE34" s="358"/>
    </row>
    <row r="35" customFormat="false" ht="12.75" hidden="false" customHeight="false" outlineLevel="0" collapsed="false">
      <c r="A35" s="141" t="s">
        <v>287</v>
      </c>
      <c r="B35" s="141"/>
      <c r="C35" s="141"/>
      <c r="W35" s="357"/>
      <c r="X35" s="358"/>
      <c r="Y35" s="358"/>
      <c r="Z35" s="358"/>
      <c r="AA35" s="358"/>
      <c r="AB35" s="358"/>
      <c r="AC35" s="358"/>
      <c r="AD35" s="358"/>
      <c r="AE35" s="358"/>
    </row>
    <row r="36" customFormat="false" ht="12.75" hidden="false" customHeight="false" outlineLevel="0" collapsed="false">
      <c r="A36" s="141" t="s">
        <v>289</v>
      </c>
      <c r="B36" s="141"/>
      <c r="C36" s="141"/>
      <c r="Y36" s="359"/>
      <c r="Z36" s="359"/>
      <c r="AA36" s="359"/>
      <c r="AB36" s="359"/>
      <c r="AC36" s="359"/>
      <c r="AD36" s="359"/>
      <c r="AE36" s="359"/>
    </row>
    <row r="37" customFormat="false" ht="12.75" hidden="false" customHeight="false" outlineLevel="0" collapsed="false">
      <c r="A37" s="141" t="s">
        <v>300</v>
      </c>
      <c r="B37" s="141"/>
      <c r="C37" s="141"/>
      <c r="AD37" s="359"/>
      <c r="AE37" s="359"/>
      <c r="AF37" s="359"/>
    </row>
    <row r="38" customFormat="false" ht="12.75" hidden="false" customHeight="false" outlineLevel="0" collapsed="false">
      <c r="A38" s="141" t="s">
        <v>274</v>
      </c>
      <c r="B38" s="141"/>
      <c r="C38" s="141"/>
    </row>
    <row r="39" customFormat="false" ht="12.75" hidden="false" customHeight="false" outlineLevel="0" collapsed="false">
      <c r="A39" s="141" t="s">
        <v>277</v>
      </c>
      <c r="B39" s="141"/>
      <c r="C39" s="141"/>
    </row>
    <row r="40" customFormat="false" ht="12.75" hidden="false" customHeight="false" outlineLevel="0" collapsed="false">
      <c r="A40" s="141" t="s">
        <v>288</v>
      </c>
      <c r="B40" s="141"/>
      <c r="C40" s="141"/>
    </row>
    <row r="41" customFormat="false" ht="12.75" hidden="false" customHeight="false" outlineLevel="0" collapsed="false">
      <c r="A41" s="141"/>
      <c r="B41" s="141"/>
      <c r="C41" s="141"/>
    </row>
    <row r="42" customFormat="false" ht="12.75" hidden="false" customHeight="false" outlineLevel="0" collapsed="false">
      <c r="A42" s="354" t="s">
        <v>292</v>
      </c>
      <c r="B42" s="141"/>
      <c r="C42" s="141"/>
    </row>
    <row r="43" customFormat="false" ht="12.75" hidden="false" customHeight="false" outlineLevel="0" collapsed="false">
      <c r="A43" s="141" t="s">
        <v>384</v>
      </c>
    </row>
    <row r="44" customFormat="false" ht="12.75" hidden="false" customHeight="false" outlineLevel="0" collapsed="false">
      <c r="A44" s="141" t="s">
        <v>301</v>
      </c>
    </row>
    <row r="45" customFormat="false" ht="12.75" hidden="false" customHeight="false" outlineLevel="0" collapsed="false">
      <c r="A45" s="141" t="s">
        <v>304</v>
      </c>
    </row>
    <row r="46" customFormat="false" ht="12.75" hidden="false" customHeight="false" outlineLevel="0" collapsed="false">
      <c r="A46" s="141" t="s">
        <v>385</v>
      </c>
    </row>
    <row r="47" customFormat="false" ht="12.75" hidden="false" customHeight="false" outlineLevel="0" collapsed="false">
      <c r="A47" s="360" t="s">
        <v>386</v>
      </c>
    </row>
    <row r="48" customFormat="false" ht="12.75" hidden="false" customHeight="false" outlineLevel="0" collapsed="false">
      <c r="A48" s="141" t="s">
        <v>387</v>
      </c>
    </row>
    <row r="49" customFormat="false" ht="12.75" hidden="false" customHeight="false" outlineLevel="0" collapsed="false">
      <c r="A49" s="141" t="s">
        <v>388</v>
      </c>
    </row>
    <row r="50" customFormat="false" ht="12.75" hidden="false" customHeight="false" outlineLevel="0" collapsed="false">
      <c r="A50" s="141" t="s">
        <v>295</v>
      </c>
    </row>
    <row r="51" customFormat="false" ht="12.75" hidden="false" customHeight="false" outlineLevel="0" collapsed="false">
      <c r="A51" s="141" t="s">
        <v>297</v>
      </c>
    </row>
    <row r="53" customFormat="false" ht="12.75" hidden="false" customHeight="false" outlineLevel="0" collapsed="false">
      <c r="A53" s="18" t="s">
        <v>389</v>
      </c>
    </row>
    <row r="54" customFormat="false" ht="12.75" hidden="false" customHeight="false" outlineLevel="0" collapsed="false">
      <c r="A54" s="0" t="s">
        <v>390</v>
      </c>
      <c r="B54" s="0" t="n">
        <f aca="false">6*22</f>
        <v>132</v>
      </c>
      <c r="C54" s="0" t="s">
        <v>362</v>
      </c>
      <c r="V54" s="361" t="n">
        <v>3</v>
      </c>
      <c r="W54" s="361" t="n">
        <v>5</v>
      </c>
      <c r="X54" s="361" t="n">
        <v>5</v>
      </c>
      <c r="Y54" s="361" t="n">
        <v>5</v>
      </c>
      <c r="Z54" s="361" t="n">
        <v>5</v>
      </c>
      <c r="AA54" s="361" t="n">
        <v>5</v>
      </c>
      <c r="AB54" s="361" t="n">
        <v>5</v>
      </c>
      <c r="AC54" s="361" t="n">
        <v>5</v>
      </c>
      <c r="AD54" s="361" t="n">
        <v>5</v>
      </c>
      <c r="AE54" s="361" t="n">
        <v>5</v>
      </c>
      <c r="AF54" s="361" t="n">
        <v>5</v>
      </c>
      <c r="AG54" s="361" t="n">
        <v>5</v>
      </c>
      <c r="AH54" s="361" t="n">
        <v>5</v>
      </c>
      <c r="AI54" s="361" t="n">
        <v>5</v>
      </c>
      <c r="AJ54" s="361" t="n">
        <v>5</v>
      </c>
      <c r="AK54" s="361" t="n">
        <v>5</v>
      </c>
      <c r="AL54" s="361" t="n">
        <v>5</v>
      </c>
      <c r="AM54" s="361" t="n">
        <v>5</v>
      </c>
      <c r="AN54" s="361" t="n">
        <v>5</v>
      </c>
      <c r="AO54" s="361" t="n">
        <v>5</v>
      </c>
      <c r="AP54" s="361" t="n">
        <v>5</v>
      </c>
      <c r="AQ54" s="361" t="n">
        <v>5</v>
      </c>
      <c r="AR54" s="361" t="n">
        <v>5</v>
      </c>
      <c r="AS54" s="361" t="n">
        <v>5</v>
      </c>
      <c r="AT54" s="361" t="n">
        <v>5</v>
      </c>
      <c r="AU54" s="361" t="n">
        <v>5</v>
      </c>
      <c r="AV54" s="361" t="n">
        <v>4</v>
      </c>
      <c r="AW54" s="361"/>
      <c r="AX54" s="361"/>
    </row>
    <row r="55" customFormat="false" ht="12.75" hidden="false" customHeight="false" outlineLevel="0" collapsed="false">
      <c r="A55" s="0" t="s">
        <v>391</v>
      </c>
      <c r="B55" s="0" t="n">
        <f aca="false">5*22</f>
        <v>110</v>
      </c>
      <c r="C55" s="0" t="s">
        <v>362</v>
      </c>
      <c r="Z55" s="361" t="n">
        <v>5</v>
      </c>
      <c r="AA55" s="361" t="n">
        <v>5</v>
      </c>
      <c r="AB55" s="361" t="n">
        <v>5</v>
      </c>
      <c r="AC55" s="361" t="n">
        <v>5</v>
      </c>
      <c r="AD55" s="361" t="n">
        <v>5</v>
      </c>
      <c r="AE55" s="361" t="n">
        <v>5</v>
      </c>
      <c r="AF55" s="361" t="n">
        <v>5</v>
      </c>
      <c r="AG55" s="361" t="n">
        <v>5</v>
      </c>
      <c r="AH55" s="361" t="n">
        <v>5</v>
      </c>
      <c r="AI55" s="361" t="n">
        <v>5</v>
      </c>
      <c r="AJ55" s="361" t="n">
        <v>5</v>
      </c>
      <c r="AK55" s="361" t="n">
        <v>5</v>
      </c>
      <c r="AL55" s="361" t="n">
        <v>5</v>
      </c>
      <c r="AM55" s="361" t="n">
        <v>5</v>
      </c>
      <c r="AN55" s="361" t="n">
        <v>5</v>
      </c>
      <c r="AO55" s="361" t="n">
        <v>5</v>
      </c>
      <c r="AP55" s="361" t="n">
        <v>5</v>
      </c>
      <c r="AQ55" s="361" t="n">
        <v>5</v>
      </c>
      <c r="AR55" s="361" t="n">
        <v>5</v>
      </c>
      <c r="AS55" s="361" t="n">
        <v>5</v>
      </c>
      <c r="AT55" s="361" t="n">
        <v>5</v>
      </c>
      <c r="AU55" s="361" t="n">
        <v>5</v>
      </c>
      <c r="AV55" s="361"/>
      <c r="AW55" s="361"/>
      <c r="AX55" s="361"/>
      <c r="AY55" s="361"/>
    </row>
    <row r="56" customFormat="false" ht="12.75" hidden="false" customHeight="false" outlineLevel="0" collapsed="false">
      <c r="A56" s="0" t="s">
        <v>392</v>
      </c>
      <c r="B56" s="0" t="n">
        <f aca="false">5*22</f>
        <v>110</v>
      </c>
      <c r="C56" s="0" t="s">
        <v>362</v>
      </c>
      <c r="AB56" s="361"/>
      <c r="AC56" s="361" t="n">
        <v>5</v>
      </c>
      <c r="AD56" s="361" t="n">
        <v>5</v>
      </c>
      <c r="AE56" s="361" t="n">
        <v>5</v>
      </c>
      <c r="AF56" s="361" t="n">
        <v>5</v>
      </c>
      <c r="AG56" s="361" t="n">
        <v>5</v>
      </c>
      <c r="AH56" s="361" t="n">
        <v>5</v>
      </c>
      <c r="AI56" s="361" t="n">
        <v>5</v>
      </c>
      <c r="AJ56" s="361" t="n">
        <v>5</v>
      </c>
      <c r="AK56" s="361" t="n">
        <v>5</v>
      </c>
      <c r="AL56" s="361" t="n">
        <v>5</v>
      </c>
      <c r="AM56" s="361" t="n">
        <v>5</v>
      </c>
      <c r="AN56" s="361" t="n">
        <v>5</v>
      </c>
      <c r="AO56" s="361" t="n">
        <v>5</v>
      </c>
      <c r="AP56" s="361" t="n">
        <v>5</v>
      </c>
      <c r="AQ56" s="361" t="n">
        <v>5</v>
      </c>
      <c r="AR56" s="361" t="n">
        <v>5</v>
      </c>
      <c r="AS56" s="361" t="n">
        <v>5</v>
      </c>
      <c r="AT56" s="361" t="n">
        <v>5</v>
      </c>
      <c r="AU56" s="361" t="n">
        <v>5</v>
      </c>
      <c r="AV56" s="361" t="n">
        <v>5</v>
      </c>
      <c r="AW56" s="361" t="n">
        <v>5</v>
      </c>
      <c r="AX56" s="361" t="n">
        <v>5</v>
      </c>
    </row>
    <row r="57" customFormat="false" ht="12.75" hidden="false" customHeight="false" outlineLevel="0" collapsed="false">
      <c r="A57" s="0" t="s">
        <v>393</v>
      </c>
      <c r="B57" s="0" t="n">
        <f aca="false">5*22</f>
        <v>110</v>
      </c>
      <c r="C57" s="0" t="s">
        <v>362</v>
      </c>
      <c r="AF57" s="361" t="n">
        <v>5</v>
      </c>
      <c r="AG57" s="361" t="n">
        <v>5</v>
      </c>
      <c r="AH57" s="361" t="n">
        <v>5</v>
      </c>
      <c r="AI57" s="361" t="n">
        <v>5</v>
      </c>
      <c r="AJ57" s="361" t="n">
        <v>5</v>
      </c>
      <c r="AK57" s="361" t="n">
        <v>5</v>
      </c>
      <c r="AL57" s="361" t="n">
        <v>5</v>
      </c>
      <c r="AM57" s="361" t="n">
        <v>5</v>
      </c>
      <c r="AN57" s="361" t="n">
        <v>5</v>
      </c>
      <c r="AO57" s="361" t="n">
        <v>5</v>
      </c>
      <c r="AP57" s="361" t="n">
        <v>5</v>
      </c>
      <c r="AQ57" s="361" t="n">
        <v>5</v>
      </c>
      <c r="AR57" s="361" t="n">
        <v>5</v>
      </c>
      <c r="AS57" s="361" t="n">
        <v>5</v>
      </c>
      <c r="AT57" s="361" t="n">
        <v>5</v>
      </c>
      <c r="AU57" s="361" t="n">
        <v>5</v>
      </c>
      <c r="AV57" s="361" t="n">
        <v>5</v>
      </c>
      <c r="AW57" s="361" t="n">
        <v>5</v>
      </c>
      <c r="AX57" s="361" t="n">
        <v>5</v>
      </c>
      <c r="AY57" s="361" t="n">
        <v>5</v>
      </c>
      <c r="AZ57" s="361" t="n">
        <v>5</v>
      </c>
      <c r="BA57" s="361" t="n">
        <v>5</v>
      </c>
    </row>
    <row r="58" customFormat="false" ht="12.75" hidden="false" customHeight="false" outlineLevel="0" collapsed="false">
      <c r="A58" s="0" t="s">
        <v>394</v>
      </c>
      <c r="B58" s="0" t="n">
        <f aca="false">5*22</f>
        <v>110</v>
      </c>
      <c r="C58" s="0" t="s">
        <v>362</v>
      </c>
      <c r="AH58" s="361"/>
      <c r="AI58" s="361" t="n">
        <v>5</v>
      </c>
      <c r="AJ58" s="361" t="n">
        <v>5</v>
      </c>
      <c r="AK58" s="361" t="n">
        <v>5</v>
      </c>
      <c r="AL58" s="361" t="n">
        <v>5</v>
      </c>
      <c r="AM58" s="361" t="n">
        <v>5</v>
      </c>
      <c r="AN58" s="361" t="n">
        <v>5</v>
      </c>
      <c r="AO58" s="361" t="n">
        <v>5</v>
      </c>
      <c r="AP58" s="361" t="n">
        <v>5</v>
      </c>
      <c r="AQ58" s="361" t="n">
        <v>5</v>
      </c>
      <c r="AR58" s="361" t="n">
        <v>5</v>
      </c>
      <c r="AS58" s="361" t="n">
        <v>5</v>
      </c>
      <c r="AT58" s="361" t="n">
        <v>5</v>
      </c>
      <c r="AU58" s="361" t="n">
        <v>5</v>
      </c>
      <c r="AV58" s="361" t="n">
        <v>5</v>
      </c>
      <c r="AW58" s="361" t="n">
        <v>5</v>
      </c>
      <c r="AX58" s="361" t="n">
        <v>5</v>
      </c>
      <c r="AY58" s="361" t="n">
        <v>5</v>
      </c>
      <c r="AZ58" s="361" t="n">
        <v>5</v>
      </c>
      <c r="BA58" s="361" t="n">
        <v>5</v>
      </c>
      <c r="BB58" s="361" t="n">
        <v>5</v>
      </c>
      <c r="BC58" s="361" t="n">
        <v>5</v>
      </c>
      <c r="BD58" s="361" t="n">
        <v>5</v>
      </c>
    </row>
    <row r="59" customFormat="false" ht="12.75" hidden="false" customHeight="false" outlineLevel="0" collapsed="false">
      <c r="A59" s="0" t="s">
        <v>395</v>
      </c>
      <c r="B59" s="0" t="n">
        <f aca="false">5*22</f>
        <v>110</v>
      </c>
      <c r="C59" s="0" t="s">
        <v>362</v>
      </c>
      <c r="AK59" s="361"/>
      <c r="AL59" s="361" t="n">
        <v>5</v>
      </c>
      <c r="AM59" s="361" t="n">
        <v>5</v>
      </c>
      <c r="AN59" s="361" t="n">
        <v>5</v>
      </c>
      <c r="AO59" s="361" t="n">
        <v>5</v>
      </c>
      <c r="AP59" s="361" t="n">
        <v>5</v>
      </c>
      <c r="AQ59" s="361" t="n">
        <v>5</v>
      </c>
      <c r="AR59" s="361" t="n">
        <v>5</v>
      </c>
      <c r="AS59" s="361" t="n">
        <v>5</v>
      </c>
      <c r="AT59" s="361" t="n">
        <v>5</v>
      </c>
      <c r="AU59" s="361" t="n">
        <v>5</v>
      </c>
      <c r="AV59" s="361" t="n">
        <v>5</v>
      </c>
      <c r="AW59" s="361" t="n">
        <v>5</v>
      </c>
      <c r="AX59" s="361" t="n">
        <v>5</v>
      </c>
      <c r="AY59" s="361" t="n">
        <v>5</v>
      </c>
      <c r="AZ59" s="361" t="n">
        <v>5</v>
      </c>
      <c r="BA59" s="361" t="n">
        <v>5</v>
      </c>
      <c r="BB59" s="361" t="n">
        <v>5</v>
      </c>
      <c r="BC59" s="361" t="n">
        <v>5</v>
      </c>
      <c r="BD59" s="361" t="n">
        <v>5</v>
      </c>
      <c r="BE59" s="361" t="n">
        <v>5</v>
      </c>
      <c r="BF59" s="361" t="n">
        <v>5</v>
      </c>
      <c r="BG59" s="361" t="n">
        <v>5</v>
      </c>
    </row>
    <row r="60" customFormat="false" ht="12.75" hidden="false" customHeight="false" outlineLevel="0" collapsed="false">
      <c r="A60" s="0" t="s">
        <v>396</v>
      </c>
      <c r="B60" s="0" t="n">
        <f aca="false">5*22</f>
        <v>110</v>
      </c>
      <c r="C60" s="0" t="s">
        <v>362</v>
      </c>
      <c r="AM60" s="361"/>
      <c r="AN60" s="361"/>
      <c r="AO60" s="361" t="n">
        <v>5</v>
      </c>
      <c r="AP60" s="361" t="n">
        <v>5</v>
      </c>
      <c r="AQ60" s="361" t="n">
        <v>5</v>
      </c>
      <c r="AR60" s="361" t="n">
        <v>5</v>
      </c>
      <c r="AS60" s="361" t="n">
        <v>5</v>
      </c>
      <c r="AT60" s="361" t="n">
        <v>5</v>
      </c>
      <c r="AU60" s="361" t="n">
        <v>5</v>
      </c>
      <c r="AV60" s="361" t="n">
        <v>5</v>
      </c>
      <c r="AW60" s="361" t="n">
        <v>5</v>
      </c>
      <c r="AX60" s="361" t="n">
        <v>5</v>
      </c>
      <c r="AY60" s="361" t="n">
        <v>5</v>
      </c>
      <c r="AZ60" s="361" t="n">
        <v>5</v>
      </c>
      <c r="BA60" s="361" t="n">
        <v>5</v>
      </c>
      <c r="BB60" s="361" t="n">
        <v>5</v>
      </c>
      <c r="BC60" s="361" t="n">
        <v>5</v>
      </c>
      <c r="BD60" s="361" t="n">
        <v>5</v>
      </c>
      <c r="BE60" s="361" t="n">
        <v>5</v>
      </c>
      <c r="BF60" s="361" t="n">
        <v>5</v>
      </c>
      <c r="BG60" s="361" t="n">
        <v>5</v>
      </c>
      <c r="BH60" s="361" t="n">
        <v>5</v>
      </c>
      <c r="BI60" s="361" t="n">
        <v>5</v>
      </c>
      <c r="BJ60" s="361" t="n">
        <v>5</v>
      </c>
    </row>
    <row r="61" customFormat="false" ht="12.75" hidden="false" customHeight="false" outlineLevel="0" collapsed="false">
      <c r="A61" s="0" t="s">
        <v>397</v>
      </c>
      <c r="B61" s="0" t="n">
        <f aca="false">5*22</f>
        <v>110</v>
      </c>
      <c r="C61" s="0" t="s">
        <v>362</v>
      </c>
      <c r="AQ61" s="361"/>
      <c r="AR61" s="361" t="n">
        <v>5</v>
      </c>
      <c r="AS61" s="361" t="n">
        <v>5</v>
      </c>
      <c r="AT61" s="361" t="n">
        <v>5</v>
      </c>
      <c r="AU61" s="361" t="n">
        <v>5</v>
      </c>
      <c r="AV61" s="361" t="n">
        <v>5</v>
      </c>
      <c r="AW61" s="361" t="n">
        <v>5</v>
      </c>
      <c r="AX61" s="361" t="n">
        <v>5</v>
      </c>
      <c r="AY61" s="361" t="n">
        <v>5</v>
      </c>
      <c r="AZ61" s="361" t="n">
        <v>5</v>
      </c>
      <c r="BA61" s="361" t="n">
        <v>5</v>
      </c>
      <c r="BB61" s="361" t="n">
        <v>5</v>
      </c>
      <c r="BC61" s="361" t="n">
        <v>5</v>
      </c>
      <c r="BD61" s="361" t="n">
        <v>5</v>
      </c>
      <c r="BE61" s="361" t="n">
        <v>5</v>
      </c>
      <c r="BF61" s="361" t="n">
        <v>5</v>
      </c>
      <c r="BG61" s="361" t="n">
        <v>5</v>
      </c>
      <c r="BH61" s="361" t="n">
        <v>5</v>
      </c>
      <c r="BI61" s="361" t="n">
        <v>5</v>
      </c>
      <c r="BJ61" s="361" t="n">
        <v>5</v>
      </c>
      <c r="BK61" s="361" t="n">
        <v>5</v>
      </c>
      <c r="BL61" s="361" t="n">
        <v>5</v>
      </c>
      <c r="BM61" s="361" t="n">
        <v>5</v>
      </c>
    </row>
    <row r="63" customFormat="false" ht="12.75" hidden="false" customHeight="false" outlineLevel="0" collapsed="false">
      <c r="A63" s="362" t="s">
        <v>398</v>
      </c>
    </row>
    <row r="64" customFormat="false" ht="12.75" hidden="false" customHeight="false" outlineLevel="0" collapsed="false">
      <c r="A64" s="0" t="s">
        <v>399</v>
      </c>
      <c r="B64" s="0" t="n">
        <v>17</v>
      </c>
      <c r="C64" s="0" t="s">
        <v>400</v>
      </c>
      <c r="AA64" s="363"/>
      <c r="AC64" s="364" t="n">
        <v>17</v>
      </c>
      <c r="AS64" s="356"/>
      <c r="AT64" s="365"/>
      <c r="AU64" s="365"/>
      <c r="AV64" s="365"/>
      <c r="AW64" s="365"/>
      <c r="AX64" s="365"/>
      <c r="AY64" s="365"/>
      <c r="AZ64" s="365"/>
      <c r="BA64" s="365"/>
      <c r="BB64" s="365"/>
      <c r="BC64" s="365"/>
      <c r="BD64" s="365"/>
      <c r="BE64" s="365"/>
      <c r="BF64" s="365"/>
      <c r="BG64" s="365"/>
      <c r="BH64" s="365"/>
      <c r="BI64" s="366"/>
    </row>
    <row r="65" customFormat="false" ht="12.75" hidden="false" customHeight="false" outlineLevel="0" collapsed="false">
      <c r="A65" s="0" t="s">
        <v>401</v>
      </c>
      <c r="B65" s="0" t="n">
        <v>17</v>
      </c>
      <c r="C65" s="0" t="s">
        <v>400</v>
      </c>
      <c r="AA65" s="363"/>
      <c r="AC65" s="364" t="n">
        <v>17</v>
      </c>
      <c r="AS65" s="356"/>
      <c r="AT65" s="365"/>
      <c r="AU65" s="365"/>
      <c r="AV65" s="365"/>
      <c r="AW65" s="365"/>
      <c r="AX65" s="365"/>
      <c r="AY65" s="365"/>
      <c r="AZ65" s="365"/>
      <c r="BA65" s="365"/>
      <c r="BB65" s="365"/>
      <c r="BC65" s="365"/>
      <c r="BD65" s="365"/>
      <c r="BE65" s="365"/>
      <c r="BF65" s="365"/>
      <c r="BG65" s="365"/>
      <c r="BH65" s="365"/>
      <c r="BI65" s="366"/>
    </row>
    <row r="66" customFormat="false" ht="12.75" hidden="false" customHeight="false" outlineLevel="0" collapsed="false">
      <c r="A66" s="0" t="s">
        <v>402</v>
      </c>
      <c r="B66" s="0" t="n">
        <v>17</v>
      </c>
      <c r="C66" s="0" t="s">
        <v>400</v>
      </c>
      <c r="AB66" s="363"/>
      <c r="AG66" s="359" t="n">
        <v>17</v>
      </c>
      <c r="AH66" s="359"/>
      <c r="AU66" s="356"/>
      <c r="AV66" s="365"/>
      <c r="AW66" s="365"/>
      <c r="AX66" s="365"/>
      <c r="AY66" s="365"/>
      <c r="AZ66" s="365"/>
      <c r="BA66" s="365"/>
      <c r="BB66" s="365"/>
      <c r="BC66" s="365"/>
      <c r="BD66" s="365"/>
      <c r="BE66" s="365"/>
      <c r="BF66" s="365"/>
      <c r="BG66" s="365"/>
      <c r="BH66" s="365"/>
      <c r="BI66" s="365"/>
      <c r="BJ66" s="366"/>
    </row>
    <row r="67" customFormat="false" ht="12.75" hidden="false" customHeight="false" outlineLevel="0" collapsed="false">
      <c r="A67" s="0" t="s">
        <v>403</v>
      </c>
      <c r="B67" s="0" t="n">
        <v>17</v>
      </c>
      <c r="C67" s="0" t="s">
        <v>400</v>
      </c>
      <c r="AB67" s="363"/>
      <c r="AG67" s="359" t="n">
        <v>17</v>
      </c>
      <c r="AH67" s="359"/>
      <c r="AX67" s="356"/>
      <c r="AY67" s="365"/>
      <c r="AZ67" s="365"/>
      <c r="BA67" s="365"/>
      <c r="BB67" s="365"/>
      <c r="BC67" s="365"/>
      <c r="BD67" s="365"/>
      <c r="BE67" s="365"/>
      <c r="BF67" s="365"/>
      <c r="BG67" s="365"/>
      <c r="BH67" s="365"/>
      <c r="BI67" s="365"/>
      <c r="BJ67" s="365"/>
      <c r="BK67" s="365"/>
      <c r="BL67" s="365"/>
      <c r="BM67" s="366"/>
    </row>
    <row r="68" customFormat="false" ht="12.75" hidden="false" customHeight="false" outlineLevel="0" collapsed="false">
      <c r="A68" s="0" t="s">
        <v>404</v>
      </c>
      <c r="B68" s="0" t="n">
        <v>17</v>
      </c>
      <c r="C68" s="0" t="s">
        <v>400</v>
      </c>
      <c r="AC68" s="363"/>
      <c r="AG68" s="359" t="n">
        <v>17</v>
      </c>
      <c r="AH68" s="359"/>
      <c r="BA68" s="356"/>
      <c r="BB68" s="365"/>
      <c r="BC68" s="365"/>
      <c r="BD68" s="365"/>
      <c r="BE68" s="365"/>
      <c r="BF68" s="365"/>
      <c r="BG68" s="365"/>
      <c r="BH68" s="365"/>
      <c r="BI68" s="365"/>
      <c r="BJ68" s="365"/>
      <c r="BK68" s="365"/>
      <c r="BL68" s="365"/>
      <c r="BM68" s="365"/>
      <c r="BN68" s="365"/>
      <c r="BO68" s="365"/>
      <c r="BP68" s="366"/>
    </row>
    <row r="69" customFormat="false" ht="12.75" hidden="false" customHeight="false" outlineLevel="0" collapsed="false">
      <c r="A69" s="0" t="s">
        <v>405</v>
      </c>
      <c r="B69" s="0" t="n">
        <v>16</v>
      </c>
      <c r="C69" s="0" t="s">
        <v>400</v>
      </c>
      <c r="AD69" s="363"/>
      <c r="AG69" s="359" t="n">
        <v>17</v>
      </c>
      <c r="AH69" s="359"/>
      <c r="BD69" s="356"/>
      <c r="BE69" s="365"/>
      <c r="BF69" s="365"/>
      <c r="BG69" s="365"/>
      <c r="BH69" s="365"/>
      <c r="BI69" s="365"/>
      <c r="BJ69" s="365"/>
      <c r="BK69" s="365"/>
      <c r="BL69" s="365"/>
      <c r="BM69" s="365"/>
      <c r="BN69" s="365"/>
      <c r="BO69" s="365"/>
      <c r="BP69" s="365"/>
      <c r="BQ69" s="365"/>
      <c r="BR69" s="365"/>
      <c r="BS69" s="366"/>
    </row>
    <row r="70" customFormat="false" ht="12.75" hidden="false" customHeight="false" outlineLevel="0" collapsed="false">
      <c r="A70" s="0" t="s">
        <v>406</v>
      </c>
      <c r="B70" s="0" t="n">
        <v>16</v>
      </c>
      <c r="C70" s="0" t="s">
        <v>400</v>
      </c>
      <c r="AE70" s="363"/>
      <c r="AG70" s="359" t="n">
        <v>17</v>
      </c>
      <c r="AH70" s="359"/>
      <c r="BG70" s="356"/>
      <c r="BH70" s="365"/>
      <c r="BI70" s="365"/>
      <c r="BJ70" s="365"/>
      <c r="BK70" s="365"/>
      <c r="BL70" s="365"/>
      <c r="BM70" s="365"/>
      <c r="BN70" s="365"/>
      <c r="BO70" s="365"/>
      <c r="BP70" s="365"/>
      <c r="BQ70" s="365"/>
      <c r="BR70" s="365"/>
      <c r="BS70" s="365"/>
      <c r="BT70" s="365"/>
      <c r="BU70" s="365"/>
      <c r="BV70" s="366"/>
    </row>
    <row r="71" customFormat="false" ht="12.75" hidden="false" customHeight="false" outlineLevel="0" collapsed="false">
      <c r="A71" s="0" t="s">
        <v>407</v>
      </c>
      <c r="B71" s="0" t="n">
        <v>16</v>
      </c>
      <c r="C71" s="0" t="s">
        <v>400</v>
      </c>
      <c r="AE71" s="363"/>
      <c r="AG71" s="359" t="n">
        <v>17</v>
      </c>
      <c r="AH71" s="359"/>
      <c r="BJ71" s="356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6"/>
      <c r="BZ71" s="366"/>
      <c r="CA71" s="366"/>
    </row>
    <row r="72" customFormat="false" ht="12.75" hidden="false" customHeight="false" outlineLevel="0" collapsed="false">
      <c r="B72" s="0" t="n">
        <f aca="false">SUM(B64:B71)</f>
        <v>133</v>
      </c>
      <c r="C72" s="0" t="s">
        <v>400</v>
      </c>
    </row>
    <row r="73" customFormat="false" ht="12.75" hidden="false" customHeight="false" outlineLevel="0" collapsed="false">
      <c r="A73" s="0" t="s">
        <v>408</v>
      </c>
      <c r="AT73" s="352"/>
    </row>
    <row r="74" customFormat="false" ht="12.75" hidden="false" customHeight="false" outlineLevel="0" collapsed="false">
      <c r="A74" s="0" t="s">
        <v>409</v>
      </c>
      <c r="AR74" s="367"/>
      <c r="AS74" s="367"/>
    </row>
    <row r="75" customFormat="false" ht="12.75" hidden="false" customHeight="false" outlineLevel="0" collapsed="false">
      <c r="A75" s="0" t="s">
        <v>410</v>
      </c>
      <c r="AT75" s="350"/>
    </row>
  </sheetData>
  <printOptions headings="false" gridLines="true" gridLinesSet="true" horizontalCentered="true" verticalCentered="false"/>
  <pageMargins left="0.25" right="0.25" top="0.984027777777778" bottom="0.984027777777778" header="0.511811023622047" footer="0.5"/>
  <pageSetup paperSize="1" scale="100" fitToWidth="4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64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pane xSplit="4650" ySplit="1110" topLeftCell="M1" activePane="bottomRight" state="split"/>
      <selection pane="topLeft" activeCell="L1" activeCellId="0" sqref="L1"/>
      <selection pane="topRight" activeCell="M1" activeCellId="0" sqref="M1"/>
      <selection pane="bottomLeft" activeCell="L1" activeCellId="0" sqref="L1"/>
      <selection pane="bottomRight" activeCell="Z9" activeCellId="0" sqref="Z9"/>
    </sheetView>
  </sheetViews>
  <sheetFormatPr defaultColWidth="7.65234375" defaultRowHeight="12" customHeight="true" zeroHeight="false" outlineLevelRow="0" outlineLevelCol="0"/>
  <cols>
    <col collapsed="false" customWidth="true" hidden="false" outlineLevel="0" max="1" min="1" style="140" width="8.65"/>
    <col collapsed="false" customWidth="true" hidden="false" outlineLevel="0" max="2" min="2" style="141" width="24.99"/>
    <col collapsed="false" customWidth="true" hidden="true" outlineLevel="0" max="3" min="3" style="141" width="5.99"/>
    <col collapsed="false" customWidth="true" hidden="true" outlineLevel="0" max="4" min="4" style="141" width="5.65"/>
    <col collapsed="false" customWidth="false" hidden="true" outlineLevel="0" max="11" min="5" style="141" width="7.65"/>
    <col collapsed="false" customWidth="true" hidden="false" outlineLevel="0" max="12" min="12" style="141" width="11.65"/>
    <col collapsed="false" customWidth="true" hidden="false" outlineLevel="0" max="14" min="13" style="141" width="9.99"/>
    <col collapsed="false" customWidth="true" hidden="false" outlineLevel="0" max="15" min="15" style="141" width="1.15"/>
    <col collapsed="false" customWidth="true" hidden="false" outlineLevel="0" max="16" min="16" style="141" width="11.99"/>
    <col collapsed="false" customWidth="true" hidden="false" outlineLevel="0" max="17" min="17" style="141" width="10.99"/>
    <col collapsed="false" customWidth="true" hidden="false" outlineLevel="0" max="18" min="18" style="141" width="12.65"/>
    <col collapsed="false" customWidth="true" hidden="false" outlineLevel="0" max="19" min="19" style="141" width="1.15"/>
    <col collapsed="false" customWidth="true" hidden="false" outlineLevel="0" max="20" min="20" style="141" width="13.65"/>
    <col collapsed="false" customWidth="true" hidden="false" outlineLevel="0" max="22" min="21" style="141" width="11.65"/>
    <col collapsed="false" customWidth="true" hidden="false" outlineLevel="0" max="23" min="23" style="141" width="1.15"/>
    <col collapsed="false" customWidth="true" hidden="false" outlineLevel="0" max="26" min="24" style="141" width="11.65"/>
    <col collapsed="false" customWidth="true" hidden="false" outlineLevel="0" max="27" min="27" style="141" width="1.15"/>
    <col collapsed="false" customWidth="true" hidden="false" outlineLevel="0" max="28" min="28" style="141" width="11.99"/>
    <col collapsed="false" customWidth="true" hidden="false" outlineLevel="0" max="29" min="29" style="141" width="8.65"/>
    <col collapsed="false" customWidth="false" hidden="false" outlineLevel="0" max="30" min="30" style="141" width="7.65"/>
    <col collapsed="false" customWidth="true" hidden="false" outlineLevel="0" max="31" min="31" style="141" width="1.15"/>
    <col collapsed="false" customWidth="true" hidden="false" outlineLevel="0" max="32" min="32" style="141" width="11.65"/>
    <col collapsed="false" customWidth="true" hidden="false" outlineLevel="0" max="33" min="33" style="141" width="3.65"/>
    <col collapsed="false" customWidth="true" hidden="false" outlineLevel="0" max="34" min="34" style="141" width="23.99"/>
    <col collapsed="false" customWidth="true" hidden="false" outlineLevel="0" max="35" min="35" style="141" width="7.82"/>
    <col collapsed="false" customWidth="true" hidden="false" outlineLevel="0" max="36" min="36" style="141" width="13.82"/>
    <col collapsed="false" customWidth="true" hidden="false" outlineLevel="0" max="38" min="37" style="141" width="9.65"/>
    <col collapsed="false" customWidth="false" hidden="false" outlineLevel="0" max="39" min="39" style="141" width="7.65"/>
    <col collapsed="false" customWidth="true" hidden="false" outlineLevel="0" max="40" min="40" style="141" width="11.65"/>
    <col collapsed="false" customWidth="true" hidden="false" outlineLevel="0" max="41" min="41" style="141" width="18.99"/>
    <col collapsed="false" customWidth="true" hidden="false" outlineLevel="0" max="42" min="42" style="141" width="16.49"/>
    <col collapsed="false" customWidth="true" hidden="false" outlineLevel="0" max="43" min="43" style="141" width="19.99"/>
    <col collapsed="false" customWidth="false" hidden="false" outlineLevel="0" max="257" min="44" style="141" width="7.65"/>
  </cols>
  <sheetData>
    <row r="1" customFormat="false" ht="12" hidden="false" customHeight="false" outlineLevel="0" collapsed="false">
      <c r="B1" s="141" t="s">
        <v>114</v>
      </c>
      <c r="P1" s="368" t="n">
        <v>1.125</v>
      </c>
    </row>
    <row r="2" customFormat="false" ht="12" hidden="false" customHeight="false" outlineLevel="0" collapsed="false">
      <c r="B2" s="141" t="s">
        <v>119</v>
      </c>
      <c r="L2" s="207" t="n">
        <v>14</v>
      </c>
      <c r="P2" s="141" t="s">
        <v>115</v>
      </c>
      <c r="Q2" s="141" t="n">
        <v>133</v>
      </c>
    </row>
    <row r="3" customFormat="false" ht="12.75" hidden="false" customHeight="false" outlineLevel="0" collapsed="false">
      <c r="A3" s="140" t="s">
        <v>124</v>
      </c>
      <c r="B3" s="141" t="s">
        <v>125</v>
      </c>
      <c r="L3" s="141" t="s">
        <v>126</v>
      </c>
    </row>
    <row r="4" customFormat="false" ht="12.75" hidden="false" customHeight="false" outlineLevel="0" collapsed="false">
      <c r="B4" s="369" t="s">
        <v>411</v>
      </c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1"/>
    </row>
    <row r="5" customFormat="false" ht="12" hidden="false" customHeight="false" outlineLevel="0" collapsed="false">
      <c r="E5" s="372" t="s">
        <v>412</v>
      </c>
      <c r="F5" s="372" t="s">
        <v>413</v>
      </c>
      <c r="G5" s="372" t="s">
        <v>414</v>
      </c>
      <c r="H5" s="372" t="s">
        <v>415</v>
      </c>
      <c r="I5" s="372" t="s">
        <v>416</v>
      </c>
      <c r="J5" s="372" t="s">
        <v>417</v>
      </c>
      <c r="K5" s="372" t="s">
        <v>418</v>
      </c>
      <c r="P5" s="373" t="s">
        <v>419</v>
      </c>
      <c r="Q5" s="373"/>
      <c r="R5" s="373"/>
      <c r="T5" s="373" t="s">
        <v>420</v>
      </c>
      <c r="U5" s="373"/>
      <c r="V5" s="373"/>
      <c r="W5" s="374"/>
      <c r="X5" s="373" t="s">
        <v>421</v>
      </c>
      <c r="Y5" s="373"/>
      <c r="Z5" s="373"/>
      <c r="AA5" s="374"/>
      <c r="AB5" s="373" t="s">
        <v>132</v>
      </c>
      <c r="AC5" s="373"/>
      <c r="AD5" s="373"/>
      <c r="AE5" s="374"/>
      <c r="AF5" s="374"/>
    </row>
    <row r="6" customFormat="false" ht="22.9" hidden="false" customHeight="true" outlineLevel="0" collapsed="false">
      <c r="B6" s="375" t="s">
        <v>135</v>
      </c>
      <c r="C6" s="376" t="s">
        <v>422</v>
      </c>
      <c r="D6" s="377" t="s">
        <v>423</v>
      </c>
      <c r="E6" s="372" t="s">
        <v>424</v>
      </c>
      <c r="F6" s="372" t="s">
        <v>425</v>
      </c>
      <c r="G6" s="372" t="s">
        <v>426</v>
      </c>
      <c r="H6" s="372" t="s">
        <v>427</v>
      </c>
      <c r="I6" s="372" t="s">
        <v>428</v>
      </c>
      <c r="J6" s="372" t="s">
        <v>429</v>
      </c>
      <c r="K6" s="372" t="s">
        <v>430</v>
      </c>
      <c r="L6" s="378" t="s">
        <v>136</v>
      </c>
      <c r="M6" s="378" t="s">
        <v>53</v>
      </c>
      <c r="N6" s="378" t="s">
        <v>6</v>
      </c>
      <c r="O6" s="378"/>
      <c r="P6" s="378" t="s">
        <v>136</v>
      </c>
      <c r="Q6" s="378" t="s">
        <v>53</v>
      </c>
      <c r="R6" s="378" t="s">
        <v>6</v>
      </c>
      <c r="T6" s="378" t="s">
        <v>136</v>
      </c>
      <c r="U6" s="378" t="s">
        <v>53</v>
      </c>
      <c r="V6" s="378" t="s">
        <v>6</v>
      </c>
      <c r="W6" s="378"/>
      <c r="X6" s="378" t="s">
        <v>136</v>
      </c>
      <c r="Y6" s="378" t="s">
        <v>53</v>
      </c>
      <c r="Z6" s="378" t="s">
        <v>6</v>
      </c>
      <c r="AA6" s="378"/>
      <c r="AB6" s="378" t="s">
        <v>136</v>
      </c>
      <c r="AC6" s="378" t="s">
        <v>53</v>
      </c>
      <c r="AD6" s="378" t="s">
        <v>6</v>
      </c>
      <c r="AE6" s="378"/>
      <c r="AF6" s="379"/>
      <c r="AH6" s="380" t="s">
        <v>135</v>
      </c>
      <c r="AI6" s="378" t="s">
        <v>431</v>
      </c>
      <c r="AJ6" s="378" t="s">
        <v>139</v>
      </c>
      <c r="AK6" s="378" t="s">
        <v>53</v>
      </c>
      <c r="AL6" s="378" t="s">
        <v>140</v>
      </c>
    </row>
    <row r="7" customFormat="false" ht="22.9" hidden="false" customHeight="true" outlineLevel="0" collapsed="false">
      <c r="B7" s="375" t="s">
        <v>432</v>
      </c>
      <c r="C7" s="376"/>
      <c r="D7" s="377"/>
      <c r="E7" s="372"/>
      <c r="F7" s="372"/>
      <c r="G7" s="372"/>
      <c r="H7" s="372"/>
      <c r="I7" s="372"/>
      <c r="J7" s="372"/>
      <c r="K7" s="372"/>
      <c r="L7" s="381" t="n">
        <f aca="false">TRUnits</f>
        <v>14</v>
      </c>
      <c r="M7" s="378"/>
      <c r="N7" s="378"/>
      <c r="O7" s="378"/>
      <c r="P7" s="381" t="n">
        <v>1</v>
      </c>
      <c r="Q7" s="378"/>
      <c r="R7" s="378"/>
      <c r="T7" s="381" t="n">
        <v>72</v>
      </c>
      <c r="U7" s="378"/>
      <c r="V7" s="378"/>
      <c r="W7" s="378"/>
      <c r="X7" s="381" t="n">
        <v>61</v>
      </c>
      <c r="Y7" s="378"/>
      <c r="Z7" s="378"/>
      <c r="AA7" s="378"/>
      <c r="AB7" s="381" t="n">
        <f aca="false">ROUND(X7+T7,0)</f>
        <v>133</v>
      </c>
      <c r="AC7" s="378"/>
      <c r="AD7" s="378"/>
      <c r="AE7" s="378"/>
      <c r="AF7" s="379"/>
      <c r="AH7" s="380"/>
      <c r="AI7" s="378"/>
      <c r="AJ7" s="378"/>
      <c r="AK7" s="381" t="n">
        <f aca="false">+AB7</f>
        <v>133</v>
      </c>
      <c r="AL7" s="382" t="n">
        <f aca="false">AB7*AC8</f>
        <v>159467</v>
      </c>
    </row>
    <row r="8" customFormat="false" ht="22.9" hidden="false" customHeight="true" outlineLevel="0" collapsed="false">
      <c r="B8" s="375" t="s">
        <v>144</v>
      </c>
      <c r="C8" s="376"/>
      <c r="D8" s="377"/>
      <c r="E8" s="372"/>
      <c r="F8" s="372"/>
      <c r="G8" s="372"/>
      <c r="H8" s="372"/>
      <c r="I8" s="372"/>
      <c r="J8" s="372"/>
      <c r="K8" s="372"/>
      <c r="L8" s="381"/>
      <c r="M8" s="378"/>
      <c r="N8" s="378"/>
      <c r="O8" s="378"/>
      <c r="P8" s="381"/>
      <c r="Q8" s="381" t="n">
        <v>1198</v>
      </c>
      <c r="R8" s="381" t="n">
        <f aca="false">+Q8+280+67</f>
        <v>1545</v>
      </c>
      <c r="T8" s="381"/>
      <c r="U8" s="381" t="n">
        <v>1107</v>
      </c>
      <c r="V8" s="381" t="n">
        <f aca="false">+U8</f>
        <v>1107</v>
      </c>
      <c r="W8" s="378"/>
      <c r="X8" s="381"/>
      <c r="Y8" s="381" t="n">
        <v>1287</v>
      </c>
      <c r="Z8" s="381" t="n">
        <f aca="false">+Y8+295+13</f>
        <v>1595</v>
      </c>
      <c r="AA8" s="378"/>
      <c r="AB8" s="378"/>
      <c r="AC8" s="381" t="n">
        <f aca="false">ROUND((Y8*$X7+U8*$T7+Q8*$P7)/$AB$7,0)</f>
        <v>1199</v>
      </c>
      <c r="AD8" s="381" t="n">
        <f aca="false">ROUND((Z8*$X7+V8*$T7+R8*$P7)/$AB$7,0)</f>
        <v>1342</v>
      </c>
      <c r="AE8" s="378"/>
      <c r="AF8" s="379"/>
      <c r="AH8" s="380"/>
      <c r="AI8" s="378"/>
      <c r="AJ8" s="378"/>
      <c r="AK8" s="378"/>
      <c r="AL8" s="378"/>
    </row>
    <row r="9" customFormat="false" ht="12" hidden="false" customHeight="false" outlineLevel="0" collapsed="false">
      <c r="A9" s="140" t="s">
        <v>148</v>
      </c>
      <c r="B9" s="141" t="s">
        <v>149</v>
      </c>
      <c r="C9" s="383"/>
      <c r="D9" s="384" t="n">
        <f aca="false">L9/$L$88</f>
        <v>0.0237164028413085</v>
      </c>
      <c r="E9" s="385" t="s">
        <v>433</v>
      </c>
      <c r="F9" s="385" t="s">
        <v>433</v>
      </c>
      <c r="G9" s="385" t="s">
        <v>433</v>
      </c>
      <c r="H9" s="385" t="s">
        <v>433</v>
      </c>
      <c r="I9" s="385" t="s">
        <v>433</v>
      </c>
      <c r="J9" s="385" t="s">
        <v>433</v>
      </c>
      <c r="K9" s="385" t="s">
        <v>433</v>
      </c>
      <c r="L9" s="386" t="n">
        <f aca="false">M9*TRUnits</f>
        <v>16673.3</v>
      </c>
      <c r="M9" s="386" t="n">
        <f aca="false">2381.9/2</f>
        <v>1190.95</v>
      </c>
      <c r="N9" s="387" t="n">
        <f aca="false">M9/1376</f>
        <v>0.865515988372093</v>
      </c>
      <c r="O9" s="387"/>
      <c r="P9" s="388" t="n">
        <f aca="false">Q9*P$7</f>
        <v>1166.49917332849</v>
      </c>
      <c r="Q9" s="388" t="n">
        <f aca="false">Q$8*$N9*CMF</f>
        <v>1166.49917332849</v>
      </c>
      <c r="R9" s="203" t="n">
        <f aca="false">+Q9/Q$8</f>
        <v>0.973705486918605</v>
      </c>
      <c r="S9" s="386"/>
      <c r="T9" s="388" t="n">
        <f aca="false">U9*T$7</f>
        <v>77608.2221293605</v>
      </c>
      <c r="U9" s="388" t="n">
        <f aca="false">U$8*$N9*CMF</f>
        <v>1077.8919740189</v>
      </c>
      <c r="V9" s="203" t="n">
        <f aca="false">+U9/U$8</f>
        <v>0.973705486918605</v>
      </c>
      <c r="W9" s="386"/>
      <c r="X9" s="388" t="n">
        <f aca="false">Y9*X$7</f>
        <v>76442.6966615189</v>
      </c>
      <c r="Y9" s="388" t="n">
        <f aca="false">Y$8*$N9*CMF</f>
        <v>1253.15896166424</v>
      </c>
      <c r="Z9" s="203" t="n">
        <f aca="false">+Y9/Y$8</f>
        <v>0.973705486918605</v>
      </c>
      <c r="AA9" s="386"/>
      <c r="AB9" s="388" t="n">
        <f aca="false">+X9+T9</f>
        <v>154050.918790879</v>
      </c>
      <c r="AC9" s="388" t="n">
        <f aca="false">AB9/AB$7</f>
        <v>1158.27758489383</v>
      </c>
      <c r="AD9" s="203" t="n">
        <f aca="false">+AC9/AC$8</f>
        <v>0.966036351037389</v>
      </c>
      <c r="AE9" s="386"/>
      <c r="AF9" s="389"/>
      <c r="AG9" s="390" t="s">
        <v>434</v>
      </c>
      <c r="AH9" s="141" t="s">
        <v>435</v>
      </c>
      <c r="AI9" s="384" t="n">
        <f aca="false">AJ9/$AJ$48</f>
        <v>0.0117034511869344</v>
      </c>
      <c r="AJ9" s="391" t="n">
        <f aca="false">+AB9</f>
        <v>154050.918790879</v>
      </c>
      <c r="AK9" s="391" t="n">
        <f aca="false">+AJ9/AK$7</f>
        <v>1158.27758489383</v>
      </c>
      <c r="AL9" s="203" t="n">
        <f aca="false">+AJ9/AL$7</f>
        <v>0.966036351037389</v>
      </c>
    </row>
    <row r="10" customFormat="false" ht="12" hidden="false" customHeight="false" outlineLevel="0" collapsed="false">
      <c r="A10" s="140" t="s">
        <v>150</v>
      </c>
      <c r="B10" s="141" t="s">
        <v>436</v>
      </c>
      <c r="C10" s="383"/>
      <c r="D10" s="384"/>
      <c r="E10" s="385"/>
      <c r="F10" s="385"/>
      <c r="G10" s="385"/>
      <c r="H10" s="385"/>
      <c r="I10" s="385"/>
      <c r="J10" s="385"/>
      <c r="K10" s="385"/>
      <c r="L10" s="386"/>
      <c r="M10" s="386"/>
      <c r="N10" s="387"/>
      <c r="O10" s="387"/>
      <c r="P10" s="392" t="n">
        <f aca="false">Q10*P$7</f>
        <v>969.263059701493</v>
      </c>
      <c r="Q10" s="392" t="n">
        <f aca="false">((68000+9450+28000+8000+2000)/134)*CMF</f>
        <v>969.263059701493</v>
      </c>
      <c r="R10" s="393" t="n">
        <f aca="false">+Q10/Q$8</f>
        <v>0.809067662522114</v>
      </c>
      <c r="S10" s="386"/>
      <c r="T10" s="392" t="n">
        <f aca="false">U10*T$7</f>
        <v>69786.9402985075</v>
      </c>
      <c r="U10" s="392" t="n">
        <f aca="false">((68000+9450+28000+8000+2000)/134)*CMF</f>
        <v>969.263059701493</v>
      </c>
      <c r="V10" s="393" t="n">
        <f aca="false">+U10/U$8</f>
        <v>0.875576386360878</v>
      </c>
      <c r="W10" s="386"/>
      <c r="X10" s="392" t="n">
        <f aca="false">Y10*X$7</f>
        <v>59125.046641791</v>
      </c>
      <c r="Y10" s="392" t="n">
        <f aca="false">((68000+9450+28000+8000+2000)/134)*CMF</f>
        <v>969.263059701493</v>
      </c>
      <c r="Z10" s="393" t="n">
        <f aca="false">+Y10/Y$8</f>
        <v>0.75311815050621</v>
      </c>
      <c r="AA10" s="386"/>
      <c r="AB10" s="392" t="n">
        <f aca="false">+X10+T10</f>
        <v>128911.986940298</v>
      </c>
      <c r="AC10" s="394" t="n">
        <f aca="false">+AB10/AB$7</f>
        <v>969.263059701493</v>
      </c>
      <c r="AD10" s="393" t="n">
        <f aca="false">+AC10/AC$8</f>
        <v>0.808392877148868</v>
      </c>
      <c r="AE10" s="386"/>
      <c r="AF10" s="389"/>
      <c r="AG10" s="390" t="s">
        <v>437</v>
      </c>
      <c r="AH10" s="141" t="s">
        <v>438</v>
      </c>
      <c r="AI10" s="384" t="n">
        <f aca="false">AJ10/$AJ$48</f>
        <v>0.00979361342605526</v>
      </c>
      <c r="AJ10" s="391" t="n">
        <f aca="false">+AB10</f>
        <v>128911.986940298</v>
      </c>
      <c r="AK10" s="391" t="n">
        <f aca="false">+AJ10/AK$7</f>
        <v>969.263059701493</v>
      </c>
      <c r="AL10" s="387" t="n">
        <f aca="false">+AJ10/AL$7</f>
        <v>0.808392877148868</v>
      </c>
    </row>
    <row r="11" customFormat="false" ht="12" hidden="false" customHeight="false" outlineLevel="0" collapsed="false">
      <c r="A11" s="140" t="s">
        <v>153</v>
      </c>
      <c r="B11" s="141" t="s">
        <v>154</v>
      </c>
      <c r="C11" s="383"/>
      <c r="D11" s="384" t="n">
        <f aca="false">L11/$L$88</f>
        <v>0.00261867162654357</v>
      </c>
      <c r="E11" s="385" t="s">
        <v>433</v>
      </c>
      <c r="F11" s="385" t="s">
        <v>433</v>
      </c>
      <c r="G11" s="385" t="s">
        <v>433</v>
      </c>
      <c r="H11" s="385" t="s">
        <v>433</v>
      </c>
      <c r="I11" s="385" t="s">
        <v>433</v>
      </c>
      <c r="J11" s="385" t="s">
        <v>433</v>
      </c>
      <c r="K11" s="385" t="s">
        <v>433</v>
      </c>
      <c r="L11" s="386" t="n">
        <f aca="false">M11*TRUnits</f>
        <v>1841</v>
      </c>
      <c r="M11" s="386" t="n">
        <f aca="false">263/2</f>
        <v>131.5</v>
      </c>
      <c r="N11" s="387" t="n">
        <f aca="false">M11/1376</f>
        <v>0.0955668604651163</v>
      </c>
      <c r="O11" s="387"/>
      <c r="P11" s="392" t="n">
        <f aca="false">Q11*P$7</f>
        <v>128.80023619186</v>
      </c>
      <c r="Q11" s="392" t="n">
        <f aca="false">Q$8*$N11*CMF</f>
        <v>128.80023619186</v>
      </c>
      <c r="R11" s="393" t="n">
        <f aca="false">+Q11/Q$8</f>
        <v>0.107512718023256</v>
      </c>
      <c r="S11" s="386"/>
      <c r="T11" s="392" t="n">
        <f aca="false">U11*T$7</f>
        <v>8569.19367732558</v>
      </c>
      <c r="U11" s="392" t="n">
        <f aca="false">U$8*$N11*CMF</f>
        <v>119.016578851744</v>
      </c>
      <c r="V11" s="393" t="n">
        <f aca="false">+U11/U$8</f>
        <v>0.107512718023256</v>
      </c>
      <c r="W11" s="386"/>
      <c r="X11" s="392" t="n">
        <f aca="false">Y11*X$7</f>
        <v>8440.50095385174</v>
      </c>
      <c r="Y11" s="392" t="n">
        <f aca="false">Y$8*$N11*CMF</f>
        <v>138.36886809593</v>
      </c>
      <c r="Z11" s="393" t="n">
        <f aca="false">+Y11/Y$8</f>
        <v>0.107512718023256</v>
      </c>
      <c r="AA11" s="386"/>
      <c r="AB11" s="392" t="n">
        <f aca="false">+X11+T11</f>
        <v>17009.6946311773</v>
      </c>
      <c r="AC11" s="394" t="n">
        <f aca="false">+AB11/AB$7</f>
        <v>127.89244083592</v>
      </c>
      <c r="AD11" s="393" t="n">
        <f aca="false">+AC11/AC$8</f>
        <v>0.106665922298515</v>
      </c>
      <c r="AE11" s="386"/>
      <c r="AF11" s="389"/>
      <c r="AG11" s="390" t="s">
        <v>439</v>
      </c>
      <c r="AH11" s="141" t="s">
        <v>440</v>
      </c>
      <c r="AI11" s="384" t="n">
        <f aca="false">AJ11/$AJ$48</f>
        <v>0</v>
      </c>
      <c r="AJ11" s="391" t="n">
        <v>0</v>
      </c>
      <c r="AK11" s="391" t="n">
        <f aca="false">+AJ11/AK$7</f>
        <v>0</v>
      </c>
      <c r="AL11" s="387" t="n">
        <f aca="false">+AJ11/AL$7</f>
        <v>0</v>
      </c>
    </row>
    <row r="12" customFormat="false" ht="12" hidden="false" customHeight="false" outlineLevel="0" collapsed="false">
      <c r="A12" s="140" t="s">
        <v>156</v>
      </c>
      <c r="B12" s="141" t="s">
        <v>157</v>
      </c>
      <c r="C12" s="383"/>
      <c r="D12" s="384" t="n">
        <f aca="false">L12/$L$88</f>
        <v>0.00174246210891683</v>
      </c>
      <c r="E12" s="385"/>
      <c r="F12" s="385"/>
      <c r="G12" s="385"/>
      <c r="H12" s="385"/>
      <c r="I12" s="385"/>
      <c r="J12" s="385"/>
      <c r="K12" s="385"/>
      <c r="L12" s="386" t="n">
        <f aca="false">M12*TRUnits</f>
        <v>1225</v>
      </c>
      <c r="M12" s="386" t="n">
        <f aca="false">175/2</f>
        <v>87.5</v>
      </c>
      <c r="N12" s="387" t="n">
        <f aca="false">M12/1376</f>
        <v>0.0635901162790698</v>
      </c>
      <c r="O12" s="387"/>
      <c r="P12" s="392" t="n">
        <f aca="false">Q12*P$7</f>
        <v>98.4375</v>
      </c>
      <c r="Q12" s="392" t="n">
        <f aca="false">+$M12*CMF</f>
        <v>98.4375</v>
      </c>
      <c r="R12" s="393" t="n">
        <f aca="false">+Q12/Q$8</f>
        <v>0.0821681969949917</v>
      </c>
      <c r="S12" s="386"/>
      <c r="T12" s="392" t="n">
        <f aca="false">U12*T$7</f>
        <v>7087.5</v>
      </c>
      <c r="U12" s="392" t="n">
        <f aca="false">+$M12*CMF</f>
        <v>98.4375</v>
      </c>
      <c r="V12" s="393" t="n">
        <f aca="false">+U12/U$8</f>
        <v>0.0889227642276423</v>
      </c>
      <c r="W12" s="386"/>
      <c r="X12" s="392" t="n">
        <f aca="false">Y12*X$7</f>
        <v>6004.6875</v>
      </c>
      <c r="Y12" s="392" t="n">
        <f aca="false">+$M12*CMF</f>
        <v>98.4375</v>
      </c>
      <c r="Z12" s="393" t="n">
        <f aca="false">+Y12/Y$8</f>
        <v>0.076486013986014</v>
      </c>
      <c r="AA12" s="386"/>
      <c r="AB12" s="392" t="n">
        <f aca="false">+X12+T12</f>
        <v>13092.1875</v>
      </c>
      <c r="AC12" s="394" t="n">
        <f aca="false">+AB12/AB$7</f>
        <v>98.4375</v>
      </c>
      <c r="AD12" s="393" t="n">
        <f aca="false">+AC12/AC$8</f>
        <v>0.0820996663886572</v>
      </c>
      <c r="AE12" s="386"/>
      <c r="AF12" s="389"/>
      <c r="AG12" s="390" t="s">
        <v>441</v>
      </c>
      <c r="AH12" s="141" t="s">
        <v>442</v>
      </c>
      <c r="AI12" s="384" t="n">
        <f aca="false">AJ12/$AJ$48</f>
        <v>0.0157898642824541</v>
      </c>
      <c r="AJ12" s="391" t="n">
        <f aca="false">AB12+AB13</f>
        <v>207839.8125</v>
      </c>
      <c r="AK12" s="391" t="n">
        <f aca="false">+AJ12/AK$7</f>
        <v>1562.70535714286</v>
      </c>
      <c r="AL12" s="387" t="n">
        <f aca="false">+AJ12/AL$7</f>
        <v>1.30334058143691</v>
      </c>
    </row>
    <row r="13" customFormat="false" ht="12" hidden="false" customHeight="false" outlineLevel="0" collapsed="false">
      <c r="A13" s="140" t="s">
        <v>156</v>
      </c>
      <c r="B13" s="141" t="s">
        <v>158</v>
      </c>
      <c r="C13" s="383"/>
      <c r="D13" s="384" t="n">
        <f aca="false">L13/$L$88</f>
        <v>0.0259193016723938</v>
      </c>
      <c r="E13" s="385" t="s">
        <v>433</v>
      </c>
      <c r="F13" s="385" t="s">
        <v>433</v>
      </c>
      <c r="G13" s="385" t="s">
        <v>433</v>
      </c>
      <c r="H13" s="385" t="s">
        <v>433</v>
      </c>
      <c r="I13" s="385" t="s">
        <v>433</v>
      </c>
      <c r="J13" s="385" t="s">
        <v>433</v>
      </c>
      <c r="K13" s="385" t="s">
        <v>433</v>
      </c>
      <c r="L13" s="386" t="n">
        <f aca="false">M13*TRUnits</f>
        <v>18222</v>
      </c>
      <c r="M13" s="386" t="n">
        <f aca="false">(6797+11425)/14</f>
        <v>1301.57142857143</v>
      </c>
      <c r="N13" s="387" t="n">
        <f aca="false">M13/1376</f>
        <v>0.945909468438538</v>
      </c>
      <c r="O13" s="387"/>
      <c r="P13" s="392" t="n">
        <f aca="false">Q13*P$7</f>
        <v>1464.26785714286</v>
      </c>
      <c r="Q13" s="392" t="n">
        <f aca="false">+$M13*CMF</f>
        <v>1464.26785714286</v>
      </c>
      <c r="R13" s="393" t="n">
        <f aca="false">+Q13/Q$8</f>
        <v>1.2222603148104</v>
      </c>
      <c r="S13" s="386"/>
      <c r="T13" s="392" t="n">
        <f aca="false">U13*T$7</f>
        <v>105427.285714286</v>
      </c>
      <c r="U13" s="392" t="n">
        <f aca="false">+$M13*CMF</f>
        <v>1464.26785714286</v>
      </c>
      <c r="V13" s="393" t="n">
        <f aca="false">+U13/U$8</f>
        <v>1.32273519163763</v>
      </c>
      <c r="W13" s="386"/>
      <c r="X13" s="392" t="n">
        <f aca="false">Y13*X$7</f>
        <v>89320.3392857143</v>
      </c>
      <c r="Y13" s="392" t="n">
        <f aca="false">+$M13*CMF</f>
        <v>1464.26785714286</v>
      </c>
      <c r="Z13" s="393" t="n">
        <f aca="false">+Y13/Y$8</f>
        <v>1.13773726273726</v>
      </c>
      <c r="AA13" s="386"/>
      <c r="AB13" s="392" t="n">
        <f aca="false">+X13+T13</f>
        <v>194747.625</v>
      </c>
      <c r="AC13" s="394" t="n">
        <f aca="false">+AB13/AB$7</f>
        <v>1464.26785714286</v>
      </c>
      <c r="AD13" s="393" t="n">
        <f aca="false">+AC13/AC$8</f>
        <v>1.22124091504825</v>
      </c>
      <c r="AE13" s="386"/>
      <c r="AF13" s="389"/>
      <c r="AG13" s="390" t="s">
        <v>443</v>
      </c>
      <c r="AH13" s="141" t="s">
        <v>444</v>
      </c>
      <c r="AI13" s="384" t="n">
        <f aca="false">AJ13/$AJ$48</f>
        <v>0.0969054508207382</v>
      </c>
      <c r="AJ13" s="391" t="n">
        <f aca="false">+AB15</f>
        <v>1275553.125</v>
      </c>
      <c r="AK13" s="391" t="n">
        <f aca="false">+AJ13/AK$7</f>
        <v>9590.625</v>
      </c>
      <c r="AL13" s="387" t="n">
        <f aca="false">+AJ13/AL$7</f>
        <v>7.99885321100917</v>
      </c>
    </row>
    <row r="14" customFormat="false" ht="12" hidden="false" customHeight="false" outlineLevel="0" collapsed="false">
      <c r="B14" s="375" t="s">
        <v>159</v>
      </c>
      <c r="C14" s="383"/>
      <c r="E14" s="385"/>
      <c r="F14" s="385"/>
      <c r="G14" s="385"/>
      <c r="H14" s="385"/>
      <c r="I14" s="385"/>
      <c r="J14" s="385"/>
      <c r="K14" s="385"/>
      <c r="L14" s="386"/>
      <c r="M14" s="386"/>
      <c r="N14" s="387"/>
      <c r="O14" s="387"/>
      <c r="P14" s="392"/>
      <c r="Q14" s="392"/>
      <c r="R14" s="393"/>
      <c r="S14" s="386"/>
      <c r="T14" s="392"/>
      <c r="U14" s="392"/>
      <c r="V14" s="393"/>
      <c r="W14" s="386"/>
      <c r="X14" s="392"/>
      <c r="Y14" s="392"/>
      <c r="Z14" s="393"/>
      <c r="AA14" s="386"/>
      <c r="AB14" s="392"/>
      <c r="AC14" s="394"/>
      <c r="AD14" s="393"/>
      <c r="AE14" s="386"/>
      <c r="AF14" s="389"/>
      <c r="AG14" s="390" t="s">
        <v>445</v>
      </c>
      <c r="AH14" s="141" t="s">
        <v>446</v>
      </c>
      <c r="AI14" s="384" t="n">
        <f aca="false">AJ14/$AJ$48</f>
        <v>0.0495324819979764</v>
      </c>
      <c r="AJ14" s="391" t="n">
        <f aca="false">+AB19+AB20</f>
        <v>651989.25</v>
      </c>
      <c r="AK14" s="391" t="n">
        <f aca="false">+AJ14/AK$7</f>
        <v>4902.17481203008</v>
      </c>
      <c r="AL14" s="387" t="n">
        <f aca="false">+AJ14/AL$7</f>
        <v>4.08855280402842</v>
      </c>
    </row>
    <row r="15" customFormat="false" ht="12" hidden="false" customHeight="false" outlineLevel="0" collapsed="false">
      <c r="A15" s="140" t="s">
        <v>160</v>
      </c>
      <c r="B15" s="141" t="s">
        <v>161</v>
      </c>
      <c r="C15" s="383"/>
      <c r="D15" s="384" t="n">
        <f aca="false">L15/$L$88</f>
        <v>0.0028875086376336</v>
      </c>
      <c r="E15" s="385" t="s">
        <v>433</v>
      </c>
      <c r="F15" s="385" t="s">
        <v>433</v>
      </c>
      <c r="G15" s="385" t="s">
        <v>433</v>
      </c>
      <c r="H15" s="385" t="s">
        <v>433</v>
      </c>
      <c r="I15" s="385" t="s">
        <v>433</v>
      </c>
      <c r="J15" s="385" t="s">
        <v>433</v>
      </c>
      <c r="K15" s="385" t="s">
        <v>433</v>
      </c>
      <c r="L15" s="386" t="n">
        <f aca="false">M15*TRUnits</f>
        <v>2030</v>
      </c>
      <c r="M15" s="386" t="n">
        <f aca="false">290/2</f>
        <v>145</v>
      </c>
      <c r="N15" s="387" t="n">
        <f aca="false">M15/1376</f>
        <v>0.105377906976744</v>
      </c>
      <c r="O15" s="387"/>
      <c r="P15" s="392" t="n">
        <f aca="false">Q15*P$7</f>
        <v>9559.6875</v>
      </c>
      <c r="Q15" s="392" t="n">
        <f aca="false">5.5*R8*CMF</f>
        <v>9559.6875</v>
      </c>
      <c r="R15" s="393" t="n">
        <f aca="false">+Q15/Q$8</f>
        <v>7.97970575959933</v>
      </c>
      <c r="S15" s="386"/>
      <c r="T15" s="392" t="n">
        <f aca="false">U15*T$7</f>
        <v>690525</v>
      </c>
      <c r="U15" s="392" t="n">
        <f aca="false">5.5*1550*CMF</f>
        <v>9590.625</v>
      </c>
      <c r="V15" s="393" t="n">
        <f aca="false">+U15/U$8</f>
        <v>8.66361788617886</v>
      </c>
      <c r="W15" s="386"/>
      <c r="X15" s="392" t="n">
        <f aca="false">Y15*X$7</f>
        <v>585028.125</v>
      </c>
      <c r="Y15" s="392" t="n">
        <f aca="false">5.5*1550*CMF</f>
        <v>9590.625</v>
      </c>
      <c r="Z15" s="393" t="n">
        <f aca="false">+Y15/Y$8</f>
        <v>7.45192307692308</v>
      </c>
      <c r="AA15" s="386"/>
      <c r="AB15" s="392" t="n">
        <f aca="false">+X15+T15</f>
        <v>1275553.125</v>
      </c>
      <c r="AC15" s="394" t="n">
        <f aca="false">+AB15/AB$7</f>
        <v>9590.625</v>
      </c>
      <c r="AD15" s="393" t="n">
        <f aca="false">+AC15/AC$8</f>
        <v>7.99885321100917</v>
      </c>
      <c r="AE15" s="386"/>
      <c r="AF15" s="389"/>
      <c r="AG15" s="390" t="s">
        <v>447</v>
      </c>
      <c r="AH15" s="141" t="s">
        <v>448</v>
      </c>
      <c r="AI15" s="384" t="n">
        <f aca="false">AJ15/$AJ$48</f>
        <v>0.16274097863682</v>
      </c>
      <c r="AJ15" s="391" t="n">
        <f aca="false">SUM(AB23:AB25)+SUM(AB28:AB32)+AB35</f>
        <v>2142137.12549315</v>
      </c>
      <c r="AK15" s="391" t="n">
        <f aca="false">+AJ15/AK$7</f>
        <v>16106.2941766402</v>
      </c>
      <c r="AL15" s="387" t="n">
        <f aca="false">+AJ15/AL$7</f>
        <v>13.4331060689243</v>
      </c>
    </row>
    <row r="16" customFormat="false" ht="12" hidden="false" customHeight="false" outlineLevel="0" collapsed="false">
      <c r="A16" s="140" t="s">
        <v>160</v>
      </c>
      <c r="B16" s="141" t="s">
        <v>162</v>
      </c>
      <c r="C16" s="383"/>
      <c r="D16" s="384" t="n">
        <f aca="false">L16/$L$88</f>
        <v>0.025937793107019</v>
      </c>
      <c r="E16" s="385" t="s">
        <v>433</v>
      </c>
      <c r="F16" s="385" t="s">
        <v>433</v>
      </c>
      <c r="G16" s="385" t="s">
        <v>433</v>
      </c>
      <c r="H16" s="385" t="s">
        <v>433</v>
      </c>
      <c r="I16" s="385" t="s">
        <v>433</v>
      </c>
      <c r="J16" s="385" t="s">
        <v>433</v>
      </c>
      <c r="K16" s="385" t="s">
        <v>433</v>
      </c>
      <c r="L16" s="386" t="n">
        <f aca="false">M16*TRUnits</f>
        <v>18235</v>
      </c>
      <c r="M16" s="386" t="n">
        <f aca="false">2605/2</f>
        <v>1302.5</v>
      </c>
      <c r="N16" s="387" t="n">
        <f aca="false">M16/1376</f>
        <v>0.946584302325581</v>
      </c>
      <c r="O16" s="387"/>
      <c r="P16" s="392"/>
      <c r="Q16" s="392"/>
      <c r="R16" s="393" t="n">
        <f aca="false">+Q16/Q$8</f>
        <v>0</v>
      </c>
      <c r="S16" s="386"/>
      <c r="T16" s="392"/>
      <c r="U16" s="392"/>
      <c r="V16" s="393" t="n">
        <f aca="false">+U16/U$8</f>
        <v>0</v>
      </c>
      <c r="W16" s="386"/>
      <c r="X16" s="392"/>
      <c r="Y16" s="392"/>
      <c r="Z16" s="393" t="n">
        <f aca="false">+Y16/Y$8</f>
        <v>0</v>
      </c>
      <c r="AA16" s="386"/>
      <c r="AB16" s="392" t="n">
        <f aca="false">+X16+T16</f>
        <v>0</v>
      </c>
      <c r="AC16" s="394" t="n">
        <f aca="false">+AB16/AB$7</f>
        <v>0</v>
      </c>
      <c r="AD16" s="393" t="n">
        <f aca="false">+AC16/AC$8</f>
        <v>0</v>
      </c>
      <c r="AE16" s="386"/>
      <c r="AF16" s="389"/>
      <c r="AG16" s="390" t="s">
        <v>449</v>
      </c>
      <c r="AH16" s="141" t="s">
        <v>450</v>
      </c>
      <c r="AI16" s="384" t="n">
        <f aca="false">AJ16/$AJ$48</f>
        <v>0.00807819341888192</v>
      </c>
      <c r="AJ16" s="391" t="n">
        <f aca="false">AB40+AB41</f>
        <v>106332.14925</v>
      </c>
      <c r="AK16" s="391" t="n">
        <f aca="false">+AJ16/AK$7</f>
        <v>799.489843984962</v>
      </c>
      <c r="AL16" s="387" t="n">
        <f aca="false">+AJ16/AL$7</f>
        <v>0.666797200988292</v>
      </c>
    </row>
    <row r="17" customFormat="false" ht="12" hidden="false" customHeight="false" outlineLevel="0" collapsed="false">
      <c r="A17" s="140" t="s">
        <v>160</v>
      </c>
      <c r="B17" s="141" t="s">
        <v>163</v>
      </c>
      <c r="C17" s="383"/>
      <c r="D17" s="384" t="n">
        <f aca="false">L17/$L$88</f>
        <v>0.0749557414624335</v>
      </c>
      <c r="E17" s="385" t="s">
        <v>433</v>
      </c>
      <c r="F17" s="385" t="s">
        <v>433</v>
      </c>
      <c r="G17" s="385" t="s">
        <v>433</v>
      </c>
      <c r="H17" s="385" t="s">
        <v>433</v>
      </c>
      <c r="I17" s="385" t="s">
        <v>433</v>
      </c>
      <c r="J17" s="385" t="s">
        <v>433</v>
      </c>
      <c r="K17" s="385" t="s">
        <v>433</v>
      </c>
      <c r="L17" s="386" t="n">
        <f aca="false">M17*TRUnits</f>
        <v>52696</v>
      </c>
      <c r="M17" s="386" t="n">
        <f aca="false">7528/2</f>
        <v>3764</v>
      </c>
      <c r="N17" s="387" t="n">
        <f aca="false">M17/1376</f>
        <v>2.73546511627907</v>
      </c>
      <c r="O17" s="387"/>
      <c r="P17" s="392"/>
      <c r="Q17" s="392"/>
      <c r="R17" s="393" t="n">
        <f aca="false">+Q17/Q$8</f>
        <v>0</v>
      </c>
      <c r="S17" s="386"/>
      <c r="T17" s="392"/>
      <c r="U17" s="392"/>
      <c r="V17" s="393" t="n">
        <f aca="false">+U17/U$8</f>
        <v>0</v>
      </c>
      <c r="W17" s="386"/>
      <c r="X17" s="392"/>
      <c r="Y17" s="392"/>
      <c r="Z17" s="393" t="n">
        <f aca="false">+Y17/Y$8</f>
        <v>0</v>
      </c>
      <c r="AA17" s="386"/>
      <c r="AB17" s="392" t="n">
        <f aca="false">+X17+T17</f>
        <v>0</v>
      </c>
      <c r="AC17" s="394" t="n">
        <f aca="false">+AB17/AB$7</f>
        <v>0</v>
      </c>
      <c r="AD17" s="393" t="n">
        <f aca="false">+AC17/AC$8</f>
        <v>0</v>
      </c>
      <c r="AE17" s="386"/>
      <c r="AF17" s="389"/>
      <c r="AG17" s="390" t="s">
        <v>451</v>
      </c>
      <c r="AH17" s="141" t="s">
        <v>452</v>
      </c>
      <c r="AI17" s="384" t="n">
        <f aca="false">AJ17/$AJ$48</f>
        <v>0.0166763983913914</v>
      </c>
      <c r="AJ17" s="391" t="n">
        <f aca="false">AB26+AB33</f>
        <v>219509.139080669</v>
      </c>
      <c r="AK17" s="391" t="n">
        <f aca="false">+AJ17/AK$7</f>
        <v>1650.44465474187</v>
      </c>
      <c r="AL17" s="387" t="n">
        <f aca="false">+AJ17/AL$7</f>
        <v>1.3765176436546</v>
      </c>
    </row>
    <row r="18" customFormat="false" ht="12" hidden="false" customHeight="false" outlineLevel="0" collapsed="false">
      <c r="B18" s="375" t="s">
        <v>164</v>
      </c>
      <c r="C18" s="383"/>
      <c r="E18" s="385"/>
      <c r="F18" s="385"/>
      <c r="G18" s="385"/>
      <c r="H18" s="385"/>
      <c r="I18" s="385"/>
      <c r="J18" s="385"/>
      <c r="K18" s="385"/>
      <c r="L18" s="386" t="n">
        <f aca="false">M18*TRUnits</f>
        <v>0</v>
      </c>
      <c r="M18" s="386"/>
      <c r="N18" s="387" t="n">
        <f aca="false">M18/1376</f>
        <v>0</v>
      </c>
      <c r="O18" s="387"/>
      <c r="P18" s="392"/>
      <c r="Q18" s="392"/>
      <c r="R18" s="393"/>
      <c r="S18" s="386"/>
      <c r="T18" s="392"/>
      <c r="U18" s="392"/>
      <c r="V18" s="393"/>
      <c r="W18" s="386"/>
      <c r="X18" s="392"/>
      <c r="Y18" s="392"/>
      <c r="Z18" s="393"/>
      <c r="AA18" s="386"/>
      <c r="AB18" s="392"/>
      <c r="AC18" s="394"/>
      <c r="AD18" s="393"/>
      <c r="AE18" s="386"/>
      <c r="AF18" s="389"/>
      <c r="AG18" s="390" t="s">
        <v>453</v>
      </c>
      <c r="AH18" s="141" t="s">
        <v>454</v>
      </c>
      <c r="AI18" s="384" t="n">
        <f aca="false">AJ18/$AJ$48</f>
        <v>0.00681605159786905</v>
      </c>
      <c r="AJ18" s="391" t="n">
        <f aca="false">+AB34</f>
        <v>89718.75</v>
      </c>
      <c r="AK18" s="391" t="n">
        <f aca="false">+AJ18/AK$7</f>
        <v>674.577067669173</v>
      </c>
      <c r="AL18" s="387" t="n">
        <f aca="false">+AJ18/AL$7</f>
        <v>0.562616403393806</v>
      </c>
    </row>
    <row r="19" customFormat="false" ht="12" hidden="false" customHeight="false" outlineLevel="0" collapsed="false">
      <c r="A19" s="140" t="s">
        <v>165</v>
      </c>
      <c r="B19" s="141" t="s">
        <v>166</v>
      </c>
      <c r="C19" s="383" t="n">
        <v>0.333</v>
      </c>
      <c r="D19" s="384" t="n">
        <f aca="false">L19/$L$88</f>
        <v>0.0454334548742142</v>
      </c>
      <c r="E19" s="385" t="s">
        <v>433</v>
      </c>
      <c r="F19" s="385" t="s">
        <v>433</v>
      </c>
      <c r="G19" s="385" t="s">
        <v>433</v>
      </c>
      <c r="H19" s="385" t="s">
        <v>433</v>
      </c>
      <c r="I19" s="385" t="s">
        <v>433</v>
      </c>
      <c r="J19" s="385" t="s">
        <v>433</v>
      </c>
      <c r="K19" s="385" t="s">
        <v>433</v>
      </c>
      <c r="L19" s="386" t="n">
        <f aca="false">M19*TRUnits</f>
        <v>31941</v>
      </c>
      <c r="M19" s="386" t="n">
        <f aca="false">4563/2</f>
        <v>2281.5</v>
      </c>
      <c r="N19" s="387" t="n">
        <f aca="false">M19/1376</f>
        <v>1.65806686046512</v>
      </c>
      <c r="O19" s="387"/>
      <c r="P19" s="392" t="n">
        <f aca="false">Q19*P$7</f>
        <v>2283.1875</v>
      </c>
      <c r="Q19" s="392" t="n">
        <f aca="false">(13500+300-1500)/2*0.33*CMF</f>
        <v>2283.1875</v>
      </c>
      <c r="R19" s="393" t="n">
        <f aca="false">+Q19/Q$8</f>
        <v>1.90583263772955</v>
      </c>
      <c r="S19" s="386"/>
      <c r="T19" s="392" t="n">
        <f aca="false">U19*T$7</f>
        <v>169735.5</v>
      </c>
      <c r="U19" s="392" t="n">
        <f aca="false">(13500+300-1100)/2*0.33*CMF</f>
        <v>2357.4375</v>
      </c>
      <c r="V19" s="393" t="n">
        <f aca="false">+U19/U$8</f>
        <v>2.12957317073171</v>
      </c>
      <c r="W19" s="386"/>
      <c r="X19" s="392" t="n">
        <f aca="false">Y19*X$7</f>
        <v>156259.125</v>
      </c>
      <c r="Y19" s="392" t="n">
        <f aca="false">(13500+300)/2*0.33*CMF</f>
        <v>2561.625</v>
      </c>
      <c r="Z19" s="393" t="n">
        <f aca="false">+Y19/Y$8</f>
        <v>1.99038461538462</v>
      </c>
      <c r="AA19" s="386"/>
      <c r="AB19" s="392" t="n">
        <f aca="false">+X19+T19</f>
        <v>325994.625</v>
      </c>
      <c r="AC19" s="394" t="n">
        <f aca="false">+AB19/AB$7</f>
        <v>2451.08740601504</v>
      </c>
      <c r="AD19" s="393" t="n">
        <f aca="false">+AC19/AC$8</f>
        <v>2.04427640201421</v>
      </c>
      <c r="AE19" s="386"/>
      <c r="AF19" s="389"/>
      <c r="AG19" s="390" t="s">
        <v>455</v>
      </c>
      <c r="AH19" s="141" t="s">
        <v>456</v>
      </c>
      <c r="AI19" s="384" t="n">
        <f aca="false">AJ19/$AJ$48</f>
        <v>0.0111781986860388</v>
      </c>
      <c r="AJ19" s="391" t="n">
        <f aca="false">+AB62</f>
        <v>147137.092341933</v>
      </c>
      <c r="AK19" s="391" t="n">
        <f aca="false">+AJ19/AK$7</f>
        <v>1106.29392738296</v>
      </c>
      <c r="AL19" s="387" t="n">
        <f aca="false">+AJ19/AL$7</f>
        <v>0.922680506574609</v>
      </c>
    </row>
    <row r="20" customFormat="false" ht="12.75" hidden="false" customHeight="false" outlineLevel="0" collapsed="false">
      <c r="A20" s="140" t="s">
        <v>167</v>
      </c>
      <c r="B20" s="141" t="s">
        <v>168</v>
      </c>
      <c r="C20" s="383" t="n">
        <v>0.333</v>
      </c>
      <c r="D20" s="384" t="n">
        <f aca="false">L20/$L$88</f>
        <v>0.0454334548742142</v>
      </c>
      <c r="E20" s="385" t="s">
        <v>433</v>
      </c>
      <c r="F20" s="385" t="s">
        <v>433</v>
      </c>
      <c r="G20" s="385" t="s">
        <v>433</v>
      </c>
      <c r="H20" s="385" t="s">
        <v>433</v>
      </c>
      <c r="I20" s="385" t="s">
        <v>433</v>
      </c>
      <c r="J20" s="385" t="s">
        <v>433</v>
      </c>
      <c r="K20" s="385" t="s">
        <v>433</v>
      </c>
      <c r="L20" s="386" t="n">
        <f aca="false">M20*TRUnits</f>
        <v>31941</v>
      </c>
      <c r="M20" s="386" t="n">
        <f aca="false">4563/2</f>
        <v>2281.5</v>
      </c>
      <c r="N20" s="387" t="n">
        <f aca="false">M20/1376</f>
        <v>1.65806686046512</v>
      </c>
      <c r="O20" s="387"/>
      <c r="P20" s="392" t="n">
        <f aca="false">Q20*P$7</f>
        <v>2283.1875</v>
      </c>
      <c r="Q20" s="392" t="n">
        <f aca="false">(13500+300-1500)/2*0.33*CMF</f>
        <v>2283.1875</v>
      </c>
      <c r="R20" s="393" t="n">
        <f aca="false">+Q20/Q$8</f>
        <v>1.90583263772955</v>
      </c>
      <c r="S20" s="386"/>
      <c r="T20" s="392" t="n">
        <f aca="false">U20*T$7</f>
        <v>169735.5</v>
      </c>
      <c r="U20" s="392" t="n">
        <f aca="false">(13500+300-1100)/2*0.33*CMF</f>
        <v>2357.4375</v>
      </c>
      <c r="V20" s="393" t="n">
        <f aca="false">+U20/U$8</f>
        <v>2.12957317073171</v>
      </c>
      <c r="W20" s="386"/>
      <c r="X20" s="392" t="n">
        <f aca="false">Y20*X$7</f>
        <v>156259.125</v>
      </c>
      <c r="Y20" s="392" t="n">
        <f aca="false">(13500+300)/2*0.33*CMF</f>
        <v>2561.625</v>
      </c>
      <c r="Z20" s="393" t="n">
        <f aca="false">+Y20/Y$8</f>
        <v>1.99038461538462</v>
      </c>
      <c r="AA20" s="386"/>
      <c r="AB20" s="392" t="n">
        <f aca="false">+X20+T20</f>
        <v>325994.625</v>
      </c>
      <c r="AC20" s="394" t="n">
        <f aca="false">+AB20/AB$7</f>
        <v>2451.08740601504</v>
      </c>
      <c r="AD20" s="393" t="n">
        <f aca="false">+AC20/AC$8</f>
        <v>2.04427640201421</v>
      </c>
      <c r="AE20" s="386"/>
      <c r="AF20" s="389"/>
      <c r="AG20" s="390" t="s">
        <v>457</v>
      </c>
      <c r="AH20" s="395" t="s">
        <v>458</v>
      </c>
      <c r="AI20" s="384" t="n">
        <f aca="false">AJ20/$AJ$48</f>
        <v>0.0176786464522332</v>
      </c>
      <c r="AJ20" s="391" t="n">
        <f aca="false">AB43+AB44</f>
        <v>232701.5925</v>
      </c>
      <c r="AK20" s="391" t="n">
        <f aca="false">+AJ20/AK$7</f>
        <v>1749.63603383459</v>
      </c>
      <c r="AL20" s="387" t="n">
        <f aca="false">+AJ20/AL$7</f>
        <v>1.45924606658431</v>
      </c>
    </row>
    <row r="21" customFormat="false" ht="12.75" hidden="false" customHeight="false" outlineLevel="0" collapsed="false">
      <c r="A21" s="140" t="s">
        <v>167</v>
      </c>
      <c r="B21" s="141" t="s">
        <v>169</v>
      </c>
      <c r="C21" s="383" t="n">
        <v>0.333</v>
      </c>
      <c r="D21" s="384" t="n">
        <f aca="false">L21/$L$88</f>
        <v>0.0454334548742142</v>
      </c>
      <c r="E21" s="385" t="s">
        <v>433</v>
      </c>
      <c r="F21" s="385" t="s">
        <v>433</v>
      </c>
      <c r="G21" s="396"/>
      <c r="H21" s="385" t="s">
        <v>433</v>
      </c>
      <c r="I21" s="385" t="s">
        <v>433</v>
      </c>
      <c r="J21" s="396"/>
      <c r="K21" s="397" t="s">
        <v>433</v>
      </c>
      <c r="L21" s="386" t="n">
        <f aca="false">M21*TRUnits</f>
        <v>31941</v>
      </c>
      <c r="M21" s="386" t="n">
        <f aca="false">4563/2</f>
        <v>2281.5</v>
      </c>
      <c r="N21" s="387" t="n">
        <f aca="false">M21/1376</f>
        <v>1.65806686046512</v>
      </c>
      <c r="O21" s="387"/>
      <c r="P21" s="392" t="n">
        <f aca="false">Q21*P$7</f>
        <v>2283.1875</v>
      </c>
      <c r="Q21" s="392" t="n">
        <f aca="false">(13500+300-1500)/2*0.33*CMF</f>
        <v>2283.1875</v>
      </c>
      <c r="R21" s="393" t="n">
        <f aca="false">+Q21/Q$8</f>
        <v>1.90583263772955</v>
      </c>
      <c r="S21" s="386"/>
      <c r="T21" s="392" t="n">
        <f aca="false">U21*T$7</f>
        <v>169735.5</v>
      </c>
      <c r="U21" s="392" t="n">
        <f aca="false">(13500+300-1100)/2*0.33*CMF</f>
        <v>2357.4375</v>
      </c>
      <c r="V21" s="393" t="n">
        <f aca="false">+U21/U$8</f>
        <v>2.12957317073171</v>
      </c>
      <c r="W21" s="386"/>
      <c r="X21" s="392" t="n">
        <f aca="false">Y21*X$7</f>
        <v>156259.125</v>
      </c>
      <c r="Y21" s="392" t="n">
        <f aca="false">(13500+300)/2*0.33*CMF</f>
        <v>2561.625</v>
      </c>
      <c r="Z21" s="393" t="n">
        <f aca="false">+Y21/Y$8</f>
        <v>1.99038461538462</v>
      </c>
      <c r="AA21" s="386"/>
      <c r="AB21" s="392" t="n">
        <f aca="false">+X21+T21</f>
        <v>325994.625</v>
      </c>
      <c r="AC21" s="394" t="n">
        <f aca="false">+AB21/AB$7</f>
        <v>2451.08740601504</v>
      </c>
      <c r="AD21" s="393" t="n">
        <f aca="false">+AC21/AC$8</f>
        <v>2.04427640201421</v>
      </c>
      <c r="AE21" s="386"/>
      <c r="AF21" s="389"/>
      <c r="AG21" s="390" t="s">
        <v>459</v>
      </c>
      <c r="AH21" s="141" t="s">
        <v>460</v>
      </c>
      <c r="AI21" s="384" t="n">
        <f aca="false">AJ21/$AJ$48</f>
        <v>0.0135219352896609</v>
      </c>
      <c r="AJ21" s="391" t="n">
        <f aca="false">AB50</f>
        <v>177987.375</v>
      </c>
      <c r="AK21" s="391" t="n">
        <f aca="false">+AJ21/AK$7</f>
        <v>1338.25093984962</v>
      </c>
      <c r="AL21" s="387" t="n">
        <f aca="false">+AJ21/AL$7</f>
        <v>1.11613923256849</v>
      </c>
    </row>
    <row r="22" customFormat="false" ht="12" hidden="false" customHeight="false" outlineLevel="0" collapsed="false">
      <c r="B22" s="375" t="s">
        <v>170</v>
      </c>
      <c r="C22" s="383"/>
      <c r="E22" s="385"/>
      <c r="F22" s="385"/>
      <c r="G22" s="385"/>
      <c r="H22" s="385"/>
      <c r="I22" s="385"/>
      <c r="J22" s="385"/>
      <c r="K22" s="385"/>
      <c r="L22" s="386"/>
      <c r="M22" s="386"/>
      <c r="N22" s="387" t="n">
        <f aca="false">M22/1376</f>
        <v>0</v>
      </c>
      <c r="O22" s="387"/>
      <c r="P22" s="392"/>
      <c r="Q22" s="392"/>
      <c r="R22" s="393"/>
      <c r="S22" s="386"/>
      <c r="T22" s="392"/>
      <c r="U22" s="392"/>
      <c r="V22" s="393"/>
      <c r="W22" s="386"/>
      <c r="X22" s="392"/>
      <c r="Y22" s="392"/>
      <c r="Z22" s="393"/>
      <c r="AA22" s="386"/>
      <c r="AB22" s="392"/>
      <c r="AC22" s="394"/>
      <c r="AD22" s="393"/>
      <c r="AE22" s="386"/>
      <c r="AF22" s="389"/>
      <c r="AG22" s="390" t="s">
        <v>461</v>
      </c>
      <c r="AH22" s="141" t="s">
        <v>462</v>
      </c>
      <c r="AI22" s="384" t="n">
        <f aca="false">AJ22/$AJ$48</f>
        <v>0.0135219352896609</v>
      </c>
      <c r="AJ22" s="391" t="n">
        <f aca="false">AB51</f>
        <v>177987.375</v>
      </c>
      <c r="AK22" s="391" t="n">
        <f aca="false">+AJ22/AK$7</f>
        <v>1338.25093984962</v>
      </c>
      <c r="AL22" s="387" t="n">
        <f aca="false">+AJ22/AL$7</f>
        <v>1.11613923256849</v>
      </c>
    </row>
    <row r="23" customFormat="false" ht="12" hidden="false" customHeight="false" outlineLevel="0" collapsed="false">
      <c r="A23" s="140" t="s">
        <v>171</v>
      </c>
      <c r="B23" s="141" t="s">
        <v>172</v>
      </c>
      <c r="C23" s="383" t="n">
        <v>0.15</v>
      </c>
      <c r="D23" s="384" t="n">
        <f aca="false">L23/$L$88</f>
        <v>0.0144873278198513</v>
      </c>
      <c r="E23" s="385" t="s">
        <v>433</v>
      </c>
      <c r="F23" s="385" t="s">
        <v>433</v>
      </c>
      <c r="G23" s="385" t="s">
        <v>433</v>
      </c>
      <c r="H23" s="385" t="s">
        <v>433</v>
      </c>
      <c r="I23" s="385" t="s">
        <v>433</v>
      </c>
      <c r="J23" s="385" t="s">
        <v>433</v>
      </c>
      <c r="K23" s="385" t="s">
        <v>433</v>
      </c>
      <c r="L23" s="386" t="n">
        <f aca="false">M23*TRUnits</f>
        <v>10185</v>
      </c>
      <c r="M23" s="386" t="n">
        <f aca="false">1455/2</f>
        <v>727.5</v>
      </c>
      <c r="N23" s="387" t="n">
        <f aca="false">M23/1376</f>
        <v>0.528706395348837</v>
      </c>
      <c r="O23" s="387"/>
      <c r="P23" s="392" t="n">
        <f aca="false">Q23*P$7</f>
        <v>712.564044331395</v>
      </c>
      <c r="Q23" s="392" t="n">
        <f aca="false">Q$8*$N23*CMF</f>
        <v>712.564044331395</v>
      </c>
      <c r="R23" s="393" t="n">
        <f aca="false">+Q23/Q$8</f>
        <v>0.594794694767442</v>
      </c>
      <c r="S23" s="386"/>
      <c r="T23" s="392" t="n">
        <f aca="false">U23*T$7</f>
        <v>47407.5163517442</v>
      </c>
      <c r="U23" s="392" t="n">
        <f aca="false">U$8*$N23*CMF</f>
        <v>658.437727107558</v>
      </c>
      <c r="V23" s="393" t="n">
        <f aca="false">+U23/U$8</f>
        <v>0.594794694767442</v>
      </c>
      <c r="W23" s="386"/>
      <c r="X23" s="392" t="n">
        <f aca="false">Y23*X$7</f>
        <v>46695.5471021076</v>
      </c>
      <c r="Y23" s="392" t="n">
        <f aca="false">Y$8*$N23*CMF</f>
        <v>765.500772165698</v>
      </c>
      <c r="Z23" s="393" t="n">
        <f aca="false">+Y23/Y$8</f>
        <v>0.594794694767442</v>
      </c>
      <c r="AA23" s="386"/>
      <c r="AB23" s="392" t="n">
        <f aca="false">+X23+T23</f>
        <v>94103.0634538518</v>
      </c>
      <c r="AC23" s="394" t="n">
        <f aca="false">+AB23/AB$7</f>
        <v>707.541830480088</v>
      </c>
      <c r="AD23" s="393" t="n">
        <f aca="false">+AC23/AC$8</f>
        <v>0.590109950358706</v>
      </c>
      <c r="AE23" s="386"/>
      <c r="AF23" s="389"/>
      <c r="AG23" s="390" t="s">
        <v>463</v>
      </c>
      <c r="AH23" s="141" t="s">
        <v>464</v>
      </c>
      <c r="AI23" s="384" t="n">
        <f aca="false">AJ23/$AJ$48</f>
        <v>0.0114936449962118</v>
      </c>
      <c r="AJ23" s="398" t="n">
        <f aca="false">AB52</f>
        <v>151289.26875</v>
      </c>
      <c r="AK23" s="391" t="n">
        <f aca="false">+AJ23/AK$7</f>
        <v>1137.51329887218</v>
      </c>
      <c r="AL23" s="387" t="n">
        <f aca="false">+AJ23/AL$7</f>
        <v>0.94871834768322</v>
      </c>
    </row>
    <row r="24" customFormat="false" ht="12" hidden="false" customHeight="false" outlineLevel="0" collapsed="false">
      <c r="A24" s="140" t="s">
        <v>171</v>
      </c>
      <c r="B24" s="141" t="s">
        <v>173</v>
      </c>
      <c r="C24" s="383" t="n">
        <v>0.25</v>
      </c>
      <c r="D24" s="384" t="n">
        <f aca="false">L24/$L$88</f>
        <v>0.0241455463664189</v>
      </c>
      <c r="E24" s="385" t="s">
        <v>433</v>
      </c>
      <c r="F24" s="385" t="s">
        <v>433</v>
      </c>
      <c r="G24" s="385" t="s">
        <v>433</v>
      </c>
      <c r="H24" s="385" t="s">
        <v>433</v>
      </c>
      <c r="I24" s="385" t="s">
        <v>433</v>
      </c>
      <c r="J24" s="385" t="s">
        <v>433</v>
      </c>
      <c r="K24" s="385" t="s">
        <v>433</v>
      </c>
      <c r="L24" s="386" t="n">
        <f aca="false">M24*TRUnits</f>
        <v>16975</v>
      </c>
      <c r="M24" s="386" t="n">
        <f aca="false">2425/2</f>
        <v>1212.5</v>
      </c>
      <c r="N24" s="387" t="n">
        <f aca="false">M24/1376</f>
        <v>0.881177325581395</v>
      </c>
      <c r="O24" s="387"/>
      <c r="P24" s="392" t="n">
        <f aca="false">Q24*P$7</f>
        <v>1187.60674055233</v>
      </c>
      <c r="Q24" s="392" t="n">
        <f aca="false">Q$8*$N24*CMF</f>
        <v>1187.60674055233</v>
      </c>
      <c r="R24" s="393" t="n">
        <f aca="false">+Q24/Q$8</f>
        <v>0.99132449127907</v>
      </c>
      <c r="S24" s="386"/>
      <c r="T24" s="392" t="n">
        <f aca="false">U24*T$7</f>
        <v>79012.527252907</v>
      </c>
      <c r="U24" s="392" t="n">
        <f aca="false">U$8*$N24*CMF</f>
        <v>1097.39621184593</v>
      </c>
      <c r="V24" s="393" t="n">
        <f aca="false">+U24/U$8</f>
        <v>0.99132449127907</v>
      </c>
      <c r="W24" s="386"/>
      <c r="X24" s="392" t="n">
        <f aca="false">Y24*X$7</f>
        <v>77825.9118368459</v>
      </c>
      <c r="Y24" s="392" t="n">
        <f aca="false">Y$8*$N24*CMF</f>
        <v>1275.83462027616</v>
      </c>
      <c r="Z24" s="393" t="n">
        <f aca="false">+Y24/Y$8</f>
        <v>0.99132449127907</v>
      </c>
      <c r="AA24" s="386"/>
      <c r="AB24" s="392" t="n">
        <f aca="false">+X24+T24</f>
        <v>156838.439089753</v>
      </c>
      <c r="AC24" s="394" t="n">
        <f aca="false">+AB24/AB$7</f>
        <v>1179.23638413348</v>
      </c>
      <c r="AD24" s="393" t="n">
        <f aca="false">+AC24/AC$8</f>
        <v>0.983516583931176</v>
      </c>
      <c r="AE24" s="386"/>
      <c r="AF24" s="389"/>
      <c r="AG24" s="390" t="s">
        <v>465</v>
      </c>
      <c r="AH24" s="141" t="s">
        <v>466</v>
      </c>
      <c r="AI24" s="141" t="s">
        <v>467</v>
      </c>
      <c r="AJ24" s="391"/>
      <c r="AK24" s="391" t="n">
        <f aca="false">+AJ24/AK$7</f>
        <v>0</v>
      </c>
      <c r="AL24" s="387" t="n">
        <f aca="false">+AJ24/AL$7</f>
        <v>0</v>
      </c>
    </row>
    <row r="25" customFormat="false" ht="12" hidden="false" customHeight="false" outlineLevel="0" collapsed="false">
      <c r="A25" s="140" t="s">
        <v>171</v>
      </c>
      <c r="B25" s="141" t="s">
        <v>174</v>
      </c>
      <c r="C25" s="383" t="n">
        <v>0.25</v>
      </c>
      <c r="D25" s="384" t="n">
        <f aca="false">L25/$L$88</f>
        <v>0.0241455463664189</v>
      </c>
      <c r="E25" s="385" t="s">
        <v>433</v>
      </c>
      <c r="F25" s="385" t="s">
        <v>433</v>
      </c>
      <c r="G25" s="385" t="s">
        <v>433</v>
      </c>
      <c r="H25" s="385" t="s">
        <v>433</v>
      </c>
      <c r="I25" s="385" t="s">
        <v>433</v>
      </c>
      <c r="J25" s="385" t="s">
        <v>433</v>
      </c>
      <c r="K25" s="385" t="s">
        <v>433</v>
      </c>
      <c r="L25" s="386" t="n">
        <f aca="false">M25*TRUnits</f>
        <v>16975</v>
      </c>
      <c r="M25" s="386" t="n">
        <f aca="false">2425/2</f>
        <v>1212.5</v>
      </c>
      <c r="N25" s="387" t="n">
        <f aca="false">M25/1376</f>
        <v>0.881177325581395</v>
      </c>
      <c r="O25" s="387"/>
      <c r="P25" s="392" t="n">
        <f aca="false">Q25*P$7</f>
        <v>1187.60674055233</v>
      </c>
      <c r="Q25" s="392" t="n">
        <f aca="false">Q$8*$N25*CMF</f>
        <v>1187.60674055233</v>
      </c>
      <c r="R25" s="393" t="n">
        <f aca="false">+Q25/Q$8</f>
        <v>0.99132449127907</v>
      </c>
      <c r="S25" s="386"/>
      <c r="T25" s="392" t="n">
        <f aca="false">U25*T$7</f>
        <v>79012.527252907</v>
      </c>
      <c r="U25" s="392" t="n">
        <f aca="false">U$8*$N25*CMF</f>
        <v>1097.39621184593</v>
      </c>
      <c r="V25" s="393" t="n">
        <f aca="false">+U25/U$8</f>
        <v>0.99132449127907</v>
      </c>
      <c r="W25" s="386"/>
      <c r="X25" s="392" t="n">
        <f aca="false">Y25*X$7</f>
        <v>77825.9118368459</v>
      </c>
      <c r="Y25" s="392" t="n">
        <f aca="false">Y$8*$N25*CMF</f>
        <v>1275.83462027616</v>
      </c>
      <c r="Z25" s="393" t="n">
        <f aca="false">+Y25/Y$8</f>
        <v>0.99132449127907</v>
      </c>
      <c r="AA25" s="386"/>
      <c r="AB25" s="392" t="n">
        <f aca="false">+X25+T25</f>
        <v>156838.439089753</v>
      </c>
      <c r="AC25" s="394" t="n">
        <f aca="false">+AB25/AB$7</f>
        <v>1179.23638413348</v>
      </c>
      <c r="AD25" s="393" t="n">
        <f aca="false">+AC25/AC$8</f>
        <v>0.983516583931176</v>
      </c>
      <c r="AE25" s="386"/>
      <c r="AF25" s="389"/>
      <c r="AG25" s="390" t="s">
        <v>468</v>
      </c>
      <c r="AH25" s="141" t="s">
        <v>469</v>
      </c>
      <c r="AI25" s="384" t="n">
        <f aca="false">AJ25/$AJ$48</f>
        <v>0.0247662409989882</v>
      </c>
      <c r="AJ25" s="391" t="n">
        <f aca="false">+AB21</f>
        <v>325994.625</v>
      </c>
      <c r="AK25" s="391" t="n">
        <f aca="false">+AJ25/AK$7</f>
        <v>2451.08740601504</v>
      </c>
      <c r="AL25" s="387" t="n">
        <f aca="false">+AJ25/AL$7</f>
        <v>2.04427640201421</v>
      </c>
    </row>
    <row r="26" customFormat="false" ht="12" hidden="false" customHeight="false" outlineLevel="0" collapsed="false">
      <c r="A26" s="140" t="s">
        <v>175</v>
      </c>
      <c r="B26" s="141" t="s">
        <v>176</v>
      </c>
      <c r="C26" s="383" t="n">
        <v>0.35</v>
      </c>
      <c r="D26" s="384" t="n">
        <f aca="false">L26/$L$88</f>
        <v>0.0337938079866498</v>
      </c>
      <c r="E26" s="385" t="s">
        <v>433</v>
      </c>
      <c r="F26" s="385" t="s">
        <v>433</v>
      </c>
      <c r="G26" s="385" t="s">
        <v>433</v>
      </c>
      <c r="H26" s="385" t="s">
        <v>433</v>
      </c>
      <c r="I26" s="385" t="s">
        <v>433</v>
      </c>
      <c r="J26" s="385" t="s">
        <v>433</v>
      </c>
      <c r="K26" s="385" t="s">
        <v>433</v>
      </c>
      <c r="L26" s="386" t="n">
        <f aca="false">M26*TRUnits</f>
        <v>23758</v>
      </c>
      <c r="M26" s="386" t="n">
        <f aca="false">3394/2</f>
        <v>1697</v>
      </c>
      <c r="N26" s="387" t="n">
        <f aca="false">M26/1376</f>
        <v>1.23328488372093</v>
      </c>
      <c r="O26" s="387"/>
      <c r="P26" s="392" t="n">
        <f aca="false">Q26*P$7</f>
        <v>1662.15970203488</v>
      </c>
      <c r="Q26" s="392" t="n">
        <f aca="false">Q$8*$N26*CMF</f>
        <v>1662.15970203488</v>
      </c>
      <c r="R26" s="393" t="n">
        <f aca="false">+Q26/Q$8</f>
        <v>1.38744549418605</v>
      </c>
      <c r="S26" s="386"/>
      <c r="T26" s="392" t="n">
        <f aca="false">U26*T$7</f>
        <v>110584.955668605</v>
      </c>
      <c r="U26" s="392" t="n">
        <f aca="false">U$8*$N26*CMF</f>
        <v>1535.90216206395</v>
      </c>
      <c r="V26" s="393" t="n">
        <f aca="false">+U26/U$8</f>
        <v>1.38744549418605</v>
      </c>
      <c r="W26" s="386"/>
      <c r="X26" s="392" t="n">
        <f aca="false">Y26*X$7</f>
        <v>108924.183412064</v>
      </c>
      <c r="Y26" s="392" t="n">
        <f aca="false">Y$8*$N26*CMF</f>
        <v>1785.64235101744</v>
      </c>
      <c r="Z26" s="393" t="n">
        <f aca="false">+Y26/Y$8</f>
        <v>1.38744549418605</v>
      </c>
      <c r="AA26" s="386"/>
      <c r="AB26" s="392" t="n">
        <f aca="false">+X26+T26</f>
        <v>219509.139080669</v>
      </c>
      <c r="AC26" s="394" t="n">
        <f aca="false">+AB26/AB$7</f>
        <v>1650.44465474187</v>
      </c>
      <c r="AD26" s="393" t="n">
        <f aca="false">+AC26/AC$8</f>
        <v>1.3765176436546</v>
      </c>
      <c r="AE26" s="386"/>
      <c r="AF26" s="389"/>
      <c r="AG26" s="390" t="s">
        <v>470</v>
      </c>
      <c r="AH26" s="141" t="s">
        <v>471</v>
      </c>
      <c r="AI26" s="384" t="n">
        <f aca="false">AJ26/$AJ$48</f>
        <v>0.00468897342680992</v>
      </c>
      <c r="AJ26" s="141" t="n">
        <f aca="false">+AB37+AB38</f>
        <v>61720.3125</v>
      </c>
      <c r="AK26" s="391" t="n">
        <f aca="false">+AJ26/AK$7</f>
        <v>464.0625</v>
      </c>
      <c r="AL26" s="387" t="n">
        <f aca="false">+AJ26/AL$7</f>
        <v>0.38704128440367</v>
      </c>
    </row>
    <row r="27" customFormat="false" ht="12" hidden="false" customHeight="false" outlineLevel="0" collapsed="false">
      <c r="B27" s="375" t="s">
        <v>177</v>
      </c>
      <c r="C27" s="383"/>
      <c r="E27" s="399"/>
      <c r="F27" s="399"/>
      <c r="G27" s="399"/>
      <c r="H27" s="399"/>
      <c r="I27" s="399"/>
      <c r="J27" s="399"/>
      <c r="K27" s="399"/>
      <c r="L27" s="386"/>
      <c r="M27" s="386"/>
      <c r="N27" s="387"/>
      <c r="O27" s="387"/>
      <c r="P27" s="392"/>
      <c r="Q27" s="392"/>
      <c r="R27" s="393"/>
      <c r="S27" s="386"/>
      <c r="T27" s="392"/>
      <c r="U27" s="392"/>
      <c r="V27" s="393"/>
      <c r="W27" s="386"/>
      <c r="X27" s="392"/>
      <c r="Y27" s="392"/>
      <c r="Z27" s="393"/>
      <c r="AA27" s="386"/>
      <c r="AB27" s="392"/>
      <c r="AC27" s="394"/>
      <c r="AD27" s="393"/>
      <c r="AE27" s="386"/>
      <c r="AF27" s="389"/>
      <c r="AG27" s="390" t="s">
        <v>472</v>
      </c>
      <c r="AH27" s="141" t="s">
        <v>473</v>
      </c>
      <c r="AI27" s="384" t="n">
        <f aca="false">AJ27/$AJ$48</f>
        <v>0</v>
      </c>
      <c r="AJ27" s="391" t="n">
        <v>0</v>
      </c>
      <c r="AK27" s="391" t="n">
        <f aca="false">+AJ27/AK$7</f>
        <v>0</v>
      </c>
      <c r="AL27" s="387" t="n">
        <f aca="false">+AJ27/AL$7</f>
        <v>0</v>
      </c>
    </row>
    <row r="28" customFormat="false" ht="12" hidden="false" customHeight="false" outlineLevel="0" collapsed="false">
      <c r="A28" s="140" t="s">
        <v>171</v>
      </c>
      <c r="B28" s="141" t="s">
        <v>178</v>
      </c>
      <c r="C28" s="383"/>
      <c r="D28" s="384" t="n">
        <f aca="false">L28/$L$88</f>
        <v>0.0649092027887359</v>
      </c>
      <c r="E28" s="385" t="s">
        <v>433</v>
      </c>
      <c r="F28" s="385" t="s">
        <v>433</v>
      </c>
      <c r="G28" s="385" t="s">
        <v>433</v>
      </c>
      <c r="H28" s="385" t="s">
        <v>433</v>
      </c>
      <c r="I28" s="385" t="s">
        <v>433</v>
      </c>
      <c r="J28" s="385" t="s">
        <v>433</v>
      </c>
      <c r="K28" s="385" t="s">
        <v>433</v>
      </c>
      <c r="L28" s="386" t="n">
        <f aca="false">M28*TRUnits</f>
        <v>45633</v>
      </c>
      <c r="M28" s="400" t="n">
        <f aca="false">(2975+(24808/7))/2</f>
        <v>3259.5</v>
      </c>
      <c r="N28" s="387" t="n">
        <f aca="false">M28/1376</f>
        <v>2.3688226744186</v>
      </c>
      <c r="O28" s="387"/>
      <c r="P28" s="392" t="n">
        <f aca="false">Q28*P$7</f>
        <v>3192.58075944767</v>
      </c>
      <c r="Q28" s="392" t="n">
        <f aca="false">Q$8*$N28*CMF</f>
        <v>3192.58075944767</v>
      </c>
      <c r="R28" s="393" t="n">
        <f aca="false">+Q28/Q$8</f>
        <v>2.66492550872093</v>
      </c>
      <c r="S28" s="386"/>
      <c r="T28" s="392" t="n">
        <f aca="false">U28*T$7</f>
        <v>212405.222747093</v>
      </c>
      <c r="U28" s="392" t="n">
        <f aca="false">U$8*$N28*CMF</f>
        <v>2950.07253815407</v>
      </c>
      <c r="V28" s="393" t="n">
        <f aca="false">+U28/U$8</f>
        <v>2.66492550872093</v>
      </c>
      <c r="W28" s="386"/>
      <c r="X28" s="392" t="n">
        <f aca="false">Y28*X$7</f>
        <v>209215.306913154</v>
      </c>
      <c r="Y28" s="392" t="n">
        <f aca="false">Y$8*$N28*CMF</f>
        <v>3429.75912972384</v>
      </c>
      <c r="Z28" s="393" t="n">
        <f aca="false">+Y28/Y$8</f>
        <v>2.66492550872093</v>
      </c>
      <c r="AA28" s="386"/>
      <c r="AB28" s="392" t="n">
        <f aca="false">+X28+T28</f>
        <v>421620.529660247</v>
      </c>
      <c r="AC28" s="394" t="n">
        <f aca="false">+AB28/AB$7</f>
        <v>3170.0791703778</v>
      </c>
      <c r="AD28" s="393" t="n">
        <f aca="false">+AC28/AC$8</f>
        <v>2.64393592191643</v>
      </c>
      <c r="AE28" s="386"/>
      <c r="AF28" s="389"/>
      <c r="AG28" s="390" t="s">
        <v>474</v>
      </c>
      <c r="AH28" s="141" t="s">
        <v>475</v>
      </c>
      <c r="AI28" s="384" t="n">
        <f aca="false">AJ28/$AJ$48</f>
        <v>0.0485895414532911</v>
      </c>
      <c r="AJ28" s="391" t="n">
        <f aca="false">+AB54+AB55</f>
        <v>639577.453261265</v>
      </c>
      <c r="AK28" s="391" t="n">
        <f aca="false">+AJ28/AK$7</f>
        <v>4808.85303203958</v>
      </c>
      <c r="AL28" s="387" t="n">
        <f aca="false">+AJ28/AL$7</f>
        <v>4.01071979319398</v>
      </c>
    </row>
    <row r="29" customFormat="false" ht="12" hidden="false" customHeight="false" outlineLevel="0" collapsed="false">
      <c r="A29" s="140" t="s">
        <v>171</v>
      </c>
      <c r="B29" s="141" t="s">
        <v>179</v>
      </c>
      <c r="C29" s="383"/>
      <c r="D29" s="384" t="n">
        <f aca="false">L29/$L$88</f>
        <v>0.0582266827987839</v>
      </c>
      <c r="E29" s="385" t="s">
        <v>433</v>
      </c>
      <c r="F29" s="385" t="s">
        <v>433</v>
      </c>
      <c r="G29" s="385" t="s">
        <v>433</v>
      </c>
      <c r="H29" s="385" t="s">
        <v>433</v>
      </c>
      <c r="I29" s="385" t="s">
        <v>433</v>
      </c>
      <c r="J29" s="385" t="s">
        <v>433</v>
      </c>
      <c r="K29" s="385" t="s">
        <v>433</v>
      </c>
      <c r="L29" s="386" t="n">
        <f aca="false">M29*TRUnits</f>
        <v>40935</v>
      </c>
      <c r="M29" s="400" t="n">
        <f aca="false">(2465+(23680/7))/2</f>
        <v>2923.92857142857</v>
      </c>
      <c r="N29" s="387" t="n">
        <f aca="false">M29/1376</f>
        <v>2.124948089701</v>
      </c>
      <c r="O29" s="387"/>
      <c r="P29" s="392" t="n">
        <f aca="false">Q29*P$7</f>
        <v>2863.89878789452</v>
      </c>
      <c r="Q29" s="392" t="n">
        <f aca="false">Q$8*$N29*CMF</f>
        <v>2863.89878789452</v>
      </c>
      <c r="R29" s="393" t="n">
        <f aca="false">+Q29/Q$8</f>
        <v>2.39056660091362</v>
      </c>
      <c r="S29" s="386"/>
      <c r="T29" s="392" t="n">
        <f aca="false">U29*T$7</f>
        <v>190537.720359219</v>
      </c>
      <c r="U29" s="392" t="n">
        <f aca="false">U$8*$N29*CMF</f>
        <v>2646.35722721138</v>
      </c>
      <c r="V29" s="393" t="n">
        <f aca="false">+U29/U$8</f>
        <v>2.39056660091362</v>
      </c>
      <c r="W29" s="386"/>
      <c r="X29" s="392" t="n">
        <f aca="false">Y29*X$7</f>
        <v>187676.212137926</v>
      </c>
      <c r="Y29" s="392" t="n">
        <f aca="false">Y$8*$N29*CMF</f>
        <v>3076.65921537583</v>
      </c>
      <c r="Z29" s="393" t="n">
        <f aca="false">+Y29/Y$8</f>
        <v>2.39056660091362</v>
      </c>
      <c r="AA29" s="386"/>
      <c r="AB29" s="392" t="n">
        <f aca="false">+X29+T29</f>
        <v>378213.932497145</v>
      </c>
      <c r="AC29" s="394" t="n">
        <f aca="false">+AB29/AB$7</f>
        <v>2843.71377817402</v>
      </c>
      <c r="AD29" s="393" t="n">
        <f aca="false">+AC29/AC$8</f>
        <v>2.37173793008676</v>
      </c>
      <c r="AE29" s="386"/>
      <c r="AF29" s="389"/>
      <c r="AG29" s="390" t="s">
        <v>476</v>
      </c>
      <c r="AH29" s="141" t="s">
        <v>477</v>
      </c>
      <c r="AI29" s="384" t="n">
        <f aca="false">AJ29/$AJ$48</f>
        <v>0.0251538141490195</v>
      </c>
      <c r="AJ29" s="391" t="n">
        <f aca="false">+AB56+SUM(AB58:AB60)+AB72</f>
        <v>331096.197083939</v>
      </c>
      <c r="AK29" s="391" t="n">
        <f aca="false">+AJ29/AK$7</f>
        <v>2489.44509085668</v>
      </c>
      <c r="AL29" s="387" t="n">
        <f aca="false">+AJ29/AL$7</f>
        <v>2.07626779887964</v>
      </c>
    </row>
    <row r="30" customFormat="false" ht="12" hidden="false" customHeight="false" outlineLevel="0" collapsed="false">
      <c r="A30" s="140" t="s">
        <v>171</v>
      </c>
      <c r="B30" s="141" t="s">
        <v>180</v>
      </c>
      <c r="C30" s="383"/>
      <c r="D30" s="384" t="n">
        <f aca="false">L30/$L$88</f>
        <v>0.131939230887182</v>
      </c>
      <c r="E30" s="385" t="s">
        <v>433</v>
      </c>
      <c r="F30" s="385" t="s">
        <v>433</v>
      </c>
      <c r="G30" s="385" t="s">
        <v>433</v>
      </c>
      <c r="H30" s="385" t="s">
        <v>433</v>
      </c>
      <c r="I30" s="385" t="s">
        <v>433</v>
      </c>
      <c r="J30" s="385" t="s">
        <v>433</v>
      </c>
      <c r="K30" s="385" t="s">
        <v>433</v>
      </c>
      <c r="L30" s="386" t="n">
        <f aca="false">M30*TRUnits</f>
        <v>92757</v>
      </c>
      <c r="M30" s="400" t="n">
        <f aca="false">13251/2</f>
        <v>6625.5</v>
      </c>
      <c r="N30" s="387" t="n">
        <f aca="false">M30/1376</f>
        <v>4.81504360465116</v>
      </c>
      <c r="O30" s="387"/>
      <c r="P30" s="392" t="n">
        <f aca="false">Q30*P$7</f>
        <v>6489.47501816861</v>
      </c>
      <c r="Q30" s="392" t="n">
        <f aca="false">Q$8*$N30*CMF</f>
        <v>6489.47501816861</v>
      </c>
      <c r="R30" s="393" t="n">
        <f aca="false">+Q30/Q$8</f>
        <v>5.41692405523256</v>
      </c>
      <c r="S30" s="386"/>
      <c r="T30" s="392" t="n">
        <f aca="false">U30*T$7</f>
        <v>431750.514898256</v>
      </c>
      <c r="U30" s="392" t="n">
        <f aca="false">U$8*$N30*CMF</f>
        <v>5996.53492914244</v>
      </c>
      <c r="V30" s="393" t="n">
        <f aca="false">+U30/U$8</f>
        <v>5.41692405523256</v>
      </c>
      <c r="W30" s="386"/>
      <c r="X30" s="392" t="n">
        <f aca="false">Y30*X$7</f>
        <v>425266.456804142</v>
      </c>
      <c r="Y30" s="392" t="n">
        <f aca="false">Y$8*$N30*CMF</f>
        <v>6971.5812590843</v>
      </c>
      <c r="Z30" s="393" t="n">
        <f aca="false">+Y30/Y$8</f>
        <v>5.41692405523256</v>
      </c>
      <c r="AA30" s="386"/>
      <c r="AB30" s="392" t="n">
        <f aca="false">+X30+T30</f>
        <v>857016.971702398</v>
      </c>
      <c r="AC30" s="394" t="n">
        <f aca="false">+AB30/AB$7</f>
        <v>6443.73662934134</v>
      </c>
      <c r="AD30" s="393" t="n">
        <f aca="false">+AC30/AC$8</f>
        <v>5.37425907367918</v>
      </c>
      <c r="AE30" s="386"/>
      <c r="AF30" s="389"/>
      <c r="AG30" s="390" t="s">
        <v>478</v>
      </c>
      <c r="AH30" s="141" t="s">
        <v>479</v>
      </c>
      <c r="AI30" s="384" t="n">
        <f aca="false">AJ30/$AJ$48</f>
        <v>0.0193242541226106</v>
      </c>
      <c r="AJ30" s="391" t="n">
        <f aca="false">AB66+AB67</f>
        <v>254362.5</v>
      </c>
      <c r="AK30" s="391" t="n">
        <f aca="false">+AJ30/AK$7</f>
        <v>1912.5</v>
      </c>
      <c r="AL30" s="387" t="n">
        <f aca="false">+AJ30/AL$7</f>
        <v>1.59507923269391</v>
      </c>
    </row>
    <row r="31" customFormat="false" ht="12" hidden="false" customHeight="false" outlineLevel="0" collapsed="false">
      <c r="A31" s="140" t="s">
        <v>171</v>
      </c>
      <c r="B31" s="141" t="s">
        <v>181</v>
      </c>
      <c r="C31" s="383"/>
      <c r="D31" s="384" t="n">
        <f aca="false">L31/$L$88</f>
        <v>0</v>
      </c>
      <c r="E31" s="385" t="s">
        <v>433</v>
      </c>
      <c r="F31" s="385" t="s">
        <v>433</v>
      </c>
      <c r="G31" s="385" t="s">
        <v>433</v>
      </c>
      <c r="H31" s="385" t="s">
        <v>433</v>
      </c>
      <c r="I31" s="385" t="s">
        <v>433</v>
      </c>
      <c r="J31" s="385" t="s">
        <v>433</v>
      </c>
      <c r="K31" s="385" t="s">
        <v>433</v>
      </c>
      <c r="L31" s="386" t="n">
        <f aca="false">M31*TRUnits</f>
        <v>0</v>
      </c>
      <c r="M31" s="386"/>
      <c r="N31" s="387" t="n">
        <f aca="false">M31/1376</f>
        <v>0</v>
      </c>
      <c r="O31" s="387"/>
      <c r="P31" s="392" t="n">
        <f aca="false">Q31*P$7</f>
        <v>0</v>
      </c>
      <c r="Q31" s="392" t="n">
        <f aca="false">Q$8*$N31*CMF</f>
        <v>0</v>
      </c>
      <c r="R31" s="393" t="n">
        <f aca="false">+Q31/Q$8</f>
        <v>0</v>
      </c>
      <c r="S31" s="386"/>
      <c r="T31" s="392" t="n">
        <f aca="false">U31*T$7</f>
        <v>0</v>
      </c>
      <c r="U31" s="392" t="n">
        <f aca="false">U$8*$N31*CMF</f>
        <v>0</v>
      </c>
      <c r="V31" s="393" t="n">
        <f aca="false">+U31/U$8</f>
        <v>0</v>
      </c>
      <c r="W31" s="386"/>
      <c r="X31" s="392" t="n">
        <f aca="false">Y31*X$7</f>
        <v>0</v>
      </c>
      <c r="Y31" s="392" t="n">
        <f aca="false">Y$8*$N31*CMF</f>
        <v>0</v>
      </c>
      <c r="Z31" s="393" t="n">
        <f aca="false">+Y31/Y$8</f>
        <v>0</v>
      </c>
      <c r="AA31" s="386"/>
      <c r="AB31" s="392" t="n">
        <f aca="false">+X31+T31</f>
        <v>0</v>
      </c>
      <c r="AC31" s="394" t="n">
        <f aca="false">+AB31/AB$7</f>
        <v>0</v>
      </c>
      <c r="AD31" s="393" t="n">
        <f aca="false">+AC31/AC$8</f>
        <v>0</v>
      </c>
      <c r="AE31" s="386"/>
      <c r="AF31" s="389"/>
      <c r="AG31" s="390" t="s">
        <v>480</v>
      </c>
      <c r="AH31" s="141" t="s">
        <v>481</v>
      </c>
      <c r="AI31" s="384" t="n">
        <f aca="false">AJ31/$AJ$48</f>
        <v>0</v>
      </c>
      <c r="AJ31" s="391" t="n">
        <v>0</v>
      </c>
      <c r="AK31" s="391" t="n">
        <f aca="false">+AJ31/AK$7</f>
        <v>0</v>
      </c>
      <c r="AL31" s="387" t="n">
        <f aca="false">+AJ31/AL$7</f>
        <v>0</v>
      </c>
    </row>
    <row r="32" customFormat="false" ht="12" hidden="false" customHeight="false" outlineLevel="0" collapsed="false">
      <c r="A32" s="140" t="s">
        <v>171</v>
      </c>
      <c r="B32" s="141" t="s">
        <v>182</v>
      </c>
      <c r="C32" s="383"/>
      <c r="D32" s="384" t="n">
        <f aca="false">L32/$L$88</f>
        <v>0</v>
      </c>
      <c r="E32" s="385" t="s">
        <v>433</v>
      </c>
      <c r="F32" s="385" t="s">
        <v>433</v>
      </c>
      <c r="G32" s="385" t="s">
        <v>433</v>
      </c>
      <c r="H32" s="385" t="s">
        <v>433</v>
      </c>
      <c r="I32" s="385" t="s">
        <v>433</v>
      </c>
      <c r="J32" s="385" t="s">
        <v>433</v>
      </c>
      <c r="K32" s="385" t="s">
        <v>433</v>
      </c>
      <c r="L32" s="386" t="n">
        <f aca="false">M32*TRUnits</f>
        <v>0</v>
      </c>
      <c r="M32" s="386"/>
      <c r="N32" s="387" t="n">
        <f aca="false">M32/1376</f>
        <v>0</v>
      </c>
      <c r="O32" s="387"/>
      <c r="P32" s="392" t="n">
        <f aca="false">Q32*P$7</f>
        <v>0</v>
      </c>
      <c r="Q32" s="392" t="n">
        <f aca="false">Q$8*$N32*CMF</f>
        <v>0</v>
      </c>
      <c r="R32" s="393" t="n">
        <f aca="false">+Q32/Q$8</f>
        <v>0</v>
      </c>
      <c r="S32" s="386"/>
      <c r="T32" s="392" t="n">
        <f aca="false">U32*T$7</f>
        <v>0</v>
      </c>
      <c r="U32" s="392" t="n">
        <f aca="false">U$8*$N32*CMF</f>
        <v>0</v>
      </c>
      <c r="V32" s="393" t="n">
        <f aca="false">+U32/U$8</f>
        <v>0</v>
      </c>
      <c r="W32" s="386"/>
      <c r="X32" s="392" t="n">
        <f aca="false">Y32*X$7</f>
        <v>0</v>
      </c>
      <c r="Y32" s="392" t="n">
        <f aca="false">Y$8*$N32*CMF</f>
        <v>0</v>
      </c>
      <c r="Z32" s="393" t="n">
        <f aca="false">+Y32/Y$8</f>
        <v>0</v>
      </c>
      <c r="AA32" s="386"/>
      <c r="AB32" s="392" t="n">
        <f aca="false">+X32+T32</f>
        <v>0</v>
      </c>
      <c r="AC32" s="394" t="n">
        <f aca="false">+AB32/AB$7</f>
        <v>0</v>
      </c>
      <c r="AD32" s="393" t="n">
        <f aca="false">+AC32/AC$8</f>
        <v>0</v>
      </c>
      <c r="AE32" s="386"/>
      <c r="AF32" s="389"/>
      <c r="AG32" s="390" t="s">
        <v>482</v>
      </c>
      <c r="AH32" s="141" t="s">
        <v>483</v>
      </c>
      <c r="AI32" s="384" t="n">
        <f aca="false">AJ32/$AJ$48</f>
        <v>0.0111781986860388</v>
      </c>
      <c r="AJ32" s="391" t="n">
        <f aca="false">AB63+AB64</f>
        <v>147137.092341933</v>
      </c>
      <c r="AK32" s="391" t="n">
        <f aca="false">+AJ32/AK$7</f>
        <v>1106.29392738296</v>
      </c>
      <c r="AL32" s="387" t="n">
        <f aca="false">+AJ32/AL$7</f>
        <v>0.922680506574609</v>
      </c>
    </row>
    <row r="33" customFormat="false" ht="12" hidden="false" customHeight="false" outlineLevel="0" collapsed="false">
      <c r="A33" s="140" t="s">
        <v>175</v>
      </c>
      <c r="B33" s="141" t="s">
        <v>183</v>
      </c>
      <c r="C33" s="383"/>
      <c r="D33" s="384" t="n">
        <f aca="false">L33/$L$88</f>
        <v>0</v>
      </c>
      <c r="E33" s="385" t="s">
        <v>433</v>
      </c>
      <c r="F33" s="385" t="s">
        <v>433</v>
      </c>
      <c r="G33" s="385" t="s">
        <v>433</v>
      </c>
      <c r="H33" s="385" t="s">
        <v>433</v>
      </c>
      <c r="I33" s="385" t="s">
        <v>433</v>
      </c>
      <c r="J33" s="385" t="s">
        <v>433</v>
      </c>
      <c r="K33" s="385" t="s">
        <v>433</v>
      </c>
      <c r="L33" s="386" t="n">
        <f aca="false">M33*TRUnits</f>
        <v>0</v>
      </c>
      <c r="N33" s="387" t="n">
        <f aca="false">M33/1376</f>
        <v>0</v>
      </c>
      <c r="O33" s="387"/>
      <c r="P33" s="392" t="n">
        <f aca="false">Q33*P$7</f>
        <v>0</v>
      </c>
      <c r="Q33" s="392" t="n">
        <f aca="false">Q$8*$N33*CMF</f>
        <v>0</v>
      </c>
      <c r="R33" s="393" t="n">
        <f aca="false">+Q33/Q$8</f>
        <v>0</v>
      </c>
      <c r="S33" s="386"/>
      <c r="T33" s="392" t="n">
        <f aca="false">U33*T$7</f>
        <v>0</v>
      </c>
      <c r="U33" s="392" t="n">
        <f aca="false">U$8*$N33*CMF</f>
        <v>0</v>
      </c>
      <c r="V33" s="393" t="n">
        <f aca="false">+U33/U$8</f>
        <v>0</v>
      </c>
      <c r="W33" s="386"/>
      <c r="X33" s="392" t="n">
        <f aca="false">Y33*X$7</f>
        <v>0</v>
      </c>
      <c r="Y33" s="392" t="n">
        <f aca="false">Y$8*$N33*CMF</f>
        <v>0</v>
      </c>
      <c r="Z33" s="393" t="n">
        <f aca="false">+Y33/Y$8</f>
        <v>0</v>
      </c>
      <c r="AA33" s="386"/>
      <c r="AB33" s="392" t="n">
        <f aca="false">+X33+T33</f>
        <v>0</v>
      </c>
      <c r="AC33" s="394" t="n">
        <f aca="false">+AB33/AB$7</f>
        <v>0</v>
      </c>
      <c r="AD33" s="393" t="n">
        <f aca="false">+AC33/AC$8</f>
        <v>0</v>
      </c>
      <c r="AE33" s="386"/>
      <c r="AF33" s="389"/>
      <c r="AG33" s="390" t="s">
        <v>484</v>
      </c>
      <c r="AH33" s="141" t="s">
        <v>485</v>
      </c>
      <c r="AI33" s="384" t="n">
        <f aca="false">AJ33/$AJ$48</f>
        <v>0</v>
      </c>
      <c r="AJ33" s="391" t="n">
        <v>0</v>
      </c>
      <c r="AK33" s="391" t="n">
        <f aca="false">+AJ33/AK$7</f>
        <v>0</v>
      </c>
      <c r="AL33" s="387" t="n">
        <f aca="false">+AJ33/AL$7</f>
        <v>0</v>
      </c>
    </row>
    <row r="34" customFormat="false" ht="12" hidden="false" customHeight="false" outlineLevel="0" collapsed="false">
      <c r="A34" s="140" t="s">
        <v>184</v>
      </c>
      <c r="B34" s="141" t="s">
        <v>185</v>
      </c>
      <c r="C34" s="383"/>
      <c r="D34" s="384" t="n">
        <f aca="false">L34/$L$88</f>
        <v>0.00890149214498081</v>
      </c>
      <c r="E34" s="385" t="s">
        <v>433</v>
      </c>
      <c r="F34" s="385" t="s">
        <v>433</v>
      </c>
      <c r="G34" s="385" t="s">
        <v>433</v>
      </c>
      <c r="H34" s="385" t="s">
        <v>433</v>
      </c>
      <c r="I34" s="385" t="s">
        <v>433</v>
      </c>
      <c r="J34" s="385" t="s">
        <v>433</v>
      </c>
      <c r="K34" s="385" t="s">
        <v>433</v>
      </c>
      <c r="L34" s="386" t="n">
        <f aca="false">M34*TRUnits</f>
        <v>6258</v>
      </c>
      <c r="M34" s="386" t="n">
        <f aca="false">894/2</f>
        <v>447</v>
      </c>
      <c r="N34" s="387" t="n">
        <f aca="false">M34/1376</f>
        <v>0.324854651162791</v>
      </c>
      <c r="O34" s="387"/>
      <c r="P34" s="392" t="n">
        <f aca="false">Q34*P$7</f>
        <v>348.75</v>
      </c>
      <c r="Q34" s="392" t="n">
        <f aca="false">(120+80+70+40)*CMF</f>
        <v>348.75</v>
      </c>
      <c r="R34" s="393" t="n">
        <f aca="false">+Q34/Q$8</f>
        <v>0.291110183639399</v>
      </c>
      <c r="S34" s="386"/>
      <c r="T34" s="392" t="n">
        <f aca="false">U34*T$7</f>
        <v>43740</v>
      </c>
      <c r="U34" s="392" t="n">
        <f aca="false">(120+3*70+2*65+2*40)*CMF</f>
        <v>607.5</v>
      </c>
      <c r="V34" s="393" t="n">
        <f aca="false">+U34/U$8</f>
        <v>0.548780487804878</v>
      </c>
      <c r="W34" s="386"/>
      <c r="X34" s="392" t="n">
        <f aca="false">Y34*X$7</f>
        <v>45978.75</v>
      </c>
      <c r="Y34" s="392" t="n">
        <f aca="false">(120+4*80+70+4*40)*CMF</f>
        <v>753.75</v>
      </c>
      <c r="Z34" s="393" t="n">
        <f aca="false">+Y34/Y$8</f>
        <v>0.585664335664336</v>
      </c>
      <c r="AA34" s="386"/>
      <c r="AB34" s="392" t="n">
        <f aca="false">+X34+T34</f>
        <v>89718.75</v>
      </c>
      <c r="AC34" s="394" t="n">
        <f aca="false">+AB34/AB$7</f>
        <v>674.577067669173</v>
      </c>
      <c r="AD34" s="393" t="n">
        <f aca="false">+AC34/AC$8</f>
        <v>0.562616403393806</v>
      </c>
      <c r="AE34" s="386"/>
      <c r="AF34" s="389"/>
      <c r="AG34" s="390" t="s">
        <v>486</v>
      </c>
      <c r="AH34" s="141" t="s">
        <v>487</v>
      </c>
      <c r="AI34" s="384" t="n">
        <f aca="false">AJ34/$AJ$48</f>
        <v>0.0102304874766762</v>
      </c>
      <c r="AJ34" s="391" t="n">
        <f aca="false">+AB70</f>
        <v>134662.5</v>
      </c>
      <c r="AK34" s="391" t="n">
        <f aca="false">+AJ34/AK$7</f>
        <v>1012.5</v>
      </c>
      <c r="AL34" s="387" t="n">
        <f aca="false">+AJ34/AL$7</f>
        <v>0.844453711426189</v>
      </c>
    </row>
    <row r="35" customFormat="false" ht="12" hidden="false" customHeight="false" outlineLevel="0" collapsed="false">
      <c r="A35" s="140" t="s">
        <v>171</v>
      </c>
      <c r="B35" s="141" t="s">
        <v>187</v>
      </c>
      <c r="C35" s="383"/>
      <c r="D35" s="384" t="n">
        <f aca="false">L35/$L$88</f>
        <v>0.00597415580200055</v>
      </c>
      <c r="E35" s="385" t="s">
        <v>433</v>
      </c>
      <c r="F35" s="385" t="s">
        <v>433</v>
      </c>
      <c r="G35" s="385" t="s">
        <v>433</v>
      </c>
      <c r="H35" s="385" t="s">
        <v>433</v>
      </c>
      <c r="I35" s="385" t="s">
        <v>433</v>
      </c>
      <c r="J35" s="385" t="s">
        <v>433</v>
      </c>
      <c r="K35" s="385" t="s">
        <v>433</v>
      </c>
      <c r="L35" s="386" t="n">
        <f aca="false">M35*TRUnits</f>
        <v>4200</v>
      </c>
      <c r="M35" s="401" t="n">
        <f aca="false">600/2</f>
        <v>300</v>
      </c>
      <c r="N35" s="387" t="n">
        <f aca="false">M35/1376</f>
        <v>0.218023255813954</v>
      </c>
      <c r="O35" s="387"/>
      <c r="P35" s="392" t="n">
        <f aca="false">Q35*P$7</f>
        <v>582.75</v>
      </c>
      <c r="Q35" s="392" t="n">
        <f aca="false">((75+46+13)*2+180+70)*CMF</f>
        <v>582.75</v>
      </c>
      <c r="R35" s="393" t="n">
        <f aca="false">+Q35/Q$8</f>
        <v>0.486435726210351</v>
      </c>
      <c r="S35" s="386"/>
      <c r="T35" s="392" t="n">
        <f aca="false">U35*T$7</f>
        <v>41958</v>
      </c>
      <c r="U35" s="392" t="n">
        <f aca="false">((75+46+13)*2+180+70)*CMF</f>
        <v>582.75</v>
      </c>
      <c r="V35" s="393" t="n">
        <f aca="false">+U35/U$8</f>
        <v>0.526422764227642</v>
      </c>
      <c r="W35" s="386"/>
      <c r="X35" s="392" t="n">
        <f aca="false">Y35*X$7</f>
        <v>35547.75</v>
      </c>
      <c r="Y35" s="392" t="n">
        <f aca="false">((75+46+13)*2+180+70)*CMF</f>
        <v>582.75</v>
      </c>
      <c r="Z35" s="393" t="n">
        <f aca="false">+Y35/Y$8</f>
        <v>0.452797202797203</v>
      </c>
      <c r="AA35" s="386"/>
      <c r="AB35" s="392" t="n">
        <f aca="false">+X35+T35</f>
        <v>77505.75</v>
      </c>
      <c r="AC35" s="394" t="n">
        <f aca="false">+AB35/AB$7</f>
        <v>582.75</v>
      </c>
      <c r="AD35" s="393" t="n">
        <f aca="false">+AC35/AC$8</f>
        <v>0.486030025020851</v>
      </c>
      <c r="AE35" s="386"/>
      <c r="AF35" s="389"/>
      <c r="AG35" s="390" t="s">
        <v>488</v>
      </c>
      <c r="AH35" s="141" t="s">
        <v>489</v>
      </c>
      <c r="AI35" s="384" t="n">
        <f aca="false">AJ35/$AJ$48</f>
        <v>0.0164967610533863</v>
      </c>
      <c r="AJ35" s="391" t="n">
        <f aca="false">+AB71</f>
        <v>217144.5975</v>
      </c>
      <c r="AK35" s="391" t="n">
        <f aca="false">+AJ35/AK$7</f>
        <v>1632.66614661654</v>
      </c>
      <c r="AL35" s="387" t="n">
        <f aca="false">+AJ35/AL$7</f>
        <v>1.36168986373356</v>
      </c>
    </row>
    <row r="36" customFormat="false" ht="12" hidden="false" customHeight="false" outlineLevel="0" collapsed="false">
      <c r="B36" s="375" t="s">
        <v>188</v>
      </c>
      <c r="C36" s="383"/>
      <c r="D36" s="384"/>
      <c r="E36" s="385"/>
      <c r="F36" s="385"/>
      <c r="G36" s="385"/>
      <c r="H36" s="385"/>
      <c r="I36" s="385"/>
      <c r="J36" s="385"/>
      <c r="K36" s="385"/>
      <c r="L36" s="386"/>
      <c r="M36" s="386"/>
      <c r="N36" s="387"/>
      <c r="O36" s="387"/>
      <c r="P36" s="392"/>
      <c r="Q36" s="392"/>
      <c r="R36" s="393"/>
      <c r="S36" s="386"/>
      <c r="T36" s="392"/>
      <c r="U36" s="392"/>
      <c r="V36" s="393"/>
      <c r="W36" s="386"/>
      <c r="X36" s="392"/>
      <c r="Y36" s="392"/>
      <c r="Z36" s="393"/>
      <c r="AA36" s="386"/>
      <c r="AB36" s="392"/>
      <c r="AC36" s="394"/>
      <c r="AD36" s="393"/>
      <c r="AE36" s="386"/>
      <c r="AF36" s="389"/>
      <c r="AG36" s="390" t="s">
        <v>490</v>
      </c>
      <c r="AH36" s="141" t="s">
        <v>491</v>
      </c>
      <c r="AI36" s="384" t="n">
        <f aca="false">AJ36/$AJ$48</f>
        <v>0.00383643280375357</v>
      </c>
      <c r="AJ36" s="391" t="n">
        <f aca="false">SUM(AB73:AB76)</f>
        <v>50498.4375</v>
      </c>
      <c r="AK36" s="391" t="n">
        <f aca="false">+AJ36/AK$7</f>
        <v>379.6875</v>
      </c>
      <c r="AL36" s="387" t="n">
        <f aca="false">+AJ36/AL$7</f>
        <v>0.316670141784821</v>
      </c>
    </row>
    <row r="37" customFormat="false" ht="12" hidden="false" customHeight="false" outlineLevel="0" collapsed="false">
      <c r="A37" s="140" t="s">
        <v>190</v>
      </c>
      <c r="B37" s="141" t="s">
        <v>191</v>
      </c>
      <c r="C37" s="383"/>
      <c r="D37" s="384"/>
      <c r="E37" s="385"/>
      <c r="F37" s="385"/>
      <c r="G37" s="385"/>
      <c r="H37" s="385"/>
      <c r="I37" s="385"/>
      <c r="J37" s="385"/>
      <c r="K37" s="385"/>
      <c r="L37" s="386" t="n">
        <v>0</v>
      </c>
      <c r="M37" s="386" t="n">
        <v>0</v>
      </c>
      <c r="N37" s="387"/>
      <c r="O37" s="387"/>
      <c r="P37" s="392" t="n">
        <f aca="false">Q37*P$7</f>
        <v>168.75</v>
      </c>
      <c r="Q37" s="392" t="n">
        <f aca="false">(28-3)*3*2*CMF</f>
        <v>168.75</v>
      </c>
      <c r="R37" s="393" t="n">
        <f aca="false">+Q37/Q$8</f>
        <v>0.140859766277129</v>
      </c>
      <c r="S37" s="386"/>
      <c r="T37" s="392" t="n">
        <f aca="false">U37*T$7</f>
        <v>12150</v>
      </c>
      <c r="U37" s="392" t="n">
        <f aca="false">(28-3)*3*2*CMF</f>
        <v>168.75</v>
      </c>
      <c r="V37" s="393" t="n">
        <f aca="false">+U37/U$8</f>
        <v>0.152439024390244</v>
      </c>
      <c r="W37" s="386"/>
      <c r="X37" s="392" t="n">
        <f aca="false">Y37*X$7</f>
        <v>10293.75</v>
      </c>
      <c r="Y37" s="392" t="n">
        <f aca="false">(28-3)*3*2*CMF</f>
        <v>168.75</v>
      </c>
      <c r="Z37" s="393" t="n">
        <f aca="false">+Y37/Y$8</f>
        <v>0.131118881118881</v>
      </c>
      <c r="AA37" s="386"/>
      <c r="AB37" s="392" t="n">
        <f aca="false">+X37+T37</f>
        <v>22443.75</v>
      </c>
      <c r="AC37" s="394" t="n">
        <f aca="false">+AB37/AB$7</f>
        <v>168.75</v>
      </c>
      <c r="AD37" s="393" t="n">
        <f aca="false">+AC37/AC$8</f>
        <v>0.140742285237698</v>
      </c>
      <c r="AE37" s="386"/>
      <c r="AF37" s="389"/>
      <c r="AG37" s="390" t="s">
        <v>492</v>
      </c>
      <c r="AH37" s="141" t="s">
        <v>493</v>
      </c>
      <c r="AI37" s="384" t="n">
        <f aca="false">AJ37/$AJ$48</f>
        <v>0.00697074185658383</v>
      </c>
      <c r="AJ37" s="391" t="n">
        <f aca="false">+AB68</f>
        <v>91754.9166061046</v>
      </c>
      <c r="AK37" s="391" t="n">
        <f aca="false">+AJ37/AK$7</f>
        <v>689.886591023343</v>
      </c>
      <c r="AL37" s="387" t="n">
        <f aca="false">+AJ37/AL$7</f>
        <v>0.575384980002788</v>
      </c>
    </row>
    <row r="38" customFormat="false" ht="12" hidden="false" customHeight="false" outlineLevel="0" collapsed="false">
      <c r="A38" s="140" t="s">
        <v>190</v>
      </c>
      <c r="B38" s="141" t="s">
        <v>192</v>
      </c>
      <c r="C38" s="383"/>
      <c r="D38" s="384"/>
      <c r="E38" s="385"/>
      <c r="F38" s="385"/>
      <c r="G38" s="385"/>
      <c r="H38" s="385"/>
      <c r="I38" s="385"/>
      <c r="J38" s="385"/>
      <c r="K38" s="385"/>
      <c r="L38" s="386" t="n">
        <v>0</v>
      </c>
      <c r="M38" s="386" t="n">
        <v>0</v>
      </c>
      <c r="N38" s="387"/>
      <c r="O38" s="387"/>
      <c r="P38" s="392" t="n">
        <f aca="false">Q38*P$7</f>
        <v>295.3125</v>
      </c>
      <c r="Q38" s="392" t="n">
        <f aca="false">(28-3)*3*3.5*CMF</f>
        <v>295.3125</v>
      </c>
      <c r="R38" s="393" t="n">
        <f aca="false">+Q38/Q$8</f>
        <v>0.246504590984975</v>
      </c>
      <c r="S38" s="386"/>
      <c r="T38" s="392" t="n">
        <f aca="false">U38*T$7</f>
        <v>21262.5</v>
      </c>
      <c r="U38" s="392" t="n">
        <f aca="false">(28-3)*3*3.5*CMF</f>
        <v>295.3125</v>
      </c>
      <c r="V38" s="393" t="n">
        <f aca="false">+U38/U$8</f>
        <v>0.266768292682927</v>
      </c>
      <c r="W38" s="386"/>
      <c r="X38" s="392" t="n">
        <f aca="false">Y38*X$7</f>
        <v>18014.0625</v>
      </c>
      <c r="Y38" s="392" t="n">
        <f aca="false">(28-3)*3*3.5*CMF</f>
        <v>295.3125</v>
      </c>
      <c r="Z38" s="393" t="n">
        <f aca="false">+Y38/Y$8</f>
        <v>0.229458041958042</v>
      </c>
      <c r="AA38" s="386"/>
      <c r="AB38" s="392" t="n">
        <f aca="false">+X38+T38</f>
        <v>39276.5625</v>
      </c>
      <c r="AC38" s="394" t="n">
        <f aca="false">+AB38/AB$7</f>
        <v>295.3125</v>
      </c>
      <c r="AD38" s="393" t="n">
        <f aca="false">+AC38/AC$8</f>
        <v>0.246298999165972</v>
      </c>
      <c r="AE38" s="386"/>
      <c r="AF38" s="389"/>
      <c r="AG38" s="390" t="s">
        <v>494</v>
      </c>
      <c r="AH38" s="141" t="s">
        <v>495</v>
      </c>
      <c r="AI38" s="384" t="n">
        <f aca="false">AJ38/$AJ$48</f>
        <v>0.0100249290353215</v>
      </c>
      <c r="AJ38" s="391" t="n">
        <f aca="false">SUM(AB77:AB79)</f>
        <v>131956.7625</v>
      </c>
      <c r="AK38" s="391" t="n">
        <f aca="false">+AJ38/AK$7</f>
        <v>992.156109022557</v>
      </c>
      <c r="AL38" s="387" t="n">
        <f aca="false">+AJ38/AL$7</f>
        <v>0.827486329460014</v>
      </c>
    </row>
    <row r="39" customFormat="false" ht="12" hidden="false" customHeight="false" outlineLevel="0" collapsed="false">
      <c r="B39" s="375" t="s">
        <v>193</v>
      </c>
      <c r="C39" s="383"/>
      <c r="D39" s="384"/>
      <c r="E39" s="385"/>
      <c r="F39" s="385"/>
      <c r="G39" s="385"/>
      <c r="H39" s="385"/>
      <c r="I39" s="385"/>
      <c r="J39" s="385"/>
      <c r="K39" s="385"/>
      <c r="L39" s="386"/>
      <c r="M39" s="386"/>
      <c r="N39" s="387"/>
      <c r="O39" s="387"/>
      <c r="P39" s="392"/>
      <c r="Q39" s="392"/>
      <c r="R39" s="393"/>
      <c r="S39" s="386"/>
      <c r="T39" s="392"/>
      <c r="U39" s="392"/>
      <c r="V39" s="393"/>
      <c r="W39" s="386"/>
      <c r="X39" s="392"/>
      <c r="Y39" s="392"/>
      <c r="Z39" s="393"/>
      <c r="AA39" s="386"/>
      <c r="AB39" s="392"/>
      <c r="AC39" s="394"/>
      <c r="AD39" s="393"/>
      <c r="AE39" s="386"/>
      <c r="AF39" s="389"/>
      <c r="AG39" s="390" t="s">
        <v>496</v>
      </c>
      <c r="AH39" s="141" t="s">
        <v>497</v>
      </c>
      <c r="AI39" s="384" t="n">
        <f aca="false">AJ39/$AJ$48</f>
        <v>0.0183385814202203</v>
      </c>
      <c r="AJ39" s="398" t="n">
        <f aca="false">SUM(AB81:AB85)</f>
        <v>241388.225744913</v>
      </c>
      <c r="AK39" s="391" t="n">
        <f aca="false">+AJ39/AK$7</f>
        <v>1814.94906575122</v>
      </c>
      <c r="AL39" s="387" t="n">
        <f aca="false">+AJ39/AL$7</f>
        <v>1.51371898728209</v>
      </c>
    </row>
    <row r="40" customFormat="false" ht="14.45" hidden="false" customHeight="true" outlineLevel="0" collapsed="false">
      <c r="A40" s="140" t="s">
        <v>194</v>
      </c>
      <c r="B40" s="141" t="s">
        <v>191</v>
      </c>
      <c r="C40" s="383"/>
      <c r="D40" s="384" t="n">
        <f aca="false">L40/$L$88</f>
        <v>0.00746769475250068</v>
      </c>
      <c r="E40" s="385" t="s">
        <v>433</v>
      </c>
      <c r="F40" s="385" t="s">
        <v>433</v>
      </c>
      <c r="G40" s="385" t="s">
        <v>433</v>
      </c>
      <c r="H40" s="385" t="s">
        <v>433</v>
      </c>
      <c r="I40" s="385" t="s">
        <v>433</v>
      </c>
      <c r="J40" s="385" t="s">
        <v>433</v>
      </c>
      <c r="K40" s="385" t="s">
        <v>433</v>
      </c>
      <c r="L40" s="386" t="n">
        <f aca="false">M40*TRUnits</f>
        <v>5250</v>
      </c>
      <c r="M40" s="386" t="n">
        <f aca="false">750/2</f>
        <v>375</v>
      </c>
      <c r="N40" s="387" t="n">
        <f aca="false">M40/1376</f>
        <v>0.272529069767442</v>
      </c>
      <c r="O40" s="387"/>
      <c r="P40" s="392" t="n">
        <f aca="false">Q40*P$7</f>
        <v>490.15125</v>
      </c>
      <c r="Q40" s="392" t="n">
        <f aca="false">((R$8*1.2)/100*23.5)*CMF</f>
        <v>490.15125</v>
      </c>
      <c r="R40" s="393" t="n">
        <f aca="false">+Q40/Q$8</f>
        <v>0.409141277128548</v>
      </c>
      <c r="S40" s="386"/>
      <c r="T40" s="392" t="n">
        <f aca="false">U40*T$7</f>
        <v>25286.094</v>
      </c>
      <c r="U40" s="392" t="n">
        <f aca="false">((V$8*1.2)/100*23.5)*CMF</f>
        <v>351.19575</v>
      </c>
      <c r="V40" s="393" t="n">
        <f aca="false">+U40/U$8</f>
        <v>0.31725</v>
      </c>
      <c r="W40" s="386"/>
      <c r="X40" s="392" t="n">
        <f aca="false">Y40*X$7</f>
        <v>30866.83875</v>
      </c>
      <c r="Y40" s="392" t="n">
        <f aca="false">((Z$8*1.2)/100*23.5)*CMF</f>
        <v>506.01375</v>
      </c>
      <c r="Z40" s="393" t="n">
        <f aca="false">+Y40/Y$8</f>
        <v>0.393173076923077</v>
      </c>
      <c r="AA40" s="386"/>
      <c r="AB40" s="392" t="n">
        <f aca="false">+X40+T40</f>
        <v>56152.93275</v>
      </c>
      <c r="AC40" s="394" t="n">
        <f aca="false">+AB40/AB$7</f>
        <v>422.202501879699</v>
      </c>
      <c r="AD40" s="393" t="n">
        <f aca="false">+AC40/AC$8</f>
        <v>0.352128858948873</v>
      </c>
      <c r="AE40" s="386"/>
      <c r="AF40" s="389"/>
      <c r="AG40" s="390" t="s">
        <v>498</v>
      </c>
      <c r="AH40" s="141" t="s">
        <v>499</v>
      </c>
      <c r="AI40" s="384" t="n">
        <f aca="false">AJ40/$AJ$48</f>
        <v>0</v>
      </c>
      <c r="AJ40" s="398"/>
      <c r="AK40" s="391" t="n">
        <f aca="false">+AJ40/AK$7</f>
        <v>0</v>
      </c>
      <c r="AL40" s="387" t="n">
        <f aca="false">+AJ40/AL$7</f>
        <v>0</v>
      </c>
    </row>
    <row r="41" customFormat="false" ht="12" hidden="false" customHeight="false" outlineLevel="0" collapsed="false">
      <c r="A41" s="140" t="s">
        <v>194</v>
      </c>
      <c r="B41" s="141" t="s">
        <v>192</v>
      </c>
      <c r="C41" s="383"/>
      <c r="D41" s="384" t="n">
        <f aca="false">L41/$L$88</f>
        <v>0.00706941769903398</v>
      </c>
      <c r="E41" s="385" t="s">
        <v>433</v>
      </c>
      <c r="F41" s="385" t="s">
        <v>433</v>
      </c>
      <c r="G41" s="385" t="s">
        <v>433</v>
      </c>
      <c r="H41" s="385" t="s">
        <v>433</v>
      </c>
      <c r="I41" s="385" t="s">
        <v>433</v>
      </c>
      <c r="J41" s="385" t="s">
        <v>433</v>
      </c>
      <c r="K41" s="385" t="s">
        <v>433</v>
      </c>
      <c r="L41" s="386" t="n">
        <f aca="false">M41*TRUnits</f>
        <v>4970</v>
      </c>
      <c r="M41" s="386" t="n">
        <f aca="false">710/2</f>
        <v>355</v>
      </c>
      <c r="N41" s="387" t="n">
        <f aca="false">M41/1376</f>
        <v>0.257994186046512</v>
      </c>
      <c r="O41" s="387"/>
      <c r="P41" s="392" t="n">
        <f aca="false">Q41*P$7</f>
        <v>438.0075</v>
      </c>
      <c r="Q41" s="392" t="n">
        <f aca="false">((R$8*1.2)/100*21)*CMF</f>
        <v>438.0075</v>
      </c>
      <c r="R41" s="393" t="n">
        <f aca="false">+Q41/Q$8</f>
        <v>0.365615609348915</v>
      </c>
      <c r="S41" s="386"/>
      <c r="T41" s="392" t="n">
        <f aca="false">U41*T$7</f>
        <v>22596.084</v>
      </c>
      <c r="U41" s="392" t="n">
        <f aca="false">((V$8*1.2)/100*21)*CMF</f>
        <v>313.8345</v>
      </c>
      <c r="V41" s="393" t="n">
        <f aca="false">+U41/U$8</f>
        <v>0.2835</v>
      </c>
      <c r="W41" s="386"/>
      <c r="X41" s="392" t="n">
        <f aca="false">Y41*X$7</f>
        <v>27583.1325</v>
      </c>
      <c r="Y41" s="392" t="n">
        <f aca="false">((Z$8*1.2)/100*21)*CMF</f>
        <v>452.1825</v>
      </c>
      <c r="Z41" s="393" t="n">
        <f aca="false">+Y41/Y$8</f>
        <v>0.351346153846154</v>
      </c>
      <c r="AA41" s="386"/>
      <c r="AB41" s="392" t="n">
        <f aca="false">+X41+T41</f>
        <v>50179.2165</v>
      </c>
      <c r="AC41" s="394" t="n">
        <f aca="false">+AB41/AB$7</f>
        <v>377.287342105263</v>
      </c>
      <c r="AD41" s="393" t="n">
        <f aca="false">+AC41/AC$8</f>
        <v>0.314668342039419</v>
      </c>
      <c r="AE41" s="386"/>
      <c r="AF41" s="389"/>
      <c r="AG41" s="390" t="s">
        <v>500</v>
      </c>
      <c r="AH41" s="141" t="s">
        <v>501</v>
      </c>
      <c r="AI41" s="384" t="n">
        <f aca="false">AJ41/$AJ$48</f>
        <v>0.0280442233065128</v>
      </c>
      <c r="AJ41" s="398" t="n">
        <f aca="false">(SUM(AJ9:AJ40)+SUM(AJ42:AJ45))*1.0125*0.7*0.095/12*6</f>
        <v>369142.255403087</v>
      </c>
      <c r="AK41" s="391" t="n">
        <f aca="false">+AJ41/AK$7</f>
        <v>2775.50567972246</v>
      </c>
      <c r="AL41" s="387" t="n">
        <f aca="false">+AJ41/AL$7</f>
        <v>2.31485044180355</v>
      </c>
    </row>
    <row r="42" customFormat="false" ht="12" hidden="false" customHeight="false" outlineLevel="0" collapsed="false">
      <c r="B42" s="375" t="s">
        <v>196</v>
      </c>
      <c r="C42" s="383"/>
      <c r="E42" s="385"/>
      <c r="F42" s="385"/>
      <c r="G42" s="385"/>
      <c r="H42" s="385"/>
      <c r="I42" s="385"/>
      <c r="J42" s="385"/>
      <c r="K42" s="385"/>
      <c r="L42" s="386"/>
      <c r="M42" s="386"/>
      <c r="N42" s="387"/>
      <c r="O42" s="387"/>
      <c r="P42" s="392"/>
      <c r="Q42" s="392"/>
      <c r="R42" s="393"/>
      <c r="S42" s="386"/>
      <c r="T42" s="392"/>
      <c r="U42" s="392"/>
      <c r="V42" s="393"/>
      <c r="W42" s="386"/>
      <c r="X42" s="392"/>
      <c r="Y42" s="392"/>
      <c r="Z42" s="393"/>
      <c r="AA42" s="386"/>
      <c r="AB42" s="392"/>
      <c r="AC42" s="394" t="s">
        <v>502</v>
      </c>
      <c r="AD42" s="393"/>
      <c r="AE42" s="386"/>
      <c r="AF42" s="389"/>
      <c r="AG42" s="390" t="s">
        <v>503</v>
      </c>
      <c r="AH42" s="141" t="s">
        <v>504</v>
      </c>
      <c r="AI42" s="384" t="n">
        <f aca="false">AJ42/$AJ$48</f>
        <v>0.143902589538258</v>
      </c>
      <c r="AJ42" s="398" t="n">
        <f aca="false">(2.5*43560+75000)*10.3</f>
        <v>1894170</v>
      </c>
      <c r="AK42" s="391" t="n">
        <f aca="false">+AJ42/AK$7</f>
        <v>14241.8796992481</v>
      </c>
      <c r="AL42" s="387" t="n">
        <f aca="false">+AJ42/AL$7</f>
        <v>11.8781315256448</v>
      </c>
    </row>
    <row r="43" customFormat="false" ht="12" hidden="false" customHeight="false" outlineLevel="0" collapsed="false">
      <c r="A43" s="140" t="s">
        <v>197</v>
      </c>
      <c r="B43" s="141" t="s">
        <v>198</v>
      </c>
      <c r="C43" s="383" t="n">
        <v>0.1</v>
      </c>
      <c r="D43" s="384" t="n">
        <f aca="false">L43/$L$88</f>
        <v>0.00298707790100027</v>
      </c>
      <c r="E43" s="385" t="s">
        <v>433</v>
      </c>
      <c r="F43" s="385" t="s">
        <v>433</v>
      </c>
      <c r="G43" s="385" t="s">
        <v>433</v>
      </c>
      <c r="H43" s="385" t="s">
        <v>433</v>
      </c>
      <c r="I43" s="385" t="s">
        <v>433</v>
      </c>
      <c r="J43" s="385" t="s">
        <v>433</v>
      </c>
      <c r="K43" s="385" t="s">
        <v>433</v>
      </c>
      <c r="L43" s="386" t="n">
        <f aca="false">M43*TRUnits</f>
        <v>2100</v>
      </c>
      <c r="M43" s="386" t="n">
        <f aca="false">300/2</f>
        <v>150</v>
      </c>
      <c r="N43" s="387" t="n">
        <f aca="false">M43/1376</f>
        <v>0.109011627906977</v>
      </c>
      <c r="O43" s="387"/>
      <c r="P43" s="392" t="n">
        <f aca="false">Q43*P$7</f>
        <v>63.4398496240602</v>
      </c>
      <c r="Q43" s="392" t="n">
        <f aca="false">7500/SM134Units*CMF</f>
        <v>63.4398496240602</v>
      </c>
      <c r="R43" s="393" t="n">
        <f aca="false">+Q43/Q$8</f>
        <v>0.052954799352304</v>
      </c>
      <c r="S43" s="386"/>
      <c r="T43" s="392" t="n">
        <f aca="false">U43*T$7</f>
        <v>4567.66917293233</v>
      </c>
      <c r="U43" s="392" t="n">
        <f aca="false">7500/SM134Units*CMF</f>
        <v>63.4398496240602</v>
      </c>
      <c r="V43" s="393" t="n">
        <f aca="false">+U43/U$8</f>
        <v>0.0573079039061067</v>
      </c>
      <c r="W43" s="386"/>
      <c r="X43" s="392" t="n">
        <f aca="false">Y43*X$7</f>
        <v>3869.83082706767</v>
      </c>
      <c r="Y43" s="392" t="n">
        <f aca="false">7500/SM134Units*CMF</f>
        <v>63.4398496240602</v>
      </c>
      <c r="Z43" s="393" t="n">
        <f aca="false">+Y43/Y$8</f>
        <v>0.0492928124507072</v>
      </c>
      <c r="AA43" s="386"/>
      <c r="AB43" s="392" t="n">
        <f aca="false">+X43+T43</f>
        <v>8437.5</v>
      </c>
      <c r="AC43" s="394" t="n">
        <f aca="false">+AB43/AB$7</f>
        <v>63.4398496240602</v>
      </c>
      <c r="AD43" s="393" t="n">
        <f aca="false">+AC43/AC$8</f>
        <v>0.0529106335480068</v>
      </c>
      <c r="AE43" s="386"/>
      <c r="AF43" s="389"/>
      <c r="AG43" s="390" t="s">
        <v>505</v>
      </c>
      <c r="AH43" s="141" t="s">
        <v>506</v>
      </c>
      <c r="AI43" s="384" t="n">
        <f aca="false">AJ43/$AJ$48</f>
        <v>0.0126594572104633</v>
      </c>
      <c r="AJ43" s="398" t="n">
        <f aca="false">AB11+AB86</f>
        <v>166634.694631177</v>
      </c>
      <c r="AK43" s="391" t="n">
        <f aca="false">+AJ43/AK$7</f>
        <v>1252.89244083592</v>
      </c>
      <c r="AL43" s="387" t="n">
        <f aca="false">+AJ43/AL$7</f>
        <v>1.04494782388317</v>
      </c>
    </row>
    <row r="44" customFormat="false" ht="12.75" hidden="false" customHeight="false" outlineLevel="0" collapsed="false">
      <c r="A44" s="140" t="s">
        <v>197</v>
      </c>
      <c r="B44" s="141" t="s">
        <v>166</v>
      </c>
      <c r="C44" s="383" t="n">
        <v>0.5</v>
      </c>
      <c r="D44" s="384" t="n">
        <f aca="false">L44/$L$88</f>
        <v>0.0309759978333728</v>
      </c>
      <c r="E44" s="385" t="s">
        <v>433</v>
      </c>
      <c r="F44" s="385" t="s">
        <v>433</v>
      </c>
      <c r="G44" s="385" t="s">
        <v>433</v>
      </c>
      <c r="H44" s="385" t="s">
        <v>433</v>
      </c>
      <c r="I44" s="385" t="s">
        <v>433</v>
      </c>
      <c r="J44" s="385" t="s">
        <v>433</v>
      </c>
      <c r="K44" s="385" t="s">
        <v>433</v>
      </c>
      <c r="L44" s="386" t="n">
        <f aca="false">M44*TRUnits</f>
        <v>21777</v>
      </c>
      <c r="M44" s="386" t="n">
        <f aca="false">3111/2</f>
        <v>1555.5</v>
      </c>
      <c r="N44" s="387" t="n">
        <f aca="false">M44/1376</f>
        <v>1.13045058139535</v>
      </c>
      <c r="O44" s="387"/>
      <c r="P44" s="392" t="n">
        <f aca="false">Q44*P$7</f>
        <v>1698.165</v>
      </c>
      <c r="Q44" s="392" t="n">
        <f aca="false">2.1*CMF*60%*Q$8</f>
        <v>1698.165</v>
      </c>
      <c r="R44" s="393" t="n">
        <f aca="false">+Q44/Q$8</f>
        <v>1.4175</v>
      </c>
      <c r="S44" s="386"/>
      <c r="T44" s="392" t="n">
        <f aca="false">U44*T$7</f>
        <v>112980.42</v>
      </c>
      <c r="U44" s="392" t="n">
        <f aca="false">2.1*CMF*60%*U$8</f>
        <v>1569.1725</v>
      </c>
      <c r="V44" s="393" t="n">
        <f aca="false">+U44/U$8</f>
        <v>1.4175</v>
      </c>
      <c r="W44" s="386"/>
      <c r="X44" s="392" t="n">
        <f aca="false">Y44*X$7</f>
        <v>111283.6725</v>
      </c>
      <c r="Y44" s="392" t="n">
        <f aca="false">2.1*CMF*60%*Y$8</f>
        <v>1824.3225</v>
      </c>
      <c r="Z44" s="393" t="n">
        <f aca="false">+Y44/Y$8</f>
        <v>1.4175</v>
      </c>
      <c r="AA44" s="386"/>
      <c r="AB44" s="392" t="n">
        <f aca="false">+X44+T44</f>
        <v>224264.0925</v>
      </c>
      <c r="AC44" s="394" t="n">
        <f aca="false">+AB44/AB$7</f>
        <v>1686.19618421053</v>
      </c>
      <c r="AD44" s="393" t="n">
        <f aca="false">+AC44/AC$8</f>
        <v>1.4063354330363</v>
      </c>
      <c r="AE44" s="386"/>
      <c r="AF44" s="389"/>
      <c r="AG44" s="390" t="s">
        <v>507</v>
      </c>
      <c r="AH44" s="141" t="s">
        <v>508</v>
      </c>
      <c r="AI44" s="384" t="n">
        <f aca="false">AJ44/$AJ$48</f>
        <v>0.0175528354592862</v>
      </c>
      <c r="AJ44" s="398" t="n">
        <f aca="false">AB45+AB47+AB48+AB69</f>
        <v>231045.559698401</v>
      </c>
      <c r="AK44" s="391" t="n">
        <f aca="false">+AJ44/AK$7</f>
        <v>1737.18465938648</v>
      </c>
      <c r="AL44" s="387" t="n">
        <f aca="false">+AJ44/AL$7</f>
        <v>1.44886126721141</v>
      </c>
    </row>
    <row r="45" customFormat="false" ht="12.75" hidden="false" customHeight="false" outlineLevel="0" collapsed="false">
      <c r="A45" s="140" t="s">
        <v>199</v>
      </c>
      <c r="B45" s="402" t="s">
        <v>200</v>
      </c>
      <c r="C45" s="383" t="n">
        <v>0.4</v>
      </c>
      <c r="D45" s="384" t="n">
        <f aca="false">L45/$L$88</f>
        <v>0.0247827896519656</v>
      </c>
      <c r="E45" s="385" t="s">
        <v>433</v>
      </c>
      <c r="F45" s="385" t="s">
        <v>433</v>
      </c>
      <c r="G45" s="396"/>
      <c r="H45" s="385" t="s">
        <v>433</v>
      </c>
      <c r="I45" s="385" t="s">
        <v>433</v>
      </c>
      <c r="J45" s="396"/>
      <c r="K45" s="397" t="s">
        <v>433</v>
      </c>
      <c r="L45" s="386" t="n">
        <f aca="false">M45*TRUnits</f>
        <v>17423</v>
      </c>
      <c r="M45" s="386" t="n">
        <f aca="false">2489/2</f>
        <v>1244.5</v>
      </c>
      <c r="N45" s="387" t="n">
        <f aca="false">M45/1376</f>
        <v>0.904433139534884</v>
      </c>
      <c r="O45" s="387"/>
      <c r="P45" s="392" t="n">
        <f aca="false">Q45*P$7</f>
        <v>1132.11</v>
      </c>
      <c r="Q45" s="392" t="n">
        <f aca="false">2.1*CMF*40%*Q$8</f>
        <v>1132.11</v>
      </c>
      <c r="R45" s="393" t="n">
        <f aca="false">+Q45/Q$8</f>
        <v>0.945</v>
      </c>
      <c r="S45" s="386"/>
      <c r="T45" s="392" t="n">
        <f aca="false">U45*T$7</f>
        <v>75320.28</v>
      </c>
      <c r="U45" s="392" t="n">
        <f aca="false">2.1*CMF*40%*U$8</f>
        <v>1046.115</v>
      </c>
      <c r="V45" s="393" t="n">
        <f aca="false">+U45/U$8</f>
        <v>0.945</v>
      </c>
      <c r="W45" s="386"/>
      <c r="X45" s="392" t="n">
        <f aca="false">Y45*X$7</f>
        <v>74189.115</v>
      </c>
      <c r="Y45" s="392" t="n">
        <f aca="false">2.1*CMF*40%*Y$8</f>
        <v>1216.215</v>
      </c>
      <c r="Z45" s="393" t="n">
        <f aca="false">+Y45/Y$8</f>
        <v>0.945</v>
      </c>
      <c r="AA45" s="386"/>
      <c r="AB45" s="392" t="n">
        <f aca="false">+X45+T45</f>
        <v>149509.395</v>
      </c>
      <c r="AC45" s="394" t="n">
        <f aca="false">+AB45/AB$7</f>
        <v>1124.13078947368</v>
      </c>
      <c r="AD45" s="393" t="n">
        <f aca="false">+AC45/AC$8</f>
        <v>0.937556955357535</v>
      </c>
      <c r="AE45" s="386"/>
      <c r="AF45" s="389"/>
      <c r="AG45" s="390" t="s">
        <v>509</v>
      </c>
      <c r="AH45" s="141" t="s">
        <v>510</v>
      </c>
      <c r="AI45" s="384" t="n">
        <f aca="false">AJ45/$AJ$48</f>
        <v>0.0138778229241879</v>
      </c>
      <c r="AJ45" s="140" t="n">
        <f aca="false">+AB87</f>
        <v>182671.875</v>
      </c>
      <c r="AK45" s="391" t="n">
        <f aca="false">+AJ45/AK$7</f>
        <v>1373.4727443609</v>
      </c>
      <c r="AL45" s="387" t="n">
        <f aca="false">+AJ45/AL$7</f>
        <v>1.14551521631435</v>
      </c>
    </row>
    <row r="46" customFormat="false" ht="12" hidden="false" customHeight="false" outlineLevel="0" collapsed="false">
      <c r="B46" s="375" t="s">
        <v>201</v>
      </c>
      <c r="C46" s="383"/>
      <c r="E46" s="385"/>
      <c r="F46" s="385"/>
      <c r="G46" s="385"/>
      <c r="H46" s="385"/>
      <c r="I46" s="385"/>
      <c r="J46" s="385"/>
      <c r="K46" s="385"/>
      <c r="L46" s="386"/>
      <c r="N46" s="387"/>
      <c r="O46" s="387"/>
      <c r="P46" s="392"/>
      <c r="Q46" s="403"/>
      <c r="R46" s="393"/>
      <c r="S46" s="386"/>
      <c r="T46" s="392"/>
      <c r="U46" s="392"/>
      <c r="V46" s="393"/>
      <c r="W46" s="386"/>
      <c r="X46" s="392"/>
      <c r="Y46" s="392"/>
      <c r="Z46" s="393"/>
      <c r="AA46" s="386"/>
      <c r="AB46" s="392"/>
      <c r="AC46" s="394" t="s">
        <v>502</v>
      </c>
      <c r="AD46" s="393"/>
      <c r="AE46" s="386"/>
      <c r="AF46" s="389"/>
      <c r="AG46" s="390" t="s">
        <v>505</v>
      </c>
      <c r="AH46" s="141" t="s">
        <v>511</v>
      </c>
      <c r="AI46" s="384" t="n">
        <f aca="false">AJ46/$AJ$48</f>
        <v>0.0309263331506356</v>
      </c>
      <c r="AJ46" s="140" t="n">
        <f aca="false">(SUM(AJ$43:AJ45)+SUM(AJ$9:AJ$40))*0.1-500000</f>
        <v>407079.071001466</v>
      </c>
      <c r="AK46" s="391" t="n">
        <f aca="false">+AJ46/AK$7</f>
        <v>3060.74489474786</v>
      </c>
      <c r="AL46" s="387" t="n">
        <f aca="false">+AJ46/AL$7</f>
        <v>2.55274803565293</v>
      </c>
    </row>
    <row r="47" customFormat="false" ht="12" hidden="false" customHeight="false" outlineLevel="0" collapsed="false">
      <c r="A47" s="140" t="s">
        <v>199</v>
      </c>
      <c r="B47" s="141" t="s">
        <v>166</v>
      </c>
      <c r="C47" s="383" t="n">
        <v>0.75</v>
      </c>
      <c r="D47" s="384" t="n">
        <f aca="false">L47/$L$88</f>
        <v>0</v>
      </c>
      <c r="E47" s="385" t="s">
        <v>433</v>
      </c>
      <c r="F47" s="385" t="s">
        <v>433</v>
      </c>
      <c r="G47" s="385" t="s">
        <v>433</v>
      </c>
      <c r="H47" s="385" t="s">
        <v>433</v>
      </c>
      <c r="I47" s="385" t="s">
        <v>433</v>
      </c>
      <c r="J47" s="385" t="s">
        <v>433</v>
      </c>
      <c r="K47" s="385" t="s">
        <v>433</v>
      </c>
      <c r="L47" s="386" t="n">
        <f aca="false">M47*TRUnits</f>
        <v>0</v>
      </c>
      <c r="M47" s="386" t="n">
        <v>0</v>
      </c>
      <c r="N47" s="387" t="n">
        <f aca="false">M47/1376</f>
        <v>0</v>
      </c>
      <c r="O47" s="387"/>
      <c r="P47" s="392" t="n">
        <f aca="false">Q47*P$7</f>
        <v>0</v>
      </c>
      <c r="Q47" s="392" t="n">
        <f aca="false">0*CMF</f>
        <v>0</v>
      </c>
      <c r="R47" s="393" t="n">
        <f aca="false">+Q47/Q$8</f>
        <v>0</v>
      </c>
      <c r="S47" s="386"/>
      <c r="T47" s="392" t="n">
        <f aca="false">U47*T$7</f>
        <v>0</v>
      </c>
      <c r="U47" s="392" t="n">
        <f aca="false">0*CMF</f>
        <v>0</v>
      </c>
      <c r="V47" s="393" t="n">
        <f aca="false">+U47/U$8</f>
        <v>0</v>
      </c>
      <c r="W47" s="386"/>
      <c r="X47" s="392" t="n">
        <f aca="false">Y47*X$7</f>
        <v>0</v>
      </c>
      <c r="Y47" s="392" t="n">
        <f aca="false">0*CMF</f>
        <v>0</v>
      </c>
      <c r="Z47" s="393" t="n">
        <f aca="false">+Y47/Y$8</f>
        <v>0</v>
      </c>
      <c r="AA47" s="386"/>
      <c r="AB47" s="392" t="n">
        <f aca="false">+X47+T47</f>
        <v>0</v>
      </c>
      <c r="AC47" s="394" t="n">
        <f aca="false">+AB47/AB$7</f>
        <v>0</v>
      </c>
      <c r="AD47" s="393" t="n">
        <f aca="false">+AC47/AC$8</f>
        <v>0</v>
      </c>
      <c r="AE47" s="386"/>
      <c r="AF47" s="389"/>
      <c r="AG47" s="390" t="s">
        <v>507</v>
      </c>
      <c r="AH47" s="141" t="s">
        <v>512</v>
      </c>
      <c r="AI47" s="384" t="n">
        <f aca="false">AJ47/$AJ$48</f>
        <v>0.10800693745503</v>
      </c>
      <c r="AJ47" s="140" t="n">
        <f aca="false">(SUM(AJ$43:AJ46)+SUM(AJ$9:AJ$40))*0.15</f>
        <v>1421680.46715242</v>
      </c>
      <c r="AK47" s="391" t="n">
        <f aca="false">+AJ47/AK$7</f>
        <v>10689.3268206949</v>
      </c>
      <c r="AL47" s="387" t="n">
        <f aca="false">+AJ47/AL$7</f>
        <v>8.91520168531683</v>
      </c>
    </row>
    <row r="48" customFormat="false" ht="12.75" hidden="false" customHeight="false" outlineLevel="0" collapsed="false">
      <c r="A48" s="140" t="s">
        <v>199</v>
      </c>
      <c r="B48" s="141" t="s">
        <v>200</v>
      </c>
      <c r="C48" s="383" t="n">
        <v>0.25</v>
      </c>
      <c r="D48" s="384" t="n">
        <f aca="false">L48/$L$88</f>
        <v>0.00398277053466703</v>
      </c>
      <c r="E48" s="385" t="s">
        <v>433</v>
      </c>
      <c r="F48" s="385" t="s">
        <v>433</v>
      </c>
      <c r="G48" s="385" t="s">
        <v>433</v>
      </c>
      <c r="H48" s="385" t="s">
        <v>433</v>
      </c>
      <c r="I48" s="385" t="s">
        <v>433</v>
      </c>
      <c r="J48" s="385" t="s">
        <v>433</v>
      </c>
      <c r="K48" s="385" t="s">
        <v>433</v>
      </c>
      <c r="L48" s="386" t="n">
        <f aca="false">M48*TRUnits</f>
        <v>2800</v>
      </c>
      <c r="M48" s="386" t="n">
        <f aca="false">400/2</f>
        <v>200</v>
      </c>
      <c r="N48" s="387" t="n">
        <f aca="false">M48/1376</f>
        <v>0.145348837209302</v>
      </c>
      <c r="O48" s="387"/>
      <c r="P48" s="392" t="n">
        <f aca="false">Q48*P$7</f>
        <v>225</v>
      </c>
      <c r="Q48" s="392" t="n">
        <f aca="false">$M48*CMF</f>
        <v>225</v>
      </c>
      <c r="R48" s="393" t="n">
        <f aca="false">+Q48/Q$8</f>
        <v>0.187813021702838</v>
      </c>
      <c r="S48" s="386"/>
      <c r="T48" s="392" t="n">
        <f aca="false">U48*T$7</f>
        <v>16200</v>
      </c>
      <c r="U48" s="392" t="n">
        <f aca="false">$M48*CMF</f>
        <v>225</v>
      </c>
      <c r="V48" s="393" t="n">
        <f aca="false">+U48/U$8</f>
        <v>0.203252032520325</v>
      </c>
      <c r="W48" s="386"/>
      <c r="X48" s="392" t="n">
        <f aca="false">Y48*X$7</f>
        <v>13725</v>
      </c>
      <c r="Y48" s="392" t="n">
        <f aca="false">$M48*CMF</f>
        <v>225</v>
      </c>
      <c r="Z48" s="393" t="n">
        <f aca="false">+Y48/Y$8</f>
        <v>0.174825174825175</v>
      </c>
      <c r="AA48" s="386"/>
      <c r="AB48" s="392" t="n">
        <f aca="false">+X48+T48</f>
        <v>29925</v>
      </c>
      <c r="AC48" s="394" t="n">
        <f aca="false">+AB48/AB$7</f>
        <v>225</v>
      </c>
      <c r="AD48" s="393" t="n">
        <f aca="false">+AC48/AC$8</f>
        <v>0.187656380316931</v>
      </c>
      <c r="AE48" s="386"/>
      <c r="AF48" s="389"/>
      <c r="AG48" s="390"/>
      <c r="AH48" s="404" t="s">
        <v>136</v>
      </c>
      <c r="AI48" s="405" t="n">
        <f aca="false">SUM(AI9:AI47)</f>
        <v>1</v>
      </c>
      <c r="AJ48" s="406" t="n">
        <f aca="false">SUM(AJ9:AJ47)</f>
        <v>13162862.5035716</v>
      </c>
      <c r="AK48" s="406" t="n">
        <f aca="false">+AJ48/AK$7</f>
        <v>98968.891004298</v>
      </c>
      <c r="AL48" s="407" t="n">
        <f aca="false">+AJ48/AL$7</f>
        <v>82.5428615548774</v>
      </c>
    </row>
    <row r="49" customFormat="false" ht="12.75" hidden="false" customHeight="false" outlineLevel="0" collapsed="false">
      <c r="B49" s="375" t="s">
        <v>202</v>
      </c>
      <c r="C49" s="383"/>
      <c r="D49" s="384"/>
      <c r="E49" s="385"/>
      <c r="F49" s="385"/>
      <c r="G49" s="385"/>
      <c r="H49" s="385"/>
      <c r="I49" s="385"/>
      <c r="J49" s="385"/>
      <c r="K49" s="385"/>
      <c r="L49" s="386" t="n">
        <f aca="false">M49*TRUnits</f>
        <v>0</v>
      </c>
      <c r="M49" s="386"/>
      <c r="N49" s="387"/>
      <c r="O49" s="387"/>
      <c r="P49" s="392"/>
      <c r="Q49" s="392"/>
      <c r="R49" s="393"/>
      <c r="S49" s="386"/>
      <c r="T49" s="392"/>
      <c r="U49" s="392"/>
      <c r="V49" s="393"/>
      <c r="W49" s="386"/>
      <c r="X49" s="392"/>
      <c r="Y49" s="392"/>
      <c r="Z49" s="393"/>
      <c r="AA49" s="386"/>
      <c r="AB49" s="392"/>
      <c r="AC49" s="394" t="s">
        <v>502</v>
      </c>
      <c r="AD49" s="393"/>
      <c r="AE49" s="386"/>
      <c r="AF49" s="389"/>
      <c r="AG49" s="390"/>
      <c r="AH49" s="354" t="s">
        <v>513</v>
      </c>
    </row>
    <row r="50" customFormat="false" ht="12.75" hidden="false" customHeight="false" outlineLevel="0" collapsed="false">
      <c r="A50" s="140" t="s">
        <v>203</v>
      </c>
      <c r="B50" s="141" t="s">
        <v>166</v>
      </c>
      <c r="C50" s="383" t="n">
        <v>0.6</v>
      </c>
      <c r="D50" s="384" t="n">
        <f aca="false">L50/$L$88</f>
        <v>0.0238966232080022</v>
      </c>
      <c r="E50" s="385" t="s">
        <v>433</v>
      </c>
      <c r="F50" s="385" t="s">
        <v>433</v>
      </c>
      <c r="G50" s="385" t="s">
        <v>433</v>
      </c>
      <c r="H50" s="385" t="s">
        <v>433</v>
      </c>
      <c r="I50" s="385" t="s">
        <v>433</v>
      </c>
      <c r="J50" s="385" t="s">
        <v>433</v>
      </c>
      <c r="K50" s="385" t="s">
        <v>433</v>
      </c>
      <c r="L50" s="386" t="n">
        <f aca="false">M50*TRUnits</f>
        <v>16800</v>
      </c>
      <c r="M50" s="386" t="n">
        <f aca="false">2400/2</f>
        <v>1200</v>
      </c>
      <c r="N50" s="387" t="n">
        <f aca="false">M50/1376</f>
        <v>0.872093023255814</v>
      </c>
      <c r="O50" s="387"/>
      <c r="P50" s="392" t="n">
        <f aca="false">Q50*P$7</f>
        <v>1347.75</v>
      </c>
      <c r="Q50" s="392" t="n">
        <f aca="false">1*Q$8*CMF</f>
        <v>1347.75</v>
      </c>
      <c r="R50" s="393" t="n">
        <f aca="false">+Q50/Q$8</f>
        <v>1.125</v>
      </c>
      <c r="S50" s="386"/>
      <c r="T50" s="392" t="n">
        <f aca="false">U50*T$7</f>
        <v>89667</v>
      </c>
      <c r="U50" s="392" t="n">
        <f aca="false">1*U$8*CMF</f>
        <v>1245.375</v>
      </c>
      <c r="V50" s="393" t="n">
        <f aca="false">+U50/U$8</f>
        <v>1.125</v>
      </c>
      <c r="W50" s="386"/>
      <c r="X50" s="392" t="n">
        <f aca="false">Y50*X$7</f>
        <v>88320.375</v>
      </c>
      <c r="Y50" s="392" t="n">
        <f aca="false">1*Y$8*CMF</f>
        <v>1447.875</v>
      </c>
      <c r="Z50" s="393" t="n">
        <f aca="false">+Y50/Y$8</f>
        <v>1.125</v>
      </c>
      <c r="AA50" s="386"/>
      <c r="AB50" s="392" t="n">
        <f aca="false">+X50+T50</f>
        <v>177987.375</v>
      </c>
      <c r="AC50" s="394" t="n">
        <f aca="false">+AB50/AB$7</f>
        <v>1338.25093984962</v>
      </c>
      <c r="AD50" s="393" t="n">
        <f aca="false">+AC50/AC$8</f>
        <v>1.11613923256849</v>
      </c>
      <c r="AE50" s="386"/>
      <c r="AF50" s="389"/>
      <c r="AG50" s="390"/>
      <c r="AH50" s="141" t="s">
        <v>514</v>
      </c>
      <c r="AI50" s="384" t="n">
        <f aca="false">AJ50/$AJ$48</f>
        <v>-0.143902589538258</v>
      </c>
      <c r="AJ50" s="141" t="n">
        <f aca="false">-AJ42</f>
        <v>-1894170</v>
      </c>
      <c r="AK50" s="386" t="n">
        <f aca="false">AJ50/AK$7</f>
        <v>-14241.8796992481</v>
      </c>
      <c r="AL50" s="257" t="n">
        <f aca="false">AK50/AL$7</f>
        <v>-0.0893092595913143</v>
      </c>
    </row>
    <row r="51" customFormat="false" ht="12.75" hidden="false" customHeight="false" outlineLevel="0" collapsed="false">
      <c r="A51" s="140" t="s">
        <v>204</v>
      </c>
      <c r="B51" s="141" t="s">
        <v>205</v>
      </c>
      <c r="C51" s="383" t="n">
        <v>0.4</v>
      </c>
      <c r="D51" s="384" t="n">
        <f aca="false">L51/$L$88</f>
        <v>0.0159310821386681</v>
      </c>
      <c r="E51" s="385" t="s">
        <v>433</v>
      </c>
      <c r="F51" s="385" t="s">
        <v>433</v>
      </c>
      <c r="G51" s="396"/>
      <c r="H51" s="385" t="s">
        <v>433</v>
      </c>
      <c r="I51" s="385" t="s">
        <v>433</v>
      </c>
      <c r="J51" s="397" t="s">
        <v>433</v>
      </c>
      <c r="K51" s="385" t="s">
        <v>433</v>
      </c>
      <c r="L51" s="386" t="n">
        <f aca="false">M51*TRUnits</f>
        <v>11200</v>
      </c>
      <c r="M51" s="386" t="n">
        <f aca="false">1600/2</f>
        <v>800</v>
      </c>
      <c r="N51" s="387" t="n">
        <f aca="false">M51/1376</f>
        <v>0.581395348837209</v>
      </c>
      <c r="O51" s="387"/>
      <c r="P51" s="392" t="n">
        <f aca="false">Q51*P$7</f>
        <v>1347.75</v>
      </c>
      <c r="Q51" s="392" t="n">
        <f aca="false">1*Q$8*CMF</f>
        <v>1347.75</v>
      </c>
      <c r="R51" s="393" t="n">
        <f aca="false">+Q51/Q$8</f>
        <v>1.125</v>
      </c>
      <c r="S51" s="386"/>
      <c r="T51" s="392" t="n">
        <f aca="false">U51*T$7</f>
        <v>89667</v>
      </c>
      <c r="U51" s="392" t="n">
        <f aca="false">1*U$8*CMF</f>
        <v>1245.375</v>
      </c>
      <c r="V51" s="393" t="n">
        <f aca="false">+U51/U$8</f>
        <v>1.125</v>
      </c>
      <c r="W51" s="386"/>
      <c r="X51" s="392" t="n">
        <f aca="false">Y51*X$7</f>
        <v>88320.375</v>
      </c>
      <c r="Y51" s="392" t="n">
        <f aca="false">1*Y$8*CMF</f>
        <v>1447.875</v>
      </c>
      <c r="Z51" s="393" t="n">
        <f aca="false">+Y51/Y$8</f>
        <v>1.125</v>
      </c>
      <c r="AA51" s="386"/>
      <c r="AB51" s="392" t="n">
        <f aca="false">+X51+T51</f>
        <v>177987.375</v>
      </c>
      <c r="AC51" s="394" t="n">
        <f aca="false">+AB51/AB$7</f>
        <v>1338.25093984962</v>
      </c>
      <c r="AD51" s="393" t="n">
        <f aca="false">+AC51/AC$8</f>
        <v>1.11613923256849</v>
      </c>
      <c r="AE51" s="386"/>
      <c r="AF51" s="389"/>
      <c r="AG51" s="390"/>
      <c r="AH51" s="141" t="s">
        <v>515</v>
      </c>
      <c r="AI51" s="384" t="n">
        <f aca="false">AJ51/$AJ$48</f>
        <v>-0.0280442233065128</v>
      </c>
      <c r="AJ51" s="141" t="n">
        <f aca="false">-AJ41</f>
        <v>-369142.255403087</v>
      </c>
      <c r="AK51" s="386" t="n">
        <f aca="false">AJ51/AK$7</f>
        <v>-2775.50567972246</v>
      </c>
      <c r="AL51" s="257" t="n">
        <f aca="false">AK51/AL$7</f>
        <v>-0.0174048905398763</v>
      </c>
    </row>
    <row r="52" customFormat="false" ht="12" hidden="false" customHeight="false" outlineLevel="0" collapsed="false">
      <c r="A52" s="140" t="s">
        <v>206</v>
      </c>
      <c r="B52" s="375" t="s">
        <v>207</v>
      </c>
      <c r="C52" s="383"/>
      <c r="D52" s="384" t="n">
        <f aca="false">L52/$L$88</f>
        <v>0.00959051144747821</v>
      </c>
      <c r="E52" s="385" t="s">
        <v>433</v>
      </c>
      <c r="F52" s="385" t="s">
        <v>433</v>
      </c>
      <c r="G52" s="385" t="s">
        <v>433</v>
      </c>
      <c r="H52" s="385" t="s">
        <v>433</v>
      </c>
      <c r="I52" s="385" t="s">
        <v>433</v>
      </c>
      <c r="J52" s="385" t="s">
        <v>433</v>
      </c>
      <c r="K52" s="385" t="s">
        <v>433</v>
      </c>
      <c r="L52" s="386" t="n">
        <f aca="false">M52*TRUnits</f>
        <v>6742.4</v>
      </c>
      <c r="M52" s="386" t="n">
        <f aca="false">(1376*0.7)/2</f>
        <v>481.6</v>
      </c>
      <c r="N52" s="387" t="n">
        <f aca="false">M52/1376</f>
        <v>0.35</v>
      </c>
      <c r="O52" s="387"/>
      <c r="P52" s="392" t="n">
        <f aca="false">Q52*P$7</f>
        <v>1145.5875</v>
      </c>
      <c r="Q52" s="392" t="n">
        <f aca="false">Q$8*0.85*CMF</f>
        <v>1145.5875</v>
      </c>
      <c r="R52" s="393" t="n">
        <f aca="false">+Q52/Q$8</f>
        <v>0.95625</v>
      </c>
      <c r="S52" s="386"/>
      <c r="T52" s="392" t="n">
        <f aca="false">U52*T$7</f>
        <v>76216.95</v>
      </c>
      <c r="U52" s="392" t="n">
        <f aca="false">U$8*0.85*CMF</f>
        <v>1058.56875</v>
      </c>
      <c r="V52" s="393" t="n">
        <f aca="false">+U52/U$8</f>
        <v>0.95625</v>
      </c>
      <c r="W52" s="386"/>
      <c r="X52" s="392" t="n">
        <f aca="false">Y52*X$7</f>
        <v>75072.31875</v>
      </c>
      <c r="Y52" s="392" t="n">
        <f aca="false">Y$8*0.85*CMF</f>
        <v>1230.69375</v>
      </c>
      <c r="Z52" s="393" t="n">
        <f aca="false">+Y52/Y$8</f>
        <v>0.95625</v>
      </c>
      <c r="AA52" s="386"/>
      <c r="AB52" s="392" t="n">
        <f aca="false">+X52+T52</f>
        <v>151289.26875</v>
      </c>
      <c r="AC52" s="394" t="n">
        <f aca="false">+AB52/AB$7</f>
        <v>1137.51329887218</v>
      </c>
      <c r="AD52" s="393" t="n">
        <f aca="false">+AC52/AC$8</f>
        <v>0.94871834768322</v>
      </c>
      <c r="AE52" s="386"/>
      <c r="AF52" s="389"/>
      <c r="AG52" s="390"/>
      <c r="AH52" s="141" t="s">
        <v>511</v>
      </c>
      <c r="AI52" s="384" t="n">
        <f aca="false">AJ52/$AJ$48</f>
        <v>-0.0309263331506356</v>
      </c>
      <c r="AJ52" s="141" t="n">
        <f aca="false">-AJ46</f>
        <v>-407079.071001466</v>
      </c>
      <c r="AK52" s="386" t="n">
        <f aca="false">AJ52/AK$7</f>
        <v>-3060.74489474786</v>
      </c>
      <c r="AL52" s="257" t="n">
        <f aca="false">AK52/AL$7</f>
        <v>-0.0191935942530296</v>
      </c>
    </row>
    <row r="53" customFormat="false" ht="12" hidden="false" customHeight="false" outlineLevel="0" collapsed="false">
      <c r="A53" s="140" t="s">
        <v>208</v>
      </c>
      <c r="B53" s="375" t="s">
        <v>209</v>
      </c>
      <c r="C53" s="383"/>
      <c r="E53" s="385"/>
      <c r="F53" s="385"/>
      <c r="G53" s="385"/>
      <c r="H53" s="385"/>
      <c r="I53" s="385"/>
      <c r="K53" s="385"/>
      <c r="L53" s="386"/>
      <c r="M53" s="386"/>
      <c r="N53" s="387"/>
      <c r="O53" s="387"/>
      <c r="P53" s="392"/>
      <c r="Q53" s="392"/>
      <c r="R53" s="393"/>
      <c r="S53" s="386"/>
      <c r="T53" s="392"/>
      <c r="U53" s="392"/>
      <c r="V53" s="393"/>
      <c r="W53" s="386"/>
      <c r="X53" s="392"/>
      <c r="Y53" s="392"/>
      <c r="Z53" s="393"/>
      <c r="AA53" s="386"/>
      <c r="AB53" s="392"/>
      <c r="AC53" s="394" t="s">
        <v>502</v>
      </c>
      <c r="AD53" s="393"/>
      <c r="AE53" s="386"/>
      <c r="AF53" s="389"/>
      <c r="AG53" s="390"/>
      <c r="AH53" s="141" t="s">
        <v>15</v>
      </c>
      <c r="AI53" s="384" t="n">
        <f aca="false">AJ53/$AJ$48</f>
        <v>-0.10800693745503</v>
      </c>
      <c r="AJ53" s="141" t="n">
        <f aca="false">-AJ47</f>
        <v>-1421680.46715242</v>
      </c>
      <c r="AK53" s="386" t="n">
        <f aca="false">AJ53/AK$7</f>
        <v>-10689.3268206949</v>
      </c>
      <c r="AL53" s="257" t="n">
        <f aca="false">AK53/AL$7</f>
        <v>-0.0670315916189235</v>
      </c>
    </row>
    <row r="54" customFormat="false" ht="12.75" hidden="false" customHeight="false" outlineLevel="0" collapsed="false">
      <c r="A54" s="140" t="s">
        <v>208</v>
      </c>
      <c r="B54" s="141" t="s">
        <v>210</v>
      </c>
      <c r="C54" s="383"/>
      <c r="D54" s="384" t="n">
        <f aca="false">L54/$L$88</f>
        <v>0.029069246439901</v>
      </c>
      <c r="E54" s="385" t="s">
        <v>433</v>
      </c>
      <c r="F54" s="385" t="s">
        <v>433</v>
      </c>
      <c r="G54" s="385" t="s">
        <v>433</v>
      </c>
      <c r="H54" s="385" t="s">
        <v>433</v>
      </c>
      <c r="I54" s="385" t="s">
        <v>433</v>
      </c>
      <c r="J54" s="385" t="s">
        <v>433</v>
      </c>
      <c r="K54" s="385" t="s">
        <v>433</v>
      </c>
      <c r="L54" s="386" t="n">
        <f aca="false">7*M54</f>
        <v>20436.5</v>
      </c>
      <c r="M54" s="386" t="n">
        <f aca="false">(2739+(21700/7))/2</f>
        <v>2919.5</v>
      </c>
      <c r="N54" s="387" t="n">
        <f aca="false">M54/1376</f>
        <v>2.12172965116279</v>
      </c>
      <c r="O54" s="387"/>
      <c r="P54" s="392" t="n">
        <f aca="false">Q54*P$7</f>
        <v>2859.56113735465</v>
      </c>
      <c r="Q54" s="392" t="n">
        <f aca="false">Q$8*$N54*CMF</f>
        <v>2859.56113735465</v>
      </c>
      <c r="R54" s="393" t="n">
        <f aca="false">+Q54/Q$8</f>
        <v>2.38694585755814</v>
      </c>
      <c r="S54" s="386"/>
      <c r="T54" s="392" t="n">
        <f aca="false">U54*T$7</f>
        <v>190249.132630814</v>
      </c>
      <c r="U54" s="392" t="n">
        <f aca="false">U$8*$N54*CMF</f>
        <v>2642.34906431686</v>
      </c>
      <c r="V54" s="393" t="n">
        <f aca="false">+U54/U$8</f>
        <v>2.38694585755814</v>
      </c>
      <c r="W54" s="386"/>
      <c r="X54" s="392" t="n">
        <f aca="false">Y54*X$7</f>
        <v>187391.958439317</v>
      </c>
      <c r="Y54" s="392" t="n">
        <f aca="false">Y$8*$N54*CMF</f>
        <v>3071.99931867733</v>
      </c>
      <c r="Z54" s="393" t="n">
        <f aca="false">+Y54/Y$8</f>
        <v>2.38694585755814</v>
      </c>
      <c r="AA54" s="386"/>
      <c r="AB54" s="392" t="n">
        <f aca="false">+X54+T54</f>
        <v>377641.091070131</v>
      </c>
      <c r="AC54" s="394" t="n">
        <f aca="false">+AB54/AB$7</f>
        <v>2839.40669977542</v>
      </c>
      <c r="AD54" s="393" t="n">
        <f aca="false">+AC54/AC$8</f>
        <v>2.36814570456666</v>
      </c>
      <c r="AE54" s="386"/>
      <c r="AF54" s="389"/>
      <c r="AG54" s="390"/>
      <c r="AH54" s="404" t="s">
        <v>516</v>
      </c>
      <c r="AI54" s="405" t="n">
        <f aca="false">AJ54/$AJ$48</f>
        <v>0.689119916549563</v>
      </c>
      <c r="AJ54" s="406" t="n">
        <f aca="false">SUM(AJ48:AJ53)</f>
        <v>9070790.71001466</v>
      </c>
      <c r="AK54" s="406" t="n">
        <f aca="false">+AJ54/AK$7</f>
        <v>68201.4339098847</v>
      </c>
      <c r="AL54" s="407" t="n">
        <f aca="false">+AJ54/AL$7</f>
        <v>56.8819298664593</v>
      </c>
    </row>
    <row r="55" customFormat="false" ht="13.5" hidden="false" customHeight="false" outlineLevel="0" collapsed="false">
      <c r="A55" s="140" t="s">
        <v>208</v>
      </c>
      <c r="B55" s="141" t="s">
        <v>211</v>
      </c>
      <c r="C55" s="383"/>
      <c r="D55" s="384" t="n">
        <f aca="false">L55/$L$88</f>
        <v>0.0201627758317518</v>
      </c>
      <c r="E55" s="385" t="s">
        <v>433</v>
      </c>
      <c r="F55" s="385" t="s">
        <v>433</v>
      </c>
      <c r="G55" s="397" t="s">
        <v>433</v>
      </c>
      <c r="H55" s="385" t="s">
        <v>433</v>
      </c>
      <c r="I55" s="385" t="s">
        <v>433</v>
      </c>
      <c r="J55" s="397" t="s">
        <v>433</v>
      </c>
      <c r="K55" s="397" t="s">
        <v>433</v>
      </c>
      <c r="L55" s="386" t="n">
        <f aca="false">7*M55</f>
        <v>14175</v>
      </c>
      <c r="M55" s="386" t="n">
        <f aca="false">4050/2</f>
        <v>2025</v>
      </c>
      <c r="N55" s="387" t="n">
        <f aca="false">M55/1376</f>
        <v>1.47165697674419</v>
      </c>
      <c r="O55" s="387"/>
      <c r="P55" s="392" t="n">
        <f aca="false">Q55*P$7</f>
        <v>1983.42569040698</v>
      </c>
      <c r="Q55" s="392" t="n">
        <f aca="false">Q$8*$N55*CMF</f>
        <v>1983.42569040698</v>
      </c>
      <c r="R55" s="393" t="n">
        <f aca="false">+Q55/Q$8</f>
        <v>1.65561409883721</v>
      </c>
      <c r="S55" s="386"/>
      <c r="T55" s="392" t="n">
        <f aca="false">U55*T$7</f>
        <v>131959.066133721</v>
      </c>
      <c r="U55" s="392" t="n">
        <f aca="false">U$8*$N55*CMF</f>
        <v>1832.76480741279</v>
      </c>
      <c r="V55" s="393" t="n">
        <f aca="false">+U55/U$8</f>
        <v>1.65561409883721</v>
      </c>
      <c r="W55" s="386"/>
      <c r="X55" s="392" t="n">
        <f aca="false">Y55*X$7</f>
        <v>129977.296057413</v>
      </c>
      <c r="Y55" s="392" t="n">
        <f aca="false">Y$8*$N55*CMF</f>
        <v>2130.77534520349</v>
      </c>
      <c r="Z55" s="393" t="n">
        <f aca="false">+Y55/Y$8</f>
        <v>1.65561409883721</v>
      </c>
      <c r="AA55" s="386"/>
      <c r="AB55" s="392" t="n">
        <f aca="false">+X55+T55</f>
        <v>261936.362191134</v>
      </c>
      <c r="AC55" s="394" t="n">
        <f aca="false">+AB55/AB$7</f>
        <v>1969.44633226416</v>
      </c>
      <c r="AD55" s="393" t="n">
        <f aca="false">+AC55/AC$8</f>
        <v>1.64257408862733</v>
      </c>
      <c r="AE55" s="386"/>
      <c r="AF55" s="389"/>
      <c r="AG55" s="390"/>
    </row>
    <row r="56" customFormat="false" ht="12.75" hidden="false" customHeight="false" outlineLevel="0" collapsed="false">
      <c r="A56" s="140" t="s">
        <v>212</v>
      </c>
      <c r="B56" s="408" t="s">
        <v>213</v>
      </c>
      <c r="C56" s="383"/>
      <c r="D56" s="384" t="n">
        <f aca="false">L56/$L$88</f>
        <v>0.00363427811288367</v>
      </c>
      <c r="E56" s="385" t="s">
        <v>433</v>
      </c>
      <c r="F56" s="385" t="s">
        <v>433</v>
      </c>
      <c r="G56" s="396"/>
      <c r="H56" s="385" t="s">
        <v>433</v>
      </c>
      <c r="I56" s="385" t="s">
        <v>433</v>
      </c>
      <c r="J56" s="397" t="s">
        <v>433</v>
      </c>
      <c r="K56" s="397" t="s">
        <v>433</v>
      </c>
      <c r="L56" s="386" t="n">
        <f aca="false">7*M56</f>
        <v>2555</v>
      </c>
      <c r="M56" s="386" t="n">
        <f aca="false">730/2</f>
        <v>365</v>
      </c>
      <c r="N56" s="387" t="n">
        <f aca="false">M56/1376</f>
        <v>0.265261627906977</v>
      </c>
      <c r="O56" s="387"/>
      <c r="P56" s="392" t="n">
        <f aca="false">Q56*P$7</f>
        <v>225</v>
      </c>
      <c r="Q56" s="392" t="n">
        <f aca="false">200*CMF</f>
        <v>225</v>
      </c>
      <c r="R56" s="393" t="n">
        <f aca="false">+Q56/Q$8</f>
        <v>0.187813021702838</v>
      </c>
      <c r="S56" s="386"/>
      <c r="T56" s="392" t="n">
        <f aca="false">U56*T$7</f>
        <v>0</v>
      </c>
      <c r="U56" s="392" t="n">
        <v>0</v>
      </c>
      <c r="V56" s="393" t="n">
        <f aca="false">+U56/U$8</f>
        <v>0</v>
      </c>
      <c r="W56" s="386"/>
      <c r="X56" s="392" t="n">
        <f aca="false">Y56*X$7</f>
        <v>13725</v>
      </c>
      <c r="Y56" s="392" t="n">
        <f aca="false">200*CMF</f>
        <v>225</v>
      </c>
      <c r="Z56" s="393" t="n">
        <f aca="false">+Y56/Y$8</f>
        <v>0.174825174825175</v>
      </c>
      <c r="AA56" s="386"/>
      <c r="AB56" s="392" t="n">
        <f aca="false">+X56+T56</f>
        <v>13725</v>
      </c>
      <c r="AC56" s="394" t="n">
        <f aca="false">+AB56/AB$7</f>
        <v>103.195488721805</v>
      </c>
      <c r="AD56" s="393" t="n">
        <f aca="false">+AC56/AC$8</f>
        <v>0.0860679639047577</v>
      </c>
      <c r="AE56" s="386"/>
      <c r="AF56" s="389"/>
      <c r="AG56" s="390"/>
      <c r="AJ56" s="141" t="n">
        <f aca="false">0.75*AJ48</f>
        <v>9872146.87767872</v>
      </c>
    </row>
    <row r="57" customFormat="false" ht="12.75" hidden="false" customHeight="false" outlineLevel="0" collapsed="false">
      <c r="A57" s="140" t="s">
        <v>212</v>
      </c>
      <c r="B57" s="375" t="s">
        <v>218</v>
      </c>
      <c r="C57" s="383"/>
      <c r="D57" s="384"/>
      <c r="E57" s="385"/>
      <c r="F57" s="385"/>
      <c r="G57" s="385"/>
      <c r="H57" s="385"/>
      <c r="I57" s="385"/>
      <c r="J57" s="385"/>
      <c r="K57" s="385"/>
      <c r="L57" s="386"/>
      <c r="M57" s="409"/>
      <c r="N57" s="387"/>
      <c r="O57" s="387"/>
      <c r="P57" s="392"/>
      <c r="Q57" s="392"/>
      <c r="R57" s="393"/>
      <c r="S57" s="386"/>
      <c r="T57" s="392"/>
      <c r="U57" s="392"/>
      <c r="V57" s="393"/>
      <c r="W57" s="386"/>
      <c r="X57" s="392"/>
      <c r="Y57" s="392"/>
      <c r="Z57" s="393"/>
      <c r="AA57" s="386"/>
      <c r="AB57" s="392"/>
      <c r="AC57" s="394" t="s">
        <v>502</v>
      </c>
      <c r="AD57" s="393"/>
      <c r="AE57" s="386"/>
      <c r="AF57" s="389"/>
      <c r="AG57" s="390"/>
      <c r="AJ57" s="141" t="n">
        <f aca="false">+AJ48-AJ56</f>
        <v>3290715.62589291</v>
      </c>
    </row>
    <row r="58" customFormat="false" ht="12.75" hidden="false" customHeight="false" outlineLevel="0" collapsed="false">
      <c r="A58" s="140" t="s">
        <v>212</v>
      </c>
      <c r="B58" s="141" t="s">
        <v>219</v>
      </c>
      <c r="C58" s="383"/>
      <c r="D58" s="384" t="n">
        <f aca="false">L58/$L$88</f>
        <v>0.00734323317329234</v>
      </c>
      <c r="E58" s="385" t="s">
        <v>433</v>
      </c>
      <c r="F58" s="385" t="s">
        <v>433</v>
      </c>
      <c r="G58" s="396"/>
      <c r="H58" s="385" t="s">
        <v>433</v>
      </c>
      <c r="I58" s="385" t="s">
        <v>433</v>
      </c>
      <c r="J58" s="397" t="s">
        <v>433</v>
      </c>
      <c r="K58" s="397" t="s">
        <v>433</v>
      </c>
      <c r="L58" s="386" t="n">
        <f aca="false">7*M58</f>
        <v>5162.5</v>
      </c>
      <c r="M58" s="386" t="n">
        <f aca="false">1475/2</f>
        <v>737.5</v>
      </c>
      <c r="N58" s="387" t="n">
        <f aca="false">M58/1376</f>
        <v>0.535973837209302</v>
      </c>
      <c r="O58" s="387"/>
      <c r="P58" s="392" t="n">
        <f aca="false">Q58*P$7</f>
        <v>1012.5</v>
      </c>
      <c r="Q58" s="392" t="n">
        <f aca="false">12*75*CMF</f>
        <v>1012.5</v>
      </c>
      <c r="R58" s="393" t="n">
        <f aca="false">+Q58/Q$8</f>
        <v>0.845158597662771</v>
      </c>
      <c r="S58" s="386"/>
      <c r="T58" s="392" t="n">
        <f aca="false">U58*T$7</f>
        <v>72900</v>
      </c>
      <c r="U58" s="392" t="n">
        <f aca="false">12*75*CMF</f>
        <v>1012.5</v>
      </c>
      <c r="V58" s="393" t="n">
        <f aca="false">+U58/U$8</f>
        <v>0.914634146341463</v>
      </c>
      <c r="W58" s="386"/>
      <c r="X58" s="392" t="n">
        <f aca="false">Y58*X$7</f>
        <v>61762.5</v>
      </c>
      <c r="Y58" s="392" t="n">
        <f aca="false">12*75*CMF</f>
        <v>1012.5</v>
      </c>
      <c r="Z58" s="393" t="n">
        <f aca="false">+Y58/Y$8</f>
        <v>0.786713286713287</v>
      </c>
      <c r="AA58" s="386"/>
      <c r="AB58" s="392" t="n">
        <f aca="false">+X58+T58</f>
        <v>134662.5</v>
      </c>
      <c r="AC58" s="394" t="n">
        <f aca="false">+AB58/AB$7</f>
        <v>1012.5</v>
      </c>
      <c r="AD58" s="393" t="n">
        <f aca="false">+AC58/AC$8</f>
        <v>0.844453711426189</v>
      </c>
      <c r="AE58" s="386"/>
      <c r="AF58" s="389"/>
      <c r="AG58" s="390"/>
      <c r="AI58" s="384"/>
      <c r="AJ58" s="391" t="n">
        <f aca="false">AJ57-AJ47-AJ46</f>
        <v>1461956.08773902</v>
      </c>
    </row>
    <row r="59" customFormat="false" ht="12.75" hidden="false" customHeight="false" outlineLevel="0" collapsed="false">
      <c r="A59" s="140" t="s">
        <v>212</v>
      </c>
      <c r="B59" s="141" t="s">
        <v>220</v>
      </c>
      <c r="C59" s="383"/>
      <c r="D59" s="384" t="n">
        <f aca="false">L59/$L$88</f>
        <v>0.00629775590794224</v>
      </c>
      <c r="E59" s="385" t="s">
        <v>433</v>
      </c>
      <c r="F59" s="385" t="s">
        <v>433</v>
      </c>
      <c r="G59" s="396"/>
      <c r="H59" s="385" t="s">
        <v>433</v>
      </c>
      <c r="I59" s="385" t="s">
        <v>433</v>
      </c>
      <c r="J59" s="397" t="s">
        <v>433</v>
      </c>
      <c r="K59" s="397" t="s">
        <v>433</v>
      </c>
      <c r="L59" s="386" t="n">
        <f aca="false">7*M59</f>
        <v>4427.5</v>
      </c>
      <c r="M59" s="386" t="n">
        <f aca="false">1265/2</f>
        <v>632.5</v>
      </c>
      <c r="N59" s="387" t="n">
        <f aca="false">M59/1376</f>
        <v>0.459665697674419</v>
      </c>
      <c r="O59" s="387"/>
      <c r="P59" s="392" t="n">
        <f aca="false">Q59*P$7</f>
        <v>619.514444040698</v>
      </c>
      <c r="Q59" s="392" t="n">
        <f aca="false">Q$8*$N59*CMF</f>
        <v>619.514444040698</v>
      </c>
      <c r="R59" s="393" t="n">
        <f aca="false">+Q59/Q$8</f>
        <v>0.517123909883721</v>
      </c>
      <c r="S59" s="386"/>
      <c r="T59" s="392" t="n">
        <f aca="false">U59*T$7</f>
        <v>41216.8441133721</v>
      </c>
      <c r="U59" s="392" t="n">
        <f aca="false">U$8*$N59*CMF</f>
        <v>572.456168241279</v>
      </c>
      <c r="V59" s="393" t="n">
        <f aca="false">+U59/U$8</f>
        <v>0.517123909883721</v>
      </c>
      <c r="W59" s="386"/>
      <c r="X59" s="392" t="n">
        <f aca="false">Y59*X$7</f>
        <v>40597.8467932413</v>
      </c>
      <c r="Y59" s="392" t="n">
        <f aca="false">Y$8*$N59*CMF</f>
        <v>665.538472020349</v>
      </c>
      <c r="Z59" s="393" t="n">
        <f aca="false">+Y59/Y$8</f>
        <v>0.517123909883721</v>
      </c>
      <c r="AA59" s="386"/>
      <c r="AB59" s="392" t="n">
        <f aca="false">+X59+T59</f>
        <v>81814.6909066134</v>
      </c>
      <c r="AC59" s="394" t="n">
        <f aca="false">+AB59/AB$7</f>
        <v>615.148051929424</v>
      </c>
      <c r="AD59" s="393" t="n">
        <f aca="false">+AC59/AC$8</f>
        <v>0.513050919040387</v>
      </c>
      <c r="AE59" s="386"/>
      <c r="AF59" s="389"/>
      <c r="AG59" s="390"/>
      <c r="AI59" s="384"/>
      <c r="AJ59" s="391"/>
    </row>
    <row r="60" customFormat="false" ht="12.75" hidden="false" customHeight="false" outlineLevel="0" collapsed="false">
      <c r="A60" s="140" t="s">
        <v>212</v>
      </c>
      <c r="B60" s="141" t="s">
        <v>192</v>
      </c>
      <c r="C60" s="383"/>
      <c r="D60" s="384" t="n">
        <f aca="false">L60/$L$88</f>
        <v>0.00620814357091223</v>
      </c>
      <c r="E60" s="385" t="s">
        <v>433</v>
      </c>
      <c r="F60" s="385" t="s">
        <v>433</v>
      </c>
      <c r="G60" s="396"/>
      <c r="H60" s="385" t="s">
        <v>433</v>
      </c>
      <c r="I60" s="385" t="s">
        <v>433</v>
      </c>
      <c r="J60" s="397" t="s">
        <v>433</v>
      </c>
      <c r="K60" s="397" t="s">
        <v>433</v>
      </c>
      <c r="L60" s="386" t="n">
        <f aca="false">7*M60</f>
        <v>4364.5</v>
      </c>
      <c r="M60" s="386" t="n">
        <f aca="false">1247/2</f>
        <v>623.5</v>
      </c>
      <c r="N60" s="387" t="n">
        <f aca="false">M60/1376</f>
        <v>0.453125</v>
      </c>
      <c r="O60" s="387"/>
      <c r="P60" s="392" t="n">
        <f aca="false">Q60*P$7</f>
        <v>610.69921875</v>
      </c>
      <c r="Q60" s="392" t="n">
        <f aca="false">Q$8*$N60*CMF</f>
        <v>610.69921875</v>
      </c>
      <c r="R60" s="393" t="n">
        <f aca="false">+Q60/Q$8</f>
        <v>0.509765625</v>
      </c>
      <c r="S60" s="386"/>
      <c r="T60" s="392" t="n">
        <f aca="false">U60*T$7</f>
        <v>40630.359375</v>
      </c>
      <c r="U60" s="392" t="n">
        <f aca="false">U$8*$N60*CMF</f>
        <v>564.310546875</v>
      </c>
      <c r="V60" s="393" t="n">
        <f aca="false">+U60/U$8</f>
        <v>0.509765625</v>
      </c>
      <c r="W60" s="386"/>
      <c r="X60" s="392" t="n">
        <f aca="false">Y60*X$7</f>
        <v>40020.169921875</v>
      </c>
      <c r="Y60" s="392" t="n">
        <f aca="false">Y$8*$N60*CMF</f>
        <v>656.068359375</v>
      </c>
      <c r="Z60" s="393" t="n">
        <f aca="false">+Y60/Y$8</f>
        <v>0.509765625</v>
      </c>
      <c r="AA60" s="386"/>
      <c r="AB60" s="392" t="n">
        <f aca="false">+X60+T60</f>
        <v>80650.529296875</v>
      </c>
      <c r="AC60" s="394" t="n">
        <f aca="false">+AB60/AB$7</f>
        <v>606.394957119361</v>
      </c>
      <c r="AD60" s="393" t="n">
        <f aca="false">+AC60/AC$8</f>
        <v>0.505750589757599</v>
      </c>
      <c r="AE60" s="386"/>
      <c r="AF60" s="389"/>
      <c r="AG60" s="390"/>
      <c r="AI60" s="384"/>
      <c r="AJ60" s="386" t="n">
        <f aca="false">X7</f>
        <v>61</v>
      </c>
      <c r="AK60" s="141" t="n">
        <f aca="false">475*3</f>
        <v>1425</v>
      </c>
      <c r="AL60" s="141" t="n">
        <f aca="false">AK60*AJ60</f>
        <v>86925</v>
      </c>
      <c r="AN60" s="203" t="n">
        <f aca="false">AK60/AC$8</f>
        <v>1.1884904086739</v>
      </c>
    </row>
    <row r="61" customFormat="false" ht="12" hidden="false" customHeight="false" outlineLevel="0" collapsed="false">
      <c r="B61" s="375" t="s">
        <v>221</v>
      </c>
      <c r="C61" s="383"/>
      <c r="D61" s="384" t="n">
        <f aca="false">L61/$L$88</f>
        <v>0</v>
      </c>
      <c r="E61" s="385"/>
      <c r="F61" s="385"/>
      <c r="G61" s="385"/>
      <c r="H61" s="385"/>
      <c r="I61" s="385"/>
      <c r="J61" s="385"/>
      <c r="K61" s="385"/>
      <c r="L61" s="386"/>
      <c r="M61" s="386"/>
      <c r="N61" s="387"/>
      <c r="O61" s="387"/>
      <c r="P61" s="392"/>
      <c r="Q61" s="392"/>
      <c r="R61" s="393"/>
      <c r="S61" s="386"/>
      <c r="T61" s="392"/>
      <c r="U61" s="392"/>
      <c r="V61" s="393"/>
      <c r="W61" s="386"/>
      <c r="X61" s="392"/>
      <c r="Y61" s="392"/>
      <c r="Z61" s="393"/>
      <c r="AA61" s="386"/>
      <c r="AB61" s="392"/>
      <c r="AC61" s="394" t="s">
        <v>502</v>
      </c>
      <c r="AD61" s="393"/>
      <c r="AE61" s="386"/>
      <c r="AF61" s="389"/>
      <c r="AG61" s="390"/>
      <c r="AI61" s="384"/>
      <c r="AJ61" s="386" t="n">
        <f aca="false">T7</f>
        <v>72</v>
      </c>
      <c r="AK61" s="141" t="n">
        <v>1200</v>
      </c>
      <c r="AL61" s="141" t="n">
        <f aca="false">AK61*AJ61</f>
        <v>86400</v>
      </c>
      <c r="AN61" s="203" t="n">
        <f aca="false">AK61/U$8</f>
        <v>1.0840108401084</v>
      </c>
    </row>
    <row r="62" customFormat="false" ht="12.75" hidden="false" customHeight="false" outlineLevel="0" collapsed="false">
      <c r="A62" s="140" t="s">
        <v>222</v>
      </c>
      <c r="B62" s="141" t="s">
        <v>223</v>
      </c>
      <c r="C62" s="383"/>
      <c r="D62" s="384" t="n">
        <f aca="false">L62/$L$88</f>
        <v>0.0113260037079594</v>
      </c>
      <c r="E62" s="385" t="s">
        <v>433</v>
      </c>
      <c r="F62" s="385" t="s">
        <v>433</v>
      </c>
      <c r="G62" s="385" t="s">
        <v>433</v>
      </c>
      <c r="H62" s="385" t="s">
        <v>433</v>
      </c>
      <c r="I62" s="385" t="s">
        <v>433</v>
      </c>
      <c r="J62" s="385" t="s">
        <v>433</v>
      </c>
      <c r="K62" s="385" t="s">
        <v>433</v>
      </c>
      <c r="L62" s="386" t="n">
        <f aca="false">7*M62</f>
        <v>7962.5</v>
      </c>
      <c r="M62" s="386" t="n">
        <f aca="false">2275/2</f>
        <v>1137.5</v>
      </c>
      <c r="N62" s="387" t="n">
        <f aca="false">M62/1376</f>
        <v>0.826671511627907</v>
      </c>
      <c r="O62" s="387"/>
      <c r="P62" s="392" t="n">
        <f aca="false">Q62*P$7</f>
        <v>1003.7671875</v>
      </c>
      <c r="Q62" s="392" t="n">
        <f aca="false">1.75*R$8*0.33*CMF</f>
        <v>1003.7671875</v>
      </c>
      <c r="R62" s="393" t="n">
        <f aca="false">+Q62/Q$8</f>
        <v>0.83786910475793</v>
      </c>
      <c r="S62" s="386"/>
      <c r="T62" s="392" t="n">
        <f aca="false">U62*T$7</f>
        <v>74125.1544331395</v>
      </c>
      <c r="U62" s="392" t="n">
        <f aca="false">U$8*$N62*CMF</f>
        <v>1029.5160337936</v>
      </c>
      <c r="V62" s="393" t="n">
        <f aca="false">+U62/U$8</f>
        <v>0.930005450581395</v>
      </c>
      <c r="W62" s="386"/>
      <c r="X62" s="392" t="n">
        <f aca="false">Y62*X$7</f>
        <v>73011.9379087936</v>
      </c>
      <c r="Y62" s="392" t="n">
        <f aca="false">Y$8*$N62*CMF</f>
        <v>1196.91701489826</v>
      </c>
      <c r="Z62" s="393" t="n">
        <f aca="false">+Y62/Y$8</f>
        <v>0.930005450581395</v>
      </c>
      <c r="AA62" s="386"/>
      <c r="AB62" s="392" t="n">
        <f aca="false">+X62+T62</f>
        <v>147137.092341933</v>
      </c>
      <c r="AC62" s="394" t="n">
        <f aca="false">+AB62/AB$7</f>
        <v>1106.29392738296</v>
      </c>
      <c r="AD62" s="393" t="n">
        <f aca="false">+AC62/AC$8</f>
        <v>0.922680506574609</v>
      </c>
      <c r="AE62" s="386"/>
      <c r="AF62" s="389"/>
      <c r="AG62" s="390"/>
      <c r="AI62" s="384"/>
      <c r="AJ62" s="141" t="n">
        <f aca="false">P7</f>
        <v>1</v>
      </c>
      <c r="AK62" s="386" t="n">
        <v>1250</v>
      </c>
      <c r="AL62" s="141" t="n">
        <f aca="false">AK62*AJ62</f>
        <v>1250</v>
      </c>
      <c r="AM62" s="141" t="n">
        <f aca="false">SUM(AL60:AL62)</f>
        <v>174575</v>
      </c>
      <c r="AN62" s="203" t="n">
        <f aca="false">AK62/Q$8</f>
        <v>1.04340567612688</v>
      </c>
    </row>
    <row r="63" customFormat="false" ht="12.75" hidden="false" customHeight="false" outlineLevel="0" collapsed="false">
      <c r="A63" s="140" t="s">
        <v>225</v>
      </c>
      <c r="B63" s="141" t="s">
        <v>226</v>
      </c>
      <c r="C63" s="383"/>
      <c r="D63" s="384" t="n">
        <f aca="false">L63/$L$88</f>
        <v>0.00906080296636749</v>
      </c>
      <c r="E63" s="385" t="s">
        <v>433</v>
      </c>
      <c r="F63" s="385" t="s">
        <v>433</v>
      </c>
      <c r="G63" s="396"/>
      <c r="H63" s="385" t="s">
        <v>433</v>
      </c>
      <c r="I63" s="385" t="s">
        <v>433</v>
      </c>
      <c r="J63" s="397" t="s">
        <v>433</v>
      </c>
      <c r="K63" s="397" t="s">
        <v>433</v>
      </c>
      <c r="L63" s="386" t="n">
        <f aca="false">7*M63</f>
        <v>6370</v>
      </c>
      <c r="M63" s="386" t="n">
        <f aca="false">1820/2</f>
        <v>910</v>
      </c>
      <c r="N63" s="387" t="n">
        <f aca="false">M63/1376</f>
        <v>0.661337209302326</v>
      </c>
      <c r="O63" s="387"/>
      <c r="P63" s="392" t="n">
        <f aca="false">Q63*P$7</f>
        <v>2037.9515625</v>
      </c>
      <c r="Q63" s="392" t="n">
        <f aca="false">1.75*R$8*0.67*CMF</f>
        <v>2037.9515625</v>
      </c>
      <c r="R63" s="393" t="n">
        <f aca="false">+Q63/Q$8</f>
        <v>1.70112818238731</v>
      </c>
      <c r="S63" s="386"/>
      <c r="T63" s="392" t="n">
        <f aca="false">U63*T$7</f>
        <v>59300.1235465116</v>
      </c>
      <c r="U63" s="392" t="n">
        <f aca="false">U$8*$N63*CMF</f>
        <v>823.612827034884</v>
      </c>
      <c r="V63" s="393" t="n">
        <f aca="false">+U63/U$8</f>
        <v>0.744004360465116</v>
      </c>
      <c r="W63" s="386"/>
      <c r="X63" s="392" t="n">
        <f aca="false">Y63*X$7</f>
        <v>58409.5503270349</v>
      </c>
      <c r="Y63" s="392" t="n">
        <f aca="false">Y$8*$N63*CMF</f>
        <v>957.533611918605</v>
      </c>
      <c r="Z63" s="393" t="n">
        <f aca="false">+Y63/Y$8</f>
        <v>0.744004360465116</v>
      </c>
      <c r="AA63" s="386"/>
      <c r="AB63" s="392" t="n">
        <f aca="false">+X63+T63</f>
        <v>117709.673873547</v>
      </c>
      <c r="AC63" s="394" t="n">
        <f aca="false">+AB63/AB$7</f>
        <v>885.035141906365</v>
      </c>
      <c r="AD63" s="393" t="n">
        <f aca="false">+AC63/AC$8</f>
        <v>0.738144405259687</v>
      </c>
      <c r="AE63" s="386"/>
      <c r="AF63" s="389"/>
      <c r="AG63" s="390"/>
      <c r="AI63" s="384"/>
      <c r="AJ63" s="141" t="n">
        <f aca="false">2900000/28</f>
        <v>103571.428571429</v>
      </c>
      <c r="AK63" s="203" t="n">
        <f aca="false">AJ63/1343</f>
        <v>77.1194553770875</v>
      </c>
      <c r="AL63" s="386"/>
    </row>
    <row r="64" customFormat="false" ht="12.75" hidden="false" customHeight="false" outlineLevel="0" collapsed="false">
      <c r="A64" s="140" t="s">
        <v>225</v>
      </c>
      <c r="B64" s="141" t="s">
        <v>227</v>
      </c>
      <c r="C64" s="383"/>
      <c r="D64" s="384" t="n">
        <f aca="false">L64/$L$88</f>
        <v>0.00226520074159187</v>
      </c>
      <c r="E64" s="385" t="s">
        <v>433</v>
      </c>
      <c r="F64" s="385" t="s">
        <v>433</v>
      </c>
      <c r="G64" s="396"/>
      <c r="H64" s="385" t="s">
        <v>433</v>
      </c>
      <c r="I64" s="385" t="s">
        <v>433</v>
      </c>
      <c r="J64" s="397" t="s">
        <v>433</v>
      </c>
      <c r="K64" s="397" t="s">
        <v>433</v>
      </c>
      <c r="L64" s="386" t="n">
        <f aca="false">7*M64</f>
        <v>1592.5</v>
      </c>
      <c r="M64" s="386" t="n">
        <f aca="false">455/2</f>
        <v>227.5</v>
      </c>
      <c r="N64" s="387" t="n">
        <f aca="false">M64/1376</f>
        <v>0.165334302325581</v>
      </c>
      <c r="O64" s="387"/>
      <c r="P64" s="392" t="n">
        <f aca="false">Q64*P$7</f>
        <v>222.829305959302</v>
      </c>
      <c r="Q64" s="392" t="n">
        <f aca="false">Q$8*$N64*CMF</f>
        <v>222.829305959302</v>
      </c>
      <c r="R64" s="393" t="n">
        <f aca="false">+Q64/Q$8</f>
        <v>0.186001090116279</v>
      </c>
      <c r="S64" s="386"/>
      <c r="T64" s="392" t="n">
        <f aca="false">U64*T$7</f>
        <v>14825.0308866279</v>
      </c>
      <c r="U64" s="392" t="n">
        <f aca="false">U$8*$N64*CMF</f>
        <v>205.903206758721</v>
      </c>
      <c r="V64" s="393" t="n">
        <f aca="false">+U64/U$8</f>
        <v>0.186001090116279</v>
      </c>
      <c r="W64" s="386"/>
      <c r="X64" s="392" t="n">
        <f aca="false">Y64*X$7</f>
        <v>14602.3875817587</v>
      </c>
      <c r="Y64" s="392" t="n">
        <f aca="false">Y$8*$N64*CMF</f>
        <v>239.383402979651</v>
      </c>
      <c r="Z64" s="393" t="n">
        <f aca="false">+Y64/Y$8</f>
        <v>0.186001090116279</v>
      </c>
      <c r="AA64" s="386"/>
      <c r="AB64" s="392" t="n">
        <f aca="false">+X64+T64</f>
        <v>29427.4184683866</v>
      </c>
      <c r="AC64" s="394" t="n">
        <f aca="false">+AB64/AB$7</f>
        <v>221.258785476591</v>
      </c>
      <c r="AD64" s="393" t="n">
        <f aca="false">+AC64/AC$8</f>
        <v>0.184536101314922</v>
      </c>
      <c r="AE64" s="386"/>
      <c r="AF64" s="389"/>
      <c r="AG64" s="390"/>
      <c r="AJ64" s="141" t="n">
        <f aca="false">2700000/28</f>
        <v>96428.5714285714</v>
      </c>
      <c r="AK64" s="203" t="n">
        <f aca="false">AJ64/1343</f>
        <v>71.8008722476332</v>
      </c>
    </row>
    <row r="65" customFormat="false" ht="12" hidden="false" customHeight="false" outlineLevel="0" collapsed="false">
      <c r="B65" s="375" t="s">
        <v>228</v>
      </c>
      <c r="C65" s="383"/>
      <c r="D65" s="384"/>
      <c r="E65" s="385"/>
      <c r="F65" s="385"/>
      <c r="G65" s="385"/>
      <c r="H65" s="385"/>
      <c r="I65" s="385"/>
      <c r="J65" s="385"/>
      <c r="K65" s="385"/>
      <c r="L65" s="386"/>
      <c r="M65" s="386"/>
      <c r="N65" s="387" t="n">
        <f aca="false">M65/1376</f>
        <v>0</v>
      </c>
      <c r="O65" s="387"/>
      <c r="P65" s="392"/>
      <c r="Q65" s="392"/>
      <c r="R65" s="393"/>
      <c r="S65" s="386"/>
      <c r="T65" s="392"/>
      <c r="U65" s="392"/>
      <c r="V65" s="393"/>
      <c r="W65" s="386"/>
      <c r="X65" s="392"/>
      <c r="Y65" s="392"/>
      <c r="Z65" s="393"/>
      <c r="AA65" s="386"/>
      <c r="AB65" s="392"/>
      <c r="AC65" s="394" t="s">
        <v>502</v>
      </c>
      <c r="AD65" s="393"/>
      <c r="AE65" s="386"/>
      <c r="AF65" s="389"/>
      <c r="AG65" s="390"/>
    </row>
    <row r="66" customFormat="false" ht="12.75" hidden="false" customHeight="false" outlineLevel="0" collapsed="false">
      <c r="A66" s="140" t="s">
        <v>229</v>
      </c>
      <c r="B66" s="141" t="s">
        <v>230</v>
      </c>
      <c r="C66" s="383"/>
      <c r="D66" s="384" t="n">
        <f aca="false">L66/$L$88</f>
        <v>0.00943916616716086</v>
      </c>
      <c r="E66" s="385" t="s">
        <v>433</v>
      </c>
      <c r="F66" s="385" t="s">
        <v>433</v>
      </c>
      <c r="G66" s="385" t="s">
        <v>433</v>
      </c>
      <c r="H66" s="385" t="s">
        <v>433</v>
      </c>
      <c r="I66" s="385" t="s">
        <v>433</v>
      </c>
      <c r="J66" s="385" t="s">
        <v>433</v>
      </c>
      <c r="K66" s="385" t="s">
        <v>433</v>
      </c>
      <c r="L66" s="386" t="n">
        <f aca="false">7*M66</f>
        <v>6636</v>
      </c>
      <c r="M66" s="386" t="n">
        <f aca="false">1896/2</f>
        <v>948</v>
      </c>
      <c r="N66" s="387" t="n">
        <f aca="false">M66/1376</f>
        <v>0.688953488372093</v>
      </c>
      <c r="O66" s="387"/>
      <c r="P66" s="392" t="n">
        <f aca="false">Q66*P$7</f>
        <v>1237.5</v>
      </c>
      <c r="Q66" s="392" t="n">
        <f aca="false">1100*CMF</f>
        <v>1237.5</v>
      </c>
      <c r="R66" s="393" t="n">
        <f aca="false">+Q66/Q$8</f>
        <v>1.03297161936561</v>
      </c>
      <c r="S66" s="386"/>
      <c r="T66" s="392" t="n">
        <f aca="false">U66*T$7</f>
        <v>89100</v>
      </c>
      <c r="U66" s="392" t="n">
        <f aca="false">1100*CMF</f>
        <v>1237.5</v>
      </c>
      <c r="V66" s="393" t="n">
        <f aca="false">+U66/U$8</f>
        <v>1.11788617886179</v>
      </c>
      <c r="W66" s="386"/>
      <c r="X66" s="392" t="n">
        <f aca="false">Y66*X$7</f>
        <v>75487.5</v>
      </c>
      <c r="Y66" s="392" t="n">
        <f aca="false">1100*CMF</f>
        <v>1237.5</v>
      </c>
      <c r="Z66" s="393" t="n">
        <f aca="false">+Y66/Y$8</f>
        <v>0.961538461538462</v>
      </c>
      <c r="AA66" s="386"/>
      <c r="AB66" s="392" t="n">
        <f aca="false">+X66+T66</f>
        <v>164587.5</v>
      </c>
      <c r="AC66" s="394" t="n">
        <f aca="false">+AB66/AB$7</f>
        <v>1237.5</v>
      </c>
      <c r="AD66" s="393" t="n">
        <f aca="false">+AC66/AC$8</f>
        <v>1.03211009174312</v>
      </c>
      <c r="AE66" s="386"/>
      <c r="AF66" s="389"/>
      <c r="AG66" s="390"/>
      <c r="AJ66" s="410" t="n">
        <f aca="false">0.0725/12</f>
        <v>0.00604166666666667</v>
      </c>
    </row>
    <row r="67" customFormat="false" ht="12.75" hidden="false" customHeight="false" outlineLevel="0" collapsed="false">
      <c r="A67" s="140" t="s">
        <v>229</v>
      </c>
      <c r="B67" s="140" t="s">
        <v>231</v>
      </c>
      <c r="C67" s="383"/>
      <c r="D67" s="384" t="n">
        <f aca="false">L67/$L$88</f>
        <v>0.00588454346497054</v>
      </c>
      <c r="E67" s="385" t="s">
        <v>433</v>
      </c>
      <c r="F67" s="385" t="s">
        <v>433</v>
      </c>
      <c r="G67" s="396"/>
      <c r="H67" s="385" t="s">
        <v>433</v>
      </c>
      <c r="I67" s="385" t="s">
        <v>433</v>
      </c>
      <c r="J67" s="396"/>
      <c r="K67" s="411" t="s">
        <v>366</v>
      </c>
      <c r="L67" s="386" t="n">
        <f aca="false">7*M67</f>
        <v>4137</v>
      </c>
      <c r="M67" s="386" t="n">
        <f aca="false">1182/2</f>
        <v>591</v>
      </c>
      <c r="N67" s="387" t="n">
        <f aca="false">M67/1376</f>
        <v>0.429505813953488</v>
      </c>
      <c r="O67" s="387"/>
      <c r="P67" s="392" t="n">
        <f aca="false">Q67*P$7</f>
        <v>675</v>
      </c>
      <c r="Q67" s="392" t="n">
        <f aca="false">600*CMF</f>
        <v>675</v>
      </c>
      <c r="R67" s="393" t="n">
        <f aca="false">+Q67/Q$8</f>
        <v>0.563439065108514</v>
      </c>
      <c r="S67" s="386"/>
      <c r="T67" s="392" t="n">
        <f aca="false">U67*T$7</f>
        <v>48600</v>
      </c>
      <c r="U67" s="392" t="n">
        <f aca="false">600*CMF</f>
        <v>675</v>
      </c>
      <c r="V67" s="393" t="n">
        <f aca="false">+U67/U$8</f>
        <v>0.609756097560976</v>
      </c>
      <c r="W67" s="386"/>
      <c r="X67" s="392" t="n">
        <f aca="false">Y67*X$7</f>
        <v>41175</v>
      </c>
      <c r="Y67" s="392" t="n">
        <f aca="false">600*CMF</f>
        <v>675</v>
      </c>
      <c r="Z67" s="393" t="n">
        <f aca="false">+Y67/Y$8</f>
        <v>0.524475524475525</v>
      </c>
      <c r="AA67" s="386"/>
      <c r="AB67" s="392" t="n">
        <f aca="false">+X67+T67</f>
        <v>89775</v>
      </c>
      <c r="AC67" s="394" t="n">
        <f aca="false">+AB67/AB$7</f>
        <v>675</v>
      </c>
      <c r="AD67" s="393" t="n">
        <f aca="false">+AC67/AC$8</f>
        <v>0.562969140950792</v>
      </c>
      <c r="AE67" s="386"/>
      <c r="AF67" s="389"/>
      <c r="AG67" s="390"/>
      <c r="AJ67" s="141" t="n">
        <v>360</v>
      </c>
    </row>
    <row r="68" customFormat="false" ht="12.75" hidden="false" customHeight="false" outlineLevel="0" collapsed="false">
      <c r="A68" s="140" t="s">
        <v>232</v>
      </c>
      <c r="B68" s="140" t="s">
        <v>233</v>
      </c>
      <c r="C68" s="383"/>
      <c r="D68" s="384" t="n">
        <f aca="false">L68/$L$88</f>
        <v>0.0047594107889271</v>
      </c>
      <c r="E68" s="385" t="s">
        <v>433</v>
      </c>
      <c r="F68" s="385" t="s">
        <v>433</v>
      </c>
      <c r="G68" s="396"/>
      <c r="H68" s="385" t="s">
        <v>433</v>
      </c>
      <c r="I68" s="385" t="s">
        <v>433</v>
      </c>
      <c r="J68" s="396"/>
      <c r="K68" s="397" t="s">
        <v>433</v>
      </c>
      <c r="L68" s="386" t="n">
        <f aca="false">7*M68</f>
        <v>3346</v>
      </c>
      <c r="M68" s="386" t="n">
        <f aca="false">956/2</f>
        <v>478</v>
      </c>
      <c r="N68" s="387" t="n">
        <f aca="false">M68/1376</f>
        <v>0.347383720930233</v>
      </c>
      <c r="O68" s="387"/>
      <c r="P68" s="392" t="n">
        <f aca="false">Q68*P$7</f>
        <v>693.186409883721</v>
      </c>
      <c r="Q68" s="392" t="n">
        <f aca="false">(Q$8*$N68+200)*CMF</f>
        <v>693.186409883721</v>
      </c>
      <c r="R68" s="393" t="n">
        <f aca="false">+Q68/Q$8</f>
        <v>0.57861970774935</v>
      </c>
      <c r="S68" s="386"/>
      <c r="T68" s="392" t="n">
        <f aca="false">U68*T$7</f>
        <v>47348.8561046512</v>
      </c>
      <c r="U68" s="392" t="n">
        <f aca="false">(U$8*$N68+200)*CMF</f>
        <v>657.623001453488</v>
      </c>
      <c r="V68" s="393" t="n">
        <f aca="false">+U68/U$8</f>
        <v>0.594058718566837</v>
      </c>
      <c r="W68" s="386"/>
      <c r="X68" s="392" t="n">
        <f aca="false">Y68*X$7</f>
        <v>44406.0605014535</v>
      </c>
      <c r="Y68" s="392" t="n">
        <f aca="false">(Y$8*$N68+200)*CMF</f>
        <v>727.96820494186</v>
      </c>
      <c r="Z68" s="393" t="n">
        <f aca="false">+Y68/Y$8</f>
        <v>0.565631860871687</v>
      </c>
      <c r="AA68" s="386"/>
      <c r="AB68" s="392" t="n">
        <f aca="false">+X68+T68</f>
        <v>91754.9166061046</v>
      </c>
      <c r="AC68" s="394" t="n">
        <f aca="false">+AB68/AB$7</f>
        <v>689.886591023343</v>
      </c>
      <c r="AD68" s="393" t="n">
        <f aca="false">+AC68/AC$8</f>
        <v>0.575384980002788</v>
      </c>
      <c r="AE68" s="386"/>
      <c r="AF68" s="389"/>
      <c r="AG68" s="390"/>
      <c r="AI68" s="384"/>
      <c r="AJ68" s="386" t="n">
        <f aca="false">PMT(AJ66,AJ67,AJ48)</f>
        <v>-89793.9257757763</v>
      </c>
      <c r="AK68" s="386"/>
    </row>
    <row r="69" customFormat="false" ht="12.75" hidden="false" customHeight="false" outlineLevel="0" collapsed="false">
      <c r="A69" s="140" t="s">
        <v>199</v>
      </c>
      <c r="B69" s="140" t="s">
        <v>235</v>
      </c>
      <c r="C69" s="383"/>
      <c r="D69" s="384" t="n">
        <f aca="false">L69/$L$88</f>
        <v>0.00397281360833036</v>
      </c>
      <c r="E69" s="385" t="s">
        <v>433</v>
      </c>
      <c r="F69" s="385" t="s">
        <v>433</v>
      </c>
      <c r="G69" s="396"/>
      <c r="H69" s="385" t="s">
        <v>433</v>
      </c>
      <c r="I69" s="385" t="s">
        <v>433</v>
      </c>
      <c r="J69" s="397" t="s">
        <v>433</v>
      </c>
      <c r="K69" s="397" t="s">
        <v>433</v>
      </c>
      <c r="L69" s="386" t="n">
        <f aca="false">7*M69</f>
        <v>2793</v>
      </c>
      <c r="M69" s="386" t="n">
        <f aca="false">798/2</f>
        <v>399</v>
      </c>
      <c r="N69" s="387" t="n">
        <f aca="false">M69/1376</f>
        <v>0.289970930232558</v>
      </c>
      <c r="O69" s="387"/>
      <c r="P69" s="392" t="n">
        <f aca="false">Q69*P$7</f>
        <v>390.80832122093</v>
      </c>
      <c r="Q69" s="392" t="n">
        <f aca="false">Q$8*$N69*CMF</f>
        <v>390.80832122093</v>
      </c>
      <c r="R69" s="393" t="n">
        <f aca="false">+Q69/Q$8</f>
        <v>0.326217296511628</v>
      </c>
      <c r="S69" s="386"/>
      <c r="T69" s="392" t="n">
        <f aca="false">U69*T$7</f>
        <v>26000.8234011628</v>
      </c>
      <c r="U69" s="392" t="n">
        <f aca="false">U$8*$N69*CMF</f>
        <v>361.122547238372</v>
      </c>
      <c r="V69" s="393" t="n">
        <f aca="false">+U69/U$8</f>
        <v>0.326217296511628</v>
      </c>
      <c r="W69" s="386"/>
      <c r="X69" s="392" t="n">
        <f aca="false">Y69*X$7</f>
        <v>25610.3412972384</v>
      </c>
      <c r="Y69" s="392" t="n">
        <f aca="false">Y$8*$N69*CMF</f>
        <v>419.841660610465</v>
      </c>
      <c r="Z69" s="393" t="n">
        <f aca="false">+Y69/Y$8</f>
        <v>0.326217296511628</v>
      </c>
      <c r="AA69" s="386"/>
      <c r="AB69" s="392" t="n">
        <f aca="false">+X69+T69</f>
        <v>51611.1646984012</v>
      </c>
      <c r="AC69" s="394" t="n">
        <f aca="false">+AB69/AB$7</f>
        <v>388.053869912791</v>
      </c>
      <c r="AD69" s="393" t="n">
        <f aca="false">+AC69/AC$8</f>
        <v>0.32364793153694</v>
      </c>
      <c r="AE69" s="386"/>
      <c r="AF69" s="389"/>
      <c r="AG69" s="390"/>
      <c r="AI69" s="384" t="s">
        <v>354</v>
      </c>
      <c r="AJ69" s="386" t="n">
        <f aca="false">+AM62</f>
        <v>174575</v>
      </c>
      <c r="AK69" s="386"/>
      <c r="AL69" s="386" t="n">
        <f aca="false">2700000*0.105</f>
        <v>283500</v>
      </c>
    </row>
    <row r="70" customFormat="false" ht="12.75" hidden="false" customHeight="false" outlineLevel="0" collapsed="false">
      <c r="A70" s="140" t="s">
        <v>236</v>
      </c>
      <c r="B70" s="140" t="s">
        <v>487</v>
      </c>
      <c r="C70" s="383"/>
      <c r="D70" s="384" t="n">
        <f aca="false">L70/$L$88</f>
        <v>0.0103850741691443</v>
      </c>
      <c r="E70" s="385" t="s">
        <v>433</v>
      </c>
      <c r="F70" s="385" t="s">
        <v>433</v>
      </c>
      <c r="G70" s="396"/>
      <c r="H70" s="385" t="s">
        <v>433</v>
      </c>
      <c r="I70" s="385" t="s">
        <v>433</v>
      </c>
      <c r="J70" s="397" t="s">
        <v>433</v>
      </c>
      <c r="K70" s="397" t="s">
        <v>433</v>
      </c>
      <c r="L70" s="386" t="n">
        <f aca="false">7*M70</f>
        <v>7301</v>
      </c>
      <c r="M70" s="386" t="n">
        <f aca="false">2086/2</f>
        <v>1043</v>
      </c>
      <c r="N70" s="387" t="n">
        <f aca="false">M70/1376</f>
        <v>0.757994186046512</v>
      </c>
      <c r="O70" s="387"/>
      <c r="P70" s="392" t="n">
        <f aca="false">Q70*P$7</f>
        <v>1012.5</v>
      </c>
      <c r="Q70" s="392" t="n">
        <f aca="false">(250+300+250+100)*CMF</f>
        <v>1012.5</v>
      </c>
      <c r="R70" s="393" t="n">
        <f aca="false">+Q70/Q$8</f>
        <v>0.845158597662771</v>
      </c>
      <c r="S70" s="386"/>
      <c r="T70" s="392" t="n">
        <f aca="false">U70*T$7</f>
        <v>72900</v>
      </c>
      <c r="U70" s="392" t="n">
        <f aca="false">(250+300+250+100)*CMF</f>
        <v>1012.5</v>
      </c>
      <c r="V70" s="393" t="n">
        <f aca="false">+U70/U$8</f>
        <v>0.914634146341463</v>
      </c>
      <c r="W70" s="386"/>
      <c r="X70" s="392" t="n">
        <f aca="false">Y70*X$7</f>
        <v>61762.5</v>
      </c>
      <c r="Y70" s="392" t="n">
        <f aca="false">(250+300+250+100)*CMF</f>
        <v>1012.5</v>
      </c>
      <c r="Z70" s="393" t="n">
        <f aca="false">+Y70/Y$8</f>
        <v>0.786713286713287</v>
      </c>
      <c r="AA70" s="386"/>
      <c r="AB70" s="392" t="n">
        <f aca="false">+X70+T70</f>
        <v>134662.5</v>
      </c>
      <c r="AC70" s="394" t="n">
        <f aca="false">+AB70/AB$7</f>
        <v>1012.5</v>
      </c>
      <c r="AD70" s="393" t="n">
        <f aca="false">+AC70/AC$8</f>
        <v>0.844453711426189</v>
      </c>
      <c r="AE70" s="386"/>
      <c r="AF70" s="389"/>
      <c r="AG70" s="390"/>
      <c r="AH70" s="380"/>
      <c r="AJ70" s="386" t="n">
        <f aca="false">0.9*AJ69</f>
        <v>157117.5</v>
      </c>
      <c r="AK70" s="386"/>
      <c r="AL70" s="386" t="n">
        <f aca="false">AL69/12</f>
        <v>23625</v>
      </c>
    </row>
    <row r="71" customFormat="false" ht="12.75" hidden="false" customHeight="false" outlineLevel="0" collapsed="false">
      <c r="A71" s="140" t="s">
        <v>238</v>
      </c>
      <c r="B71" s="140" t="s">
        <v>239</v>
      </c>
      <c r="C71" s="383"/>
      <c r="D71" s="384" t="n">
        <f aca="false">L71/$L$88</f>
        <v>0.0159310821386681</v>
      </c>
      <c r="E71" s="385" t="s">
        <v>433</v>
      </c>
      <c r="F71" s="385" t="s">
        <v>433</v>
      </c>
      <c r="G71" s="396"/>
      <c r="H71" s="385" t="s">
        <v>433</v>
      </c>
      <c r="I71" s="385" t="s">
        <v>433</v>
      </c>
      <c r="J71" s="396"/>
      <c r="K71" s="397" t="s">
        <v>433</v>
      </c>
      <c r="L71" s="386" t="n">
        <f aca="false">7*M71</f>
        <v>11200</v>
      </c>
      <c r="M71" s="386" t="n">
        <f aca="false">3200/2</f>
        <v>1600</v>
      </c>
      <c r="N71" s="387" t="n">
        <f aca="false">M71/1376</f>
        <v>1.16279069767442</v>
      </c>
      <c r="O71" s="387"/>
      <c r="P71" s="392" t="n">
        <f aca="false">Q71*P$7</f>
        <v>1644.255</v>
      </c>
      <c r="Q71" s="392" t="n">
        <f aca="false">1.22*Q$8*CMF</f>
        <v>1644.255</v>
      </c>
      <c r="R71" s="393" t="n">
        <f aca="false">+Q71/Q$8</f>
        <v>1.3725</v>
      </c>
      <c r="S71" s="386"/>
      <c r="T71" s="392" t="n">
        <f aca="false">U71*T$7</f>
        <v>109393.74</v>
      </c>
      <c r="U71" s="392" t="n">
        <f aca="false">1.22*U$8*CMF</f>
        <v>1519.3575</v>
      </c>
      <c r="V71" s="393" t="n">
        <f aca="false">+U71/U$8</f>
        <v>1.3725</v>
      </c>
      <c r="W71" s="386"/>
      <c r="X71" s="392" t="n">
        <f aca="false">Y71*X$7</f>
        <v>107750.8575</v>
      </c>
      <c r="Y71" s="392" t="n">
        <f aca="false">1.22*Y$8*CMF</f>
        <v>1766.4075</v>
      </c>
      <c r="Z71" s="393" t="n">
        <f aca="false">+Y71/Y$8</f>
        <v>1.3725</v>
      </c>
      <c r="AA71" s="386"/>
      <c r="AB71" s="392" t="n">
        <f aca="false">+X71+T71</f>
        <v>217144.5975</v>
      </c>
      <c r="AC71" s="394" t="n">
        <f aca="false">+AB71/AB$7</f>
        <v>1632.66614661654</v>
      </c>
      <c r="AD71" s="393" t="n">
        <f aca="false">+AC71/AC$8</f>
        <v>1.36168986373356</v>
      </c>
      <c r="AE71" s="386"/>
      <c r="AF71" s="389"/>
      <c r="AG71" s="390"/>
      <c r="AI71" s="384"/>
      <c r="AJ71" s="412" t="n">
        <f aca="false">((110000/28/1343)*1187*134)/12</f>
        <v>38773.3131227174</v>
      </c>
      <c r="AK71" s="386"/>
      <c r="AL71" s="386"/>
    </row>
    <row r="72" customFormat="false" ht="12.75" hidden="false" customHeight="false" outlineLevel="0" collapsed="false">
      <c r="A72" s="140" t="s">
        <v>212</v>
      </c>
      <c r="B72" s="140" t="s">
        <v>240</v>
      </c>
      <c r="C72" s="383"/>
      <c r="D72" s="384" t="n">
        <f aca="false">L72/$L$88</f>
        <v>0.00155825897168848</v>
      </c>
      <c r="E72" s="385" t="s">
        <v>433</v>
      </c>
      <c r="F72" s="385" t="s">
        <v>433</v>
      </c>
      <c r="G72" s="411" t="s">
        <v>366</v>
      </c>
      <c r="H72" s="385" t="s">
        <v>433</v>
      </c>
      <c r="I72" s="385" t="s">
        <v>433</v>
      </c>
      <c r="J72" s="396"/>
      <c r="K72" s="411" t="s">
        <v>366</v>
      </c>
      <c r="L72" s="386" t="n">
        <f aca="false">7*M72</f>
        <v>1095.5</v>
      </c>
      <c r="M72" s="386" t="n">
        <f aca="false">313/2</f>
        <v>156.5</v>
      </c>
      <c r="N72" s="387" t="n">
        <f aca="false">M72/1376</f>
        <v>0.113735465116279</v>
      </c>
      <c r="O72" s="387"/>
      <c r="P72" s="392" t="n">
        <f aca="false">Q72*P$7</f>
        <v>153.286973110465</v>
      </c>
      <c r="Q72" s="392" t="n">
        <f aca="false">Q$8*$N72*CMF</f>
        <v>153.286973110465</v>
      </c>
      <c r="R72" s="393" t="n">
        <f aca="false">+Q72/Q$8</f>
        <v>0.127952398255814</v>
      </c>
      <c r="S72" s="386"/>
      <c r="T72" s="392" t="n">
        <f aca="false">U72*T$7</f>
        <v>10198.3179505814</v>
      </c>
      <c r="U72" s="392" t="n">
        <f aca="false">U$8*$N72*CMF</f>
        <v>141.643304869186</v>
      </c>
      <c r="V72" s="393" t="n">
        <f aca="false">+U72/U$8</f>
        <v>0.127952398255814</v>
      </c>
      <c r="W72" s="386"/>
      <c r="X72" s="392" t="n">
        <f aca="false">Y72*X$7</f>
        <v>10045.1589298692</v>
      </c>
      <c r="Y72" s="392" t="n">
        <f aca="false">Y$8*$N72*CMF</f>
        <v>164.674736555233</v>
      </c>
      <c r="Z72" s="393" t="n">
        <f aca="false">+Y72/Y$8</f>
        <v>0.127952398255814</v>
      </c>
      <c r="AA72" s="386"/>
      <c r="AB72" s="392" t="n">
        <f aca="false">+X72+T72</f>
        <v>20243.4768804506</v>
      </c>
      <c r="AC72" s="394" t="n">
        <f aca="false">+AB72/AB$7</f>
        <v>152.206593086095</v>
      </c>
      <c r="AD72" s="393" t="n">
        <f aca="false">+AC72/AC$8</f>
        <v>0.126944614750704</v>
      </c>
      <c r="AE72" s="386"/>
      <c r="AF72" s="389"/>
      <c r="AG72" s="390"/>
      <c r="AI72" s="384"/>
      <c r="AJ72" s="386" t="n">
        <f aca="false">+AJ70-AJ71</f>
        <v>118344.186877283</v>
      </c>
      <c r="AK72" s="386"/>
      <c r="AL72" s="386"/>
    </row>
    <row r="73" customFormat="false" ht="12" hidden="false" customHeight="false" outlineLevel="0" collapsed="false">
      <c r="A73" s="140" t="s">
        <v>241</v>
      </c>
      <c r="B73" s="408" t="s">
        <v>242</v>
      </c>
      <c r="C73" s="383"/>
      <c r="D73" s="384" t="n">
        <f aca="false">L73/$L$88</f>
        <v>0.0157070512960931</v>
      </c>
      <c r="E73" s="385"/>
      <c r="F73" s="385"/>
      <c r="G73" s="385"/>
      <c r="H73" s="385"/>
      <c r="I73" s="385"/>
      <c r="J73" s="385"/>
      <c r="K73" s="385"/>
      <c r="L73" s="386" t="n">
        <f aca="false">7*M73</f>
        <v>11042.5</v>
      </c>
      <c r="M73" s="386" t="n">
        <f aca="false">3155/2</f>
        <v>1577.5</v>
      </c>
      <c r="N73" s="387" t="n">
        <f aca="false">M73/1376</f>
        <v>1.14643895348837</v>
      </c>
      <c r="O73" s="387"/>
      <c r="P73" s="392" t="n">
        <f aca="false">Q73*P$7</f>
        <v>379.6875</v>
      </c>
      <c r="Q73" s="392" t="n">
        <f aca="false">15*10*2.25*CMF</f>
        <v>379.6875</v>
      </c>
      <c r="R73" s="393" t="n">
        <f aca="false">+Q73/Q$8</f>
        <v>0.316934474123539</v>
      </c>
      <c r="S73" s="386"/>
      <c r="T73" s="392" t="n">
        <f aca="false">U73*T$7</f>
        <v>27337.5</v>
      </c>
      <c r="U73" s="392" t="n">
        <f aca="false">15*10*2.25*CMF</f>
        <v>379.6875</v>
      </c>
      <c r="V73" s="393" t="n">
        <f aca="false">+U73/U$8</f>
        <v>0.342987804878049</v>
      </c>
      <c r="W73" s="386"/>
      <c r="X73" s="392" t="n">
        <f aca="false">Y73*X$7</f>
        <v>23160.9375</v>
      </c>
      <c r="Y73" s="392" t="n">
        <f aca="false">15*10*2.25*CMF</f>
        <v>379.6875</v>
      </c>
      <c r="Z73" s="393" t="n">
        <f aca="false">+Y73/Y$8</f>
        <v>0.295017482517483</v>
      </c>
      <c r="AA73" s="386"/>
      <c r="AB73" s="392" t="n">
        <f aca="false">+X73+T73</f>
        <v>50498.4375</v>
      </c>
      <c r="AC73" s="394" t="n">
        <f aca="false">+AB73/AB$7</f>
        <v>379.6875</v>
      </c>
      <c r="AD73" s="393" t="n">
        <f aca="false">+AC73/AC$8</f>
        <v>0.316670141784821</v>
      </c>
      <c r="AE73" s="386"/>
      <c r="AF73" s="389"/>
      <c r="AG73" s="390"/>
      <c r="AI73" s="384"/>
      <c r="AJ73" s="412" t="n">
        <f aca="false">+AJ72/-AJ68</f>
        <v>1.31795314499111</v>
      </c>
      <c r="AK73" s="386"/>
      <c r="AL73" s="386"/>
    </row>
    <row r="74" customFormat="false" ht="12.75" hidden="false" customHeight="false" outlineLevel="0" collapsed="false">
      <c r="A74" s="140" t="s">
        <v>241</v>
      </c>
      <c r="B74" s="140" t="s">
        <v>243</v>
      </c>
      <c r="C74" s="383"/>
      <c r="D74" s="384" t="n">
        <f aca="false">L74/$L$88</f>
        <v>0</v>
      </c>
      <c r="E74" s="385" t="s">
        <v>433</v>
      </c>
      <c r="F74" s="385" t="s">
        <v>433</v>
      </c>
      <c r="G74" s="385" t="s">
        <v>433</v>
      </c>
      <c r="H74" s="385" t="s">
        <v>433</v>
      </c>
      <c r="I74" s="385" t="s">
        <v>433</v>
      </c>
      <c r="J74" s="385" t="s">
        <v>433</v>
      </c>
      <c r="K74" s="385" t="s">
        <v>433</v>
      </c>
      <c r="L74" s="386" t="n">
        <f aca="false">7*M74</f>
        <v>0</v>
      </c>
      <c r="M74" s="386"/>
      <c r="N74" s="387" t="n">
        <f aca="false">M74/1376</f>
        <v>0</v>
      </c>
      <c r="O74" s="387"/>
      <c r="P74" s="392" t="n">
        <f aca="false">Q74*P$7</f>
        <v>0</v>
      </c>
      <c r="Q74" s="392" t="n">
        <f aca="false">$M74*CMF</f>
        <v>0</v>
      </c>
      <c r="R74" s="393" t="n">
        <f aca="false">+Q74/Q$8</f>
        <v>0</v>
      </c>
      <c r="S74" s="386"/>
      <c r="T74" s="392" t="n">
        <f aca="false">U74*T$7</f>
        <v>0</v>
      </c>
      <c r="U74" s="392" t="n">
        <f aca="false">$M74*CMF</f>
        <v>0</v>
      </c>
      <c r="V74" s="393" t="n">
        <f aca="false">+U74/U$8</f>
        <v>0</v>
      </c>
      <c r="W74" s="386"/>
      <c r="X74" s="392" t="n">
        <f aca="false">Y74*X$7</f>
        <v>0</v>
      </c>
      <c r="Y74" s="392" t="n">
        <f aca="false">$M74*CMF</f>
        <v>0</v>
      </c>
      <c r="Z74" s="393" t="n">
        <f aca="false">+Y74/Y$8</f>
        <v>0</v>
      </c>
      <c r="AA74" s="386"/>
      <c r="AB74" s="392" t="n">
        <f aca="false">+X74+T74</f>
        <v>0</v>
      </c>
      <c r="AC74" s="394" t="n">
        <f aca="false">+AB74/AB$7</f>
        <v>0</v>
      </c>
      <c r="AD74" s="393" t="n">
        <f aca="false">+AC74/AC$8</f>
        <v>0</v>
      </c>
      <c r="AE74" s="386"/>
      <c r="AF74" s="389"/>
      <c r="AG74" s="390"/>
      <c r="AH74" s="380"/>
      <c r="AI74" s="384"/>
      <c r="AJ74" s="386"/>
      <c r="AK74" s="386"/>
      <c r="AL74" s="386"/>
    </row>
    <row r="75" customFormat="false" ht="12.75" hidden="false" customHeight="false" outlineLevel="0" collapsed="false">
      <c r="A75" s="140" t="s">
        <v>241</v>
      </c>
      <c r="B75" s="140" t="s">
        <v>245</v>
      </c>
      <c r="C75" s="383"/>
      <c r="D75" s="384" t="n">
        <f aca="false">L75/$L$88</f>
        <v>0</v>
      </c>
      <c r="E75" s="385" t="s">
        <v>433</v>
      </c>
      <c r="F75" s="385" t="s">
        <v>433</v>
      </c>
      <c r="G75" s="396"/>
      <c r="H75" s="385" t="s">
        <v>433</v>
      </c>
      <c r="I75" s="385" t="s">
        <v>433</v>
      </c>
      <c r="J75" s="396"/>
      <c r="K75" s="411" t="s">
        <v>366</v>
      </c>
      <c r="L75" s="386" t="n">
        <f aca="false">7*M75</f>
        <v>0</v>
      </c>
      <c r="M75" s="386"/>
      <c r="N75" s="387" t="n">
        <f aca="false">M75/1376</f>
        <v>0</v>
      </c>
      <c r="O75" s="387"/>
      <c r="P75" s="392" t="n">
        <f aca="false">Q75*P$7</f>
        <v>0</v>
      </c>
      <c r="Q75" s="392" t="n">
        <f aca="false">$M75*CMF</f>
        <v>0</v>
      </c>
      <c r="R75" s="393" t="n">
        <f aca="false">+Q75/Q$8</f>
        <v>0</v>
      </c>
      <c r="S75" s="386"/>
      <c r="T75" s="392" t="n">
        <f aca="false">U75*T$7</f>
        <v>0</v>
      </c>
      <c r="U75" s="392" t="n">
        <f aca="false">$M75*CMF</f>
        <v>0</v>
      </c>
      <c r="V75" s="393" t="n">
        <f aca="false">+U75/U$8</f>
        <v>0</v>
      </c>
      <c r="W75" s="386"/>
      <c r="X75" s="392" t="n">
        <f aca="false">Y75*X$7</f>
        <v>0</v>
      </c>
      <c r="Y75" s="392" t="n">
        <f aca="false">$M75*CMF</f>
        <v>0</v>
      </c>
      <c r="Z75" s="393" t="n">
        <f aca="false">+Y75/Y$8</f>
        <v>0</v>
      </c>
      <c r="AA75" s="386"/>
      <c r="AB75" s="392" t="n">
        <f aca="false">+X75+T75</f>
        <v>0</v>
      </c>
      <c r="AC75" s="394" t="n">
        <f aca="false">+AB75/AB$7</f>
        <v>0</v>
      </c>
      <c r="AD75" s="393" t="n">
        <f aca="false">+AC75/AC$8</f>
        <v>0</v>
      </c>
      <c r="AE75" s="386"/>
      <c r="AF75" s="389"/>
      <c r="AG75" s="390"/>
      <c r="AJ75" s="386" t="n">
        <f aca="false">+AJ69-AJ71+0.05*AJ69</f>
        <v>144530.436877283</v>
      </c>
      <c r="AK75" s="386"/>
      <c r="AL75" s="141" t="n">
        <f aca="false">AO75*12</f>
        <v>16517764.2145466</v>
      </c>
      <c r="AO75" s="207" t="n">
        <f aca="false">AJ75/0.105</f>
        <v>1376480.35121222</v>
      </c>
    </row>
    <row r="76" customFormat="false" ht="12.75" hidden="false" customHeight="false" outlineLevel="0" collapsed="false">
      <c r="A76" s="140" t="s">
        <v>241</v>
      </c>
      <c r="B76" s="140" t="s">
        <v>246</v>
      </c>
      <c r="C76" s="383"/>
      <c r="D76" s="384" t="n">
        <f aca="false">L76/$L$88</f>
        <v>0</v>
      </c>
      <c r="E76" s="385" t="s">
        <v>433</v>
      </c>
      <c r="F76" s="385" t="s">
        <v>433</v>
      </c>
      <c r="G76" s="396"/>
      <c r="H76" s="385" t="s">
        <v>433</v>
      </c>
      <c r="I76" s="385" t="s">
        <v>433</v>
      </c>
      <c r="J76" s="396"/>
      <c r="K76" s="411" t="s">
        <v>366</v>
      </c>
      <c r="L76" s="386" t="n">
        <f aca="false">7*M76</f>
        <v>0</v>
      </c>
      <c r="M76" s="386"/>
      <c r="N76" s="387" t="n">
        <f aca="false">M76/1376</f>
        <v>0</v>
      </c>
      <c r="O76" s="387"/>
      <c r="P76" s="392" t="n">
        <f aca="false">Q76*P$7</f>
        <v>0</v>
      </c>
      <c r="Q76" s="392" t="n">
        <f aca="false">$M76*CMF</f>
        <v>0</v>
      </c>
      <c r="R76" s="393" t="n">
        <f aca="false">+Q76/Q$8</f>
        <v>0</v>
      </c>
      <c r="S76" s="386"/>
      <c r="T76" s="392" t="n">
        <f aca="false">U76*T$7</f>
        <v>0</v>
      </c>
      <c r="U76" s="392" t="n">
        <f aca="false">$M76*CMF</f>
        <v>0</v>
      </c>
      <c r="V76" s="393" t="n">
        <f aca="false">+U76/U$8</f>
        <v>0</v>
      </c>
      <c r="W76" s="386"/>
      <c r="X76" s="392" t="n">
        <f aca="false">Y76*X$7</f>
        <v>0</v>
      </c>
      <c r="Y76" s="392" t="n">
        <f aca="false">$M76*CMF</f>
        <v>0</v>
      </c>
      <c r="Z76" s="393" t="n">
        <f aca="false">+Y76/Y$8</f>
        <v>0</v>
      </c>
      <c r="AA76" s="386"/>
      <c r="AB76" s="392" t="n">
        <f aca="false">+X76+T76</f>
        <v>0</v>
      </c>
      <c r="AC76" s="394" t="n">
        <f aca="false">+AB76/AB$7</f>
        <v>0</v>
      </c>
      <c r="AD76" s="393" t="n">
        <f aca="false">+AC76/AC$8</f>
        <v>0</v>
      </c>
      <c r="AE76" s="386"/>
      <c r="AF76" s="389"/>
      <c r="AG76" s="390"/>
      <c r="AI76" s="384"/>
      <c r="AJ76" s="386" t="n">
        <f aca="false">+AJ68</f>
        <v>-89793.9257757763</v>
      </c>
      <c r="AK76" s="386"/>
      <c r="AL76" s="386" t="n">
        <f aca="false">0.8*AL75</f>
        <v>13214211.3716373</v>
      </c>
    </row>
    <row r="77" customFormat="false" ht="12.75" hidden="false" customHeight="false" outlineLevel="0" collapsed="false">
      <c r="A77" s="140" t="s">
        <v>247</v>
      </c>
      <c r="B77" s="408" t="s">
        <v>248</v>
      </c>
      <c r="C77" s="383"/>
      <c r="D77" s="384" t="n">
        <f aca="false">L77/$L$88</f>
        <v>0.00792073490081906</v>
      </c>
      <c r="E77" s="385" t="s">
        <v>433</v>
      </c>
      <c r="F77" s="385" t="s">
        <v>433</v>
      </c>
      <c r="G77" s="385" t="s">
        <v>433</v>
      </c>
      <c r="H77" s="385" t="s">
        <v>433</v>
      </c>
      <c r="I77" s="385" t="s">
        <v>433</v>
      </c>
      <c r="J77" s="385" t="s">
        <v>433</v>
      </c>
      <c r="K77" s="385" t="s">
        <v>433</v>
      </c>
      <c r="L77" s="386" t="n">
        <f aca="false">7*M77</f>
        <v>5568.5</v>
      </c>
      <c r="M77" s="386" t="n">
        <f aca="false">1591/2</f>
        <v>795.5</v>
      </c>
      <c r="N77" s="387" t="n">
        <f aca="false">M77/1376</f>
        <v>0.578125</v>
      </c>
      <c r="O77" s="387"/>
      <c r="P77" s="392" t="n">
        <f aca="false">Q77*P$7</f>
        <v>810</v>
      </c>
      <c r="Q77" s="392" t="n">
        <f aca="false">(28+20)*15*CMF</f>
        <v>810</v>
      </c>
      <c r="R77" s="393" t="n">
        <f aca="false">+Q77/Q$8</f>
        <v>0.676126878130217</v>
      </c>
      <c r="S77" s="386"/>
      <c r="T77" s="392" t="n">
        <f aca="false">U77*T$7</f>
        <v>43533.45</v>
      </c>
      <c r="U77" s="392" t="n">
        <f aca="false">(15.83+20)*15*CMF</f>
        <v>604.63125</v>
      </c>
      <c r="V77" s="393" t="n">
        <f aca="false">+U77/U$8</f>
        <v>0.546189024390244</v>
      </c>
      <c r="W77" s="386"/>
      <c r="X77" s="392" t="n">
        <f aca="false">Y77*X$7</f>
        <v>47351.25</v>
      </c>
      <c r="Y77" s="392" t="n">
        <f aca="false">(26+20)*15*CMF</f>
        <v>776.25</v>
      </c>
      <c r="Z77" s="393" t="n">
        <f aca="false">+Y77/Y$8</f>
        <v>0.603146853146853</v>
      </c>
      <c r="AA77" s="386"/>
      <c r="AB77" s="392" t="n">
        <f aca="false">+X77+T77</f>
        <v>90884.7</v>
      </c>
      <c r="AC77" s="394" t="n">
        <f aca="false">+AB77/AB$7</f>
        <v>683.343609022556</v>
      </c>
      <c r="AD77" s="393" t="n">
        <f aca="false">+AC77/AC$8</f>
        <v>0.569927947475026</v>
      </c>
      <c r="AE77" s="386"/>
      <c r="AF77" s="389"/>
      <c r="AG77" s="390"/>
      <c r="AH77" s="380"/>
      <c r="AJ77" s="386" t="n">
        <f aca="false">+AJ76+AJ75</f>
        <v>54736.5111015063</v>
      </c>
      <c r="AK77" s="386"/>
      <c r="AL77" s="386"/>
    </row>
    <row r="78" customFormat="false" ht="12.75" hidden="false" customHeight="false" outlineLevel="0" collapsed="false">
      <c r="A78" s="140" t="s">
        <v>247</v>
      </c>
      <c r="B78" s="408" t="s">
        <v>250</v>
      </c>
      <c r="C78" s="383"/>
      <c r="D78" s="384" t="n">
        <f aca="false">L78/$L$88</f>
        <v>0.00273317627941525</v>
      </c>
      <c r="E78" s="385" t="s">
        <v>433</v>
      </c>
      <c r="F78" s="385" t="s">
        <v>433</v>
      </c>
      <c r="G78" s="396"/>
      <c r="H78" s="385" t="s">
        <v>433</v>
      </c>
      <c r="I78" s="385" t="s">
        <v>433</v>
      </c>
      <c r="J78" s="396"/>
      <c r="K78" s="396"/>
      <c r="L78" s="386" t="n">
        <f aca="false">7*M78</f>
        <v>1921.5</v>
      </c>
      <c r="M78" s="386" t="n">
        <f aca="false">549/2</f>
        <v>274.5</v>
      </c>
      <c r="N78" s="387" t="n">
        <f aca="false">M78/1376</f>
        <v>0.199491279069767</v>
      </c>
      <c r="O78" s="387"/>
      <c r="P78" s="392" t="n">
        <f aca="false">Q78*P$7</f>
        <v>0</v>
      </c>
      <c r="Q78" s="386" t="n">
        <v>0</v>
      </c>
      <c r="R78" s="393" t="n">
        <f aca="false">+Q78/Q$8</f>
        <v>0</v>
      </c>
      <c r="S78" s="386"/>
      <c r="T78" s="392" t="n">
        <f aca="false">U78*T$7</f>
        <v>22234.5</v>
      </c>
      <c r="U78" s="392" t="n">
        <f aca="false">$M78*CMF</f>
        <v>308.8125</v>
      </c>
      <c r="V78" s="393" t="n">
        <f aca="false">+U78/U$8</f>
        <v>0.278963414634146</v>
      </c>
      <c r="W78" s="386"/>
      <c r="X78" s="392" t="n">
        <f aca="false">Y78*X$7</f>
        <v>18837.5625</v>
      </c>
      <c r="Y78" s="392" t="n">
        <f aca="false">$M78*CMF</f>
        <v>308.8125</v>
      </c>
      <c r="Z78" s="393" t="n">
        <f aca="false">+Y78/Y$8</f>
        <v>0.239947552447552</v>
      </c>
      <c r="AA78" s="386"/>
      <c r="AB78" s="392" t="n">
        <f aca="false">+X78+T78</f>
        <v>41072.0625</v>
      </c>
      <c r="AC78" s="394" t="n">
        <f aca="false">+AB78/AB$7</f>
        <v>308.8125</v>
      </c>
      <c r="AD78" s="393" t="n">
        <f aca="false">+AC78/AC$8</f>
        <v>0.257558381984988</v>
      </c>
      <c r="AE78" s="386"/>
      <c r="AF78" s="389"/>
      <c r="AG78" s="390"/>
      <c r="AI78" s="384"/>
      <c r="AJ78" s="386" t="n">
        <f aca="false">AJ77*12</f>
        <v>656838.133218075</v>
      </c>
      <c r="AK78" s="386"/>
      <c r="AL78" s="386"/>
    </row>
    <row r="79" customFormat="false" ht="12" hidden="false" customHeight="false" outlineLevel="0" collapsed="false">
      <c r="A79" s="140" t="s">
        <v>247</v>
      </c>
      <c r="B79" s="141" t="s">
        <v>251</v>
      </c>
      <c r="C79" s="383"/>
      <c r="D79" s="384" t="n">
        <f aca="false">L79/$L$88</f>
        <v>0</v>
      </c>
      <c r="E79" s="385" t="s">
        <v>517</v>
      </c>
      <c r="F79" s="385"/>
      <c r="G79" s="385"/>
      <c r="H79" s="385"/>
      <c r="I79" s="385"/>
      <c r="J79" s="385"/>
      <c r="K79" s="385"/>
      <c r="L79" s="386" t="n">
        <f aca="false">7*M79</f>
        <v>0</v>
      </c>
      <c r="M79" s="386" t="n">
        <f aca="false">0/2</f>
        <v>0</v>
      </c>
      <c r="N79" s="387" t="n">
        <f aca="false">M79/1376</f>
        <v>0</v>
      </c>
      <c r="O79" s="387"/>
      <c r="P79" s="392" t="n">
        <f aca="false">Q79*P$7</f>
        <v>0</v>
      </c>
      <c r="Q79" s="392"/>
      <c r="R79" s="393" t="n">
        <f aca="false">+Q79/Q$8</f>
        <v>0</v>
      </c>
      <c r="S79" s="386"/>
      <c r="T79" s="392" t="n">
        <f aca="false">U79*T$7</f>
        <v>0</v>
      </c>
      <c r="U79" s="392"/>
      <c r="V79" s="393" t="n">
        <f aca="false">+U79/U$8</f>
        <v>0</v>
      </c>
      <c r="W79" s="386"/>
      <c r="X79" s="392" t="n">
        <f aca="false">Y79*X$7</f>
        <v>0</v>
      </c>
      <c r="Y79" s="392"/>
      <c r="Z79" s="393" t="n">
        <f aca="false">+Y79/Y$8</f>
        <v>0</v>
      </c>
      <c r="AA79" s="386"/>
      <c r="AB79" s="392" t="n">
        <f aca="false">+X79+T79</f>
        <v>0</v>
      </c>
      <c r="AC79" s="394" t="n">
        <f aca="false">+AB79/AB$7</f>
        <v>0</v>
      </c>
      <c r="AD79" s="393" t="n">
        <f aca="false">+AC79/AC$8</f>
        <v>0</v>
      </c>
      <c r="AE79" s="386"/>
      <c r="AF79" s="389"/>
      <c r="AG79" s="390"/>
      <c r="AI79" s="384"/>
      <c r="AJ79" s="386" t="n">
        <f aca="false">AJ78/0.105</f>
        <v>6255601.26874358</v>
      </c>
      <c r="AK79" s="257"/>
      <c r="AL79" s="386"/>
    </row>
    <row r="80" customFormat="false" ht="12.75" hidden="false" customHeight="false" outlineLevel="0" collapsed="false">
      <c r="B80" s="375" t="s">
        <v>252</v>
      </c>
      <c r="C80" s="383"/>
      <c r="D80" s="384"/>
      <c r="E80" s="385"/>
      <c r="F80" s="385"/>
      <c r="G80" s="385"/>
      <c r="H80" s="385"/>
      <c r="I80" s="385"/>
      <c r="J80" s="385"/>
      <c r="K80" s="385"/>
      <c r="L80" s="386"/>
      <c r="M80" s="386"/>
      <c r="N80" s="387" t="n">
        <f aca="false">M80/1376</f>
        <v>0</v>
      </c>
      <c r="O80" s="387"/>
      <c r="P80" s="392"/>
      <c r="Q80" s="392"/>
      <c r="R80" s="393"/>
      <c r="S80" s="386"/>
      <c r="T80" s="392"/>
      <c r="U80" s="392"/>
      <c r="V80" s="393"/>
      <c r="W80" s="386"/>
      <c r="X80" s="392"/>
      <c r="Y80" s="392"/>
      <c r="Z80" s="393"/>
      <c r="AA80" s="386"/>
      <c r="AB80" s="392"/>
      <c r="AC80" s="394" t="s">
        <v>502</v>
      </c>
      <c r="AD80" s="393"/>
      <c r="AE80" s="386"/>
      <c r="AF80" s="389"/>
      <c r="AG80" s="390"/>
      <c r="AI80" s="384"/>
      <c r="AJ80" s="386"/>
      <c r="AK80" s="386"/>
      <c r="AL80" s="386"/>
    </row>
    <row r="81" customFormat="false" ht="12.75" hidden="false" customHeight="false" outlineLevel="0" collapsed="false">
      <c r="A81" s="140" t="s">
        <v>253</v>
      </c>
      <c r="B81" s="141" t="s">
        <v>254</v>
      </c>
      <c r="C81" s="383"/>
      <c r="D81" s="384" t="n">
        <f aca="false">L81/$L$88</f>
        <v>0.00478430310476877</v>
      </c>
      <c r="E81" s="385" t="s">
        <v>433</v>
      </c>
      <c r="F81" s="385" t="s">
        <v>433</v>
      </c>
      <c r="G81" s="396"/>
      <c r="H81" s="385" t="s">
        <v>433</v>
      </c>
      <c r="I81" s="385" t="s">
        <v>433</v>
      </c>
      <c r="J81" s="396"/>
      <c r="K81" s="397" t="s">
        <v>433</v>
      </c>
      <c r="L81" s="386" t="n">
        <f aca="false">7*M81</f>
        <v>3363.5</v>
      </c>
      <c r="M81" s="386" t="n">
        <f aca="false">961/2</f>
        <v>480.5</v>
      </c>
      <c r="N81" s="387" t="n">
        <f aca="false">M81/1376</f>
        <v>0.349200581395349</v>
      </c>
      <c r="O81" s="387"/>
      <c r="P81" s="392" t="n">
        <f aca="false">Q81*P$7</f>
        <v>540.5625</v>
      </c>
      <c r="Q81" s="392" t="n">
        <f aca="false">$M81*CMF</f>
        <v>540.5625</v>
      </c>
      <c r="R81" s="393" t="n">
        <f aca="false">+Q81/Q$8</f>
        <v>0.451220784641068</v>
      </c>
      <c r="S81" s="386"/>
      <c r="T81" s="392" t="n">
        <f aca="false">U81*T$7</f>
        <v>38920.5</v>
      </c>
      <c r="U81" s="392" t="n">
        <f aca="false">$M81*CMF</f>
        <v>540.5625</v>
      </c>
      <c r="V81" s="393" t="n">
        <f aca="false">+U81/U$8</f>
        <v>0.488313008130081</v>
      </c>
      <c r="W81" s="386"/>
      <c r="X81" s="392" t="n">
        <f aca="false">Y81*X$7</f>
        <v>32974.3125</v>
      </c>
      <c r="Y81" s="392" t="n">
        <f aca="false">$M81*CMF</f>
        <v>540.5625</v>
      </c>
      <c r="Z81" s="393" t="n">
        <f aca="false">+Y81/Y$8</f>
        <v>0.420017482517483</v>
      </c>
      <c r="AA81" s="386"/>
      <c r="AB81" s="392" t="n">
        <f aca="false">+X81+T81</f>
        <v>71894.8125</v>
      </c>
      <c r="AC81" s="394" t="n">
        <f aca="false">+AB81/AB$7</f>
        <v>540.5625</v>
      </c>
      <c r="AD81" s="393" t="n">
        <f aca="false">+AC81/AC$8</f>
        <v>0.450844453711426</v>
      </c>
      <c r="AE81" s="386"/>
      <c r="AF81" s="389"/>
      <c r="AG81" s="390"/>
      <c r="AH81" s="380"/>
      <c r="AJ81" s="386" t="n">
        <v>7000</v>
      </c>
      <c r="AK81" s="386"/>
      <c r="AL81" s="386"/>
    </row>
    <row r="82" customFormat="false" ht="12.75" hidden="false" customHeight="false" outlineLevel="0" collapsed="false">
      <c r="A82" s="140" t="s">
        <v>253</v>
      </c>
      <c r="B82" s="141" t="s">
        <v>256</v>
      </c>
      <c r="C82" s="383"/>
      <c r="D82" s="384" t="n">
        <f aca="false">L82/$L$88</f>
        <v>0.00174246210891683</v>
      </c>
      <c r="E82" s="385" t="s">
        <v>433</v>
      </c>
      <c r="F82" s="385" t="s">
        <v>433</v>
      </c>
      <c r="G82" s="396"/>
      <c r="H82" s="385" t="s">
        <v>433</v>
      </c>
      <c r="I82" s="385" t="s">
        <v>433</v>
      </c>
      <c r="J82" s="396"/>
      <c r="K82" s="397" t="s">
        <v>433</v>
      </c>
      <c r="L82" s="386" t="n">
        <f aca="false">7*M82</f>
        <v>1225</v>
      </c>
      <c r="M82" s="386" t="n">
        <f aca="false">350/2</f>
        <v>175</v>
      </c>
      <c r="N82" s="387" t="n">
        <f aca="false">M82/1376</f>
        <v>0.12718023255814</v>
      </c>
      <c r="O82" s="387"/>
      <c r="P82" s="392" t="n">
        <f aca="false">Q82*P$7</f>
        <v>171.407158430233</v>
      </c>
      <c r="Q82" s="392" t="n">
        <f aca="false">Q$8*$N82*CMF</f>
        <v>171.407158430233</v>
      </c>
      <c r="R82" s="393" t="n">
        <f aca="false">+Q82/Q$8</f>
        <v>0.143077761627907</v>
      </c>
      <c r="S82" s="386"/>
      <c r="T82" s="392" t="n">
        <f aca="false">U82*T$7</f>
        <v>11403.8699127907</v>
      </c>
      <c r="U82" s="392" t="n">
        <f aca="false">U$8*$N82*CMF</f>
        <v>158.387082122093</v>
      </c>
      <c r="V82" s="393" t="n">
        <f aca="false">+U82/U$8</f>
        <v>0.143077761627907</v>
      </c>
      <c r="W82" s="386"/>
      <c r="X82" s="392" t="n">
        <f aca="false">Y82*X$7</f>
        <v>11232.6058321221</v>
      </c>
      <c r="Y82" s="392" t="n">
        <f aca="false">Y$8*$N82*CMF</f>
        <v>184.141079215116</v>
      </c>
      <c r="Z82" s="393" t="n">
        <f aca="false">+Y82/Y$8</f>
        <v>0.143077761627907</v>
      </c>
      <c r="AA82" s="386"/>
      <c r="AB82" s="392" t="n">
        <f aca="false">+X82+T82</f>
        <v>22636.4757449128</v>
      </c>
      <c r="AC82" s="394" t="n">
        <f aca="false">+AB82/AB$7</f>
        <v>170.199065751224</v>
      </c>
      <c r="AD82" s="393" t="n">
        <f aca="false">+AC82/AC$8</f>
        <v>0.141950847165324</v>
      </c>
      <c r="AE82" s="386"/>
      <c r="AF82" s="389"/>
      <c r="AG82" s="390"/>
      <c r="AI82" s="384"/>
      <c r="AJ82" s="386" t="n">
        <f aca="false">1250*14+1220*14</f>
        <v>34580</v>
      </c>
      <c r="AK82" s="386"/>
      <c r="AL82" s="386"/>
    </row>
    <row r="83" customFormat="false" ht="12.75" hidden="false" customHeight="false" outlineLevel="0" collapsed="false">
      <c r="A83" s="140" t="s">
        <v>253</v>
      </c>
      <c r="B83" s="141" t="s">
        <v>257</v>
      </c>
      <c r="C83" s="383"/>
      <c r="D83" s="384" t="n">
        <f aca="false">L83/$L$88</f>
        <v>0.00488387236813545</v>
      </c>
      <c r="E83" s="385" t="s">
        <v>433</v>
      </c>
      <c r="F83" s="385" t="s">
        <v>433</v>
      </c>
      <c r="G83" s="396"/>
      <c r="H83" s="385" t="s">
        <v>433</v>
      </c>
      <c r="I83" s="385" t="s">
        <v>433</v>
      </c>
      <c r="J83" s="396"/>
      <c r="K83" s="397" t="s">
        <v>433</v>
      </c>
      <c r="L83" s="386" t="n">
        <f aca="false">7*M83</f>
        <v>3433.5</v>
      </c>
      <c r="M83" s="386" t="n">
        <f aca="false">981/2</f>
        <v>490.5</v>
      </c>
      <c r="N83" s="387" t="n">
        <f aca="false">M83/1376</f>
        <v>0.356468023255814</v>
      </c>
      <c r="O83" s="387"/>
      <c r="P83" s="392" t="n">
        <f aca="false">Q83*P$7</f>
        <v>551.8125</v>
      </c>
      <c r="Q83" s="392" t="n">
        <f aca="false">$M83*CMF</f>
        <v>551.8125</v>
      </c>
      <c r="R83" s="393" t="n">
        <f aca="false">+Q83/Q$8</f>
        <v>0.46061143572621</v>
      </c>
      <c r="S83" s="386"/>
      <c r="T83" s="392" t="n">
        <f aca="false">U83*T$7</f>
        <v>39730.5</v>
      </c>
      <c r="U83" s="392" t="n">
        <f aca="false">$M83*CMF</f>
        <v>551.8125</v>
      </c>
      <c r="V83" s="393" t="n">
        <f aca="false">+U83/U$8</f>
        <v>0.498475609756098</v>
      </c>
      <c r="W83" s="386"/>
      <c r="X83" s="392" t="n">
        <f aca="false">Y83*X$7</f>
        <v>33660.5625</v>
      </c>
      <c r="Y83" s="392" t="n">
        <f aca="false">$M83*CMF</f>
        <v>551.8125</v>
      </c>
      <c r="Z83" s="393" t="n">
        <f aca="false">+Y83/Y$8</f>
        <v>0.428758741258741</v>
      </c>
      <c r="AA83" s="386"/>
      <c r="AB83" s="392" t="n">
        <f aca="false">+X83+T83</f>
        <v>73391.0625</v>
      </c>
      <c r="AC83" s="394" t="n">
        <f aca="false">+AB83/AB$7</f>
        <v>551.8125</v>
      </c>
      <c r="AD83" s="393" t="n">
        <f aca="false">+AC83/AC$8</f>
        <v>0.460227272727273</v>
      </c>
      <c r="AE83" s="386"/>
      <c r="AF83" s="389"/>
      <c r="AG83" s="390"/>
      <c r="AI83" s="384"/>
      <c r="AJ83" s="386" t="n">
        <f aca="false">28*3*475</f>
        <v>39900</v>
      </c>
      <c r="AK83" s="386"/>
      <c r="AL83" s="386"/>
    </row>
    <row r="84" customFormat="false" ht="12.75" hidden="false" customHeight="false" outlineLevel="0" collapsed="false">
      <c r="A84" s="140" t="s">
        <v>253</v>
      </c>
      <c r="B84" s="141" t="s">
        <v>258</v>
      </c>
      <c r="C84" s="383"/>
      <c r="D84" s="384" t="n">
        <f aca="false">L84/$L$88</f>
        <v>0.00439598297763874</v>
      </c>
      <c r="E84" s="385" t="s">
        <v>433</v>
      </c>
      <c r="F84" s="385" t="s">
        <v>433</v>
      </c>
      <c r="G84" s="396"/>
      <c r="H84" s="385" t="s">
        <v>433</v>
      </c>
      <c r="I84" s="385" t="s">
        <v>433</v>
      </c>
      <c r="J84" s="396"/>
      <c r="K84" s="397" t="s">
        <v>433</v>
      </c>
      <c r="L84" s="386" t="n">
        <f aca="false">7*M84</f>
        <v>3090.5</v>
      </c>
      <c r="M84" s="386" t="n">
        <f aca="false">883/2</f>
        <v>441.5</v>
      </c>
      <c r="N84" s="387" t="n">
        <f aca="false">M84/1376</f>
        <v>0.320857558139535</v>
      </c>
      <c r="O84" s="387"/>
      <c r="P84" s="392" t="n">
        <f aca="false">Q84*P$7</f>
        <v>496.6875</v>
      </c>
      <c r="Q84" s="392" t="n">
        <f aca="false">$M84*CMF</f>
        <v>496.6875</v>
      </c>
      <c r="R84" s="393" t="n">
        <f aca="false">+Q84/Q$8</f>
        <v>0.414597245409015</v>
      </c>
      <c r="S84" s="386"/>
      <c r="T84" s="392" t="n">
        <f aca="false">U84*T$7</f>
        <v>35761.5</v>
      </c>
      <c r="U84" s="392" t="n">
        <f aca="false">$M84*CMF</f>
        <v>496.6875</v>
      </c>
      <c r="V84" s="393" t="n">
        <f aca="false">+U84/U$8</f>
        <v>0.448678861788618</v>
      </c>
      <c r="W84" s="386"/>
      <c r="X84" s="392" t="n">
        <f aca="false">Y84*X$7</f>
        <v>30297.9375</v>
      </c>
      <c r="Y84" s="392" t="n">
        <f aca="false">$M84*CMF</f>
        <v>496.6875</v>
      </c>
      <c r="Z84" s="393" t="n">
        <f aca="false">+Y84/Y$8</f>
        <v>0.385926573426573</v>
      </c>
      <c r="AA84" s="386"/>
      <c r="AB84" s="392" t="n">
        <f aca="false">+X84+T84</f>
        <v>66059.4375</v>
      </c>
      <c r="AC84" s="394" t="n">
        <f aca="false">+AB84/AB$7</f>
        <v>496.6875</v>
      </c>
      <c r="AD84" s="393" t="n">
        <f aca="false">+AC84/AC$8</f>
        <v>0.414251459549625</v>
      </c>
      <c r="AE84" s="386"/>
      <c r="AF84" s="389"/>
      <c r="AH84" s="380"/>
      <c r="AJ84" s="386" t="n">
        <f aca="false">+AJ83-AJ82</f>
        <v>5320</v>
      </c>
      <c r="AK84" s="386"/>
      <c r="AL84" s="386"/>
    </row>
    <row r="85" customFormat="false" ht="12.75" hidden="false" customHeight="false" outlineLevel="0" collapsed="false">
      <c r="A85" s="140" t="s">
        <v>253</v>
      </c>
      <c r="B85" s="141" t="s">
        <v>259</v>
      </c>
      <c r="C85" s="383"/>
      <c r="D85" s="384" t="n">
        <f aca="false">L85/$L$88</f>
        <v>0.000492867853665045</v>
      </c>
      <c r="E85" s="385" t="s">
        <v>433</v>
      </c>
      <c r="F85" s="385" t="s">
        <v>433</v>
      </c>
      <c r="G85" s="396"/>
      <c r="H85" s="385" t="s">
        <v>433</v>
      </c>
      <c r="I85" s="385" t="s">
        <v>433</v>
      </c>
      <c r="J85" s="396"/>
      <c r="K85" s="397" t="s">
        <v>433</v>
      </c>
      <c r="L85" s="386" t="n">
        <f aca="false">7*M85</f>
        <v>346.5</v>
      </c>
      <c r="M85" s="386" t="n">
        <f aca="false">99/2</f>
        <v>49.5</v>
      </c>
      <c r="N85" s="387" t="n">
        <f aca="false">M85/1376</f>
        <v>0.0359738372093023</v>
      </c>
      <c r="O85" s="387"/>
      <c r="P85" s="392" t="n">
        <f aca="false">Q85*P$7</f>
        <v>55.6875</v>
      </c>
      <c r="Q85" s="392" t="n">
        <f aca="false">$M85*CMF</f>
        <v>55.6875</v>
      </c>
      <c r="R85" s="393" t="n">
        <f aca="false">+Q85/Q$8</f>
        <v>0.0464837228714524</v>
      </c>
      <c r="S85" s="386"/>
      <c r="T85" s="392" t="n">
        <f aca="false">U85*T$7</f>
        <v>4009.5</v>
      </c>
      <c r="U85" s="392" t="n">
        <f aca="false">$M85*CMF</f>
        <v>55.6875</v>
      </c>
      <c r="V85" s="393" t="n">
        <f aca="false">+U85/U$8</f>
        <v>0.0503048780487805</v>
      </c>
      <c r="W85" s="386"/>
      <c r="X85" s="392" t="n">
        <f aca="false">Y85*X$7</f>
        <v>3396.9375</v>
      </c>
      <c r="Y85" s="392" t="n">
        <f aca="false">$M85*CMF</f>
        <v>55.6875</v>
      </c>
      <c r="Z85" s="393" t="n">
        <f aca="false">+Y85/Y$8</f>
        <v>0.0432692307692308</v>
      </c>
      <c r="AA85" s="386"/>
      <c r="AB85" s="392" t="n">
        <f aca="false">+X85+T85</f>
        <v>7406.4375</v>
      </c>
      <c r="AC85" s="394" t="n">
        <f aca="false">+AB85/AB$7</f>
        <v>55.6875</v>
      </c>
      <c r="AD85" s="393" t="n">
        <f aca="false">+AC85/AC$8</f>
        <v>0.0464449541284404</v>
      </c>
      <c r="AE85" s="386"/>
      <c r="AF85" s="389"/>
      <c r="AG85" s="386"/>
      <c r="AI85" s="384"/>
      <c r="AJ85" s="386" t="n">
        <f aca="false">+AJ84+AJ81</f>
        <v>12320</v>
      </c>
      <c r="AK85" s="386"/>
      <c r="AL85" s="386"/>
    </row>
    <row r="86" customFormat="false" ht="12.75" hidden="false" customHeight="false" outlineLevel="0" collapsed="false">
      <c r="A86" s="140" t="s">
        <v>153</v>
      </c>
      <c r="B86" s="375" t="s">
        <v>260</v>
      </c>
      <c r="C86" s="383"/>
      <c r="D86" s="384" t="n">
        <f aca="false">L86/$L$88</f>
        <v>0.00995692633666758</v>
      </c>
      <c r="E86" s="385" t="s">
        <v>433</v>
      </c>
      <c r="F86" s="385" t="s">
        <v>433</v>
      </c>
      <c r="G86" s="396"/>
      <c r="H86" s="385" t="s">
        <v>433</v>
      </c>
      <c r="I86" s="385" t="s">
        <v>433</v>
      </c>
      <c r="J86" s="396"/>
      <c r="K86" s="397" t="s">
        <v>433</v>
      </c>
      <c r="L86" s="386" t="n">
        <f aca="false">7*M86</f>
        <v>7000</v>
      </c>
      <c r="M86" s="386" t="n">
        <f aca="false">2000/2</f>
        <v>1000</v>
      </c>
      <c r="N86" s="387" t="n">
        <f aca="false">M86/1376</f>
        <v>0.726744186046512</v>
      </c>
      <c r="O86" s="387"/>
      <c r="P86" s="392" t="n">
        <f aca="false">Q86*P$7</f>
        <v>1125</v>
      </c>
      <c r="Q86" s="392" t="n">
        <f aca="false">$M86*CMF</f>
        <v>1125</v>
      </c>
      <c r="R86" s="393" t="n">
        <f aca="false">+Q86/Q$8</f>
        <v>0.93906510851419</v>
      </c>
      <c r="S86" s="386"/>
      <c r="T86" s="392" t="n">
        <f aca="false">U86*T$7</f>
        <v>81000</v>
      </c>
      <c r="U86" s="392" t="n">
        <f aca="false">$M86*CMF</f>
        <v>1125</v>
      </c>
      <c r="V86" s="393" t="n">
        <f aca="false">+U86/U$8</f>
        <v>1.01626016260163</v>
      </c>
      <c r="W86" s="386"/>
      <c r="X86" s="392" t="n">
        <f aca="false">Y86*X$7</f>
        <v>68625</v>
      </c>
      <c r="Y86" s="392" t="n">
        <f aca="false">$M86*CMF</f>
        <v>1125</v>
      </c>
      <c r="Z86" s="393" t="n">
        <f aca="false">+Y86/Y$8</f>
        <v>0.874125874125874</v>
      </c>
      <c r="AA86" s="386"/>
      <c r="AB86" s="392" t="n">
        <f aca="false">+X86+T86</f>
        <v>149625</v>
      </c>
      <c r="AC86" s="394" t="n">
        <f aca="false">+AB86/AB$7</f>
        <v>1125</v>
      </c>
      <c r="AD86" s="393" t="n">
        <f aca="false">+AC86/AC$8</f>
        <v>0.938281901584654</v>
      </c>
      <c r="AE86" s="386"/>
      <c r="AF86" s="389"/>
      <c r="AI86" s="384"/>
      <c r="AJ86" s="386" t="n">
        <f aca="false">AJ85*0.58</f>
        <v>7145.6</v>
      </c>
      <c r="AK86" s="386"/>
      <c r="AL86" s="386"/>
    </row>
    <row r="87" customFormat="false" ht="12.75" hidden="false" customHeight="false" outlineLevel="0" collapsed="false">
      <c r="A87" s="140" t="s">
        <v>261</v>
      </c>
      <c r="B87" s="375" t="s">
        <v>262</v>
      </c>
      <c r="C87" s="383"/>
      <c r="D87" s="384" t="n">
        <f aca="false">L87/$L$88</f>
        <v>0.0127996288057862</v>
      </c>
      <c r="E87" s="385" t="s">
        <v>433</v>
      </c>
      <c r="F87" s="385" t="s">
        <v>433</v>
      </c>
      <c r="G87" s="396"/>
      <c r="H87" s="385" t="s">
        <v>433</v>
      </c>
      <c r="I87" s="385" t="s">
        <v>433</v>
      </c>
      <c r="J87" s="396"/>
      <c r="K87" s="397" t="s">
        <v>433</v>
      </c>
      <c r="L87" s="386" t="n">
        <f aca="false">7*M87</f>
        <v>8998.5</v>
      </c>
      <c r="M87" s="386" t="n">
        <f aca="false">2571/2</f>
        <v>1285.5</v>
      </c>
      <c r="N87" s="387" t="n">
        <f aca="false">M87/1376</f>
        <v>0.934229651162791</v>
      </c>
      <c r="O87" s="387"/>
      <c r="P87" s="392" t="n">
        <f aca="false">Q87*P$7</f>
        <v>1373.4727443609</v>
      </c>
      <c r="Q87" s="392" t="n">
        <f aca="false">(((1000+500+500+500)*4.33*15)*CMF)/SM134Units</f>
        <v>1373.4727443609</v>
      </c>
      <c r="R87" s="393" t="n">
        <f aca="false">+Q87/Q$8</f>
        <v>1.14647140597738</v>
      </c>
      <c r="S87" s="386"/>
      <c r="T87" s="392" t="n">
        <f aca="false">U87*T$7</f>
        <v>98890.037593985</v>
      </c>
      <c r="U87" s="392" t="n">
        <f aca="false">(((1000+500+500+500)*4.33*15)*CMF)/SM134Units</f>
        <v>1373.4727443609</v>
      </c>
      <c r="V87" s="393" t="n">
        <f aca="false">+U87/U$8</f>
        <v>1.24071611956721</v>
      </c>
      <c r="W87" s="386"/>
      <c r="X87" s="392" t="n">
        <f aca="false">Y87*X$7</f>
        <v>83781.837406015</v>
      </c>
      <c r="Y87" s="392" t="n">
        <f aca="false">(((1000+500+500+500)*4.33*15)*CMF)/SM134Units</f>
        <v>1373.4727443609</v>
      </c>
      <c r="Z87" s="393" t="n">
        <f aca="false">+Y87/Y$8</f>
        <v>1.06718938955781</v>
      </c>
      <c r="AA87" s="386"/>
      <c r="AB87" s="392" t="n">
        <f aca="false">+X87+T87</f>
        <v>182671.875</v>
      </c>
      <c r="AC87" s="394" t="n">
        <f aca="false">+AB87/AB$7</f>
        <v>1373.4727443609</v>
      </c>
      <c r="AD87" s="393" t="n">
        <f aca="false">+AC87/AC$8</f>
        <v>1.14551521631435</v>
      </c>
      <c r="AE87" s="386"/>
      <c r="AF87" s="389"/>
      <c r="AH87" s="386"/>
      <c r="AJ87" s="141" t="n">
        <f aca="false">0.5*AJ78/12</f>
        <v>27368.2555507531</v>
      </c>
      <c r="AL87" s="386"/>
    </row>
    <row r="88" customFormat="false" ht="12.75" hidden="false" customHeight="false" outlineLevel="0" collapsed="false">
      <c r="A88" s="413"/>
      <c r="B88" s="414" t="s">
        <v>518</v>
      </c>
      <c r="C88" s="414"/>
      <c r="D88" s="415" t="n">
        <f aca="false">SUM(D9:D87)</f>
        <v>1</v>
      </c>
      <c r="E88" s="416" t="s">
        <v>519</v>
      </c>
      <c r="F88" s="416" t="s">
        <v>519</v>
      </c>
      <c r="G88" s="416"/>
      <c r="H88" s="416" t="s">
        <v>519</v>
      </c>
      <c r="I88" s="416" t="s">
        <v>519</v>
      </c>
      <c r="J88" s="416"/>
      <c r="K88" s="416"/>
      <c r="L88" s="417" t="n">
        <f aca="false">+SUM(L9:L87)</f>
        <v>703028.2</v>
      </c>
      <c r="M88" s="417" t="n">
        <f aca="false">+SUM(M9:M87)</f>
        <v>60898.05</v>
      </c>
      <c r="N88" s="418" t="n">
        <f aca="false">M88/1376</f>
        <v>44.2573037790698</v>
      </c>
      <c r="O88" s="418"/>
      <c r="P88" s="419" t="n">
        <f aca="false">+SUM(P9:P87)</f>
        <v>68702.0358724884</v>
      </c>
      <c r="Q88" s="417" t="n">
        <f aca="false">+SUM(Q9:Q87)</f>
        <v>68702.0358724884</v>
      </c>
      <c r="R88" s="419" t="n">
        <f aca="false">+Q88/Q$8</f>
        <v>57.3472753526614</v>
      </c>
      <c r="S88" s="420"/>
      <c r="T88" s="417" t="n">
        <f aca="false">+SUM(T9:T87)</f>
        <v>4682102.4296055</v>
      </c>
      <c r="U88" s="417" t="n">
        <f aca="false">+SUM(U9:U87)</f>
        <v>65029.2004111875</v>
      </c>
      <c r="V88" s="419" t="n">
        <f aca="false">+U88/U$8</f>
        <v>58.7436318077574</v>
      </c>
      <c r="W88" s="421"/>
      <c r="X88" s="417" t="n">
        <f aca="false">+SUM(X9:X87)</f>
        <v>4388688.28040916</v>
      </c>
      <c r="Y88" s="417" t="n">
        <f aca="false">+SUM(Y9:Y87)</f>
        <v>71945.7095149043</v>
      </c>
      <c r="Z88" s="419" t="n">
        <f aca="false">+Y88/Y$8</f>
        <v>55.9018721949528</v>
      </c>
      <c r="AA88" s="421"/>
      <c r="AB88" s="422" t="n">
        <f aca="false">+SUM(AB9:AB87)</f>
        <v>9070790.71001466</v>
      </c>
      <c r="AC88" s="417" t="n">
        <f aca="false">+SUM(AC9:AC87)</f>
        <v>68201.4339098847</v>
      </c>
      <c r="AD88" s="419" t="n">
        <f aca="false">+AC88/AC$8</f>
        <v>56.8819298664593</v>
      </c>
      <c r="AE88" s="423"/>
      <c r="AF88" s="424"/>
      <c r="AJ88" s="141" t="n">
        <f aca="false">+AJ87+AJ86</f>
        <v>34513.8555507531</v>
      </c>
    </row>
    <row r="89" customFormat="false" ht="12.75" hidden="false" customHeight="false" outlineLevel="0" collapsed="false">
      <c r="L89" s="391"/>
      <c r="T89" s="386"/>
      <c r="U89" s="386"/>
      <c r="V89" s="386"/>
      <c r="W89" s="386"/>
      <c r="X89" s="386"/>
      <c r="Y89" s="386"/>
      <c r="Z89" s="386"/>
      <c r="AA89" s="386"/>
      <c r="AB89" s="386"/>
      <c r="AC89" s="386"/>
      <c r="AD89" s="386"/>
      <c r="AE89" s="386"/>
      <c r="AF89" s="389"/>
    </row>
    <row r="90" customFormat="false" ht="12" hidden="false" customHeight="false" outlineLevel="0" collapsed="false">
      <c r="L90" s="425" t="s">
        <v>54</v>
      </c>
      <c r="M90" s="425" t="s">
        <v>266</v>
      </c>
    </row>
    <row r="91" customFormat="false" ht="12" hidden="false" customHeight="false" outlineLevel="0" collapsed="false">
      <c r="B91" s="375" t="s">
        <v>267</v>
      </c>
      <c r="L91" s="141" t="n">
        <f aca="false">10.3*43560*2.5</f>
        <v>1121670</v>
      </c>
      <c r="M91" s="141" t="n">
        <f aca="false">L91/10.3</f>
        <v>108900</v>
      </c>
      <c r="P91" s="426" t="n">
        <f aca="false">Q91*P$7</f>
        <v>8433.60902255639</v>
      </c>
      <c r="Q91" s="426" t="n">
        <f aca="false">+$L91/SM134Units</f>
        <v>8433.60902255639</v>
      </c>
      <c r="R91" s="203" t="n">
        <f aca="false">+Q91/Q$8</f>
        <v>7.03974041949615</v>
      </c>
      <c r="T91" s="426" t="n">
        <f aca="false">U91*T$7</f>
        <v>607219.84962406</v>
      </c>
      <c r="U91" s="426" t="n">
        <f aca="false">+$L91/SM134Units</f>
        <v>8433.60902255639</v>
      </c>
      <c r="V91" s="203" t="n">
        <f aca="false">+U91/U$8</f>
        <v>7.61843633473929</v>
      </c>
      <c r="X91" s="426" t="n">
        <f aca="false">Y91*X$7</f>
        <v>514450.15037594</v>
      </c>
      <c r="Y91" s="426" t="n">
        <f aca="false">+$L91/SM134Units</f>
        <v>8433.60902255639</v>
      </c>
      <c r="Z91" s="203" t="n">
        <f aca="false">+Y91/Y$8</f>
        <v>6.55292076344708</v>
      </c>
      <c r="AB91" s="388" t="n">
        <f aca="false">+X91+T91</f>
        <v>1121670</v>
      </c>
      <c r="AC91" s="426" t="n">
        <f aca="false">+AB91/AB$7</f>
        <v>8433.60902255639</v>
      </c>
      <c r="AD91" s="203" t="n">
        <f aca="false">+AC91/AC$8</f>
        <v>7.03386907636063</v>
      </c>
    </row>
    <row r="92" customFormat="false" ht="12" hidden="false" customHeight="false" outlineLevel="0" collapsed="false">
      <c r="B92" s="354" t="s">
        <v>269</v>
      </c>
      <c r="P92" s="427"/>
      <c r="R92" s="387"/>
    </row>
    <row r="93" customFormat="false" ht="12" hidden="false" customHeight="false" outlineLevel="0" collapsed="false">
      <c r="B93" s="141" t="s">
        <v>520</v>
      </c>
      <c r="L93" s="141" t="n">
        <f aca="false">+L148*CMF</f>
        <v>294300</v>
      </c>
      <c r="M93" s="141" t="n">
        <f aca="false">L93/10.3</f>
        <v>28572.8155339806</v>
      </c>
      <c r="P93" s="427" t="n">
        <f aca="false">Q93*P$7</f>
        <v>2212.78195488722</v>
      </c>
      <c r="Q93" s="141" t="n">
        <f aca="false">+$L93/SM134Units</f>
        <v>2212.78195488722</v>
      </c>
      <c r="R93" s="203" t="n">
        <f aca="false">+Q93/Q$8</f>
        <v>1.84706340140836</v>
      </c>
      <c r="T93" s="426" t="n">
        <f aca="false">U93*T$7</f>
        <v>159320.30075188</v>
      </c>
      <c r="U93" s="141" t="n">
        <f aca="false">+$L93/SM134Units</f>
        <v>2212.78195488722</v>
      </c>
      <c r="V93" s="203" t="n">
        <f aca="false">+U93/U$8</f>
        <v>1.998899688245</v>
      </c>
      <c r="X93" s="426" t="n">
        <f aca="false">Y93*X$7</f>
        <v>134979.69924812</v>
      </c>
      <c r="Y93" s="141" t="n">
        <f aca="false">+$L93/SM134Units</f>
        <v>2212.78195488722</v>
      </c>
      <c r="Z93" s="203" t="n">
        <f aca="false">+Y93/Y$8</f>
        <v>1.71933329828067</v>
      </c>
      <c r="AB93" s="388" t="n">
        <f aca="false">+X93+T93</f>
        <v>294300</v>
      </c>
      <c r="AC93" s="426" t="n">
        <f aca="false">+AB93/AB$7</f>
        <v>2212.78195488722</v>
      </c>
      <c r="AD93" s="203" t="n">
        <f aca="false">+AC93/AC$8</f>
        <v>1.84552289815448</v>
      </c>
    </row>
    <row r="94" customFormat="false" ht="12" hidden="false" customHeight="false" outlineLevel="0" collapsed="false">
      <c r="B94" s="141" t="s">
        <v>521</v>
      </c>
      <c r="L94" s="141" t="n">
        <f aca="false">+L149*8*CMF</f>
        <v>41202</v>
      </c>
      <c r="M94" s="141" t="n">
        <f aca="false">L94/10.3</f>
        <v>4000.19417475728</v>
      </c>
      <c r="P94" s="427" t="n">
        <f aca="false">Q94*P$7</f>
        <v>309.789473684211</v>
      </c>
      <c r="Q94" s="141" t="n">
        <f aca="false">+$L94/SM134Units</f>
        <v>309.789473684211</v>
      </c>
      <c r="R94" s="387" t="n">
        <f aca="false">+Q94/Q$8</f>
        <v>0.258588876197171</v>
      </c>
      <c r="T94" s="427" t="n">
        <f aca="false">U94*T$7</f>
        <v>22304.8421052632</v>
      </c>
      <c r="U94" s="141" t="n">
        <f aca="false">+$L94/SM134Units</f>
        <v>309.789473684211</v>
      </c>
      <c r="V94" s="387" t="n">
        <f aca="false">+U94/U$8</f>
        <v>0.2798459563543</v>
      </c>
      <c r="X94" s="427" t="n">
        <f aca="false">Y94*X$7</f>
        <v>18897.1578947368</v>
      </c>
      <c r="Y94" s="141" t="n">
        <f aca="false">+$L94/SM134Units</f>
        <v>309.789473684211</v>
      </c>
      <c r="Z94" s="387" t="n">
        <f aca="false">+Y94/Y$8</f>
        <v>0.240706661759293</v>
      </c>
      <c r="AB94" s="386" t="n">
        <f aca="false">+X94+T94</f>
        <v>41202</v>
      </c>
      <c r="AC94" s="207" t="n">
        <f aca="false">+AB94/AB$7</f>
        <v>309.789473684211</v>
      </c>
      <c r="AD94" s="387" t="n">
        <f aca="false">+AC94/AC$8</f>
        <v>0.258373205741627</v>
      </c>
    </row>
    <row r="95" customFormat="false" ht="12" hidden="false" customHeight="false" outlineLevel="0" collapsed="false">
      <c r="B95" s="141" t="s">
        <v>288</v>
      </c>
      <c r="L95" s="141" t="n">
        <f aca="false">L147*0.5*CMF</f>
        <v>73575</v>
      </c>
      <c r="M95" s="141" t="n">
        <f aca="false">L95/10.3</f>
        <v>7143.20388349515</v>
      </c>
      <c r="P95" s="427" t="n">
        <f aca="false">Q95*P$7</f>
        <v>553.195488721805</v>
      </c>
      <c r="Q95" s="141" t="n">
        <f aca="false">+$L95/SM134Units</f>
        <v>553.195488721805</v>
      </c>
      <c r="R95" s="387" t="n">
        <f aca="false">+Q95/Q$8</f>
        <v>0.461765850352091</v>
      </c>
      <c r="T95" s="427" t="n">
        <f aca="false">U95*T$7</f>
        <v>39830.0751879699</v>
      </c>
      <c r="U95" s="141" t="n">
        <f aca="false">+$L95/SM134Units</f>
        <v>553.195488721805</v>
      </c>
      <c r="V95" s="387" t="n">
        <f aca="false">+U95/U$8</f>
        <v>0.499724922061251</v>
      </c>
      <c r="X95" s="427" t="n">
        <f aca="false">Y95*X$7</f>
        <v>33744.9248120301</v>
      </c>
      <c r="Y95" s="141" t="n">
        <f aca="false">+$L95/SM134Units</f>
        <v>553.195488721805</v>
      </c>
      <c r="Z95" s="387" t="n">
        <f aca="false">+Y95/Y$8</f>
        <v>0.429833324570167</v>
      </c>
      <c r="AB95" s="386" t="n">
        <f aca="false">+X95+T95</f>
        <v>73575</v>
      </c>
      <c r="AC95" s="207" t="n">
        <f aca="false">+AB95/AB$7</f>
        <v>553.195488721805</v>
      </c>
      <c r="AD95" s="387" t="n">
        <f aca="false">+AC95/AC$8</f>
        <v>0.461380724538619</v>
      </c>
    </row>
    <row r="96" customFormat="false" ht="12" hidden="false" customHeight="false" outlineLevel="0" collapsed="false">
      <c r="B96" s="141" t="s">
        <v>522</v>
      </c>
      <c r="L96" s="141" t="n">
        <f aca="false">545*4*35*CMF</f>
        <v>85837.5</v>
      </c>
      <c r="M96" s="141" t="n">
        <f aca="false">L96/10.3</f>
        <v>8333.73786407767</v>
      </c>
      <c r="P96" s="427" t="n">
        <f aca="false">Q96*P$7</f>
        <v>645.394736842105</v>
      </c>
      <c r="Q96" s="141" t="n">
        <f aca="false">+$L96/SM134Units</f>
        <v>645.394736842105</v>
      </c>
      <c r="R96" s="387" t="n">
        <f aca="false">+Q96/Q$8</f>
        <v>0.538726825410772</v>
      </c>
      <c r="T96" s="427" t="n">
        <f aca="false">U96*T$7</f>
        <v>46468.4210526316</v>
      </c>
      <c r="U96" s="141" t="n">
        <f aca="false">+$L96/SM134Units</f>
        <v>645.394736842105</v>
      </c>
      <c r="V96" s="387" t="n">
        <f aca="false">+U96/U$8</f>
        <v>0.583012409071459</v>
      </c>
      <c r="X96" s="427" t="n">
        <f aca="false">Y96*X$7</f>
        <v>39369.0789473684</v>
      </c>
      <c r="Y96" s="141" t="n">
        <f aca="false">+$L96/SM134Units</f>
        <v>645.394736842105</v>
      </c>
      <c r="Z96" s="387" t="n">
        <f aca="false">+Y96/Y$8</f>
        <v>0.501472211998528</v>
      </c>
      <c r="AB96" s="386" t="n">
        <f aca="false">+X96+T96</f>
        <v>85837.5</v>
      </c>
      <c r="AC96" s="207" t="n">
        <f aca="false">+AB96/AB$7</f>
        <v>645.394736842105</v>
      </c>
      <c r="AD96" s="387" t="n">
        <f aca="false">+AC96/AC$8</f>
        <v>0.538277511961723</v>
      </c>
    </row>
    <row r="97" customFormat="false" ht="12" hidden="false" customHeight="false" outlineLevel="0" collapsed="false">
      <c r="B97" s="141" t="s">
        <v>523</v>
      </c>
      <c r="L97" s="141" t="n">
        <f aca="false">N141*1.5*CMF</f>
        <v>237908.279806215</v>
      </c>
      <c r="M97" s="141" t="n">
        <f aca="false">L97/10.3</f>
        <v>23097.8912433218</v>
      </c>
      <c r="P97" s="427" t="n">
        <f aca="false">Q97*P$7</f>
        <v>1788.78405869334</v>
      </c>
      <c r="Q97" s="141" t="n">
        <f aca="false">+$L97/SM134Units</f>
        <v>1788.78405869334</v>
      </c>
      <c r="R97" s="387" t="n">
        <f aca="false">+Q97/Q$8</f>
        <v>1.49314195216473</v>
      </c>
      <c r="T97" s="427" t="n">
        <f aca="false">U97*T$7</f>
        <v>128792.452225921</v>
      </c>
      <c r="U97" s="141" t="n">
        <f aca="false">+$L97/SM134Units</f>
        <v>1788.78405869334</v>
      </c>
      <c r="V97" s="387" t="n">
        <f aca="false">+U97/U$8</f>
        <v>1.61588442519724</v>
      </c>
      <c r="X97" s="427" t="n">
        <f aca="false">Y97*X$7</f>
        <v>109115.827580294</v>
      </c>
      <c r="Y97" s="141" t="n">
        <f aca="false">+$L97/SM134Units</f>
        <v>1788.78405869334</v>
      </c>
      <c r="Z97" s="387" t="n">
        <f aca="false">+Y97/Y$8</f>
        <v>1.38988660349133</v>
      </c>
      <c r="AB97" s="386" t="n">
        <f aca="false">+X97+T97</f>
        <v>237908.279806215</v>
      </c>
      <c r="AC97" s="207" t="n">
        <f aca="false">+AB97/AB$7</f>
        <v>1788.78405869334</v>
      </c>
      <c r="AD97" s="387" t="n">
        <f aca="false">+AC97/AC$8</f>
        <v>1.49189662943565</v>
      </c>
    </row>
    <row r="98" customFormat="false" ht="12" hidden="false" customHeight="false" outlineLevel="0" collapsed="false">
      <c r="B98" s="141" t="s">
        <v>297</v>
      </c>
      <c r="L98" s="141" t="n">
        <f aca="false">+L158*CMF</f>
        <v>11250</v>
      </c>
      <c r="M98" s="141" t="n">
        <f aca="false">L98/10.3</f>
        <v>1092.23300970874</v>
      </c>
      <c r="P98" s="427" t="n">
        <f aca="false">Q98*P$7</f>
        <v>84.5864661654135</v>
      </c>
      <c r="Q98" s="141" t="n">
        <f aca="false">+$L98/SM134Units</f>
        <v>84.5864661654135</v>
      </c>
      <c r="R98" s="387" t="n">
        <f aca="false">+Q98/Q$8</f>
        <v>0.0706063991364053</v>
      </c>
      <c r="T98" s="427" t="n">
        <f aca="false">U98*T$7</f>
        <v>6090.22556390978</v>
      </c>
      <c r="U98" s="141" t="n">
        <f aca="false">+$L98/SM134Units</f>
        <v>84.5864661654135</v>
      </c>
      <c r="V98" s="387" t="n">
        <f aca="false">+U98/U$8</f>
        <v>0.0764105385414756</v>
      </c>
      <c r="X98" s="427" t="n">
        <f aca="false">Y98*X$7</f>
        <v>5159.77443609023</v>
      </c>
      <c r="Y98" s="141" t="n">
        <f aca="false">+$L98/SM134Units</f>
        <v>84.5864661654135</v>
      </c>
      <c r="Z98" s="387" t="n">
        <f aca="false">+Y98/Y$8</f>
        <v>0.0657237499342763</v>
      </c>
      <c r="AB98" s="386" t="n">
        <f aca="false">+X98+T98</f>
        <v>11250</v>
      </c>
      <c r="AC98" s="207" t="n">
        <f aca="false">+AB98/AB$7</f>
        <v>84.5864661654135</v>
      </c>
      <c r="AD98" s="387" t="n">
        <f aca="false">+AC98/AC$8</f>
        <v>0.0705475113973424</v>
      </c>
    </row>
    <row r="99" customFormat="false" ht="12" hidden="false" customHeight="false" outlineLevel="0" collapsed="false">
      <c r="B99" s="141" t="s">
        <v>293</v>
      </c>
      <c r="L99" s="141" t="n">
        <f aca="false">+L161*CMF</f>
        <v>35437.5</v>
      </c>
      <c r="M99" s="141" t="n">
        <f aca="false">L99/10.3</f>
        <v>3440.53398058252</v>
      </c>
      <c r="P99" s="427" t="n">
        <f aca="false">Q99*P$7</f>
        <v>266.447368421053</v>
      </c>
      <c r="Q99" s="141" t="n">
        <f aca="false">+$L99/SM134Units</f>
        <v>266.447368421053</v>
      </c>
      <c r="R99" s="387" t="n">
        <f aca="false">+Q99/Q$8</f>
        <v>0.222410157279677</v>
      </c>
      <c r="T99" s="427" t="n">
        <f aca="false">U99*T$7</f>
        <v>19184.2105263158</v>
      </c>
      <c r="U99" s="141" t="n">
        <f aca="false">+$L99/SM134Units</f>
        <v>266.447368421053</v>
      </c>
      <c r="V99" s="387" t="n">
        <f aca="false">+U99/U$8</f>
        <v>0.240693196405648</v>
      </c>
      <c r="X99" s="427" t="n">
        <f aca="false">Y99*X$7</f>
        <v>16253.2894736842</v>
      </c>
      <c r="Y99" s="141" t="n">
        <f aca="false">+$L99/SM134Units</f>
        <v>266.447368421053</v>
      </c>
      <c r="Z99" s="387" t="n">
        <f aca="false">+Y99/Y$8</f>
        <v>0.20702981229297</v>
      </c>
      <c r="AB99" s="386" t="n">
        <f aca="false">+X99+T99</f>
        <v>35437.5</v>
      </c>
      <c r="AC99" s="207" t="n">
        <f aca="false">+AB99/AB$7</f>
        <v>266.447368421053</v>
      </c>
      <c r="AD99" s="387" t="n">
        <f aca="false">+AC99/AC$8</f>
        <v>0.222224660901629</v>
      </c>
    </row>
    <row r="100" customFormat="false" ht="12" hidden="false" customHeight="false" outlineLevel="0" collapsed="false">
      <c r="B100" s="141" t="s">
        <v>524</v>
      </c>
      <c r="L100" s="141" t="n">
        <f aca="false">+L157*CMF</f>
        <v>28125</v>
      </c>
      <c r="M100" s="141" t="n">
        <f aca="false">L100/10.3</f>
        <v>2730.58252427184</v>
      </c>
      <c r="P100" s="427" t="n">
        <f aca="false">Q100*P$7</f>
        <v>211.466165413534</v>
      </c>
      <c r="Q100" s="141" t="n">
        <f aca="false">+$L100/SM134Units</f>
        <v>211.466165413534</v>
      </c>
      <c r="R100" s="387" t="n">
        <f aca="false">+Q100/Q$8</f>
        <v>0.176515997841013</v>
      </c>
      <c r="T100" s="427" t="n">
        <f aca="false">U100*T$7</f>
        <v>15225.5639097744</v>
      </c>
      <c r="U100" s="141" t="n">
        <f aca="false">+$L100/SM134Units</f>
        <v>211.466165413534</v>
      </c>
      <c r="V100" s="387" t="n">
        <f aca="false">+U100/U$8</f>
        <v>0.191026346353689</v>
      </c>
      <c r="X100" s="427" t="n">
        <f aca="false">Y100*X$7</f>
        <v>12899.4360902256</v>
      </c>
      <c r="Y100" s="141" t="n">
        <f aca="false">+$L100/SM134Units</f>
        <v>211.466165413534</v>
      </c>
      <c r="Z100" s="387" t="n">
        <f aca="false">+Y100/Y$8</f>
        <v>0.164309374835691</v>
      </c>
      <c r="AB100" s="386" t="n">
        <f aca="false">+X100+T100</f>
        <v>28125</v>
      </c>
      <c r="AC100" s="207" t="n">
        <f aca="false">+AB100/AB$7</f>
        <v>211.466165413534</v>
      </c>
      <c r="AD100" s="387" t="n">
        <f aca="false">+AC100/AC$8</f>
        <v>0.176368778493356</v>
      </c>
    </row>
    <row r="101" customFormat="false" ht="12" hidden="false" customHeight="false" outlineLevel="0" collapsed="false">
      <c r="B101" s="141" t="s">
        <v>525</v>
      </c>
      <c r="L101" s="141" t="n">
        <f aca="false">+L160*CMF</f>
        <v>16875</v>
      </c>
      <c r="M101" s="141" t="n">
        <f aca="false">L101/10.3</f>
        <v>1638.34951456311</v>
      </c>
      <c r="P101" s="427" t="n">
        <f aca="false">Q101*P$7</f>
        <v>126.87969924812</v>
      </c>
      <c r="Q101" s="141" t="n">
        <f aca="false">+$L101/SM134Units</f>
        <v>126.87969924812</v>
      </c>
      <c r="R101" s="387" t="n">
        <f aca="false">+Q101/Q$8</f>
        <v>0.105909598704608</v>
      </c>
      <c r="T101" s="427" t="n">
        <f aca="false">U101*T$7</f>
        <v>9135.33834586466</v>
      </c>
      <c r="U101" s="141" t="n">
        <f aca="false">+$L101/SM134Units</f>
        <v>126.87969924812</v>
      </c>
      <c r="V101" s="387" t="n">
        <f aca="false">+U101/U$8</f>
        <v>0.114615807812213</v>
      </c>
      <c r="X101" s="427" t="n">
        <f aca="false">Y101*X$7</f>
        <v>7739.66165413534</v>
      </c>
      <c r="Y101" s="141" t="n">
        <f aca="false">+$L101/SM134Units</f>
        <v>126.87969924812</v>
      </c>
      <c r="Z101" s="387" t="n">
        <f aca="false">+Y101/Y$8</f>
        <v>0.0985856249014144</v>
      </c>
      <c r="AB101" s="386" t="n">
        <f aca="false">+X101+T101</f>
        <v>16875</v>
      </c>
      <c r="AC101" s="207" t="n">
        <f aca="false">+AB101/AB$7</f>
        <v>126.87969924812</v>
      </c>
      <c r="AD101" s="387" t="n">
        <f aca="false">+AC101/AC$8</f>
        <v>0.105821267096014</v>
      </c>
    </row>
    <row r="102" customFormat="false" ht="12" hidden="false" customHeight="false" outlineLevel="0" collapsed="false">
      <c r="B102" s="141" t="s">
        <v>299</v>
      </c>
      <c r="L102" s="141" t="n">
        <f aca="false">15000*CMF</f>
        <v>16875</v>
      </c>
      <c r="M102" s="141" t="n">
        <f aca="false">L102/10.3</f>
        <v>1638.34951456311</v>
      </c>
      <c r="P102" s="427" t="n">
        <f aca="false">Q102*P$7</f>
        <v>126.87969924812</v>
      </c>
      <c r="Q102" s="141" t="n">
        <f aca="false">+$L102/SM134Units</f>
        <v>126.87969924812</v>
      </c>
      <c r="R102" s="387" t="n">
        <f aca="false">+Q102/Q$8</f>
        <v>0.105909598704608</v>
      </c>
      <c r="T102" s="427" t="n">
        <f aca="false">U102*T$7</f>
        <v>9135.33834586466</v>
      </c>
      <c r="U102" s="141" t="n">
        <f aca="false">+$L102/SM134Units</f>
        <v>126.87969924812</v>
      </c>
      <c r="V102" s="387" t="n">
        <f aca="false">+U102/U$8</f>
        <v>0.114615807812213</v>
      </c>
      <c r="X102" s="427" t="n">
        <f aca="false">Y102*X$7</f>
        <v>7739.66165413534</v>
      </c>
      <c r="Y102" s="141" t="n">
        <f aca="false">+$L102/SM134Units</f>
        <v>126.87969924812</v>
      </c>
      <c r="Z102" s="387" t="n">
        <f aca="false">+Y102/Y$8</f>
        <v>0.0985856249014144</v>
      </c>
      <c r="AB102" s="386" t="n">
        <f aca="false">+X102+T102</f>
        <v>16875</v>
      </c>
      <c r="AC102" s="207" t="n">
        <f aca="false">+AB102/AB$7</f>
        <v>126.87969924812</v>
      </c>
      <c r="AD102" s="387" t="n">
        <f aca="false">+AC102/AC$8</f>
        <v>0.105821267096014</v>
      </c>
    </row>
    <row r="103" customFormat="false" ht="12" hidden="false" customHeight="false" outlineLevel="0" collapsed="false">
      <c r="B103" s="428" t="s">
        <v>291</v>
      </c>
      <c r="C103" s="428"/>
      <c r="D103" s="428"/>
      <c r="E103" s="428"/>
      <c r="F103" s="428"/>
      <c r="G103" s="428"/>
      <c r="H103" s="428"/>
      <c r="I103" s="428"/>
      <c r="J103" s="428"/>
      <c r="K103" s="428"/>
      <c r="L103" s="428" t="n">
        <f aca="false">SUM(L93:L101)</f>
        <v>824510.279806215</v>
      </c>
      <c r="M103" s="428" t="n">
        <f aca="false">SUM(M93:M101)</f>
        <v>80049.5417287587</v>
      </c>
      <c r="P103" s="429" t="n">
        <f aca="false">SUM(P93:P102)</f>
        <v>6326.20511132492</v>
      </c>
      <c r="Q103" s="429" t="n">
        <f aca="false">SUM(Q93:Q102)</f>
        <v>6326.20511132492</v>
      </c>
      <c r="R103" s="430" t="n">
        <f aca="false">SUM(R93:R102)</f>
        <v>5.28063865719943</v>
      </c>
      <c r="T103" s="429" t="n">
        <f aca="false">SUM(T93:T102)</f>
        <v>455486.768015394</v>
      </c>
      <c r="U103" s="429" t="n">
        <f aca="false">SUM(U93:U102)</f>
        <v>6326.20511132492</v>
      </c>
      <c r="V103" s="430" t="n">
        <f aca="false">SUM(V93:V102)</f>
        <v>5.71472909785449</v>
      </c>
      <c r="X103" s="429" t="n">
        <f aca="false">SUM(X93:X102)</f>
        <v>385898.51179082</v>
      </c>
      <c r="Y103" s="429" t="n">
        <f aca="false">SUM(Y93:Y102)</f>
        <v>6326.20511132492</v>
      </c>
      <c r="Z103" s="430" t="n">
        <f aca="false">SUM(Z93:Z102)</f>
        <v>4.91546628696575</v>
      </c>
      <c r="AB103" s="429" t="n">
        <f aca="false">SUM(AB93:AB102)</f>
        <v>841385.279806215</v>
      </c>
      <c r="AC103" s="429" t="n">
        <f aca="false">SUM(AC93:AC102)</f>
        <v>6326.20511132492</v>
      </c>
      <c r="AD103" s="430" t="n">
        <f aca="false">SUM(AD93:AD102)</f>
        <v>5.27623445481645</v>
      </c>
    </row>
    <row r="104" customFormat="false" ht="12" hidden="false" customHeight="false" outlineLevel="0" collapsed="false">
      <c r="P104" s="427"/>
      <c r="R104" s="387"/>
      <c r="U104" s="141" t="n">
        <f aca="false">+$L104/SM134Units</f>
        <v>0</v>
      </c>
      <c r="Y104" s="141" t="n">
        <f aca="false">+$L104/SM134Units</f>
        <v>0</v>
      </c>
    </row>
    <row r="105" customFormat="false" ht="12" hidden="false" customHeight="false" outlineLevel="0" collapsed="false">
      <c r="B105" s="354" t="s">
        <v>526</v>
      </c>
      <c r="P105" s="427"/>
      <c r="R105" s="387"/>
      <c r="U105" s="141" t="n">
        <f aca="false">+$L105/SM134Units</f>
        <v>0</v>
      </c>
      <c r="Y105" s="141" t="n">
        <f aca="false">+$L105/SM134Units</f>
        <v>0</v>
      </c>
    </row>
    <row r="106" customFormat="false" ht="12" hidden="false" customHeight="false" outlineLevel="0" collapsed="false">
      <c r="B106" s="141" t="s">
        <v>301</v>
      </c>
      <c r="L106" s="141" t="n">
        <f aca="false">75000*CMF</f>
        <v>84375</v>
      </c>
      <c r="M106" s="141" t="n">
        <f aca="false">L106/10.3</f>
        <v>8191.74757281553</v>
      </c>
      <c r="P106" s="426" t="n">
        <f aca="false">Q106*P$7</f>
        <v>634.398496240602</v>
      </c>
      <c r="Q106" s="426" t="n">
        <f aca="false">+$L106/SM134Units</f>
        <v>634.398496240602</v>
      </c>
      <c r="R106" s="203" t="n">
        <f aca="false">+Q106/Q$8</f>
        <v>0.52954799352304</v>
      </c>
      <c r="T106" s="426" t="n">
        <f aca="false">U106*T$7</f>
        <v>45676.6917293233</v>
      </c>
      <c r="U106" s="426" t="n">
        <f aca="false">+$L106/SM134Units</f>
        <v>634.398496240602</v>
      </c>
      <c r="V106" s="203" t="n">
        <f aca="false">+U106/U$8</f>
        <v>0.573079039061067</v>
      </c>
      <c r="X106" s="426" t="n">
        <f aca="false">Y106*X$7</f>
        <v>38698.3082706767</v>
      </c>
      <c r="Y106" s="426" t="n">
        <f aca="false">+$L106/SM134Units</f>
        <v>634.398496240602</v>
      </c>
      <c r="Z106" s="203" t="n">
        <f aca="false">+Y106/Y$8</f>
        <v>0.492928124507072</v>
      </c>
      <c r="AB106" s="388" t="n">
        <f aca="false">+X106+T106</f>
        <v>84375</v>
      </c>
      <c r="AC106" s="207" t="n">
        <f aca="false">+AB106/AB$7</f>
        <v>634.398496240602</v>
      </c>
      <c r="AD106" s="387" t="n">
        <f aca="false">+AC106/AC$8</f>
        <v>0.529106335480068</v>
      </c>
    </row>
    <row r="107" customFormat="false" ht="12" hidden="false" customHeight="false" outlineLevel="0" collapsed="false">
      <c r="B107" s="141" t="s">
        <v>527</v>
      </c>
      <c r="L107" s="141" t="n">
        <f aca="false">4000*CMF</f>
        <v>4500</v>
      </c>
      <c r="M107" s="141" t="n">
        <f aca="false">L107/10.3</f>
        <v>436.893203883495</v>
      </c>
      <c r="P107" s="427" t="n">
        <f aca="false">Q107*P$7</f>
        <v>33.8345864661654</v>
      </c>
      <c r="Q107" s="141" t="n">
        <f aca="false">+$L107/SM134Units</f>
        <v>33.8345864661654</v>
      </c>
      <c r="R107" s="387" t="n">
        <f aca="false">+Q107/Q$8</f>
        <v>0.0282425596545621</v>
      </c>
      <c r="T107" s="427" t="n">
        <f aca="false">U107*T$7</f>
        <v>2436.09022556391</v>
      </c>
      <c r="U107" s="141" t="n">
        <f aca="false">+$L107/SM134Units</f>
        <v>33.8345864661654</v>
      </c>
      <c r="V107" s="387" t="n">
        <f aca="false">+U107/U$8</f>
        <v>0.0305642154165903</v>
      </c>
      <c r="X107" s="427" t="n">
        <f aca="false">Y107*X$7</f>
        <v>2063.90977443609</v>
      </c>
      <c r="Y107" s="141" t="n">
        <f aca="false">+$L107/SM134Units</f>
        <v>33.8345864661654</v>
      </c>
      <c r="Z107" s="387" t="n">
        <f aca="false">+Y107/Y$8</f>
        <v>0.0262894999737105</v>
      </c>
      <c r="AB107" s="386" t="n">
        <f aca="false">+X107+T107</f>
        <v>4500</v>
      </c>
      <c r="AC107" s="207" t="n">
        <f aca="false">+AB107/AB$7</f>
        <v>33.8345864661654</v>
      </c>
      <c r="AD107" s="387" t="n">
        <f aca="false">+AC107/AC$8</f>
        <v>0.028219004558937</v>
      </c>
    </row>
    <row r="108" customFormat="false" ht="12" hidden="false" customHeight="false" outlineLevel="0" collapsed="false">
      <c r="B108" s="141" t="s">
        <v>303</v>
      </c>
      <c r="L108" s="141" t="n">
        <f aca="false">4000*CMF</f>
        <v>4500</v>
      </c>
      <c r="M108" s="141" t="n">
        <f aca="false">L108/10.3</f>
        <v>436.893203883495</v>
      </c>
      <c r="P108" s="427" t="n">
        <f aca="false">Q108*P$7</f>
        <v>33.8345864661654</v>
      </c>
      <c r="Q108" s="141" t="n">
        <f aca="false">+$L108/SM134Units</f>
        <v>33.8345864661654</v>
      </c>
      <c r="R108" s="387" t="n">
        <f aca="false">+Q108/Q$8</f>
        <v>0.0282425596545621</v>
      </c>
      <c r="T108" s="427" t="n">
        <f aca="false">U108*T$7</f>
        <v>2436.09022556391</v>
      </c>
      <c r="U108" s="141" t="n">
        <f aca="false">+$L108/SM134Units</f>
        <v>33.8345864661654</v>
      </c>
      <c r="V108" s="387" t="n">
        <f aca="false">+U108/U$8</f>
        <v>0.0305642154165903</v>
      </c>
      <c r="X108" s="427" t="n">
        <f aca="false">Y108*X$7</f>
        <v>2063.90977443609</v>
      </c>
      <c r="Y108" s="141" t="n">
        <f aca="false">+$L108/SM134Units</f>
        <v>33.8345864661654</v>
      </c>
      <c r="Z108" s="387" t="n">
        <f aca="false">+Y108/Y$8</f>
        <v>0.0262894999737105</v>
      </c>
      <c r="AB108" s="386" t="n">
        <f aca="false">+X108+T108</f>
        <v>4500</v>
      </c>
      <c r="AC108" s="207" t="n">
        <f aca="false">+AB108/AB$7</f>
        <v>33.8345864661654</v>
      </c>
      <c r="AD108" s="387" t="n">
        <f aca="false">+AC108/AC$8</f>
        <v>0.028219004558937</v>
      </c>
    </row>
    <row r="109" customFormat="false" ht="12" hidden="false" customHeight="false" outlineLevel="0" collapsed="false">
      <c r="B109" s="141" t="s">
        <v>528</v>
      </c>
      <c r="P109" s="427" t="n">
        <v>0</v>
      </c>
      <c r="Q109" s="141" t="n">
        <v>0</v>
      </c>
      <c r="R109" s="387" t="n">
        <f aca="false">+Q109/Q$8</f>
        <v>0</v>
      </c>
      <c r="T109" s="427" t="n">
        <f aca="false">U109*T$7</f>
        <v>53687.7121945924</v>
      </c>
      <c r="U109" s="141" t="n">
        <f aca="false">+$Q123/SM134Units</f>
        <v>745.662669369339</v>
      </c>
      <c r="V109" s="387" t="n">
        <f aca="false">+U109/U$8</f>
        <v>0.673588680550442</v>
      </c>
      <c r="X109" s="427" t="n">
        <f aca="false">Y109*X$7</f>
        <v>45485.4228315297</v>
      </c>
      <c r="Y109" s="141" t="n">
        <f aca="false">+$Q123/SM134Units</f>
        <v>745.662669369339</v>
      </c>
      <c r="Z109" s="387" t="n">
        <f aca="false">+Y109/Y$8</f>
        <v>0.57938047348045</v>
      </c>
      <c r="AB109" s="386" t="n">
        <f aca="false">+X109+T109</f>
        <v>99173.1350261221</v>
      </c>
      <c r="AC109" s="207" t="n">
        <f aca="false">+AB109/AB$7</f>
        <v>745.662669369339</v>
      </c>
      <c r="AD109" s="387" t="n">
        <f aca="false">+AC109/AC$8</f>
        <v>0.621903810983602</v>
      </c>
    </row>
    <row r="110" customFormat="false" ht="12" hidden="false" customHeight="false" outlineLevel="0" collapsed="false">
      <c r="B110" s="428" t="s">
        <v>305</v>
      </c>
      <c r="C110" s="428"/>
      <c r="D110" s="428"/>
      <c r="E110" s="428"/>
      <c r="F110" s="428"/>
      <c r="G110" s="428"/>
      <c r="H110" s="428"/>
      <c r="I110" s="428"/>
      <c r="J110" s="428"/>
      <c r="K110" s="428"/>
      <c r="L110" s="428" t="n">
        <f aca="false">SUM(L106:L108)</f>
        <v>93375</v>
      </c>
      <c r="M110" s="428" t="n">
        <f aca="false">SUM(M106:M108)</f>
        <v>9065.53398058252</v>
      </c>
      <c r="P110" s="429" t="n">
        <f aca="false">SUM(P106:P109)</f>
        <v>702.067669172932</v>
      </c>
      <c r="Q110" s="429" t="n">
        <f aca="false">SUM(Q106:Q108)</f>
        <v>702.067669172932</v>
      </c>
      <c r="R110" s="430" t="n">
        <f aca="false">+Q110/Q$8</f>
        <v>0.586033112832164</v>
      </c>
      <c r="T110" s="429" t="n">
        <f aca="false">SUM(T106:T109)</f>
        <v>104236.584375044</v>
      </c>
      <c r="U110" s="429" t="n">
        <f aca="false">SUM(U106:U108)</f>
        <v>702.067669172932</v>
      </c>
      <c r="V110" s="430" t="n">
        <f aca="false">+U110/U$8</f>
        <v>0.634207469894248</v>
      </c>
      <c r="X110" s="429" t="n">
        <f aca="false">SUM(X106:X109)</f>
        <v>88311.5506510786</v>
      </c>
      <c r="Y110" s="429" t="n">
        <f aca="false">SUM(Y106:Y108)</f>
        <v>702.067669172932</v>
      </c>
      <c r="Z110" s="430" t="n">
        <f aca="false">+Y110/Y$8</f>
        <v>0.545507124454493</v>
      </c>
      <c r="AB110" s="429" t="n">
        <f aca="false">SUM(AB106:AB109)</f>
        <v>192548.135026122</v>
      </c>
      <c r="AC110" s="429" t="n">
        <f aca="false">SUM(AC106:AC108)</f>
        <v>702.067669172932</v>
      </c>
      <c r="AD110" s="430" t="n">
        <f aca="false">SUM(AD106:AD108)</f>
        <v>0.585544344597942</v>
      </c>
    </row>
    <row r="111" customFormat="false" ht="12" hidden="false" customHeight="false" outlineLevel="0" collapsed="false">
      <c r="B111" s="431" t="s">
        <v>306</v>
      </c>
      <c r="C111" s="428"/>
      <c r="D111" s="428"/>
      <c r="E111" s="428"/>
      <c r="F111" s="428"/>
      <c r="G111" s="428"/>
      <c r="H111" s="428"/>
      <c r="I111" s="428"/>
      <c r="J111" s="428"/>
      <c r="K111" s="428"/>
      <c r="L111" s="428" t="n">
        <f aca="false">+L110+L103</f>
        <v>917885.279806215</v>
      </c>
      <c r="M111" s="428" t="n">
        <f aca="false">+M110+M103</f>
        <v>89115.0757093412</v>
      </c>
      <c r="P111" s="429" t="n">
        <f aca="false">+P110+P103</f>
        <v>7028.27278049785</v>
      </c>
      <c r="Q111" s="429" t="n">
        <f aca="false">+Q110+Q103</f>
        <v>7028.27278049785</v>
      </c>
      <c r="R111" s="430" t="n">
        <f aca="false">+Q111/Q$8</f>
        <v>5.8666717700316</v>
      </c>
      <c r="T111" s="429" t="n">
        <f aca="false">+T110+T103</f>
        <v>559723.352390438</v>
      </c>
      <c r="U111" s="429" t="n">
        <f aca="false">+U110+U103</f>
        <v>7028.27278049785</v>
      </c>
      <c r="V111" s="430" t="n">
        <f aca="false">+U111/U$8</f>
        <v>6.34893656774874</v>
      </c>
      <c r="X111" s="429" t="n">
        <f aca="false">+X110+X103</f>
        <v>474210.062441899</v>
      </c>
      <c r="Y111" s="429" t="n">
        <f aca="false">+Y110+Y103</f>
        <v>7028.27278049785</v>
      </c>
      <c r="Z111" s="430" t="n">
        <f aca="false">+Y111/Y$8</f>
        <v>5.46097341142024</v>
      </c>
      <c r="AB111" s="429" t="n">
        <f aca="false">+AB110+AB103</f>
        <v>1033933.41483234</v>
      </c>
      <c r="AC111" s="429" t="n">
        <f aca="false">+AC110+AC103</f>
        <v>7028.27278049785</v>
      </c>
      <c r="AD111" s="430" t="n">
        <f aca="false">+AD110+AD103</f>
        <v>5.86177879941439</v>
      </c>
    </row>
    <row r="112" customFormat="false" ht="12" hidden="false" customHeight="false" outlineLevel="0" collapsed="false">
      <c r="B112" s="431" t="s">
        <v>307</v>
      </c>
      <c r="C112" s="431"/>
      <c r="D112" s="432"/>
      <c r="E112" s="433"/>
      <c r="F112" s="433"/>
      <c r="G112" s="433"/>
      <c r="H112" s="433"/>
      <c r="I112" s="433"/>
      <c r="J112" s="433"/>
      <c r="K112" s="433"/>
      <c r="L112" s="434" t="n">
        <f aca="false">+L111+L91</f>
        <v>2039555.27980621</v>
      </c>
      <c r="M112" s="434" t="n">
        <f aca="false">+M111+M91</f>
        <v>198015.075709341</v>
      </c>
      <c r="N112" s="435"/>
      <c r="O112" s="435"/>
      <c r="P112" s="434" t="n">
        <f aca="false">+P111+P91</f>
        <v>15461.8818030542</v>
      </c>
      <c r="Q112" s="434" t="n">
        <f aca="false">+Q111+Q91</f>
        <v>15461.8818030542</v>
      </c>
      <c r="R112" s="436" t="n">
        <f aca="false">+Q112/Q$8</f>
        <v>12.9064121895278</v>
      </c>
      <c r="S112" s="437"/>
      <c r="T112" s="434" t="n">
        <f aca="false">+T111+T91</f>
        <v>1166943.2020145</v>
      </c>
      <c r="U112" s="434" t="n">
        <f aca="false">+U111+U91</f>
        <v>15461.8818030542</v>
      </c>
      <c r="V112" s="436" t="n">
        <f aca="false">+U112/U$8</f>
        <v>13.967372902488</v>
      </c>
      <c r="W112" s="437"/>
      <c r="X112" s="434" t="n">
        <f aca="false">+X111+X91</f>
        <v>988660.212817839</v>
      </c>
      <c r="Y112" s="434" t="n">
        <f aca="false">+Y111+Y91</f>
        <v>15461.8818030542</v>
      </c>
      <c r="Z112" s="436" t="n">
        <f aca="false">+Y112/Y$8</f>
        <v>12.0138941748673</v>
      </c>
      <c r="AA112" s="437"/>
      <c r="AB112" s="438" t="n">
        <f aca="false">+AB111+AB91</f>
        <v>2155603.41483234</v>
      </c>
      <c r="AC112" s="434" t="n">
        <f aca="false">+AC111+AC91</f>
        <v>15461.8818030542</v>
      </c>
      <c r="AD112" s="436" t="n">
        <f aca="false">+AD111+AD91</f>
        <v>12.895647875775</v>
      </c>
    </row>
    <row r="113" customFormat="false" ht="12" hidden="false" customHeight="false" outlineLevel="0" collapsed="false">
      <c r="B113" s="402" t="s">
        <v>15</v>
      </c>
      <c r="L113" s="141" t="n">
        <f aca="false">0.15*(L111+L88)</f>
        <v>243137.021970932</v>
      </c>
      <c r="P113" s="141" t="n">
        <f aca="false">0.15*(P111+P88)</f>
        <v>11359.5462979479</v>
      </c>
      <c r="Q113" s="141" t="n">
        <f aca="false">0.15*(Q111+Q88)</f>
        <v>11359.5462979479</v>
      </c>
      <c r="R113" s="257" t="n">
        <f aca="false">+Q113/Q$8</f>
        <v>9.48209206840395</v>
      </c>
      <c r="T113" s="141" t="n">
        <f aca="false">0.15*(T111+T88)</f>
        <v>786273.867299391</v>
      </c>
      <c r="U113" s="141" t="n">
        <f aca="false">0.15*(U111+U88)</f>
        <v>10808.6209787528</v>
      </c>
      <c r="V113" s="257" t="n">
        <f aca="false">+U113/U$8</f>
        <v>9.76388525632593</v>
      </c>
      <c r="X113" s="141" t="n">
        <f aca="false">0.15*(X111+X88)</f>
        <v>729434.751427659</v>
      </c>
      <c r="Y113" s="141" t="n">
        <f aca="false">0.15*(Y111+Y88)</f>
        <v>11846.0973443103</v>
      </c>
      <c r="Z113" s="257" t="n">
        <f aca="false">+Y113/Y$8</f>
        <v>9.20442684095596</v>
      </c>
      <c r="AB113" s="141" t="n">
        <f aca="false">+X113+T113</f>
        <v>1515708.61872705</v>
      </c>
      <c r="AC113" s="141" t="n">
        <f aca="false">0.15*(AC111+AC88)</f>
        <v>11284.4560035574</v>
      </c>
      <c r="AD113" s="141" t="n">
        <f aca="false">0.15*(AD111+AD88)</f>
        <v>9.41155629988105</v>
      </c>
    </row>
    <row r="114" customFormat="false" ht="12" hidden="false" customHeight="false" outlineLevel="0" collapsed="false">
      <c r="B114" s="431" t="s">
        <v>308</v>
      </c>
      <c r="C114" s="431"/>
      <c r="D114" s="432"/>
      <c r="E114" s="433"/>
      <c r="F114" s="433"/>
      <c r="G114" s="433"/>
      <c r="H114" s="433"/>
      <c r="I114" s="433"/>
      <c r="J114" s="433"/>
      <c r="K114" s="433"/>
      <c r="L114" s="434" t="n">
        <f aca="false">+L113+L112+L88</f>
        <v>2985720.50177715</v>
      </c>
      <c r="M114" s="434"/>
      <c r="N114" s="435"/>
      <c r="O114" s="435"/>
      <c r="P114" s="434" t="n">
        <f aca="false">+P113+P112+P88</f>
        <v>95523.4639734906</v>
      </c>
      <c r="Q114" s="434" t="n">
        <f aca="false">+Q113+Q112+Q88</f>
        <v>95523.4639734906</v>
      </c>
      <c r="R114" s="436" t="n">
        <f aca="false">+Q114/Q$8</f>
        <v>79.7357796105931</v>
      </c>
      <c r="S114" s="437"/>
      <c r="T114" s="434" t="n">
        <f aca="false">+T113+T112+T88</f>
        <v>6635319.49891939</v>
      </c>
      <c r="U114" s="434" t="n">
        <f aca="false">+U113+U112+U88</f>
        <v>91299.7031929945</v>
      </c>
      <c r="V114" s="436" t="n">
        <f aca="false">+U114/U$8</f>
        <v>82.4748899665714</v>
      </c>
      <c r="W114" s="437"/>
      <c r="X114" s="434" t="n">
        <f aca="false">+X113+X112+X88</f>
        <v>6106783.24465466</v>
      </c>
      <c r="Y114" s="434" t="n">
        <f aca="false">+Y113+Y112+Y88</f>
        <v>99253.6886622688</v>
      </c>
      <c r="Z114" s="436" t="n">
        <f aca="false">+Y114/Y$8</f>
        <v>77.1201932107761</v>
      </c>
      <c r="AA114" s="437"/>
      <c r="AB114" s="438" t="n">
        <f aca="false">+AB113+AB112+AB88</f>
        <v>12742102.743574</v>
      </c>
      <c r="AC114" s="434" t="n">
        <f aca="false">+AC113+AC112+AC88</f>
        <v>94947.7717164963</v>
      </c>
      <c r="AD114" s="436" t="n">
        <f aca="false">+AD113+AD112+AD88</f>
        <v>79.1891340421153</v>
      </c>
    </row>
    <row r="115" customFormat="false" ht="12" hidden="false" customHeight="false" outlineLevel="0" collapsed="false">
      <c r="B115" s="402"/>
      <c r="R115" s="387"/>
    </row>
    <row r="116" customFormat="false" ht="12" hidden="false" customHeight="false" outlineLevel="0" collapsed="false">
      <c r="B116" s="354" t="s">
        <v>309</v>
      </c>
    </row>
    <row r="117" customFormat="false" ht="12" hidden="false" customHeight="false" outlineLevel="0" collapsed="false">
      <c r="B117" s="141" t="s">
        <v>310</v>
      </c>
      <c r="L117" s="141" t="n">
        <v>4000</v>
      </c>
      <c r="P117" s="426" t="n">
        <f aca="false">Q117*P$7</f>
        <v>30.0751879699248</v>
      </c>
      <c r="Q117" s="426" t="n">
        <f aca="false">+$L117/SM134Units</f>
        <v>30.0751879699248</v>
      </c>
      <c r="R117" s="203" t="n">
        <f aca="false">+Q117/Q$8</f>
        <v>0.0251044974707219</v>
      </c>
      <c r="T117" s="426" t="n">
        <f aca="false">U117*T$7</f>
        <v>2165.41353383459</v>
      </c>
      <c r="U117" s="426" t="n">
        <f aca="false">+$L117/SM134Units</f>
        <v>30.0751879699248</v>
      </c>
      <c r="V117" s="203" t="n">
        <f aca="false">+U117/U$8</f>
        <v>0.0271681914814136</v>
      </c>
      <c r="X117" s="426" t="n">
        <f aca="false">Y117*X$7</f>
        <v>1834.58646616541</v>
      </c>
      <c r="Y117" s="426" t="n">
        <f aca="false">+$L117/SM134Units</f>
        <v>30.0751879699248</v>
      </c>
      <c r="Z117" s="203" t="n">
        <f aca="false">+Y117/Y$8</f>
        <v>0.023368444421076</v>
      </c>
      <c r="AB117" s="388" t="n">
        <f aca="false">+X117+T117</f>
        <v>4000</v>
      </c>
      <c r="AC117" s="207" t="n">
        <f aca="false">+AB117/AB$7</f>
        <v>30.0751879699248</v>
      </c>
      <c r="AD117" s="387" t="n">
        <f aca="false">+AC117/AC$8</f>
        <v>0.025083559607944</v>
      </c>
    </row>
    <row r="118" customFormat="false" ht="12" hidden="false" customHeight="false" outlineLevel="0" collapsed="false">
      <c r="B118" s="141" t="s">
        <v>312</v>
      </c>
      <c r="L118" s="141" t="n">
        <f aca="false">0.0075*0.75*13000000</f>
        <v>73125</v>
      </c>
      <c r="P118" s="427" t="n">
        <f aca="false">Q118*P$7</f>
        <v>549.812030075188</v>
      </c>
      <c r="Q118" s="141" t="n">
        <f aca="false">+$L118/SM134Units</f>
        <v>549.812030075188</v>
      </c>
      <c r="R118" s="387" t="n">
        <f aca="false">+Q118/Q$8</f>
        <v>0.458941594386634</v>
      </c>
      <c r="T118" s="427" t="n">
        <f aca="false">U118*T$7</f>
        <v>39586.4661654135</v>
      </c>
      <c r="U118" s="141" t="n">
        <f aca="false">+$L118/SM134Units</f>
        <v>549.812030075188</v>
      </c>
      <c r="V118" s="387" t="n">
        <f aca="false">+U118/U$8</f>
        <v>0.496668500519592</v>
      </c>
      <c r="X118" s="427" t="n">
        <f aca="false">Y118*X$7</f>
        <v>33538.5338345865</v>
      </c>
      <c r="Y118" s="141" t="n">
        <f aca="false">+$L118/SM134Units</f>
        <v>549.812030075188</v>
      </c>
      <c r="Z118" s="387" t="n">
        <f aca="false">+Y118/Y$8</f>
        <v>0.427204374572796</v>
      </c>
      <c r="AB118" s="386" t="n">
        <f aca="false">+X118+T118</f>
        <v>73125</v>
      </c>
      <c r="AC118" s="207" t="n">
        <f aca="false">+AB118/AB$7</f>
        <v>549.812030075188</v>
      </c>
      <c r="AD118" s="387" t="n">
        <f aca="false">+AC118/AC$8</f>
        <v>0.458558824082726</v>
      </c>
    </row>
    <row r="119" customFormat="false" ht="12" hidden="false" customHeight="false" outlineLevel="0" collapsed="false">
      <c r="B119" s="141" t="s">
        <v>313</v>
      </c>
      <c r="L119" s="141" t="n">
        <f aca="false">0.0025*0.75*13000000</f>
        <v>24375</v>
      </c>
      <c r="P119" s="427" t="n">
        <f aca="false">Q119*P$7</f>
        <v>183.270676691729</v>
      </c>
      <c r="Q119" s="141" t="n">
        <f aca="false">+$L119/SM134Units</f>
        <v>183.270676691729</v>
      </c>
      <c r="R119" s="387" t="n">
        <f aca="false">+Q119/Q$8</f>
        <v>0.152980531462211</v>
      </c>
      <c r="T119" s="427" t="n">
        <f aca="false">U119*T$7</f>
        <v>13195.4887218045</v>
      </c>
      <c r="U119" s="141" t="n">
        <f aca="false">+$L119/SM134Units</f>
        <v>183.270676691729</v>
      </c>
      <c r="V119" s="387" t="n">
        <f aca="false">+U119/U$8</f>
        <v>0.165556166839864</v>
      </c>
      <c r="X119" s="427" t="n">
        <f aca="false">Y119*X$7</f>
        <v>11179.5112781955</v>
      </c>
      <c r="Y119" s="141" t="n">
        <f aca="false">+$L119/SM134Units</f>
        <v>183.270676691729</v>
      </c>
      <c r="Z119" s="387" t="n">
        <f aca="false">+Y119/Y$8</f>
        <v>0.142401458190932</v>
      </c>
      <c r="AB119" s="386" t="n">
        <f aca="false">+X119+T119</f>
        <v>24375</v>
      </c>
      <c r="AC119" s="207" t="n">
        <f aca="false">+AB119/AB$7</f>
        <v>183.270676691729</v>
      </c>
      <c r="AD119" s="387" t="n">
        <f aca="false">+AC119/AC$8</f>
        <v>0.152852941360909</v>
      </c>
    </row>
    <row r="120" customFormat="false" ht="12" hidden="false" customHeight="false" outlineLevel="0" collapsed="false">
      <c r="B120" s="141" t="s">
        <v>529</v>
      </c>
      <c r="L120" s="141" t="n">
        <f aca="false">13000000*0.75*0.75*0.105*0.5</f>
        <v>383906.25</v>
      </c>
      <c r="P120" s="427" t="n">
        <f aca="false">Q120*P$7</f>
        <v>2886.51315789474</v>
      </c>
      <c r="Q120" s="141" t="n">
        <f aca="false">+$L120/SM134Units</f>
        <v>2886.51315789474</v>
      </c>
      <c r="R120" s="387" t="n">
        <f aca="false">+Q120/Q$8</f>
        <v>2.40944337052983</v>
      </c>
      <c r="T120" s="427" t="n">
        <f aca="false">U120*T$7</f>
        <v>207828.947368421</v>
      </c>
      <c r="U120" s="141" t="n">
        <f aca="false">+$L120/SM134Units</f>
        <v>2886.51315789474</v>
      </c>
      <c r="V120" s="387" t="n">
        <f aca="false">+U120/U$8</f>
        <v>2.60750962772786</v>
      </c>
      <c r="X120" s="427" t="n">
        <f aca="false">Y120*X$7</f>
        <v>176077.302631579</v>
      </c>
      <c r="Y120" s="141" t="n">
        <f aca="false">+$L120/SM134Units</f>
        <v>2886.51315789474</v>
      </c>
      <c r="Z120" s="387" t="n">
        <f aca="false">+Y120/Y$8</f>
        <v>2.24282296650718</v>
      </c>
      <c r="AB120" s="386" t="n">
        <f aca="false">+X120+T120</f>
        <v>383906.25</v>
      </c>
      <c r="AC120" s="207" t="n">
        <f aca="false">+AB120/AB$7</f>
        <v>2886.51315789474</v>
      </c>
      <c r="AD120" s="387" t="n">
        <f aca="false">+AC120/AC$8</f>
        <v>2.40743382643431</v>
      </c>
    </row>
    <row r="121" customFormat="false" ht="12" hidden="false" customHeight="false" outlineLevel="0" collapsed="false">
      <c r="B121" s="439" t="s">
        <v>318</v>
      </c>
      <c r="L121" s="439" t="n">
        <f aca="false">SUM(L117:L120)</f>
        <v>485406.25</v>
      </c>
      <c r="M121" s="439"/>
      <c r="P121" s="440" t="n">
        <f aca="false">SUM(P117:P120)</f>
        <v>3649.67105263158</v>
      </c>
      <c r="Q121" s="440" t="n">
        <f aca="false">SUM(Q117:Q120)</f>
        <v>3649.67105263158</v>
      </c>
      <c r="R121" s="441" t="n">
        <f aca="false">SUM(R117:R120)</f>
        <v>3.0464699938494</v>
      </c>
      <c r="T121" s="440" t="n">
        <f aca="false">SUM(T117:T120)</f>
        <v>262776.315789474</v>
      </c>
      <c r="U121" s="440" t="n">
        <f aca="false">SUM(U117:U120)</f>
        <v>3649.67105263158</v>
      </c>
      <c r="V121" s="441" t="n">
        <f aca="false">SUM(V117:V120)</f>
        <v>3.29690248656873</v>
      </c>
      <c r="X121" s="440" t="n">
        <f aca="false">SUM(X117:X120)</f>
        <v>222629.934210526</v>
      </c>
      <c r="Y121" s="440" t="n">
        <f aca="false">SUM(Y117:Y120)</f>
        <v>3649.67105263158</v>
      </c>
      <c r="Z121" s="441" t="n">
        <f aca="false">SUM(Z117:Z120)</f>
        <v>2.83579724369198</v>
      </c>
      <c r="AB121" s="440" t="n">
        <f aca="false">SUM(AB117:AB120)</f>
        <v>485406.25</v>
      </c>
      <c r="AC121" s="440" t="n">
        <f aca="false">SUM(AC117:AC120)</f>
        <v>3649.67105263158</v>
      </c>
      <c r="AD121" s="441" t="n">
        <f aca="false">SUM(AD117:AD120)</f>
        <v>3.04392915148589</v>
      </c>
    </row>
    <row r="122" customFormat="false" ht="12" hidden="false" customHeight="false" outlineLevel="0" collapsed="false">
      <c r="B122" s="428"/>
      <c r="L122" s="428"/>
      <c r="M122" s="428"/>
      <c r="P122" s="429"/>
      <c r="Q122" s="429"/>
      <c r="R122" s="442"/>
      <c r="T122" s="429"/>
      <c r="U122" s="429"/>
      <c r="V122" s="442"/>
      <c r="X122" s="429"/>
      <c r="Y122" s="429"/>
      <c r="Z122" s="442"/>
      <c r="AB122" s="429"/>
      <c r="AC122" s="429"/>
      <c r="AD122" s="442"/>
    </row>
    <row r="123" customFormat="false" ht="12.75" hidden="false" customHeight="false" outlineLevel="0" collapsed="false">
      <c r="B123" s="404" t="s">
        <v>16</v>
      </c>
      <c r="L123" s="404" t="n">
        <f aca="false">+L121+L114+L88</f>
        <v>4174154.95177715</v>
      </c>
      <c r="M123" s="404"/>
      <c r="P123" s="406" t="n">
        <f aca="false">+P121+P114</f>
        <v>99173.1350261221</v>
      </c>
      <c r="Q123" s="406" t="n">
        <f aca="false">+Q121+Q114</f>
        <v>99173.1350261221</v>
      </c>
      <c r="R123" s="407" t="n">
        <f aca="false">+R121+R114</f>
        <v>82.7822496044425</v>
      </c>
      <c r="T123" s="406" t="n">
        <f aca="false">+T121+T114</f>
        <v>6898095.81470886</v>
      </c>
      <c r="U123" s="406" t="n">
        <f aca="false">+U121+U114</f>
        <v>94949.3742456261</v>
      </c>
      <c r="V123" s="407" t="n">
        <f aca="false">+V121+V114</f>
        <v>85.7717924531401</v>
      </c>
      <c r="X123" s="406" t="n">
        <f aca="false">+X121+X114</f>
        <v>6329413.17886519</v>
      </c>
      <c r="Y123" s="406" t="n">
        <f aca="false">+Y121+Y114</f>
        <v>102903.3597149</v>
      </c>
      <c r="Z123" s="407" t="n">
        <f aca="false">+Z121+Z114</f>
        <v>79.9559904544681</v>
      </c>
      <c r="AB123" s="406" t="n">
        <f aca="false">+AB121+AB114</f>
        <v>13227508.993574</v>
      </c>
      <c r="AC123" s="406" t="n">
        <f aca="false">+AC121+AC114</f>
        <v>98597.4427691279</v>
      </c>
      <c r="AD123" s="407" t="n">
        <f aca="false">+AD121+AD114</f>
        <v>82.2330631936012</v>
      </c>
    </row>
    <row r="124" customFormat="false" ht="12.75" hidden="false" customHeight="false" outlineLevel="0" collapsed="false"/>
    <row r="125" customFormat="false" ht="12" hidden="false" customHeight="false" outlineLevel="0" collapsed="false">
      <c r="B125" s="141" t="s">
        <v>530</v>
      </c>
      <c r="L125" s="368" t="n">
        <v>0.75</v>
      </c>
      <c r="M125" s="141" t="s">
        <v>531</v>
      </c>
      <c r="T125" s="141" t="n">
        <f aca="false">0.75*T123</f>
        <v>5173571.86103165</v>
      </c>
      <c r="U125" s="141" t="n">
        <f aca="false">0.75*U123</f>
        <v>71212.0306842196</v>
      </c>
      <c r="V125" s="141" t="n">
        <f aca="false">0.75*V123</f>
        <v>64.3288443398551</v>
      </c>
      <c r="X125" s="141" t="n">
        <f aca="false">0.75*X123</f>
        <v>4747059.88414889</v>
      </c>
      <c r="Y125" s="141" t="n">
        <f aca="false">0.75*Y123</f>
        <v>77177.5197861753</v>
      </c>
      <c r="Z125" s="141" t="n">
        <f aca="false">0.75*Z123</f>
        <v>59.9669928408511</v>
      </c>
      <c r="AB125" s="141" t="n">
        <f aca="false">0.75*AB123</f>
        <v>9920631.74518053</v>
      </c>
      <c r="AC125" s="141" t="n">
        <f aca="false">0.75*AC123</f>
        <v>73948.0820768459</v>
      </c>
      <c r="AD125" s="141" t="n">
        <f aca="false">0.75*AD123</f>
        <v>61.6747973952009</v>
      </c>
    </row>
    <row r="126" customFormat="false" ht="12" hidden="false" customHeight="false" outlineLevel="0" collapsed="false">
      <c r="B126" s="362" t="s">
        <v>28</v>
      </c>
    </row>
    <row r="127" customFormat="false" ht="12" hidden="false" customHeight="false" outlineLevel="0" collapsed="false">
      <c r="B127" s="141" t="s">
        <v>54</v>
      </c>
      <c r="T127" s="141" t="n">
        <f aca="false">+T123-T125</f>
        <v>1724523.95367722</v>
      </c>
      <c r="X127" s="141" t="n">
        <f aca="false">+X123-X125</f>
        <v>1582353.2947163</v>
      </c>
      <c r="AB127" s="141" t="n">
        <f aca="false">+AB123-AB125</f>
        <v>3306877.24839351</v>
      </c>
    </row>
    <row r="128" customFormat="false" ht="12" hidden="false" customHeight="false" outlineLevel="0" collapsed="false">
      <c r="B128" s="141" t="s">
        <v>322</v>
      </c>
      <c r="T128" s="141" t="n">
        <f aca="false">-T113</f>
        <v>-786273.867299391</v>
      </c>
      <c r="X128" s="141" t="n">
        <f aca="false">-X113</f>
        <v>-729434.751427659</v>
      </c>
      <c r="AB128" s="141" t="n">
        <f aca="false">-AB113</f>
        <v>-1515708.61872705</v>
      </c>
    </row>
    <row r="129" customFormat="false" ht="12" hidden="false" customHeight="false" outlineLevel="0" collapsed="false">
      <c r="B129" s="141" t="s">
        <v>532</v>
      </c>
      <c r="T129" s="141" t="n">
        <f aca="false">+T128+T127</f>
        <v>938250.086377825</v>
      </c>
      <c r="X129" s="141" t="n">
        <f aca="false">+X128+X127</f>
        <v>852918.543288638</v>
      </c>
      <c r="AB129" s="141" t="n">
        <f aca="false">+AB128+AB127</f>
        <v>1791168.62966646</v>
      </c>
    </row>
    <row r="135" customFormat="false" ht="12" hidden="false" customHeight="false" outlineLevel="0" collapsed="false">
      <c r="L135" s="141" t="n">
        <f aca="false">10.3*43560</f>
        <v>448668</v>
      </c>
      <c r="P135" s="141" t="n">
        <f aca="false">P$7*28</f>
        <v>28</v>
      </c>
      <c r="T135" s="141" t="n">
        <f aca="false">T7*15.83</f>
        <v>1139.76</v>
      </c>
      <c r="X135" s="141" t="n">
        <f aca="false">X7*26</f>
        <v>1586</v>
      </c>
    </row>
    <row r="136" customFormat="false" ht="12" hidden="false" customHeight="false" outlineLevel="0" collapsed="false">
      <c r="L136" s="141" t="n">
        <f aca="false">SQRT(L135)</f>
        <v>669.826843296087</v>
      </c>
      <c r="M136" s="141" t="n">
        <f aca="false">L136*25</f>
        <v>16745.6710824022</v>
      </c>
      <c r="N136" s="141" t="n">
        <f aca="false">M136*4</f>
        <v>66982.6843296086</v>
      </c>
      <c r="P136" s="141" t="n">
        <f aca="false">P$7*20</f>
        <v>20</v>
      </c>
      <c r="T136" s="141" t="n">
        <f aca="false">T$7*20</f>
        <v>1440</v>
      </c>
      <c r="X136" s="141" t="n">
        <f aca="false">X$7*20</f>
        <v>1220</v>
      </c>
    </row>
    <row r="137" customFormat="false" ht="12" hidden="false" customHeight="false" outlineLevel="0" collapsed="false">
      <c r="L137" s="141" t="n">
        <f aca="false">L136*4-120</f>
        <v>2559.30737318435</v>
      </c>
      <c r="N137" s="141" t="n">
        <f aca="false">300*300</f>
        <v>90000</v>
      </c>
      <c r="P137" s="141" t="n">
        <f aca="false">+P136+P135</f>
        <v>48</v>
      </c>
      <c r="T137" s="141" t="n">
        <f aca="false">+T136+T135</f>
        <v>2579.76</v>
      </c>
      <c r="X137" s="141" t="n">
        <f aca="false">+X136+X135</f>
        <v>2806</v>
      </c>
    </row>
    <row r="138" customFormat="false" ht="12" hidden="false" customHeight="false" outlineLevel="0" collapsed="false">
      <c r="L138" s="141" t="n">
        <f aca="false">30*L137</f>
        <v>76779.2211955304</v>
      </c>
      <c r="N138" s="141" t="n">
        <f aca="false">+N137+N136</f>
        <v>156982.684329609</v>
      </c>
    </row>
    <row r="139" customFormat="false" ht="12" hidden="false" customHeight="false" outlineLevel="0" collapsed="false">
      <c r="N139" s="141" t="n">
        <f aca="false">-2.5*60*80</f>
        <v>-12000</v>
      </c>
    </row>
    <row r="140" customFormat="false" ht="12" hidden="false" customHeight="false" outlineLevel="0" collapsed="false">
      <c r="N140" s="141" t="n">
        <f aca="false">-4000</f>
        <v>-4000</v>
      </c>
    </row>
    <row r="141" customFormat="false" ht="12" hidden="false" customHeight="false" outlineLevel="0" collapsed="false">
      <c r="N141" s="141" t="n">
        <f aca="false">SUM(N138:N140)</f>
        <v>140982.684329609</v>
      </c>
    </row>
    <row r="142" customFormat="false" ht="12" hidden="false" customHeight="false" outlineLevel="0" collapsed="false">
      <c r="N142" s="141" t="n">
        <f aca="false">N141/134</f>
        <v>1052.10958454932</v>
      </c>
    </row>
    <row r="143" customFormat="false" ht="12" hidden="false" customHeight="false" outlineLevel="0" collapsed="false">
      <c r="N143" s="141" t="n">
        <f aca="false">6500*12</f>
        <v>78000</v>
      </c>
    </row>
    <row r="144" customFormat="false" ht="12" hidden="false" customHeight="false" outlineLevel="0" collapsed="false">
      <c r="L144" s="141" t="n">
        <f aca="false">670-(37.5*2+25*2)</f>
        <v>545</v>
      </c>
    </row>
    <row r="145" customFormat="false" ht="12" hidden="false" customHeight="false" outlineLevel="0" collapsed="false">
      <c r="L145" s="141" t="n">
        <v>60</v>
      </c>
    </row>
    <row r="146" customFormat="false" ht="12" hidden="false" customHeight="false" outlineLevel="0" collapsed="false">
      <c r="L146" s="141" t="n">
        <v>4</v>
      </c>
    </row>
    <row r="147" customFormat="false" ht="12" hidden="false" customHeight="false" outlineLevel="0" collapsed="false">
      <c r="L147" s="141" t="n">
        <f aca="false">L146*L145*L144</f>
        <v>130800</v>
      </c>
    </row>
    <row r="148" customFormat="false" ht="12" hidden="false" customHeight="false" outlineLevel="0" collapsed="false">
      <c r="L148" s="141" t="n">
        <f aca="false">2*L147</f>
        <v>261600</v>
      </c>
    </row>
    <row r="149" customFormat="false" ht="12" hidden="false" customHeight="false" outlineLevel="0" collapsed="false">
      <c r="L149" s="141" t="n">
        <f aca="false">L144*L146*2.1</f>
        <v>4578</v>
      </c>
    </row>
    <row r="150" customFormat="false" ht="12" hidden="false" customHeight="false" outlineLevel="0" collapsed="false">
      <c r="L150" s="141" t="n">
        <f aca="false">10*L149</f>
        <v>45780</v>
      </c>
    </row>
    <row r="151" customFormat="false" ht="12" hidden="false" customHeight="false" outlineLevel="0" collapsed="false">
      <c r="L151" s="141" t="n">
        <f aca="false">+L150+L148</f>
        <v>307380</v>
      </c>
      <c r="M151" s="141" t="n">
        <f aca="false">75000*10.3</f>
        <v>772500</v>
      </c>
      <c r="N151" s="368" t="n">
        <f aca="false">+L151/M151</f>
        <v>0.397902912621359</v>
      </c>
    </row>
    <row r="152" customFormat="false" ht="12" hidden="false" customHeight="false" outlineLevel="0" collapsed="false">
      <c r="L152" s="141" t="n">
        <f aca="false">+N141*1.5</f>
        <v>211474.026494413</v>
      </c>
    </row>
    <row r="153" customFormat="false" ht="12" hidden="false" customHeight="false" outlineLevel="0" collapsed="false">
      <c r="B153" s="141" t="s">
        <v>533</v>
      </c>
      <c r="L153" s="141" t="n">
        <f aca="false">545*4*35</f>
        <v>76300</v>
      </c>
      <c r="M153" s="141" t="n">
        <v>16</v>
      </c>
    </row>
    <row r="154" customFormat="false" ht="12" hidden="false" customHeight="false" outlineLevel="0" collapsed="false">
      <c r="B154" s="141" t="s">
        <v>534</v>
      </c>
    </row>
    <row r="155" customFormat="false" ht="12" hidden="false" customHeight="false" outlineLevel="0" collapsed="false">
      <c r="B155" s="141" t="s">
        <v>535</v>
      </c>
    </row>
    <row r="156" customFormat="false" ht="12" hidden="false" customHeight="false" outlineLevel="0" collapsed="false">
      <c r="B156" s="141" t="s">
        <v>536</v>
      </c>
    </row>
    <row r="157" customFormat="false" ht="12" hidden="false" customHeight="false" outlineLevel="0" collapsed="false">
      <c r="B157" s="141" t="s">
        <v>524</v>
      </c>
      <c r="L157" s="141" t="n">
        <v>25000</v>
      </c>
    </row>
    <row r="158" customFormat="false" ht="12" hidden="false" customHeight="false" outlineLevel="0" collapsed="false">
      <c r="B158" s="141" t="s">
        <v>537</v>
      </c>
      <c r="L158" s="141" t="n">
        <f aca="false">10000</f>
        <v>10000</v>
      </c>
    </row>
    <row r="159" customFormat="false" ht="12" hidden="false" customHeight="false" outlineLevel="0" collapsed="false">
      <c r="B159" s="141" t="s">
        <v>538</v>
      </c>
      <c r="L159" s="141" t="n">
        <v>15000</v>
      </c>
    </row>
    <row r="160" customFormat="false" ht="12" hidden="false" customHeight="false" outlineLevel="0" collapsed="false">
      <c r="B160" s="141" t="s">
        <v>525</v>
      </c>
      <c r="L160" s="141" t="n">
        <v>15000</v>
      </c>
    </row>
    <row r="161" customFormat="false" ht="12" hidden="false" customHeight="false" outlineLevel="0" collapsed="false">
      <c r="B161" s="141" t="s">
        <v>539</v>
      </c>
      <c r="L161" s="141" t="n">
        <f aca="false">900*35</f>
        <v>31500</v>
      </c>
      <c r="M161" s="141" t="n">
        <f aca="false">SUM(L151:L161)</f>
        <v>691654.026494413</v>
      </c>
      <c r="N161" s="141" t="n">
        <f aca="false">M161/10.3</f>
        <v>67150.8763586809</v>
      </c>
    </row>
    <row r="162" customFormat="false" ht="12" hidden="false" customHeight="false" outlineLevel="0" collapsed="false">
      <c r="B162" s="141" t="s">
        <v>127</v>
      </c>
      <c r="L162" s="141" t="n">
        <v>75000</v>
      </c>
    </row>
    <row r="163" customFormat="false" ht="12" hidden="false" customHeight="false" outlineLevel="0" collapsed="false">
      <c r="B163" s="141" t="s">
        <v>385</v>
      </c>
      <c r="L163" s="141" t="n">
        <v>4000</v>
      </c>
    </row>
    <row r="164" customFormat="false" ht="12" hidden="false" customHeight="false" outlineLevel="0" collapsed="false">
      <c r="B164" s="141" t="s">
        <v>540</v>
      </c>
      <c r="L164" s="141" t="n">
        <v>4000</v>
      </c>
      <c r="M164" s="141" t="n">
        <f aca="false">SUM(L151:L164)</f>
        <v>774654.026494413</v>
      </c>
      <c r="N164" s="141" t="n">
        <f aca="false">M164/10.3</f>
        <v>75209.1287858653</v>
      </c>
    </row>
  </sheetData>
  <mergeCells count="4">
    <mergeCell ref="P5:R5"/>
    <mergeCell ref="T5:V5"/>
    <mergeCell ref="X5:Z5"/>
    <mergeCell ref="AB5:AD5"/>
  </mergeCells>
  <printOptions headings="false" gridLines="true" gridLinesSet="true" horizontalCentered="true" verticalCentered="false"/>
  <pageMargins left="0.5" right="0.5" top="1.80972222222222" bottom="0.8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&amp;C&amp;"Arial,Bold"&amp;11&amp;UConstruction Cost Summary
By Unit</oddHeader>
    <oddFooter>&amp;L&amp;F&amp;C&amp;D&amp;RPage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1998-01-21T01:49:53Z</dcterms:created>
  <dc:creator>George W. Richards</dc:creator>
  <dc:description/>
  <dc:language>en-US</dc:language>
  <cp:lastModifiedBy>pallen</cp:lastModifiedBy>
  <cp:lastPrinted>2001-02-20T15:17:08Z</cp:lastPrinted>
  <dcterms:modified xsi:type="dcterms:W3CDTF">2001-02-21T11:54:05Z</dcterms:modified>
  <cp:revision>0</cp:revision>
  <dc:subject/>
  <dc:title/>
</cp:coreProperties>
</file>