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forma" sheetId="1" state="visible" r:id="rId3"/>
    <sheet name="UCost Final" sheetId="2" state="visible" r:id="rId4"/>
    <sheet name="Comps" sheetId="3" state="visible" r:id="rId5"/>
    <sheet name="Project Schedule" sheetId="4" state="visible" r:id="rId6"/>
    <sheet name="Initial Mix" sheetId="5" state="hidden" r:id="rId7"/>
  </sheets>
  <definedNames>
    <definedName function="false" hidden="false" localSheetId="2" name="_xlnm.Print_Area" vbProcedure="false">Comps!$A$5:$AL$13</definedName>
    <definedName function="false" hidden="false" localSheetId="4" name="_xlnm.Print_Area" vbProcedure="false">'Initial Mix'!$P$9:$AD$88</definedName>
    <definedName function="false" hidden="false" localSheetId="4" name="_xlnm.Print_Titles" vbProcedure="false">'Initial Mix'!$B:$B,'Initial Mix'!$5:$8</definedName>
    <definedName function="false" hidden="false" localSheetId="0" name="_xlnm.Print_Area" vbProcedure="false">Proforma!$I$5:$X$41</definedName>
    <definedName function="false" hidden="false" localSheetId="0" name="_xlnm.Print_Titles" vbProcedure="false">Proforma!$B:$B</definedName>
    <definedName function="false" hidden="false" localSheetId="3" name="_xlnm.Print_Titles" vbProcedure="false">'Project Schedule'!$A:$B,'Project Schedule'!$5:$6</definedName>
    <definedName function="false" hidden="false" localSheetId="1" name="_xlnm.Print_Area" vbProcedure="false">'UCost Final'!$W$156:$AL$169</definedName>
    <definedName function="false" hidden="false" localSheetId="1" name="_xlnm.Print_Titles" vbProcedure="false">'UCost Final'!$B:$B,'UCost Final'!$5:$9</definedName>
    <definedName function="false" hidden="false" name="Cap10" vbProcedure="false">#REF!</definedName>
    <definedName function="false" hidden="false" name="Cap11" vbProcedure="false">#REF!</definedName>
    <definedName function="false" hidden="false" name="CapRate" vbProcedure="false">Proforma!$C$41</definedName>
    <definedName function="false" hidden="false" name="CMF" vbProcedure="false">'Initial Mix'!$P$1</definedName>
    <definedName function="false" hidden="false" name="Const_Profit" vbProcedure="false">'UCost Final'!$U$2</definedName>
    <definedName function="false" hidden="false" name="CTime" vbProcedure="false">#REF!</definedName>
    <definedName function="false" hidden="false" name="Four_Bedroom_Rate" vbProcedure="false">Proforma!$C$4</definedName>
    <definedName function="false" hidden="false" name="LandscapeArea" vbProcedure="false">'UCost Final'!$Y$2</definedName>
    <definedName function="false" hidden="false" name="LTC" vbProcedure="false">'UCost Final'!$O$142</definedName>
    <definedName function="false" hidden="false" name="LTV" vbProcedure="false">'UCost Final'!$O$143</definedName>
    <definedName function="false" hidden="false" name="MgrOffFirstFlr" vbProcedure="false">'UCost Final'!$AB$3</definedName>
    <definedName function="false" hidden="false" name="NOI" vbProcedure="false">Proforma!$E$35:$X$35</definedName>
    <definedName function="false" hidden="false" name="One_Bedroom_Rate" vbProcedure="false">Proforma!$C$1</definedName>
    <definedName function="false" hidden="false" name="Pool" vbProcedure="false">'UCost Final'!$X$3</definedName>
    <definedName function="false" hidden="false" name="SM134Units" vbProcedure="false">'Initial Mix'!$AB$7</definedName>
    <definedName function="false" hidden="false" name="ThreeBdrm_First_Flr" vbProcedure="false">'UCost Final'!$AB$2</definedName>
    <definedName function="false" hidden="false" name="Three_Bedroom_Rate" vbProcedure="false">Proforma!$C$3</definedName>
    <definedName function="false" hidden="false" name="TotalCost" vbProcedure="false">'UCost Final'!$AI$136</definedName>
    <definedName function="false" hidden="false" name="TRUnits" vbProcedure="false">'Initial Mix'!$L$2</definedName>
    <definedName function="false" hidden="false" name="TwoBdrm_First_Flr" vbProcedure="false">'UCost Final'!$AB$1</definedName>
    <definedName function="false" hidden="false" name="Two_Bedroom_Rate" vbProcedure="false">Proforma!$C$2</definedName>
    <definedName function="false" hidden="false" name="Vollyball___Basketball" vbProcedure="false">'UCost Final'!$X$4</definedName>
    <definedName function="false" hidden="false" name="Vollybasketball" vbProcedure="false">'UCost Final'!$X$4</definedName>
    <definedName function="false" hidden="false" localSheetId="1" name="CMF" vbProcedure="false">'UCost Final'!$S$1</definedName>
    <definedName function="false" hidden="false" localSheetId="1" name="SM134Units" vbProcedure="false">'UCost Final'!$AI$7</definedName>
    <definedName function="false" hidden="false" localSheetId="1" name="TRUnits" vbProcedure="false">'UCost Final'!$S$2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T9" authorId="0">
      <text>
        <r>
          <rPr>
            <b val="true"/>
            <sz val="8"/>
            <color rgb="FF000000"/>
            <rFont val="Tahoma"/>
            <family val="0"/>
          </rPr>
          <t xml:space="preserve">Office is 598sf &amp; Computer Center is additional 598 sf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44</xdr:col>
                <xdr:colOff>30</xdr:colOff>
                <xdr:row>10</xdr:row>
                <xdr:rowOff>11</xdr:rowOff>
              </xdr:from>
              <xdr:to>
                <xdr:col>46</xdr:col>
                <xdr:colOff>26</xdr:colOff>
                <xdr:row>15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<sst xmlns="http://schemas.openxmlformats.org/spreadsheetml/2006/main" count="1715" uniqueCount="461">
  <si>
    <t xml:space="preserve">One Bedroom Rate</t>
  </si>
  <si>
    <t xml:space="preserve">Two Bedroom Rate</t>
  </si>
  <si>
    <t xml:space="preserve">Three Bedroom Rate</t>
  </si>
  <si>
    <t xml:space="preserve">Four Bedroom Rate</t>
  </si>
  <si>
    <t xml:space="preserve">CATEGORIES</t>
  </si>
  <si>
    <t xml:space="preserve">ONE BEDROOM</t>
  </si>
  <si>
    <t xml:space="preserve">TWO BEDROOM</t>
  </si>
  <si>
    <t xml:space="preserve">THREE BEDROOM</t>
  </si>
  <si>
    <t xml:space="preserve">FOUR BEDROOM</t>
  </si>
  <si>
    <t xml:space="preserve">PROJECT TOTAL</t>
  </si>
  <si>
    <t xml:space="preserve">TOTAL</t>
  </si>
  <si>
    <t xml:space="preserve">Per Unit</t>
  </si>
  <si>
    <t xml:space="preserve">Per SF</t>
  </si>
  <si>
    <t xml:space="preserve">Bedrooms/Baths</t>
  </si>
  <si>
    <t xml:space="preserve">Rental Sq. Ft</t>
  </si>
  <si>
    <t xml:space="preserve">Stories</t>
  </si>
  <si>
    <t xml:space="preserve">Two Story</t>
  </si>
  <si>
    <t xml:space="preserve">Unit Width</t>
  </si>
  <si>
    <t xml:space="preserve">LF</t>
  </si>
  <si>
    <t xml:space="preserve">Mix - Units</t>
  </si>
  <si>
    <t xml:space="preserve">Mix - %</t>
  </si>
  <si>
    <t xml:space="preserve">INCOME:</t>
  </si>
  <si>
    <t xml:space="preserve">Rental Income</t>
  </si>
  <si>
    <t xml:space="preserve">Vacancy Allowance-5%</t>
  </si>
  <si>
    <t xml:space="preserve">Security Deposit Forfeit</t>
  </si>
  <si>
    <t xml:space="preserve">Internet Use Fees</t>
  </si>
  <si>
    <t xml:space="preserve">Vending Commissions</t>
  </si>
  <si>
    <t xml:space="preserve">TOTAL INCOME:</t>
  </si>
  <si>
    <t xml:space="preserve">EXPENSES:</t>
  </si>
  <si>
    <t xml:space="preserve">Management Fee - 5% Total Income</t>
  </si>
  <si>
    <t xml:space="preserve">Manager's Unit &amp; Office</t>
  </si>
  <si>
    <t xml:space="preserve">Unit Maintenance</t>
  </si>
  <si>
    <t xml:space="preserve">250/YR/Unit</t>
  </si>
  <si>
    <t xml:space="preserve">Grounds Maint.</t>
  </si>
  <si>
    <t xml:space="preserve">$0.02/sf</t>
  </si>
  <si>
    <t xml:space="preserve">Cable TV &amp; T-1</t>
  </si>
  <si>
    <t xml:space="preserve">CATV $13+$20 T-1</t>
  </si>
  <si>
    <t xml:space="preserve">    Utilities</t>
  </si>
  <si>
    <t xml:space="preserve">    Advertising/Promotion</t>
  </si>
  <si>
    <t xml:space="preserve">1200/YR</t>
  </si>
  <si>
    <t xml:space="preserve">Property Taxes</t>
  </si>
  <si>
    <t xml:space="preserve">Property Insurance</t>
  </si>
  <si>
    <t xml:space="preserve">Liability Insurance</t>
  </si>
  <si>
    <t xml:space="preserve">Legal</t>
  </si>
  <si>
    <t xml:space="preserve">Rental Commissions</t>
  </si>
  <si>
    <t xml:space="preserve">TOTAL OPERATING EXPENSES:</t>
  </si>
  <si>
    <t xml:space="preserve">MONTHLY NOI:</t>
  </si>
  <si>
    <t xml:space="preserve">Replacement Reserve $350/u/y</t>
  </si>
  <si>
    <t xml:space="preserve">Mortgage: 30Y, 7.5%, 80% Value</t>
  </si>
  <si>
    <t xml:space="preserve">MONTHLY NET CASH INCOME:</t>
  </si>
  <si>
    <t xml:space="preserve">VALUE @ 10.5% CAP RATE</t>
  </si>
  <si>
    <t xml:space="preserve">LOAN AMOUNTS @ 80%LTV</t>
  </si>
  <si>
    <t xml:space="preserve">VALUE @ 10% CAP RATE</t>
  </si>
  <si>
    <t xml:space="preserve">VALUE @ 11% CAP RATE</t>
  </si>
  <si>
    <t xml:space="preserve">Depreciation 30 yrs @ cost</t>
  </si>
  <si>
    <t xml:space="preserve">Taxable Income</t>
  </si>
  <si>
    <t xml:space="preserve">Taxable</t>
  </si>
  <si>
    <t xml:space="preserve">Cash</t>
  </si>
  <si>
    <t xml:space="preserve">Tax @ 40%</t>
  </si>
  <si>
    <t xml:space="preserve">Net Income @ 95% Occupancy</t>
  </si>
  <si>
    <t xml:space="preserve">Construction Management Fee</t>
  </si>
  <si>
    <t xml:space="preserve">SM134Units</t>
  </si>
  <si>
    <t xml:space="preserve">Perimeter Lndscp</t>
  </si>
  <si>
    <t xml:space="preserve">TwoBdrm First Flr</t>
  </si>
  <si>
    <t xml:space="preserve">Total Rental Units</t>
  </si>
  <si>
    <t xml:space="preserve">Const Profit</t>
  </si>
  <si>
    <t xml:space="preserve">Int. Courtyard</t>
  </si>
  <si>
    <t xml:space="preserve">ThreeBdrm First Flr</t>
  </si>
  <si>
    <t xml:space="preserve">FAB L#</t>
  </si>
  <si>
    <t xml:space="preserve">Construction Sequence</t>
  </si>
  <si>
    <t xml:space="preserve">Phase Totals</t>
  </si>
  <si>
    <t xml:space="preserve">Pool</t>
  </si>
  <si>
    <t xml:space="preserve">MgrOffFirstFlr</t>
  </si>
  <si>
    <t xml:space="preserve">ESW PHASE 2 COST DATA - FAB LOAN</t>
  </si>
  <si>
    <t xml:space="preserve">Vollyball &amp; Basketball</t>
  </si>
  <si>
    <t xml:space="preserve">1</t>
  </si>
  <si>
    <t xml:space="preserve">2</t>
  </si>
  <si>
    <t xml:space="preserve">7</t>
  </si>
  <si>
    <t xml:space="preserve">3</t>
  </si>
  <si>
    <t xml:space="preserve">4</t>
  </si>
  <si>
    <t xml:space="preserve">5</t>
  </si>
  <si>
    <t xml:space="preserve">6</t>
  </si>
  <si>
    <t xml:space="preserve">Manager's Unit, Office &amp; Computer Center</t>
  </si>
  <si>
    <t xml:space="preserve">PLAN B - 2+2.5+2</t>
  </si>
  <si>
    <t xml:space="preserve">PLAN C - 3+3.5+2</t>
  </si>
  <si>
    <t xml:space="preserve">PLAN D - 4+2+2</t>
  </si>
  <si>
    <t xml:space="preserve">TOTALS</t>
  </si>
  <si>
    <t xml:space="preserve">Description</t>
  </si>
  <si>
    <t xml:space="preserve">DRAW ALLOW</t>
  </si>
  <si>
    <t xml:space="preserve">% Tcost</t>
  </si>
  <si>
    <t xml:space="preserve">812/814</t>
  </si>
  <si>
    <t xml:space="preserve">820/822</t>
  </si>
  <si>
    <t xml:space="preserve">826/828</t>
  </si>
  <si>
    <t xml:space="preserve">832/834</t>
  </si>
  <si>
    <t xml:space="preserve">838/840</t>
  </si>
  <si>
    <t xml:space="preserve">861/863</t>
  </si>
  <si>
    <t xml:space="preserve">867/869</t>
  </si>
  <si>
    <t xml:space="preserve">Totals</t>
  </si>
  <si>
    <t xml:space="preserve">Per ACSF</t>
  </si>
  <si>
    <t xml:space="preserve">Per Cvrd SF</t>
  </si>
  <si>
    <t xml:space="preserve">% TOTAL</t>
  </si>
  <si>
    <t xml:space="preserve">% Of Est.</t>
  </si>
  <si>
    <t xml:space="preserve">Estimate Totals</t>
  </si>
  <si>
    <t xml:space="preserve">Per A/C SF</t>
  </si>
  <si>
    <t xml:space="preserve">MIX - Units</t>
  </si>
  <si>
    <t xml:space="preserve">MIX - %</t>
  </si>
  <si>
    <t xml:space="preserve">Heated/Total SF</t>
  </si>
  <si>
    <t xml:space="preserve">L#1</t>
  </si>
  <si>
    <t xml:space="preserve">Permits</t>
  </si>
  <si>
    <t xml:space="preserve">X</t>
  </si>
  <si>
    <t xml:space="preserve">1.</t>
  </si>
  <si>
    <t xml:space="preserve">Permits/Fees</t>
  </si>
  <si>
    <t xml:space="preserve">L#2</t>
  </si>
  <si>
    <t xml:space="preserve">Architecture &amp; Structural Eng.</t>
  </si>
  <si>
    <t xml:space="preserve">2.</t>
  </si>
  <si>
    <t xml:space="preserve">Arch &amp; Eng &amp; Replat</t>
  </si>
  <si>
    <t xml:space="preserve">L#35</t>
  </si>
  <si>
    <t xml:space="preserve">Builder's Risk</t>
  </si>
  <si>
    <t xml:space="preserve">3.</t>
  </si>
  <si>
    <t xml:space="preserve">Water/Sewer Con.</t>
  </si>
  <si>
    <t xml:space="preserve">L#4</t>
  </si>
  <si>
    <t xml:space="preserve">Temp Electic &amp; Utilities</t>
  </si>
  <si>
    <t xml:space="preserve">4.</t>
  </si>
  <si>
    <t xml:space="preserve">Site Work</t>
  </si>
  <si>
    <t xml:space="preserve">Sitework</t>
  </si>
  <si>
    <t xml:space="preserve">5.</t>
  </si>
  <si>
    <t xml:space="preserve">Foundation</t>
  </si>
  <si>
    <t xml:space="preserve">FOUNDATION</t>
  </si>
  <si>
    <t xml:space="preserve">6.</t>
  </si>
  <si>
    <t xml:space="preserve">Plumbing Rough</t>
  </si>
  <si>
    <t xml:space="preserve">L#5</t>
  </si>
  <si>
    <t xml:space="preserve">Setup</t>
  </si>
  <si>
    <t xml:space="preserve">7.</t>
  </si>
  <si>
    <t xml:space="preserve">Framing &amp; Sheeting (M&amp;L)</t>
  </si>
  <si>
    <t xml:space="preserve">Concrete</t>
  </si>
  <si>
    <t xml:space="preserve">8.</t>
  </si>
  <si>
    <t xml:space="preserve">Roof (Matl &amp; Labor)</t>
  </si>
  <si>
    <t xml:space="preserve">Finish</t>
  </si>
  <si>
    <t xml:space="preserve">9.</t>
  </si>
  <si>
    <t xml:space="preserve">Cornice (M&amp;L)</t>
  </si>
  <si>
    <t xml:space="preserve">PLUMBING</t>
  </si>
  <si>
    <t xml:space="preserve">10.</t>
  </si>
  <si>
    <t xml:space="preserve">Windows/Mirrors</t>
  </si>
  <si>
    <t xml:space="preserve">L#6</t>
  </si>
  <si>
    <t xml:space="preserve">Rough</t>
  </si>
  <si>
    <t xml:space="preserve">11.</t>
  </si>
  <si>
    <t xml:space="preserve">Painting-Outside</t>
  </si>
  <si>
    <t xml:space="preserve">L#17</t>
  </si>
  <si>
    <t xml:space="preserve">Top Out</t>
  </si>
  <si>
    <t xml:space="preserve">12.</t>
  </si>
  <si>
    <t xml:space="preserve">Electric-Rough</t>
  </si>
  <si>
    <t xml:space="preserve">Set Out</t>
  </si>
  <si>
    <t xml:space="preserve">13.</t>
  </si>
  <si>
    <t xml:space="preserve">Ducts</t>
  </si>
  <si>
    <t xml:space="preserve">FRAMING LABOR</t>
  </si>
  <si>
    <t xml:space="preserve">14.</t>
  </si>
  <si>
    <t xml:space="preserve">Heat/Air-Units</t>
  </si>
  <si>
    <t xml:space="preserve">L#7</t>
  </si>
  <si>
    <t xml:space="preserve">1st Floor Walls</t>
  </si>
  <si>
    <t xml:space="preserve">15.</t>
  </si>
  <si>
    <t xml:space="preserve">Insulation-Walls</t>
  </si>
  <si>
    <t xml:space="preserve">2nd Floor Walls</t>
  </si>
  <si>
    <t xml:space="preserve">16.</t>
  </si>
  <si>
    <t xml:space="preserve">Insulation-Ceiling</t>
  </si>
  <si>
    <t xml:space="preserve">Included in Insulation- Walls, Line #15</t>
  </si>
  <si>
    <t xml:space="preserve">Roof-Decking-Subfascia</t>
  </si>
  <si>
    <t xml:space="preserve">17.</t>
  </si>
  <si>
    <t xml:space="preserve">Plumbing - Top Out</t>
  </si>
  <si>
    <t xml:space="preserve">L#9</t>
  </si>
  <si>
    <t xml:space="preserve">Cornice</t>
  </si>
  <si>
    <t xml:space="preserve">18.</t>
  </si>
  <si>
    <t xml:space="preserve">Masonry/Siding</t>
  </si>
  <si>
    <t xml:space="preserve">FRAMING MATERIALS</t>
  </si>
  <si>
    <t xml:space="preserve">19.</t>
  </si>
  <si>
    <t xml:space="preserve">Fireplace</t>
  </si>
  <si>
    <t xml:space="preserve">Trusses - Roof</t>
  </si>
  <si>
    <t xml:space="preserve">20</t>
  </si>
  <si>
    <t xml:space="preserve">Shrck/Tape/Float</t>
  </si>
  <si>
    <t xml:space="preserve">Floor Joists</t>
  </si>
  <si>
    <t xml:space="preserve">21.</t>
  </si>
  <si>
    <t xml:space="preserve">Trim Work W/Garage Drs.</t>
  </si>
  <si>
    <t xml:space="preserve">1st Floor Material</t>
  </si>
  <si>
    <t xml:space="preserve">22.</t>
  </si>
  <si>
    <t xml:space="preserve">Cabinets/Formica</t>
  </si>
  <si>
    <t xml:space="preserve">2nd Floor Materials</t>
  </si>
  <si>
    <t xml:space="preserve">23.</t>
  </si>
  <si>
    <t xml:space="preserve">Tile</t>
  </si>
  <si>
    <t xml:space="preserve">Roof System Materials</t>
  </si>
  <si>
    <t xml:space="preserve">24.</t>
  </si>
  <si>
    <t xml:space="preserve">Painting-Interior</t>
  </si>
  <si>
    <t xml:space="preserve">Cornice Materials</t>
  </si>
  <si>
    <t xml:space="preserve">25.</t>
  </si>
  <si>
    <t xml:space="preserve">Wallpaper</t>
  </si>
  <si>
    <t xml:space="preserve">L#10</t>
  </si>
  <si>
    <t xml:space="preserve">Windows</t>
  </si>
  <si>
    <t xml:space="preserve">26.</t>
  </si>
  <si>
    <t xml:space="preserve">Appliances</t>
  </si>
  <si>
    <t xml:space="preserve">Exterior Doors</t>
  </si>
  <si>
    <t xml:space="preserve">27.</t>
  </si>
  <si>
    <t xml:space="preserve">Carpet/Vinyl</t>
  </si>
  <si>
    <t xml:space="preserve">MASONRY/SIDING</t>
  </si>
  <si>
    <t xml:space="preserve">28.</t>
  </si>
  <si>
    <t xml:space="preserve">Drives &amp; Sidewalks</t>
  </si>
  <si>
    <t xml:space="preserve">L#18</t>
  </si>
  <si>
    <t xml:space="preserve">Materials</t>
  </si>
  <si>
    <t xml:space="preserve">29.</t>
  </si>
  <si>
    <t xml:space="preserve">Hardware</t>
  </si>
  <si>
    <t xml:space="preserve">Labor</t>
  </si>
  <si>
    <t xml:space="preserve">30.</t>
  </si>
  <si>
    <t xml:space="preserve">Ldscp., Fencing &amp; Clean Up</t>
  </si>
  <si>
    <t xml:space="preserve">ROOFING</t>
  </si>
  <si>
    <t xml:space="preserve">31.</t>
  </si>
  <si>
    <t xml:space="preserve">Clean Up &amp; Temps</t>
  </si>
  <si>
    <t xml:space="preserve">L#8</t>
  </si>
  <si>
    <t xml:space="preserve">32.</t>
  </si>
  <si>
    <t xml:space="preserve">Septic</t>
  </si>
  <si>
    <t xml:space="preserve">33.</t>
  </si>
  <si>
    <t xml:space="preserve">Interest &amp; Fees</t>
  </si>
  <si>
    <t xml:space="preserve">ELECTRIC</t>
  </si>
  <si>
    <t xml:space="preserve"> </t>
  </si>
  <si>
    <t xml:space="preserve">34.</t>
  </si>
  <si>
    <t xml:space="preserve">Lot</t>
  </si>
  <si>
    <t xml:space="preserve">L#12</t>
  </si>
  <si>
    <t xml:space="preserve">Temp Set</t>
  </si>
  <si>
    <t xml:space="preserve">35.</t>
  </si>
  <si>
    <t xml:space="preserve">Other Costs</t>
  </si>
  <si>
    <t xml:space="preserve">36.</t>
  </si>
  <si>
    <t xml:space="preserve">Electric - Trim,Pre-Wire &amp; Fix.</t>
  </si>
  <si>
    <t xml:space="preserve">L#36</t>
  </si>
  <si>
    <t xml:space="preserve">Trim</t>
  </si>
  <si>
    <t xml:space="preserve">37.</t>
  </si>
  <si>
    <t xml:space="preserve">Supervision</t>
  </si>
  <si>
    <t xml:space="preserve">PREWIRE</t>
  </si>
  <si>
    <t xml:space="preserve">Construction Management</t>
  </si>
  <si>
    <t xml:space="preserve">Contractor Profit</t>
  </si>
  <si>
    <t xml:space="preserve">HVAC</t>
  </si>
  <si>
    <t xml:space="preserve">Less:</t>
  </si>
  <si>
    <t xml:space="preserve">L#13</t>
  </si>
  <si>
    <t xml:space="preserve">Land &amp; Improvments</t>
  </si>
  <si>
    <t xml:space="preserve">L#14</t>
  </si>
  <si>
    <t xml:space="preserve">Set</t>
  </si>
  <si>
    <t xml:space="preserve">Interest</t>
  </si>
  <si>
    <t xml:space="preserve">L#15&amp;16</t>
  </si>
  <si>
    <t xml:space="preserve">INSULATION</t>
  </si>
  <si>
    <t xml:space="preserve">L#20</t>
  </si>
  <si>
    <t xml:space="preserve">SHEETROCK</t>
  </si>
  <si>
    <t xml:space="preserve">Construction Profit</t>
  </si>
  <si>
    <t xml:space="preserve">Stock</t>
  </si>
  <si>
    <t xml:space="preserve">Board &amp; Nail Total</t>
  </si>
  <si>
    <t xml:space="preserve">Hang, Tape, Float &amp; Texture</t>
  </si>
  <si>
    <t xml:space="preserve">L#21</t>
  </si>
  <si>
    <t xml:space="preserve">GARAGE DOORS</t>
  </si>
  <si>
    <t xml:space="preserve">COVERED PARKING</t>
  </si>
  <si>
    <t xml:space="preserve">INTERIOR TRIM</t>
  </si>
  <si>
    <t xml:space="preserve">Doors</t>
  </si>
  <si>
    <t xml:space="preserve">Millwork</t>
  </si>
  <si>
    <t xml:space="preserve">PAINT</t>
  </si>
  <si>
    <t xml:space="preserve">L#11</t>
  </si>
  <si>
    <t xml:space="preserve">Exterior</t>
  </si>
  <si>
    <t xml:space="preserve">L#24</t>
  </si>
  <si>
    <t xml:space="preserve">Interior Trim</t>
  </si>
  <si>
    <t xml:space="preserve">Touch Up</t>
  </si>
  <si>
    <t xml:space="preserve">FINISH ITEMS</t>
  </si>
  <si>
    <t xml:space="preserve">L#22</t>
  </si>
  <si>
    <t xml:space="preserve">Cabinets</t>
  </si>
  <si>
    <t xml:space="preserve">Countertops</t>
  </si>
  <si>
    <t xml:space="preserve">x</t>
  </si>
  <si>
    <t xml:space="preserve">L#29</t>
  </si>
  <si>
    <t xml:space="preserve">Hardware With VING Card)</t>
  </si>
  <si>
    <t xml:space="preserve">Electrical Fixtures</t>
  </si>
  <si>
    <t xml:space="preserve">Rent</t>
  </si>
  <si>
    <t xml:space="preserve">L#26</t>
  </si>
  <si>
    <t xml:space="preserve">L#27</t>
  </si>
  <si>
    <t xml:space="preserve">Flooring</t>
  </si>
  <si>
    <t xml:space="preserve">Specialty Items - Mini-Blinds</t>
  </si>
  <si>
    <t xml:space="preserve">L#28</t>
  </si>
  <si>
    <t xml:space="preserve">FLATWORK</t>
  </si>
  <si>
    <t xml:space="preserve">Curb Cut</t>
  </si>
  <si>
    <t xml:space="preserve">Drives</t>
  </si>
  <si>
    <t xml:space="preserve">Walks</t>
  </si>
  <si>
    <t xml:space="preserve">L#30</t>
  </si>
  <si>
    <t xml:space="preserve">FENCING</t>
  </si>
  <si>
    <t xml:space="preserve">LANDSCAPING</t>
  </si>
  <si>
    <t xml:space="preserve">Sprinklers - Front &amp; Rear</t>
  </si>
  <si>
    <t xml:space="preserve">N/A</t>
  </si>
  <si>
    <t xml:space="preserve">CLEAN UP</t>
  </si>
  <si>
    <t xml:space="preserve">L#31</t>
  </si>
  <si>
    <t xml:space="preserve">Site</t>
  </si>
  <si>
    <t xml:space="preserve">Interior</t>
  </si>
  <si>
    <t xml:space="preserve">Final Grade</t>
  </si>
  <si>
    <t xml:space="preserve">Dumpster</t>
  </si>
  <si>
    <t xml:space="preserve">Job Toilet</t>
  </si>
  <si>
    <t xml:space="preserve">MISCELLANEOUS</t>
  </si>
  <si>
    <t xml:space="preserve">L#37</t>
  </si>
  <si>
    <t xml:space="preserve">SUPERVISION</t>
  </si>
  <si>
    <t xml:space="preserve">TOTAL UNIT COST</t>
  </si>
  <si>
    <t xml:space="preserve">CofO</t>
  </si>
  <si>
    <t xml:space="preserve">Unit</t>
  </si>
  <si>
    <t xml:space="preserve">Quantity</t>
  </si>
  <si>
    <t xml:space="preserve">Unit Cost</t>
  </si>
  <si>
    <t xml:space="preserve">Total</t>
  </si>
  <si>
    <t xml:space="preserve">Per Acre</t>
  </si>
  <si>
    <t xml:space="preserve">Land</t>
  </si>
  <si>
    <t xml:space="preserve">$2.50/SF</t>
  </si>
  <si>
    <t xml:space="preserve">Improvements</t>
  </si>
  <si>
    <t xml:space="preserve">Civil Engineering</t>
  </si>
  <si>
    <t xml:space="preserve">Lump Sum</t>
  </si>
  <si>
    <t xml:space="preserve">8" Flex Base</t>
  </si>
  <si>
    <t xml:space="preserve">Sq Yds</t>
  </si>
  <si>
    <t xml:space="preserve">1 1/2" HMAC</t>
  </si>
  <si>
    <t xml:space="preserve">Excavation/Embankment</t>
  </si>
  <si>
    <t xml:space="preserve">Cubic Yds</t>
  </si>
  <si>
    <t xml:space="preserve">Curb &amp; Gutter</t>
  </si>
  <si>
    <t xml:space="preserve">Linear Ft</t>
  </si>
  <si>
    <t xml:space="preserve">8"PVC Watermain</t>
  </si>
  <si>
    <t xml:space="preserve">2" PVC Watermain</t>
  </si>
  <si>
    <t xml:space="preserve">Water Services</t>
  </si>
  <si>
    <t xml:space="preserve">EA</t>
  </si>
  <si>
    <t xml:space="preserve">Master Meters</t>
  </si>
  <si>
    <t xml:space="preserve">Fire Hydrants W/Valve</t>
  </si>
  <si>
    <t xml:space="preserve">8" Wastewater Line(all depths)</t>
  </si>
  <si>
    <t xml:space="preserve">W.W. Manholes</t>
  </si>
  <si>
    <t xml:space="preserve">Wet Tap 8"</t>
  </si>
  <si>
    <t xml:space="preserve">Striping</t>
  </si>
  <si>
    <t xml:space="preserve">Electrical</t>
  </si>
  <si>
    <t xml:space="preserve">Contingency</t>
  </si>
  <si>
    <t xml:space="preserve">Sub Total</t>
  </si>
  <si>
    <t xml:space="preserve">Ammenities</t>
  </si>
  <si>
    <t xml:space="preserve">Perimeter Wall-Bishop</t>
  </si>
  <si>
    <t xml:space="preserve">Perimeter Wall-LBJ &amp; Met</t>
  </si>
  <si>
    <t xml:space="preserve">Landscaping &amp; Sprinklers</t>
  </si>
  <si>
    <t xml:space="preserve">Sq Ft.</t>
  </si>
  <si>
    <t xml:space="preserve">Entry Gates</t>
  </si>
  <si>
    <t xml:space="preserve">Mgr Apt, Computer &amp; Rental Offices</t>
  </si>
  <si>
    <t xml:space="preserve">Rental Office FF&amp;E</t>
  </si>
  <si>
    <t xml:space="preserve">HighSpeed T-1 Line</t>
  </si>
  <si>
    <t xml:space="preserve">Swimming Pool</t>
  </si>
  <si>
    <t xml:space="preserve">Fitness Center</t>
  </si>
  <si>
    <t xml:space="preserve">Vollyball Court</t>
  </si>
  <si>
    <t xml:space="preserve">Basketball Court</t>
  </si>
  <si>
    <t xml:space="preserve">Sub Total Comm. Ammenities</t>
  </si>
  <si>
    <t xml:space="preserve">Total Imp. &amp; Ammenities</t>
  </si>
  <si>
    <t xml:space="preserve">TOTAL IMPROVED LOT</t>
  </si>
  <si>
    <t xml:space="preserve">TOTAL DIRECT COST</t>
  </si>
  <si>
    <t xml:space="preserve">Finance Cost</t>
  </si>
  <si>
    <t xml:space="preserve">Appraisal</t>
  </si>
  <si>
    <t xml:space="preserve">Origination</t>
  </si>
  <si>
    <t xml:space="preserve">Closing Costs</t>
  </si>
  <si>
    <t xml:space="preserve">Interest Reserve</t>
  </si>
  <si>
    <t xml:space="preserve">Total Finance Cost</t>
  </si>
  <si>
    <t xml:space="preserve">TOTAL COST</t>
  </si>
  <si>
    <t xml:space="preserve">% of Value</t>
  </si>
  <si>
    <t xml:space="preserve">Total Bdrm Rent/Month</t>
  </si>
  <si>
    <t xml:space="preserve">Rent/Bedroom/Month</t>
  </si>
  <si>
    <t xml:space="preserve">Annual Return on Total Cost</t>
  </si>
  <si>
    <t xml:space="preserve">Interim Loan - LTC</t>
  </si>
  <si>
    <t xml:space="preserve">LTC</t>
  </si>
  <si>
    <t xml:space="preserve">Interim Loan - LTV</t>
  </si>
  <si>
    <t xml:space="preserve">LTV</t>
  </si>
  <si>
    <t xml:space="preserve">Equity Based on LTC @ 80%</t>
  </si>
  <si>
    <t xml:space="preserve">Total Cost Less Loan</t>
  </si>
  <si>
    <t xml:space="preserve">Less Defferred Const. Profit</t>
  </si>
  <si>
    <t xml:space="preserve">Investor Equity</t>
  </si>
  <si>
    <t xml:space="preserve">CONSTRUCTION COST SUMMARY</t>
  </si>
  <si>
    <t xml:space="preserve">Equity Required - Based on LTV @ 80%</t>
  </si>
  <si>
    <t xml:space="preserve">Less Defferred C. Profit</t>
  </si>
  <si>
    <t xml:space="preserve">Less Excess CMFee</t>
  </si>
  <si>
    <t xml:space="preserve">LAND</t>
  </si>
  <si>
    <t xml:space="preserve">UTILITY IMPROVEMENTS</t>
  </si>
  <si>
    <t xml:space="preserve">IMPROVED LOT COST</t>
  </si>
  <si>
    <t xml:space="preserve">COMMON AMENITIES</t>
  </si>
  <si>
    <t xml:space="preserve">UNIT COST</t>
  </si>
  <si>
    <t xml:space="preserve">CONSTRUCTION PROFIT</t>
  </si>
  <si>
    <t xml:space="preserve">FINANCE COST</t>
  </si>
  <si>
    <t xml:space="preserve">TWO BEDROOMS</t>
  </si>
  <si>
    <t xml:space="preserve">THREE BEDROOMS</t>
  </si>
  <si>
    <t xml:space="preserve">SMALLER</t>
  </si>
  <si>
    <t xml:space="preserve">LARGER</t>
  </si>
  <si>
    <t xml:space="preserve">ONE BATH</t>
  </si>
  <si>
    <t xml:space="preserve">TWO BATH</t>
  </si>
  <si>
    <t xml:space="preserve">THREE &amp; THREE 1/2 BATH</t>
  </si>
  <si>
    <t xml:space="preserve">FOUR BEDROOMS</t>
  </si>
  <si>
    <t xml:space="preserve">THREE BATH</t>
  </si>
  <si>
    <t xml:space="preserve">FOUR BATH</t>
  </si>
  <si>
    <t xml:space="preserve">Total Units</t>
  </si>
  <si>
    <t xml:space="preserve">Age</t>
  </si>
  <si>
    <t xml:space="preserve">Size</t>
  </si>
  <si>
    <t xml:space="preserve">Rent/SF</t>
  </si>
  <si>
    <t xml:space="preserve">Rent/Bdrm</t>
  </si>
  <si>
    <t xml:space="preserve">Jefferson</t>
  </si>
  <si>
    <t xml:space="preserve">The Palazzo</t>
  </si>
  <si>
    <t xml:space="preserve">Hillside Ranch</t>
  </si>
  <si>
    <t xml:space="preserve">Sterling Univ. Apts.</t>
  </si>
  <si>
    <t xml:space="preserve">SM134</t>
  </si>
  <si>
    <t xml:space="preserve">Work Days</t>
  </si>
  <si>
    <t xml:space="preserve">Loan Approval</t>
  </si>
  <si>
    <t xml:space="preserve">Document Prep</t>
  </si>
  <si>
    <t xml:space="preserve">Closing Loan/Land</t>
  </si>
  <si>
    <t xml:space="preserve">Survey</t>
  </si>
  <si>
    <t xml:space="preserve">Re-Plat 2nd Parcel</t>
  </si>
  <si>
    <t xml:space="preserve">Utility Design</t>
  </si>
  <si>
    <t xml:space="preserve">City Submission</t>
  </si>
  <si>
    <t xml:space="preserve">City Approval</t>
  </si>
  <si>
    <t xml:space="preserve">Lot Improvements</t>
  </si>
  <si>
    <t xml:space="preserve">Foundations</t>
  </si>
  <si>
    <t xml:space="preserve">3 wks/Phase, 4 Bldgs/Phase</t>
  </si>
  <si>
    <t xml:space="preserve">Phase 1/2</t>
  </si>
  <si>
    <t xml:space="preserve">Phase 2/3</t>
  </si>
  <si>
    <t xml:space="preserve">Phase 3/4</t>
  </si>
  <si>
    <t xml:space="preserve">Phase 5/6</t>
  </si>
  <si>
    <t xml:space="preserve">Phase 6/7</t>
  </si>
  <si>
    <t xml:space="preserve">Phase 7/8</t>
  </si>
  <si>
    <t xml:space="preserve">Unit Construction - 33 Bldgs</t>
  </si>
  <si>
    <t xml:space="preserve">Phase 1 - 4 Bldgs + Mgr Office</t>
  </si>
  <si>
    <t xml:space="preserve">Man Days</t>
  </si>
  <si>
    <t xml:space="preserve">Phase 2 - 4 Bldgs</t>
  </si>
  <si>
    <t xml:space="preserve">Phase 3 - 4 Bldgs</t>
  </si>
  <si>
    <t xml:space="preserve">Phase 4 - 4 Bldgs</t>
  </si>
  <si>
    <t xml:space="preserve">Phase 5 - 4 Bldgs</t>
  </si>
  <si>
    <t xml:space="preserve">Phase 6 - 4 Bldgs</t>
  </si>
  <si>
    <t xml:space="preserve">Phase 7 - 4 Bldgs</t>
  </si>
  <si>
    <t xml:space="preserve">Phase 8 - 4 Bldgs</t>
  </si>
  <si>
    <t xml:space="preserve">Pre-Leasing</t>
  </si>
  <si>
    <t xml:space="preserve">Phase 1</t>
  </si>
  <si>
    <t xml:space="preserve">Units</t>
  </si>
  <si>
    <t xml:space="preserve">Phase 2</t>
  </si>
  <si>
    <t xml:space="preserve">Phase 3</t>
  </si>
  <si>
    <t xml:space="preserve">Phase 4</t>
  </si>
  <si>
    <t xml:space="preserve">Phase 5</t>
  </si>
  <si>
    <t xml:space="preserve">Phase 6</t>
  </si>
  <si>
    <t xml:space="preserve">Phase 7</t>
  </si>
  <si>
    <t xml:space="preserve">Phase 8</t>
  </si>
  <si>
    <t xml:space="preserve">Rent Stabilization</t>
  </si>
  <si>
    <t xml:space="preserve">Appraisal for Permanent</t>
  </si>
  <si>
    <t xml:space="preserve">Close On Permanent</t>
  </si>
  <si>
    <t xml:space="preserve">PLAN A - 2+2+1</t>
  </si>
  <si>
    <t xml:space="preserve">PLAN B - 3+3.5+2</t>
  </si>
  <si>
    <t xml:space="preserve">MIX</t>
  </si>
  <si>
    <t xml:space="preserve">Architecture</t>
  </si>
  <si>
    <t xml:space="preserve">TOTAL UNIT CONSTRUCTION</t>
  </si>
  <si>
    <t xml:space="preserve">Parking &amp; Drives</t>
  </si>
  <si>
    <t xml:space="preserve">Curbing</t>
  </si>
  <si>
    <t xml:space="preserve">Utilities</t>
  </si>
  <si>
    <t xml:space="preserve">Landscaping</t>
  </si>
  <si>
    <t xml:space="preserve">Lighting</t>
  </si>
  <si>
    <t xml:space="preserve">Signage</t>
  </si>
  <si>
    <t xml:space="preserve">Common Ammenities</t>
  </si>
  <si>
    <t xml:space="preserve">Pool Shower/Restroom</t>
  </si>
  <si>
    <t xml:space="preserve">Project Office, Mgr &amp; Comp Off</t>
  </si>
  <si>
    <t xml:space="preserve">Interim Loan Amount</t>
  </si>
  <si>
    <t xml:space="preserve">Equity Required</t>
  </si>
  <si>
    <t xml:space="preserve">Cash Equity</t>
  </si>
  <si>
    <t xml:space="preserve">Water</t>
  </si>
  <si>
    <t xml:space="preserve">Sewer</t>
  </si>
  <si>
    <t xml:space="preserve">TV&amp;Cable</t>
  </si>
  <si>
    <t xml:space="preserve">Elec</t>
  </si>
  <si>
    <t xml:space="preserve">Gates</t>
  </si>
  <si>
    <t xml:space="preserve">Office FF&amp;E</t>
  </si>
  <si>
    <t xml:space="preserve">Wall On Bishop</t>
  </si>
  <si>
    <t xml:space="preserve">Volleyball Court</t>
  </si>
  <si>
    <t xml:space="preserve">Baths</t>
  </si>
</sst>
</file>

<file path=xl/styles.xml><?xml version="1.0" encoding="utf-8"?>
<styleSheet xmlns="http://schemas.openxmlformats.org/spreadsheetml/2006/main">
  <numFmts count="21">
    <numFmt numFmtId="164" formatCode="[$-409]#,##0_);[RED]\(#,##0\)"/>
    <numFmt numFmtId="165" formatCode="[$-409]General"/>
    <numFmt numFmtId="166" formatCode="#,##0.0_);[RED]\(#,##0.0\)"/>
    <numFmt numFmtId="167" formatCode="[$-409]#,##0.00_);[RED]\(#,##0.00\)"/>
    <numFmt numFmtId="168" formatCode="0.0%"/>
    <numFmt numFmtId="169" formatCode="_(\$* #,##0.00_);_(\$* \(#,##0.00\);_(\$* \-??_);_(@_)"/>
    <numFmt numFmtId="170" formatCode="_(\$* #,##0_);_(\$* \(#,##0\);_(\$* \-??_);_(@_)"/>
    <numFmt numFmtId="171" formatCode="_(* #,##0.00_);_(* \(#,##0.00\);_(* \-??_);_(@_)"/>
    <numFmt numFmtId="172" formatCode="_(* #,##0_);_(* \(#,##0\);_(* \-??_);_(@_)"/>
    <numFmt numFmtId="173" formatCode="\$#,##0_);[RED]&quot;($&quot;#,##0\)"/>
    <numFmt numFmtId="174" formatCode="\$#,##0.00_);[RED]&quot;($&quot;#,##0.00\)"/>
    <numFmt numFmtId="175" formatCode="#,##0.000_);[RED]\(#,##0.000\)"/>
    <numFmt numFmtId="176" formatCode="[$-409]@"/>
    <numFmt numFmtId="177" formatCode="General"/>
    <numFmt numFmtId="178" formatCode="[$-409]0.00%"/>
    <numFmt numFmtId="179" formatCode="_(\$* #,##0_);_(\$* \(#,##0\);_(\$* \-_);_(@_)"/>
    <numFmt numFmtId="180" formatCode="_(* #,##0_);_(* \(#,##0\);_(* \-_);_(@_)"/>
    <numFmt numFmtId="181" formatCode="_(* #,##0.00_);_(* \(#,##0.00\);_(* \-_);_(@_)"/>
    <numFmt numFmtId="182" formatCode="_(* #,##0.0000_);_(* \(#,##0.0000\);_(* \-??_);_(@_)"/>
    <numFmt numFmtId="183" formatCode="[$-409]mmm\-yy"/>
    <numFmt numFmtId="184" formatCode="[$-409]#,##0.00"/>
  </numFmts>
  <fonts count="26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meriGarmnd BT"/>
      <family val="1"/>
    </font>
    <font>
      <b val="true"/>
      <sz val="9"/>
      <name val="Goudy"/>
      <family val="1"/>
    </font>
    <font>
      <b val="true"/>
      <sz val="10"/>
      <name val="Times New Roman"/>
      <family val="1"/>
    </font>
    <font>
      <b val="true"/>
      <sz val="10"/>
      <name val="Goudy"/>
      <family val="1"/>
    </font>
    <font>
      <sz val="1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sz val="9"/>
      <name val="Arial"/>
      <family val="2"/>
    </font>
    <font>
      <sz val="10"/>
      <name val="Goudy"/>
      <family val="1"/>
    </font>
    <font>
      <sz val="9"/>
      <color rgb="FFFF0000"/>
      <name val="Arial"/>
      <family val="0"/>
    </font>
    <font>
      <b val="true"/>
      <sz val="9"/>
      <name val="Arial"/>
      <family val="0"/>
    </font>
    <font>
      <b val="true"/>
      <sz val="9"/>
      <name val="Arial"/>
      <family val="2"/>
    </font>
    <font>
      <b val="true"/>
      <sz val="10"/>
      <name val="Arial"/>
      <family val="2"/>
    </font>
    <font>
      <sz val="9"/>
      <name val="Goudy"/>
      <family val="1"/>
    </font>
    <font>
      <b val="true"/>
      <u val="single"/>
      <sz val="9"/>
      <name val="Arial"/>
      <family val="2"/>
    </font>
    <font>
      <u val="single"/>
      <sz val="9"/>
      <name val="Abadi MT Condensed Light"/>
      <family val="2"/>
    </font>
    <font>
      <u val="single"/>
      <sz val="9"/>
      <name val="Arial"/>
      <family val="2"/>
    </font>
    <font>
      <b val="true"/>
      <u val="single"/>
      <sz val="9"/>
      <name val="Arial"/>
      <family val="0"/>
    </font>
    <font>
      <b val="true"/>
      <sz val="8"/>
      <color rgb="FF000000"/>
      <name val="Tahoma"/>
      <family val="0"/>
    </font>
    <font>
      <b val="true"/>
      <sz val="10"/>
      <name val="AGaramond"/>
      <family val="1"/>
    </font>
    <font>
      <sz val="10"/>
      <name val="AGaramond"/>
      <family val="1"/>
    </font>
    <font>
      <b val="true"/>
      <sz val="10"/>
      <color rgb="FF800080"/>
      <name val="AGaramond"/>
      <family val="1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800080"/>
        <bgColor rgb="FF800080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/>
      <bottom style="dotted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11" fillId="0" borderId="0" applyFont="true" applyBorder="false" applyAlignment="false" applyProtection="false"/>
    <xf numFmtId="180" fontId="11" fillId="0" borderId="0" applyFont="true" applyBorder="false" applyAlignment="false" applyProtection="false"/>
    <xf numFmtId="169" fontId="11" fillId="0" borderId="0" applyFont="true" applyBorder="false" applyAlignment="false" applyProtection="false"/>
    <xf numFmtId="179" fontId="11" fillId="0" borderId="0" applyFont="true" applyBorder="false" applyAlignment="false" applyProtection="false"/>
    <xf numFmtId="168" fontId="12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5" fontId="6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2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21" applyFont="fals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5" fillId="0" borderId="4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5" fillId="0" borderId="5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5" fillId="0" borderId="6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5" fillId="0" borderId="7" xfId="21" applyFont="fals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9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9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14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2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2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18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7" fontId="11" fillId="0" borderId="0" xfId="2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2" fontId="11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12" fillId="0" borderId="0" xfId="19" applyFont="fals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8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1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2" fontId="11" fillId="4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5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5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2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24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25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3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3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8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1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10" borderId="0" xfId="21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5" fillId="1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ings" xfId="20"/>
    <cellStyle name="Heading 2 1" xfId="21"/>
    <cellStyle name="HEADING 3" xfId="22"/>
    <cellStyle name="HEADING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A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28125" defaultRowHeight="12.75" customHeight="true" zeroHeight="false" outlineLevelRow="0" outlineLevelCol="0"/>
  <cols>
    <col collapsed="false" customWidth="false" hidden="false" outlineLevel="0" max="1" min="1" style="1" width="9.13"/>
    <col collapsed="false" customWidth="true" hidden="false" outlineLevel="0" max="2" min="2" style="1" width="30.28"/>
    <col collapsed="false" customWidth="false" hidden="true" outlineLevel="0" max="4" min="3" style="1" width="9.15"/>
    <col collapsed="false" customWidth="true" hidden="true" outlineLevel="0" max="5" min="5" style="1" width="0.85"/>
    <col collapsed="false" customWidth="true" hidden="true" outlineLevel="0" max="8" min="6" style="1" width="10.7"/>
    <col collapsed="false" customWidth="true" hidden="false" outlineLevel="0" max="9" min="9" style="1" width="0.85"/>
    <col collapsed="false" customWidth="true" hidden="false" outlineLevel="0" max="10" min="10" style="1" width="10.99"/>
    <col collapsed="false" customWidth="true" hidden="false" outlineLevel="0" max="11" min="11" style="1" width="8.99"/>
    <col collapsed="false" customWidth="true" hidden="false" outlineLevel="0" max="12" min="12" style="1" width="8.56"/>
    <col collapsed="false" customWidth="true" hidden="false" outlineLevel="0" max="13" min="13" style="1" width="0.85"/>
    <col collapsed="false" customWidth="true" hidden="false" outlineLevel="0" max="14" min="14" style="1" width="11.42"/>
    <col collapsed="false" customWidth="true" hidden="false" outlineLevel="0" max="15" min="15" style="1" width="9.56"/>
    <col collapsed="false" customWidth="true" hidden="false" outlineLevel="0" max="16" min="16" style="1" width="8.56"/>
    <col collapsed="false" customWidth="true" hidden="false" outlineLevel="0" max="17" min="17" style="1" width="0.85"/>
    <col collapsed="false" customWidth="true" hidden="true" outlineLevel="0" max="18" min="18" style="1" width="10.99"/>
    <col collapsed="false" customWidth="true" hidden="true" outlineLevel="0" max="19" min="19" style="1" width="8.56"/>
    <col collapsed="false" customWidth="true" hidden="true" outlineLevel="0" max="20" min="20" style="1" width="10.7"/>
    <col collapsed="false" customWidth="true" hidden="true" outlineLevel="0" max="21" min="21" style="1" width="0.85"/>
    <col collapsed="false" customWidth="true" hidden="false" outlineLevel="0" max="22" min="22" style="1" width="11.99"/>
    <col collapsed="false" customWidth="true" hidden="false" outlineLevel="0" max="23" min="23" style="1" width="9.56"/>
    <col collapsed="false" customWidth="true" hidden="false" outlineLevel="0" max="24" min="24" style="1" width="8.56"/>
    <col collapsed="false" customWidth="true" hidden="false" outlineLevel="0" max="25" min="25" style="1" width="12.99"/>
    <col collapsed="false" customWidth="true" hidden="false" outlineLevel="0" max="26" min="26" style="1" width="10.99"/>
    <col collapsed="false" customWidth="true" hidden="false" outlineLevel="0" max="27" min="27" style="1" width="8.56"/>
    <col collapsed="false" customWidth="false" hidden="false" outlineLevel="0" max="257" min="28" style="1" width="9.13"/>
  </cols>
  <sheetData>
    <row r="1" customFormat="false" ht="12.75" hidden="false" customHeight="false" outlineLevel="0" collapsed="false">
      <c r="B1" s="1" t="s">
        <v>0</v>
      </c>
      <c r="C1" s="1" t="n">
        <v>625</v>
      </c>
    </row>
    <row r="2" customFormat="false" ht="12.75" hidden="false" customHeight="false" outlineLevel="0" collapsed="false">
      <c r="B2" s="1" t="s">
        <v>1</v>
      </c>
      <c r="C2" s="1" t="n">
        <v>575</v>
      </c>
    </row>
    <row r="3" customFormat="false" ht="12.75" hidden="false" customHeight="false" outlineLevel="0" collapsed="false">
      <c r="B3" s="1" t="s">
        <v>2</v>
      </c>
      <c r="C3" s="1" t="n">
        <v>500</v>
      </c>
    </row>
    <row r="4" customFormat="false" ht="12.75" hidden="false" customHeight="false" outlineLevel="0" collapsed="false">
      <c r="B4" s="1" t="s">
        <v>3</v>
      </c>
      <c r="C4" s="1" t="n">
        <v>425</v>
      </c>
    </row>
    <row r="5" customFormat="false" ht="13.5" hidden="false" customHeight="false" outlineLevel="0" collapsed="false">
      <c r="B5" s="2" t="s">
        <v>4</v>
      </c>
      <c r="C5" s="3"/>
      <c r="D5" s="3"/>
      <c r="E5" s="4"/>
      <c r="F5" s="4" t="s">
        <v>5</v>
      </c>
      <c r="G5" s="4"/>
      <c r="H5" s="4"/>
      <c r="I5" s="5"/>
      <c r="J5" s="4" t="s">
        <v>6</v>
      </c>
      <c r="K5" s="4"/>
      <c r="L5" s="4"/>
      <c r="M5" s="6"/>
      <c r="N5" s="4" t="s">
        <v>7</v>
      </c>
      <c r="O5" s="4"/>
      <c r="P5" s="4"/>
      <c r="Q5" s="6"/>
      <c r="R5" s="4" t="s">
        <v>8</v>
      </c>
      <c r="S5" s="4"/>
      <c r="T5" s="4"/>
      <c r="U5" s="4"/>
      <c r="V5" s="4" t="s">
        <v>9</v>
      </c>
      <c r="W5" s="4"/>
      <c r="X5" s="4"/>
    </row>
    <row r="6" customFormat="false" ht="12.75" hidden="false" customHeight="false" outlineLevel="0" collapsed="false">
      <c r="B6" s="7"/>
      <c r="C6" s="8"/>
      <c r="D6" s="8"/>
      <c r="E6" s="9"/>
      <c r="F6" s="9" t="s">
        <v>10</v>
      </c>
      <c r="G6" s="9" t="s">
        <v>11</v>
      </c>
      <c r="H6" s="9" t="s">
        <v>12</v>
      </c>
      <c r="I6" s="5"/>
      <c r="J6" s="10" t="s">
        <v>10</v>
      </c>
      <c r="K6" s="11" t="s">
        <v>11</v>
      </c>
      <c r="L6" s="12" t="s">
        <v>12</v>
      </c>
      <c r="M6" s="13"/>
      <c r="N6" s="9" t="s">
        <v>10</v>
      </c>
      <c r="O6" s="9" t="s">
        <v>11</v>
      </c>
      <c r="P6" s="9" t="s">
        <v>12</v>
      </c>
      <c r="Q6" s="9"/>
      <c r="R6" s="9" t="s">
        <v>10</v>
      </c>
      <c r="S6" s="9" t="s">
        <v>11</v>
      </c>
      <c r="T6" s="9" t="s">
        <v>12</v>
      </c>
      <c r="U6" s="9"/>
      <c r="V6" s="9" t="s">
        <v>10</v>
      </c>
      <c r="W6" s="9" t="s">
        <v>11</v>
      </c>
      <c r="X6" s="9" t="s">
        <v>12</v>
      </c>
    </row>
    <row r="7" customFormat="false" ht="12.75" hidden="false" customHeight="false" outlineLevel="0" collapsed="false">
      <c r="B7" s="14" t="s">
        <v>13</v>
      </c>
      <c r="C7" s="14"/>
      <c r="D7" s="14"/>
      <c r="E7" s="14"/>
      <c r="F7" s="14" t="n">
        <v>1</v>
      </c>
      <c r="G7" s="15" t="n">
        <v>2.5</v>
      </c>
      <c r="H7" s="15"/>
      <c r="I7" s="5"/>
      <c r="J7" s="14" t="n">
        <v>2</v>
      </c>
      <c r="K7" s="15" t="n">
        <v>2.5</v>
      </c>
      <c r="L7" s="15"/>
      <c r="M7" s="15"/>
      <c r="N7" s="14" t="n">
        <v>3</v>
      </c>
      <c r="O7" s="15" t="n">
        <v>3.5</v>
      </c>
      <c r="P7" s="14"/>
      <c r="Q7" s="14"/>
      <c r="R7" s="14" t="n">
        <v>4</v>
      </c>
      <c r="S7" s="15" t="n">
        <v>2.5</v>
      </c>
      <c r="T7" s="14"/>
      <c r="U7" s="14"/>
      <c r="V7" s="14" t="n">
        <f aca="false">F7*F11+J7*J11+N7*N11+R7*R11</f>
        <v>327</v>
      </c>
      <c r="W7" s="14"/>
      <c r="X7" s="16"/>
    </row>
    <row r="8" customFormat="false" ht="12.75" hidden="false" customHeight="false" outlineLevel="0" collapsed="false">
      <c r="B8" s="14" t="s">
        <v>14</v>
      </c>
      <c r="C8" s="14"/>
      <c r="D8" s="14"/>
      <c r="E8" s="14"/>
      <c r="F8" s="14" t="n">
        <v>500</v>
      </c>
      <c r="G8" s="14"/>
      <c r="H8" s="14"/>
      <c r="I8" s="5"/>
      <c r="J8" s="14" t="n">
        <v>1107</v>
      </c>
      <c r="K8" s="14"/>
      <c r="L8" s="14"/>
      <c r="M8" s="14"/>
      <c r="N8" s="14" t="n">
        <f aca="false">+'UCost Final'!AB9</f>
        <v>1287</v>
      </c>
      <c r="O8" s="14"/>
      <c r="P8" s="14"/>
      <c r="Q8" s="14"/>
      <c r="R8" s="14" t="n">
        <f aca="false">+'UCost Final'!AF9</f>
        <v>1550</v>
      </c>
      <c r="S8" s="14"/>
      <c r="T8" s="14"/>
      <c r="U8" s="14"/>
      <c r="V8" s="14" t="n">
        <f aca="false">+R8*R11+J8*J11+N8*N11</f>
        <v>158211</v>
      </c>
      <c r="W8" s="14"/>
      <c r="X8" s="14"/>
    </row>
    <row r="9" customFormat="false" ht="12.75" hidden="false" customHeight="false" outlineLevel="0" collapsed="false">
      <c r="B9" s="14" t="s">
        <v>15</v>
      </c>
      <c r="C9" s="14"/>
      <c r="D9" s="14"/>
      <c r="E9" s="14"/>
      <c r="F9" s="14" t="s">
        <v>16</v>
      </c>
      <c r="G9" s="14"/>
      <c r="H9" s="14"/>
      <c r="I9" s="5"/>
      <c r="J9" s="14" t="s">
        <v>16</v>
      </c>
      <c r="K9" s="14"/>
      <c r="L9" s="14"/>
      <c r="M9" s="14"/>
      <c r="N9" s="14" t="s">
        <v>16</v>
      </c>
      <c r="O9" s="14"/>
      <c r="P9" s="14"/>
      <c r="Q9" s="14"/>
      <c r="R9" s="14" t="s">
        <v>16</v>
      </c>
      <c r="S9" s="14"/>
      <c r="T9" s="14"/>
      <c r="U9" s="14"/>
      <c r="V9" s="14"/>
      <c r="W9" s="14"/>
      <c r="X9" s="14"/>
    </row>
    <row r="10" customFormat="false" ht="12.75" hidden="true" customHeight="false" outlineLevel="0" collapsed="false">
      <c r="B10" s="14" t="s">
        <v>17</v>
      </c>
      <c r="C10" s="14"/>
      <c r="D10" s="14"/>
      <c r="E10" s="14"/>
      <c r="F10" s="17" t="n">
        <v>15.83</v>
      </c>
      <c r="G10" s="14" t="s">
        <v>18</v>
      </c>
      <c r="H10" s="14"/>
      <c r="I10" s="5"/>
      <c r="J10" s="17" t="n">
        <v>15.83</v>
      </c>
      <c r="K10" s="14" t="s">
        <v>18</v>
      </c>
      <c r="L10" s="14"/>
      <c r="M10" s="14"/>
      <c r="N10" s="14" t="n">
        <v>26</v>
      </c>
      <c r="O10" s="14" t="s">
        <v>18</v>
      </c>
      <c r="P10" s="14"/>
      <c r="Q10" s="14"/>
      <c r="R10" s="14" t="n">
        <v>26</v>
      </c>
      <c r="S10" s="14" t="s">
        <v>18</v>
      </c>
      <c r="T10" s="14"/>
      <c r="U10" s="14"/>
      <c r="V10" s="14"/>
      <c r="W10" s="14"/>
      <c r="X10" s="14"/>
    </row>
    <row r="11" customFormat="false" ht="12.75" hidden="false" customHeight="false" outlineLevel="0" collapsed="false">
      <c r="B11" s="14" t="s">
        <v>19</v>
      </c>
      <c r="C11" s="14"/>
      <c r="D11" s="14"/>
      <c r="E11" s="14"/>
      <c r="F11" s="14" t="n">
        <v>0</v>
      </c>
      <c r="G11" s="14"/>
      <c r="H11" s="14"/>
      <c r="I11" s="5"/>
      <c r="J11" s="14" t="n">
        <v>72</v>
      </c>
      <c r="K11" s="14"/>
      <c r="L11" s="14"/>
      <c r="M11" s="14"/>
      <c r="N11" s="14" t="n">
        <f aca="false">58+3</f>
        <v>61</v>
      </c>
      <c r="O11" s="14"/>
      <c r="P11" s="14"/>
      <c r="Q11" s="5"/>
      <c r="R11" s="14" t="n">
        <v>0</v>
      </c>
      <c r="S11" s="14"/>
      <c r="T11" s="14"/>
      <c r="U11" s="14"/>
      <c r="V11" s="14" t="n">
        <f aca="false">+N11+J11</f>
        <v>133</v>
      </c>
      <c r="W11" s="14"/>
      <c r="X11" s="14"/>
    </row>
    <row r="12" customFormat="false" ht="12.75" hidden="false" customHeight="false" outlineLevel="0" collapsed="false">
      <c r="B12" s="18" t="s">
        <v>20</v>
      </c>
      <c r="C12" s="14"/>
      <c r="D12" s="14"/>
      <c r="E12" s="14"/>
      <c r="F12" s="19" t="n">
        <f aca="false">+F11/$V11</f>
        <v>0</v>
      </c>
      <c r="G12" s="14"/>
      <c r="H12" s="14"/>
      <c r="I12" s="5"/>
      <c r="J12" s="19" t="n">
        <f aca="false">+J11/$V11</f>
        <v>0.541353383458647</v>
      </c>
      <c r="K12" s="14"/>
      <c r="L12" s="14"/>
      <c r="M12" s="14"/>
      <c r="N12" s="19" t="n">
        <f aca="false">+N11/$V11</f>
        <v>0.458646616541353</v>
      </c>
      <c r="O12" s="14"/>
      <c r="P12" s="14"/>
      <c r="Q12" s="5"/>
      <c r="R12" s="19" t="n">
        <f aca="false">+R11/$V11</f>
        <v>0</v>
      </c>
      <c r="S12" s="14"/>
      <c r="T12" s="14"/>
      <c r="U12" s="14"/>
      <c r="V12" s="19" t="n">
        <f aca="false">+V11/$V11</f>
        <v>1</v>
      </c>
      <c r="W12" s="14"/>
      <c r="X12" s="14"/>
    </row>
    <row r="13" customFormat="false" ht="15.75" hidden="false" customHeight="false" outlineLevel="0" collapsed="false">
      <c r="B13" s="20"/>
      <c r="C13" s="20"/>
      <c r="D13" s="20"/>
      <c r="E13" s="20"/>
      <c r="F13" s="20"/>
      <c r="G13" s="20"/>
      <c r="H13" s="20"/>
      <c r="I13" s="5"/>
      <c r="J13" s="20"/>
      <c r="K13" s="20"/>
      <c r="L13" s="20"/>
      <c r="M13" s="21"/>
      <c r="N13" s="20"/>
      <c r="O13" s="20"/>
      <c r="P13" s="20"/>
      <c r="Q13" s="5"/>
      <c r="R13" s="20"/>
      <c r="S13" s="20"/>
      <c r="T13" s="20"/>
      <c r="U13" s="20"/>
      <c r="V13" s="20"/>
      <c r="W13" s="20"/>
      <c r="X13" s="20"/>
    </row>
    <row r="14" customFormat="false" ht="12.75" hidden="false" customHeight="false" outlineLevel="0" collapsed="false">
      <c r="B14" s="22" t="s">
        <v>21</v>
      </c>
      <c r="C14" s="23"/>
      <c r="D14" s="23"/>
      <c r="E14" s="24"/>
      <c r="F14" s="25"/>
      <c r="G14" s="25"/>
      <c r="H14" s="24"/>
      <c r="I14" s="5"/>
      <c r="J14" s="25"/>
      <c r="K14" s="25"/>
      <c r="L14" s="24"/>
      <c r="M14" s="5"/>
      <c r="N14" s="25"/>
      <c r="O14" s="25"/>
      <c r="P14" s="24"/>
      <c r="Q14" s="5"/>
      <c r="R14" s="25"/>
      <c r="S14" s="25"/>
      <c r="T14" s="24"/>
      <c r="U14" s="24"/>
      <c r="V14" s="26"/>
      <c r="W14" s="25"/>
      <c r="X14" s="24"/>
    </row>
    <row r="15" customFormat="false" ht="12.75" hidden="false" customHeight="false" outlineLevel="0" collapsed="false">
      <c r="B15" s="27" t="s">
        <v>22</v>
      </c>
      <c r="C15" s="19"/>
      <c r="D15" s="19"/>
      <c r="E15" s="28"/>
      <c r="F15" s="29" t="n">
        <f aca="false">G15*F$11</f>
        <v>0</v>
      </c>
      <c r="G15" s="29" t="n">
        <f aca="false">F$7*One_Bedroom_Rate</f>
        <v>625</v>
      </c>
      <c r="H15" s="28" t="n">
        <f aca="false">+G15/F$8</f>
        <v>1.25</v>
      </c>
      <c r="I15" s="5"/>
      <c r="J15" s="29" t="n">
        <f aca="false">K15*J$11</f>
        <v>82800</v>
      </c>
      <c r="K15" s="29" t="n">
        <f aca="false">J$7*Two_Bedroom_Rate</f>
        <v>1150</v>
      </c>
      <c r="L15" s="28" t="n">
        <f aca="false">+K15/J$8</f>
        <v>1.03884372177055</v>
      </c>
      <c r="M15" s="5"/>
      <c r="N15" s="29" t="n">
        <f aca="false">O15*N$11</f>
        <v>91500</v>
      </c>
      <c r="O15" s="29" t="n">
        <f aca="false">N$7*Three_Bedroom_Rate</f>
        <v>1500</v>
      </c>
      <c r="P15" s="28" t="n">
        <f aca="false">+O15/N$8</f>
        <v>1.16550116550117</v>
      </c>
      <c r="Q15" s="5"/>
      <c r="R15" s="29" t="n">
        <f aca="false">S15*R$11</f>
        <v>0</v>
      </c>
      <c r="S15" s="29" t="n">
        <f aca="false">R$7*Four_Bedroom_Rate</f>
        <v>1700</v>
      </c>
      <c r="T15" s="28" t="n">
        <f aca="false">+S15/R$8</f>
        <v>1.09677419354839</v>
      </c>
      <c r="U15" s="28"/>
      <c r="V15" s="30" t="n">
        <f aca="false">+R15+N15+J15+F15</f>
        <v>174300</v>
      </c>
      <c r="W15" s="29" t="n">
        <f aca="false">+V15/V$11</f>
        <v>1310.52631578947</v>
      </c>
      <c r="X15" s="28" t="n">
        <f aca="false">+V15/V$8</f>
        <v>1.10169330830347</v>
      </c>
    </row>
    <row r="16" customFormat="false" ht="12.75" hidden="false" customHeight="false" outlineLevel="0" collapsed="false">
      <c r="B16" s="27" t="s">
        <v>23</v>
      </c>
      <c r="C16" s="19" t="n">
        <v>0.05</v>
      </c>
      <c r="D16" s="19"/>
      <c r="E16" s="31"/>
      <c r="F16" s="32" t="n">
        <f aca="false">G16*F$11</f>
        <v>0</v>
      </c>
      <c r="G16" s="33" t="n">
        <v>0</v>
      </c>
      <c r="H16" s="34" t="n">
        <f aca="false">+G16/F$8</f>
        <v>0</v>
      </c>
      <c r="I16" s="5"/>
      <c r="J16" s="32" t="n">
        <f aca="false">K16*J$11</f>
        <v>4140</v>
      </c>
      <c r="K16" s="14" t="n">
        <f aca="false">$C16*K$15</f>
        <v>57.5</v>
      </c>
      <c r="L16" s="34" t="n">
        <f aca="false">+K16/J$8</f>
        <v>0.0519421860885276</v>
      </c>
      <c r="M16" s="5"/>
      <c r="N16" s="32" t="n">
        <f aca="false">O16*N$11</f>
        <v>4575</v>
      </c>
      <c r="O16" s="14" t="n">
        <f aca="false">$C16*O$15</f>
        <v>75</v>
      </c>
      <c r="P16" s="34" t="n">
        <f aca="false">+O16/N$8</f>
        <v>0.0582750582750583</v>
      </c>
      <c r="Q16" s="5"/>
      <c r="R16" s="32" t="n">
        <f aca="false">S16*R$11</f>
        <v>0</v>
      </c>
      <c r="S16" s="15" t="n">
        <v>0</v>
      </c>
      <c r="T16" s="34" t="n">
        <f aca="false">+S16/R$8</f>
        <v>0</v>
      </c>
      <c r="U16" s="31"/>
      <c r="V16" s="32" t="n">
        <f aca="false">+R16+N16+J16+F16</f>
        <v>8715</v>
      </c>
      <c r="W16" s="32" t="n">
        <f aca="false">+V16/V$11</f>
        <v>65.5263157894737</v>
      </c>
      <c r="X16" s="34" t="n">
        <f aca="false">+V16/V$8</f>
        <v>0.0550846654151734</v>
      </c>
    </row>
    <row r="17" customFormat="false" ht="12.75" hidden="false" customHeight="false" outlineLevel="0" collapsed="false">
      <c r="B17" s="27" t="s">
        <v>24</v>
      </c>
      <c r="C17" s="35" t="n">
        <f aca="false">1/6</f>
        <v>0.166666666666667</v>
      </c>
      <c r="D17" s="14"/>
      <c r="E17" s="28"/>
      <c r="F17" s="32" t="n">
        <f aca="false">G17*F$11</f>
        <v>0</v>
      </c>
      <c r="G17" s="32" t="n">
        <f aca="false">(125*F7*F11*0.33)/12</f>
        <v>0</v>
      </c>
      <c r="H17" s="34" t="n">
        <f aca="false">+G17/F$8</f>
        <v>0</v>
      </c>
      <c r="I17" s="5"/>
      <c r="J17" s="32" t="n">
        <f aca="false">K17*J$11</f>
        <v>13800</v>
      </c>
      <c r="K17" s="14" t="n">
        <f aca="false">$C17*K$15</f>
        <v>191.666666666667</v>
      </c>
      <c r="L17" s="34" t="n">
        <f aca="false">+K17/J$8</f>
        <v>0.173140620295092</v>
      </c>
      <c r="M17" s="5"/>
      <c r="N17" s="32" t="n">
        <f aca="false">O17*N$11</f>
        <v>15250</v>
      </c>
      <c r="O17" s="14" t="n">
        <f aca="false">$C17*O$15</f>
        <v>250</v>
      </c>
      <c r="P17" s="34" t="n">
        <f aca="false">+O17/N$8</f>
        <v>0.194250194250194</v>
      </c>
      <c r="Q17" s="5"/>
      <c r="R17" s="32" t="n">
        <f aca="false">S17*R$11</f>
        <v>0</v>
      </c>
      <c r="S17" s="32" t="n">
        <f aca="false">(125*R7*R11*0.33)/12</f>
        <v>0</v>
      </c>
      <c r="T17" s="34" t="n">
        <f aca="false">+S17/R$8</f>
        <v>0</v>
      </c>
      <c r="U17" s="28"/>
      <c r="V17" s="32" t="n">
        <f aca="false">+R17+N17+J17+F17</f>
        <v>29050</v>
      </c>
      <c r="W17" s="32" t="n">
        <f aca="false">+V17/V$11</f>
        <v>218.421052631579</v>
      </c>
      <c r="X17" s="34" t="n">
        <f aca="false">+V17/V$8</f>
        <v>0.183615551383911</v>
      </c>
    </row>
    <row r="18" customFormat="false" ht="12.75" hidden="false" customHeight="false" outlineLevel="0" collapsed="false">
      <c r="B18" s="27" t="s">
        <v>25</v>
      </c>
      <c r="C18" s="36" t="n">
        <v>30</v>
      </c>
      <c r="D18" s="14"/>
      <c r="E18" s="14"/>
      <c r="F18" s="32" t="n">
        <f aca="false">G18*F$11</f>
        <v>0</v>
      </c>
      <c r="G18" s="14" t="n">
        <f aca="false">0.1*G15</f>
        <v>62.5</v>
      </c>
      <c r="H18" s="34" t="n">
        <f aca="false">+G18/F$8</f>
        <v>0.125</v>
      </c>
      <c r="I18" s="5"/>
      <c r="J18" s="32" t="n">
        <f aca="false">K18*J$11</f>
        <v>2160</v>
      </c>
      <c r="K18" s="14" t="n">
        <f aca="false">$C18</f>
        <v>30</v>
      </c>
      <c r="L18" s="34" t="n">
        <f aca="false">+K18/J$8</f>
        <v>0.02710027100271</v>
      </c>
      <c r="M18" s="5"/>
      <c r="N18" s="32" t="n">
        <f aca="false">O18*N$11</f>
        <v>1830</v>
      </c>
      <c r="O18" s="14" t="n">
        <f aca="false">$C18</f>
        <v>30</v>
      </c>
      <c r="P18" s="34" t="n">
        <f aca="false">+O18/N$8</f>
        <v>0.0233100233100233</v>
      </c>
      <c r="Q18" s="5"/>
      <c r="R18" s="32" t="n">
        <f aca="false">S18*R$11</f>
        <v>0</v>
      </c>
      <c r="S18" s="14" t="n">
        <f aca="false">0.1*S15</f>
        <v>170</v>
      </c>
      <c r="T18" s="34" t="n">
        <f aca="false">+S18/R$8</f>
        <v>0.109677419354839</v>
      </c>
      <c r="U18" s="14"/>
      <c r="V18" s="32" t="n">
        <f aca="false">+R18+N18+J18+F18</f>
        <v>3990</v>
      </c>
      <c r="W18" s="32" t="n">
        <f aca="false">+V18/V$11</f>
        <v>30</v>
      </c>
      <c r="X18" s="34" t="n">
        <f aca="false">+V18/V$8</f>
        <v>0.0252194853708023</v>
      </c>
    </row>
    <row r="19" customFormat="false" ht="12.75" hidden="false" customHeight="false" outlineLevel="0" collapsed="false">
      <c r="B19" s="27" t="s">
        <v>26</v>
      </c>
      <c r="C19" s="14" t="n">
        <v>1000</v>
      </c>
      <c r="D19" s="14"/>
      <c r="E19" s="14"/>
      <c r="F19" s="32" t="n">
        <f aca="false">G19*F$11</f>
        <v>0</v>
      </c>
      <c r="G19" s="14" t="n">
        <v>0</v>
      </c>
      <c r="H19" s="34" t="n">
        <f aca="false">+G19/F$8</f>
        <v>0</v>
      </c>
      <c r="I19" s="5"/>
      <c r="J19" s="32" t="n">
        <f aca="false">K19*J$11</f>
        <v>541.353383458647</v>
      </c>
      <c r="K19" s="14" t="n">
        <f aca="false">$C19/SM134Units</f>
        <v>7.5187969924812</v>
      </c>
      <c r="L19" s="34" t="n">
        <f aca="false">+K19/J$8</f>
        <v>0.00679204787035339</v>
      </c>
      <c r="M19" s="5"/>
      <c r="N19" s="32" t="n">
        <f aca="false">O19*N$11</f>
        <v>458.646616541353</v>
      </c>
      <c r="O19" s="14" t="n">
        <f aca="false">$C19/SM134Units</f>
        <v>7.5187969924812</v>
      </c>
      <c r="P19" s="34" t="n">
        <f aca="false">+O19/N$8</f>
        <v>0.005842111105269</v>
      </c>
      <c r="Q19" s="5"/>
      <c r="R19" s="32" t="n">
        <f aca="false">S19*R$11</f>
        <v>0</v>
      </c>
      <c r="S19" s="14" t="n">
        <v>0</v>
      </c>
      <c r="T19" s="34" t="n">
        <f aca="false">+S19/R$8</f>
        <v>0</v>
      </c>
      <c r="U19" s="14"/>
      <c r="V19" s="32" t="n">
        <f aca="false">+R19+N19+J19+F19</f>
        <v>1000</v>
      </c>
      <c r="W19" s="32" t="n">
        <f aca="false">+V19/V$11</f>
        <v>7.5187969924812</v>
      </c>
      <c r="X19" s="34" t="n">
        <f aca="false">+V19/V$8</f>
        <v>0.00632067302526373</v>
      </c>
    </row>
    <row r="20" customFormat="false" ht="12.75" hidden="false" customHeight="false" outlineLevel="0" collapsed="false">
      <c r="B20" s="37" t="s">
        <v>27</v>
      </c>
      <c r="C20" s="38"/>
      <c r="D20" s="38"/>
      <c r="E20" s="38"/>
      <c r="F20" s="39" t="n">
        <f aca="false">F$11*G20</f>
        <v>0</v>
      </c>
      <c r="G20" s="39" t="n">
        <f aca="false">SUM(G14:G19)</f>
        <v>687.5</v>
      </c>
      <c r="H20" s="40" t="n">
        <f aca="false">+G20/F$8</f>
        <v>1.375</v>
      </c>
      <c r="I20" s="5"/>
      <c r="J20" s="39" t="n">
        <f aca="false">SUM(J14:J19)</f>
        <v>103441.353383459</v>
      </c>
      <c r="K20" s="39" t="n">
        <f aca="false">SUM(K14:K19)</f>
        <v>1436.68546365915</v>
      </c>
      <c r="L20" s="40" t="n">
        <f aca="false">+K20/J$8</f>
        <v>1.29781884702723</v>
      </c>
      <c r="M20" s="5"/>
      <c r="N20" s="39" t="n">
        <f aca="false">SUM(N14:N19)</f>
        <v>113613.646616541</v>
      </c>
      <c r="O20" s="39" t="n">
        <f aca="false">SUM(O14:O19)</f>
        <v>1862.51879699248</v>
      </c>
      <c r="P20" s="40" t="n">
        <f aca="false">+O20/N$8</f>
        <v>1.44717855244171</v>
      </c>
      <c r="Q20" s="5"/>
      <c r="R20" s="39" t="n">
        <f aca="false">R$11*S20</f>
        <v>0</v>
      </c>
      <c r="S20" s="39" t="n">
        <f aca="false">SUM(S14:S19)</f>
        <v>1870</v>
      </c>
      <c r="T20" s="40" t="n">
        <f aca="false">+S20/R$8</f>
        <v>1.20645161290323</v>
      </c>
      <c r="U20" s="38"/>
      <c r="V20" s="39" t="n">
        <f aca="false">SUM(V14:V19)</f>
        <v>217055</v>
      </c>
      <c r="W20" s="41" t="n">
        <f aca="false">+V20/V$11</f>
        <v>1631.99248120301</v>
      </c>
      <c r="X20" s="40" t="n">
        <f aca="false">+V20/V$8</f>
        <v>1.37193368349862</v>
      </c>
    </row>
    <row r="21" customFormat="false" ht="15.75" hidden="false" customHeight="false" outlineLevel="0" collapsed="false">
      <c r="B21" s="37"/>
      <c r="C21" s="20"/>
      <c r="D21" s="20"/>
      <c r="E21" s="20"/>
      <c r="F21" s="20"/>
      <c r="G21" s="20"/>
      <c r="H21" s="20"/>
      <c r="I21" s="5"/>
      <c r="J21" s="20"/>
      <c r="K21" s="20"/>
      <c r="L21" s="20"/>
      <c r="M21" s="5"/>
      <c r="N21" s="20"/>
      <c r="O21" s="20"/>
      <c r="P21" s="20"/>
      <c r="Q21" s="5"/>
      <c r="R21" s="20"/>
      <c r="S21" s="20"/>
      <c r="T21" s="20"/>
      <c r="U21" s="20"/>
      <c r="V21" s="20"/>
      <c r="W21" s="20"/>
      <c r="X21" s="20"/>
    </row>
    <row r="22" customFormat="false" ht="12.75" hidden="false" customHeight="false" outlineLevel="0" collapsed="false">
      <c r="B22" s="22" t="s">
        <v>28</v>
      </c>
      <c r="C22" s="23"/>
      <c r="D22" s="23"/>
      <c r="E22" s="23"/>
      <c r="F22" s="23"/>
      <c r="G22" s="23"/>
      <c r="H22" s="23"/>
      <c r="I22" s="5"/>
      <c r="J22" s="23"/>
      <c r="K22" s="23"/>
      <c r="L22" s="23"/>
      <c r="M22" s="5"/>
      <c r="N22" s="23"/>
      <c r="O22" s="23"/>
      <c r="P22" s="23"/>
      <c r="Q22" s="5"/>
      <c r="R22" s="23"/>
      <c r="S22" s="23"/>
      <c r="T22" s="23"/>
      <c r="U22" s="23"/>
      <c r="V22" s="23"/>
      <c r="W22" s="23"/>
      <c r="X22" s="23"/>
    </row>
    <row r="23" customFormat="false" ht="12.75" hidden="false" customHeight="false" outlineLevel="0" collapsed="false">
      <c r="B23" s="27" t="s">
        <v>29</v>
      </c>
      <c r="C23" s="14" t="n">
        <v>0.05</v>
      </c>
      <c r="D23" s="14"/>
      <c r="E23" s="42"/>
      <c r="F23" s="42"/>
      <c r="G23" s="42"/>
      <c r="H23" s="42"/>
      <c r="I23" s="5"/>
      <c r="J23" s="29" t="n">
        <f aca="false">J$11*K23</f>
        <v>4140</v>
      </c>
      <c r="K23" s="30" t="n">
        <f aca="false">$C23*K$15</f>
        <v>57.5</v>
      </c>
      <c r="L23" s="36" t="n">
        <f aca="false">+K23/J$8</f>
        <v>0.0519421860885276</v>
      </c>
      <c r="M23" s="5"/>
      <c r="N23" s="30" t="n">
        <f aca="false">N$11*O23</f>
        <v>4575</v>
      </c>
      <c r="O23" s="30" t="n">
        <f aca="false">$C23*O$15</f>
        <v>75</v>
      </c>
      <c r="P23" s="36" t="n">
        <f aca="false">+O23/N$8</f>
        <v>0.0582750582750583</v>
      </c>
      <c r="Q23" s="5"/>
      <c r="R23" s="42"/>
      <c r="S23" s="42"/>
      <c r="T23" s="42"/>
      <c r="U23" s="42"/>
      <c r="V23" s="30" t="n">
        <f aca="false">+R23+N23+J23+F23</f>
        <v>8715</v>
      </c>
      <c r="W23" s="30" t="n">
        <f aca="false">+V23/V$11</f>
        <v>65.5263157894737</v>
      </c>
      <c r="X23" s="28" t="n">
        <f aca="false">+V23/V$8</f>
        <v>0.0550846654151734</v>
      </c>
    </row>
    <row r="24" customFormat="false" ht="12.75" hidden="false" customHeight="false" outlineLevel="0" collapsed="false">
      <c r="B24" s="27" t="s">
        <v>30</v>
      </c>
      <c r="C24" s="14"/>
      <c r="D24" s="14"/>
      <c r="E24" s="42"/>
      <c r="F24" s="42"/>
      <c r="G24" s="42"/>
      <c r="H24" s="42"/>
      <c r="I24" s="5"/>
      <c r="J24" s="33" t="n">
        <f aca="false">J$11*K24</f>
        <v>406.015037593985</v>
      </c>
      <c r="K24" s="14" t="n">
        <f aca="false">750/SM134Units</f>
        <v>5.6390977443609</v>
      </c>
      <c r="L24" s="17" t="n">
        <f aca="false">+K24/J$8</f>
        <v>0.00509403590276504</v>
      </c>
      <c r="M24" s="5"/>
      <c r="N24" s="33" t="n">
        <f aca="false">N$11*O24</f>
        <v>343.984962406015</v>
      </c>
      <c r="O24" s="14" t="n">
        <f aca="false">750/SM134Units</f>
        <v>5.6390977443609</v>
      </c>
      <c r="P24" s="17" t="n">
        <f aca="false">+O24/N$8</f>
        <v>0.00438158332895175</v>
      </c>
      <c r="Q24" s="5"/>
      <c r="R24" s="42"/>
      <c r="S24" s="42"/>
      <c r="T24" s="42"/>
      <c r="U24" s="42"/>
      <c r="V24" s="32" t="n">
        <f aca="false">+R24+N24+J24+F24</f>
        <v>750</v>
      </c>
      <c r="W24" s="17" t="n">
        <f aca="false">+V24/V$11</f>
        <v>5.6390977443609</v>
      </c>
      <c r="X24" s="34" t="n">
        <f aca="false">+V24/V$8</f>
        <v>0.0047405047689478</v>
      </c>
    </row>
    <row r="25" customFormat="false" ht="12.75" hidden="false" customHeight="false" outlineLevel="0" collapsed="false">
      <c r="B25" s="27" t="s">
        <v>31</v>
      </c>
      <c r="C25" s="14" t="s">
        <v>32</v>
      </c>
      <c r="D25" s="14"/>
      <c r="E25" s="43"/>
      <c r="F25" s="43"/>
      <c r="G25" s="43"/>
      <c r="H25" s="43"/>
      <c r="I25" s="5"/>
      <c r="J25" s="33" t="n">
        <f aca="false">J$11*K25</f>
        <v>1904.57142857143</v>
      </c>
      <c r="K25" s="44" t="n">
        <f aca="false">2222/28/3</f>
        <v>26.452380952381</v>
      </c>
      <c r="L25" s="17" t="n">
        <f aca="false">+K25/J$8</f>
        <v>0.0238955564158816</v>
      </c>
      <c r="M25" s="5"/>
      <c r="N25" s="33" t="n">
        <f aca="false">N$11*O25</f>
        <v>1613.59523809524</v>
      </c>
      <c r="O25" s="44" t="n">
        <f aca="false">2222/28/3</f>
        <v>26.452380952381</v>
      </c>
      <c r="P25" s="17" t="n">
        <f aca="false">+O25/N$8</f>
        <v>0.0205535205535206</v>
      </c>
      <c r="Q25" s="5"/>
      <c r="R25" s="43"/>
      <c r="S25" s="43"/>
      <c r="T25" s="43"/>
      <c r="U25" s="43"/>
      <c r="V25" s="32" t="n">
        <f aca="false">+R25+N25+J25+F25</f>
        <v>3518.16666666667</v>
      </c>
      <c r="W25" s="17" t="n">
        <f aca="false">+V25/V$11</f>
        <v>26.452380952381</v>
      </c>
      <c r="X25" s="34" t="n">
        <f aca="false">+V25/V$8</f>
        <v>0.022237181148382</v>
      </c>
    </row>
    <row r="26" customFormat="false" ht="12.75" hidden="false" customHeight="false" outlineLevel="0" collapsed="false">
      <c r="B26" s="27" t="s">
        <v>33</v>
      </c>
      <c r="C26" s="14" t="s">
        <v>34</v>
      </c>
      <c r="D26" s="14"/>
      <c r="E26" s="43"/>
      <c r="F26" s="43"/>
      <c r="G26" s="43"/>
      <c r="H26" s="43"/>
      <c r="I26" s="5"/>
      <c r="J26" s="33" t="n">
        <f aca="false">J$11*K26</f>
        <v>1948.5331235687</v>
      </c>
      <c r="K26" s="44" t="n">
        <f aca="false">LandscapeArea*0.02/$V$11</f>
        <v>27.0629600495652</v>
      </c>
      <c r="L26" s="17" t="n">
        <f aca="false">+K26/J$8</f>
        <v>0.0244471183826244</v>
      </c>
      <c r="M26" s="5"/>
      <c r="N26" s="33" t="n">
        <f aca="false">N$11*O26</f>
        <v>1650.84056302348</v>
      </c>
      <c r="O26" s="44" t="n">
        <f aca="false">LandscapeArea*0.02/$V$11</f>
        <v>27.0629600495652</v>
      </c>
      <c r="P26" s="17" t="n">
        <f aca="false">+O26/N$8</f>
        <v>0.0210279409864532</v>
      </c>
      <c r="Q26" s="5"/>
      <c r="R26" s="43"/>
      <c r="S26" s="43"/>
      <c r="T26" s="43"/>
      <c r="U26" s="43"/>
      <c r="V26" s="32" t="n">
        <f aca="false">+R26+N26+J26+F26</f>
        <v>3599.37368659217</v>
      </c>
      <c r="W26" s="17" t="n">
        <f aca="false">+V26/V$11</f>
        <v>27.0629600495652</v>
      </c>
      <c r="X26" s="34" t="n">
        <f aca="false">+V26/V$8</f>
        <v>0.0227504641686872</v>
      </c>
    </row>
    <row r="27" customFormat="false" ht="12.75" hidden="false" customHeight="false" outlineLevel="0" collapsed="false">
      <c r="B27" s="27" t="s">
        <v>35</v>
      </c>
      <c r="C27" s="14" t="s">
        <v>36</v>
      </c>
      <c r="D27" s="14"/>
      <c r="E27" s="45"/>
      <c r="F27" s="46"/>
      <c r="G27" s="45"/>
      <c r="H27" s="45"/>
      <c r="I27" s="5"/>
      <c r="J27" s="33" t="n">
        <f aca="false">J$11*K27</f>
        <v>2342.57142857143</v>
      </c>
      <c r="K27" s="45" t="n">
        <f aca="false">351/28+20</f>
        <v>32.5357142857143</v>
      </c>
      <c r="L27" s="17" t="n">
        <f aca="false">+K27/J$8</f>
        <v>0.0293908891469867</v>
      </c>
      <c r="M27" s="5"/>
      <c r="N27" s="33" t="n">
        <f aca="false">N$11*O27</f>
        <v>1984.67857142857</v>
      </c>
      <c r="O27" s="45" t="n">
        <f aca="false">351/28+20</f>
        <v>32.5357142857143</v>
      </c>
      <c r="P27" s="17" t="n">
        <f aca="false">+O27/N$8</f>
        <v>0.0252802752802753</v>
      </c>
      <c r="Q27" s="5"/>
      <c r="R27" s="46"/>
      <c r="S27" s="45"/>
      <c r="T27" s="45"/>
      <c r="U27" s="45"/>
      <c r="V27" s="32" t="n">
        <f aca="false">+R27+N27+J27+F27</f>
        <v>4327.25</v>
      </c>
      <c r="W27" s="17" t="n">
        <f aca="false">+V27/V$11</f>
        <v>32.5357142857143</v>
      </c>
      <c r="X27" s="34" t="n">
        <f aca="false">+V27/V$8</f>
        <v>0.0273511323485725</v>
      </c>
    </row>
    <row r="28" customFormat="false" ht="12.75" hidden="false" customHeight="false" outlineLevel="0" collapsed="false">
      <c r="B28" s="47" t="s">
        <v>37</v>
      </c>
      <c r="C28" s="14" t="n">
        <f aca="false">2007/3/28</f>
        <v>23.8928571428571</v>
      </c>
      <c r="D28" s="14"/>
      <c r="E28" s="45"/>
      <c r="F28" s="46"/>
      <c r="G28" s="45"/>
      <c r="H28" s="45"/>
      <c r="I28" s="5"/>
      <c r="J28" s="33" t="n">
        <f aca="false">J$11*K28</f>
        <v>1720.28571428571</v>
      </c>
      <c r="K28" s="14" t="n">
        <f aca="false">2007/3/28</f>
        <v>23.8928571428571</v>
      </c>
      <c r="L28" s="17" t="n">
        <f aca="false">+K28/J$8</f>
        <v>0.0215834301200155</v>
      </c>
      <c r="M28" s="5"/>
      <c r="N28" s="33" t="n">
        <f aca="false">N$11*O28</f>
        <v>1457.46428571429</v>
      </c>
      <c r="O28" s="14" t="n">
        <f aca="false">2007/3/28</f>
        <v>23.8928571428571</v>
      </c>
      <c r="P28" s="17" t="n">
        <f aca="false">+O28/N$8</f>
        <v>0.0185647685647686</v>
      </c>
      <c r="Q28" s="5"/>
      <c r="R28" s="46"/>
      <c r="S28" s="45"/>
      <c r="T28" s="45"/>
      <c r="U28" s="45"/>
      <c r="V28" s="32" t="n">
        <f aca="false">+R28+N28+J28+F28</f>
        <v>3177.75</v>
      </c>
      <c r="W28" s="17" t="n">
        <f aca="false">+V28/V$11</f>
        <v>23.8928571428571</v>
      </c>
      <c r="X28" s="34" t="n">
        <f aca="false">+V28/V$8</f>
        <v>0.0200855187060318</v>
      </c>
    </row>
    <row r="29" customFormat="false" ht="12.75" hidden="false" customHeight="false" outlineLevel="0" collapsed="false">
      <c r="B29" s="47" t="s">
        <v>38</v>
      </c>
      <c r="C29" s="14" t="s">
        <v>39</v>
      </c>
      <c r="D29" s="14"/>
      <c r="E29" s="45"/>
      <c r="F29" s="46"/>
      <c r="G29" s="45"/>
      <c r="H29" s="45"/>
      <c r="I29" s="5"/>
      <c r="J29" s="33" t="n">
        <f aca="false">J$11*K29</f>
        <v>54.1353383458647</v>
      </c>
      <c r="K29" s="45" t="n">
        <f aca="false">100/$V$11</f>
        <v>0.75187969924812</v>
      </c>
      <c r="L29" s="17" t="n">
        <f aca="false">+K29/J$8</f>
        <v>0.000679204787035339</v>
      </c>
      <c r="M29" s="5"/>
      <c r="N29" s="33" t="n">
        <f aca="false">N$11*O29</f>
        <v>45.8646616541353</v>
      </c>
      <c r="O29" s="45" t="n">
        <f aca="false">100/$V$11</f>
        <v>0.75187969924812</v>
      </c>
      <c r="P29" s="17" t="n">
        <f aca="false">+O29/N$8</f>
        <v>0.0005842111105269</v>
      </c>
      <c r="Q29" s="5"/>
      <c r="R29" s="46"/>
      <c r="S29" s="45"/>
      <c r="T29" s="45"/>
      <c r="U29" s="45"/>
      <c r="V29" s="32" t="n">
        <f aca="false">+R29+N29+J29+F29</f>
        <v>100</v>
      </c>
      <c r="W29" s="17" t="n">
        <f aca="false">+V29/V$11</f>
        <v>0.75187969924812</v>
      </c>
      <c r="X29" s="34" t="n">
        <f aca="false">+V29/V$8</f>
        <v>0.000632067302526373</v>
      </c>
    </row>
    <row r="30" customFormat="false" ht="12.75" hidden="false" customHeight="false" outlineLevel="0" collapsed="false">
      <c r="B30" s="27" t="s">
        <v>40</v>
      </c>
      <c r="C30" s="14"/>
      <c r="D30" s="14"/>
      <c r="E30" s="45"/>
      <c r="F30" s="46"/>
      <c r="G30" s="45"/>
      <c r="H30" s="45"/>
      <c r="I30" s="5"/>
      <c r="J30" s="33" t="n">
        <f aca="false">J$11*K30</f>
        <v>11457.45</v>
      </c>
      <c r="K30" s="45" t="n">
        <f aca="false">(75*J$8*0.023)/12</f>
        <v>159.13125</v>
      </c>
      <c r="L30" s="17" t="n">
        <f aca="false">+K30/J$8</f>
        <v>0.14375</v>
      </c>
      <c r="M30" s="5"/>
      <c r="N30" s="33" t="n">
        <f aca="false">N$11*O30</f>
        <v>11285.38125</v>
      </c>
      <c r="O30" s="45" t="n">
        <f aca="false">(75*N$8*0.023)/12</f>
        <v>185.00625</v>
      </c>
      <c r="P30" s="17" t="n">
        <f aca="false">+O30/N$8</f>
        <v>0.14375</v>
      </c>
      <c r="Q30" s="5"/>
      <c r="R30" s="46"/>
      <c r="S30" s="45"/>
      <c r="T30" s="45"/>
      <c r="U30" s="45"/>
      <c r="V30" s="32" t="n">
        <f aca="false">+R30+N30+J30+F30</f>
        <v>22742.83125</v>
      </c>
      <c r="W30" s="17" t="n">
        <f aca="false">+V30/V$11</f>
        <v>170.998731203008</v>
      </c>
      <c r="X30" s="34" t="n">
        <f aca="false">+V30/V$8</f>
        <v>0.14375</v>
      </c>
    </row>
    <row r="31" customFormat="false" ht="12.75" hidden="false" customHeight="false" outlineLevel="0" collapsed="false">
      <c r="B31" s="27" t="s">
        <v>41</v>
      </c>
      <c r="C31" s="14"/>
      <c r="D31" s="14"/>
      <c r="E31" s="45"/>
      <c r="F31" s="46"/>
      <c r="G31" s="45"/>
      <c r="H31" s="45"/>
      <c r="I31" s="5"/>
      <c r="J31" s="33" t="n">
        <f aca="false">J$11*K31</f>
        <v>1494.45</v>
      </c>
      <c r="K31" s="45" t="n">
        <f aca="false">(75*J$8*0.003)/12</f>
        <v>20.75625</v>
      </c>
      <c r="L31" s="17" t="n">
        <f aca="false">+K31/J$8</f>
        <v>0.01875</v>
      </c>
      <c r="M31" s="5"/>
      <c r="N31" s="33" t="n">
        <f aca="false">N$11*O31</f>
        <v>1472.00625</v>
      </c>
      <c r="O31" s="45" t="n">
        <f aca="false">(75*N$8*0.003)/12</f>
        <v>24.13125</v>
      </c>
      <c r="P31" s="17" t="n">
        <f aca="false">+O31/N$8</f>
        <v>0.01875</v>
      </c>
      <c r="Q31" s="5"/>
      <c r="R31" s="46"/>
      <c r="S31" s="45"/>
      <c r="T31" s="45"/>
      <c r="U31" s="45"/>
      <c r="V31" s="32" t="n">
        <f aca="false">+R31+N31+J31+F31</f>
        <v>2966.45625</v>
      </c>
      <c r="W31" s="17" t="n">
        <f aca="false">+V31/V$11</f>
        <v>22.3041823308271</v>
      </c>
      <c r="X31" s="34" t="n">
        <f aca="false">+V31/V$8</f>
        <v>0.01875</v>
      </c>
    </row>
    <row r="32" customFormat="false" ht="12.75" hidden="false" customHeight="false" outlineLevel="0" collapsed="false">
      <c r="B32" s="27" t="s">
        <v>42</v>
      </c>
      <c r="C32" s="14"/>
      <c r="D32" s="14"/>
      <c r="E32" s="45"/>
      <c r="F32" s="46"/>
      <c r="G32" s="45"/>
      <c r="H32" s="45"/>
      <c r="I32" s="5"/>
      <c r="J32" s="33" t="n">
        <f aca="false">J$11*K32</f>
        <v>300</v>
      </c>
      <c r="K32" s="45" t="n">
        <f aca="false">50/12</f>
        <v>4.16666666666667</v>
      </c>
      <c r="L32" s="17" t="n">
        <f aca="false">+K32/J$8</f>
        <v>0.00376392652815417</v>
      </c>
      <c r="M32" s="5"/>
      <c r="N32" s="33" t="n">
        <f aca="false">N$11*O32</f>
        <v>254.166666666667</v>
      </c>
      <c r="O32" s="45" t="n">
        <f aca="false">50/12</f>
        <v>4.16666666666667</v>
      </c>
      <c r="P32" s="17" t="n">
        <f aca="false">+O32/N$8</f>
        <v>0.00323750323750324</v>
      </c>
      <c r="Q32" s="5"/>
      <c r="R32" s="46"/>
      <c r="S32" s="45"/>
      <c r="T32" s="45"/>
      <c r="U32" s="45"/>
      <c r="V32" s="32" t="n">
        <f aca="false">+R32+N32+J32+F32</f>
        <v>554.166666666667</v>
      </c>
      <c r="W32" s="17" t="n">
        <f aca="false">+V32/V$11</f>
        <v>4.16666666666667</v>
      </c>
      <c r="X32" s="34" t="n">
        <f aca="false">+V32/V$8</f>
        <v>0.00350270630150032</v>
      </c>
    </row>
    <row r="33" customFormat="false" ht="12.75" hidden="false" customHeight="false" outlineLevel="0" collapsed="false">
      <c r="B33" s="27" t="s">
        <v>43</v>
      </c>
      <c r="C33" s="14"/>
      <c r="D33" s="14"/>
      <c r="E33" s="45"/>
      <c r="F33" s="46"/>
      <c r="G33" s="45"/>
      <c r="H33" s="45"/>
      <c r="I33" s="5"/>
      <c r="J33" s="33" t="n">
        <f aca="false">J$11*K33</f>
        <v>67.6691729323308</v>
      </c>
      <c r="K33" s="45" t="n">
        <f aca="false">1500/12/$V$11</f>
        <v>0.93984962406015</v>
      </c>
      <c r="L33" s="17" t="n">
        <f aca="false">+K33/J$8</f>
        <v>0.000849005983794174</v>
      </c>
      <c r="M33" s="5"/>
      <c r="N33" s="33" t="n">
        <f aca="false">N$11*O33</f>
        <v>57.3308270676692</v>
      </c>
      <c r="O33" s="45" t="n">
        <f aca="false">1500/12/$V$11</f>
        <v>0.93984962406015</v>
      </c>
      <c r="P33" s="17" t="n">
        <f aca="false">+O33/N$8</f>
        <v>0.000730263888158625</v>
      </c>
      <c r="Q33" s="5"/>
      <c r="R33" s="46"/>
      <c r="S33" s="45"/>
      <c r="T33" s="45"/>
      <c r="U33" s="45"/>
      <c r="V33" s="32" t="n">
        <f aca="false">+R33+N33+J33+F33</f>
        <v>125</v>
      </c>
      <c r="W33" s="17" t="n">
        <f aca="false">+V33/V$11</f>
        <v>0.93984962406015</v>
      </c>
      <c r="X33" s="34" t="n">
        <f aca="false">+V33/V$8</f>
        <v>0.000790084128157966</v>
      </c>
    </row>
    <row r="34" customFormat="false" ht="12.75" hidden="false" customHeight="false" outlineLevel="0" collapsed="false">
      <c r="B34" s="27" t="s">
        <v>44</v>
      </c>
      <c r="C34" s="14"/>
      <c r="D34" s="14"/>
      <c r="E34" s="45"/>
      <c r="F34" s="46"/>
      <c r="G34" s="45"/>
      <c r="H34" s="45"/>
      <c r="I34" s="5"/>
      <c r="J34" s="33" t="n">
        <f aca="false">J$11*K34</f>
        <v>714</v>
      </c>
      <c r="K34" s="45" t="n">
        <f aca="false">833/3/28</f>
        <v>9.91666666666667</v>
      </c>
      <c r="L34" s="17" t="n">
        <f aca="false">+K34/J$8</f>
        <v>0.00895814513700693</v>
      </c>
      <c r="M34" s="5"/>
      <c r="N34" s="33" t="n">
        <f aca="false">N$11*O34</f>
        <v>604.916666666667</v>
      </c>
      <c r="O34" s="45" t="n">
        <f aca="false">833/3/28</f>
        <v>9.91666666666667</v>
      </c>
      <c r="P34" s="17" t="n">
        <f aca="false">+O34/N$8</f>
        <v>0.00770525770525771</v>
      </c>
      <c r="Q34" s="5"/>
      <c r="R34" s="46"/>
      <c r="S34" s="45"/>
      <c r="T34" s="45"/>
      <c r="U34" s="45"/>
      <c r="V34" s="32" t="n">
        <f aca="false">+R34+N34+J34+F34</f>
        <v>1318.91666666667</v>
      </c>
      <c r="W34" s="17" t="n">
        <f aca="false">+V34/V$11</f>
        <v>9.91666666666667</v>
      </c>
      <c r="X34" s="34" t="n">
        <f aca="false">+V34/V$8</f>
        <v>0.00833644099757076</v>
      </c>
    </row>
    <row r="35" customFormat="false" ht="12.75" hidden="false" customHeight="false" outlineLevel="0" collapsed="false">
      <c r="B35" s="37" t="s">
        <v>45</v>
      </c>
      <c r="C35" s="38"/>
      <c r="D35" s="38"/>
      <c r="E35" s="48"/>
      <c r="F35" s="49"/>
      <c r="G35" s="48"/>
      <c r="H35" s="48"/>
      <c r="I35" s="5"/>
      <c r="J35" s="39" t="n">
        <f aca="false">SUM(J23:J34)</f>
        <v>26549.6812438694</v>
      </c>
      <c r="K35" s="39" t="n">
        <f aca="false">SUM(K23:K34)</f>
        <v>368.74557283152</v>
      </c>
      <c r="L35" s="50" t="n">
        <f aca="false">K35/J$8</f>
        <v>0.333103498492791</v>
      </c>
      <c r="M35" s="5"/>
      <c r="N35" s="39" t="n">
        <f aca="false">SUM(N23:N34)</f>
        <v>25345.2299427227</v>
      </c>
      <c r="O35" s="39" t="n">
        <f aca="false">SUM(O23:O34)</f>
        <v>415.49557283152</v>
      </c>
      <c r="P35" s="50" t="n">
        <f aca="false">O35/N$8</f>
        <v>0.322840382930474</v>
      </c>
      <c r="Q35" s="5"/>
      <c r="R35" s="49"/>
      <c r="S35" s="48"/>
      <c r="T35" s="48"/>
      <c r="U35" s="48"/>
      <c r="V35" s="39" t="n">
        <f aca="false">SUM(V23:V34)</f>
        <v>51894.9111865922</v>
      </c>
      <c r="W35" s="39" t="n">
        <f aca="false">SUM(W23:W34)</f>
        <v>390.187302154828</v>
      </c>
      <c r="X35" s="50" t="n">
        <f aca="false">V35/V$8</f>
        <v>0.32801076528555</v>
      </c>
    </row>
    <row r="36" customFormat="false" ht="12.75" hidden="false" customHeight="false" outlineLevel="0" collapsed="false">
      <c r="B36" s="51" t="s">
        <v>46</v>
      </c>
      <c r="C36" s="52"/>
      <c r="D36" s="52"/>
      <c r="E36" s="53"/>
      <c r="F36" s="54"/>
      <c r="G36" s="53"/>
      <c r="H36" s="53"/>
      <c r="I36" s="5"/>
      <c r="J36" s="52" t="n">
        <f aca="false">+J20-J35</f>
        <v>76891.6721395892</v>
      </c>
      <c r="K36" s="52" t="n">
        <f aca="false">+K20-K35</f>
        <v>1067.93989082763</v>
      </c>
      <c r="L36" s="55" t="n">
        <f aca="false">+L20-L35</f>
        <v>0.964715348534442</v>
      </c>
      <c r="M36" s="5"/>
      <c r="N36" s="52" t="n">
        <f aca="false">+N20-N35</f>
        <v>88268.4166738186</v>
      </c>
      <c r="O36" s="52" t="n">
        <f aca="false">+O20-O35</f>
        <v>1447.02322416096</v>
      </c>
      <c r="P36" s="56" t="n">
        <f aca="false">+O36/N$8</f>
        <v>1.12433816951124</v>
      </c>
      <c r="Q36" s="5"/>
      <c r="R36" s="54"/>
      <c r="S36" s="53"/>
      <c r="T36" s="53"/>
      <c r="U36" s="53"/>
      <c r="V36" s="52" t="n">
        <f aca="false">+V20-V35</f>
        <v>165160.088813408</v>
      </c>
      <c r="W36" s="52" t="n">
        <f aca="false">+W20-W35</f>
        <v>1241.80517904818</v>
      </c>
      <c r="X36" s="57" t="n">
        <f aca="false">V36/V$8</f>
        <v>1.04392291821307</v>
      </c>
    </row>
    <row r="37" customFormat="false" ht="12.75" hidden="false" customHeight="false" outlineLevel="0" collapsed="false">
      <c r="B37" s="58" t="s">
        <v>47</v>
      </c>
      <c r="C37" s="59"/>
      <c r="D37" s="59"/>
      <c r="E37" s="60"/>
      <c r="F37" s="61"/>
      <c r="G37" s="60"/>
      <c r="H37" s="60"/>
      <c r="I37" s="5"/>
      <c r="J37" s="33" t="n">
        <f aca="false">J$11*K37</f>
        <v>-2100</v>
      </c>
      <c r="K37" s="45" t="n">
        <f aca="false">-350/12</f>
        <v>-29.1666666666667</v>
      </c>
      <c r="L37" s="17" t="n">
        <f aca="false">+K37/J$8</f>
        <v>-0.0263474856970792</v>
      </c>
      <c r="M37" s="5"/>
      <c r="N37" s="33" t="n">
        <f aca="false">N$11*O37</f>
        <v>-1779.16666666667</v>
      </c>
      <c r="O37" s="45" t="n">
        <f aca="false">-350/12</f>
        <v>-29.1666666666667</v>
      </c>
      <c r="P37" s="17" t="n">
        <f aca="false">+O37/N$8</f>
        <v>-0.0226625226625227</v>
      </c>
      <c r="Q37" s="5"/>
      <c r="R37" s="46"/>
      <c r="S37" s="45"/>
      <c r="T37" s="45"/>
      <c r="U37" s="45"/>
      <c r="V37" s="62" t="n">
        <f aca="false">+R37+N37+J37+F37</f>
        <v>-3879.16666666667</v>
      </c>
      <c r="W37" s="17" t="n">
        <f aca="false">+V37/V$11</f>
        <v>-29.1666666666667</v>
      </c>
      <c r="X37" s="63" t="n">
        <f aca="false">+V37/V$8</f>
        <v>-0.0245189441105022</v>
      </c>
    </row>
    <row r="38" customFormat="false" ht="12.75" hidden="false" customHeight="false" outlineLevel="0" collapsed="false">
      <c r="B38" s="64" t="s">
        <v>48</v>
      </c>
      <c r="C38" s="14"/>
      <c r="D38" s="14"/>
      <c r="E38" s="45"/>
      <c r="F38" s="46"/>
      <c r="G38" s="45"/>
      <c r="H38" s="45"/>
      <c r="I38" s="5"/>
      <c r="J38" s="62" t="n">
        <f aca="false">J$11*K38</f>
        <v>-49155.4493685799</v>
      </c>
      <c r="K38" s="62" t="n">
        <f aca="false">PMT(0.075/12,360,K41*0.8)</f>
        <v>-682.71457456361</v>
      </c>
      <c r="L38" s="63" t="n">
        <f aca="false">+K38/J$8</f>
        <v>-0.61672499960579</v>
      </c>
      <c r="M38" s="5"/>
      <c r="N38" s="33" t="n">
        <f aca="false">N$11*O38</f>
        <v>-56428.3955065747</v>
      </c>
      <c r="O38" s="62" t="n">
        <f aca="false">PMT(0.075/12,360,O41*0.8)</f>
        <v>-925.055664042208</v>
      </c>
      <c r="P38" s="17" t="n">
        <f aca="false">+O38/N$8</f>
        <v>-0.718768969729765</v>
      </c>
      <c r="Q38" s="5"/>
      <c r="R38" s="46"/>
      <c r="S38" s="45"/>
      <c r="T38" s="45"/>
      <c r="U38" s="45"/>
      <c r="V38" s="62" t="n">
        <f aca="false">N38+J38</f>
        <v>-105583.844875155</v>
      </c>
      <c r="W38" s="17" t="n">
        <f aca="false">+V38/V$11</f>
        <v>-793.863495301914</v>
      </c>
      <c r="X38" s="63" t="n">
        <f aca="false">+V38/V$8</f>
        <v>-0.66736096020602</v>
      </c>
    </row>
    <row r="39" customFormat="false" ht="12.75" hidden="false" customHeight="false" outlineLevel="0" collapsed="false">
      <c r="B39" s="51" t="s">
        <v>49</v>
      </c>
      <c r="C39" s="65" t="n">
        <v>0.025</v>
      </c>
      <c r="D39" s="66"/>
      <c r="E39" s="67"/>
      <c r="F39" s="68"/>
      <c r="G39" s="67"/>
      <c r="H39" s="67"/>
      <c r="I39" s="5"/>
      <c r="J39" s="69" t="n">
        <f aca="false">+J38+J36</f>
        <v>27736.2227710093</v>
      </c>
      <c r="K39" s="69" t="n">
        <f aca="false">SUM(K36:K38)</f>
        <v>356.058649597351</v>
      </c>
      <c r="L39" s="70" t="n">
        <f aca="false">+L38+L36</f>
        <v>0.347990348928652</v>
      </c>
      <c r="M39" s="5"/>
      <c r="N39" s="69" t="n">
        <f aca="false">+N38+N36</f>
        <v>31840.021167244</v>
      </c>
      <c r="O39" s="69" t="n">
        <f aca="false">SUM(O36:O38)</f>
        <v>492.800893452087</v>
      </c>
      <c r="P39" s="70" t="n">
        <f aca="false">+O39/N$8</f>
        <v>0.382906677118948</v>
      </c>
      <c r="Q39" s="5"/>
      <c r="R39" s="68"/>
      <c r="S39" s="67"/>
      <c r="T39" s="67"/>
      <c r="U39" s="67"/>
      <c r="V39" s="69" t="n">
        <f aca="false">+V38+V36</f>
        <v>59576.2439382532</v>
      </c>
      <c r="W39" s="69" t="n">
        <f aca="false">SUM(W36:W38)</f>
        <v>418.775017079598</v>
      </c>
      <c r="X39" s="57" t="n">
        <f aca="false">V39/V$8</f>
        <v>0.376561958007049</v>
      </c>
    </row>
    <row r="40" customFormat="false" ht="15.75" hidden="false" customHeight="false" outlineLevel="0" collapsed="false">
      <c r="B40" s="71"/>
      <c r="C40" s="21"/>
      <c r="D40" s="21"/>
      <c r="E40" s="21"/>
      <c r="F40" s="21"/>
      <c r="G40" s="21"/>
      <c r="H40" s="21"/>
      <c r="I40" s="5"/>
      <c r="J40" s="21"/>
      <c r="K40" s="21"/>
      <c r="L40" s="21"/>
      <c r="M40" s="5"/>
      <c r="N40" s="21"/>
      <c r="O40" s="21"/>
      <c r="P40" s="21"/>
      <c r="Q40" s="5"/>
      <c r="R40" s="21"/>
      <c r="S40" s="21"/>
      <c r="T40" s="21"/>
      <c r="U40" s="21"/>
      <c r="V40" s="21"/>
      <c r="W40" s="21"/>
      <c r="X40" s="21"/>
    </row>
    <row r="41" customFormat="false" ht="12.75" hidden="false" customHeight="false" outlineLevel="0" collapsed="false">
      <c r="B41" s="72" t="s">
        <v>50</v>
      </c>
      <c r="C41" s="73" t="n">
        <v>0.105</v>
      </c>
      <c r="D41" s="72"/>
      <c r="E41" s="74"/>
      <c r="F41" s="75"/>
      <c r="G41" s="74"/>
      <c r="H41" s="74"/>
      <c r="I41" s="5"/>
      <c r="J41" s="76" t="n">
        <f aca="false">J$11*K41</f>
        <v>8787619.67309591</v>
      </c>
      <c r="K41" s="76" t="n">
        <f aca="false">(K$36*12)/CapRate</f>
        <v>122050.273237443</v>
      </c>
      <c r="L41" s="77" t="n">
        <f aca="false">+K41/J$8</f>
        <v>110.253182689651</v>
      </c>
      <c r="M41" s="5"/>
      <c r="N41" s="76" t="n">
        <f aca="false">N$11*O41</f>
        <v>10087819.0484364</v>
      </c>
      <c r="O41" s="76" t="n">
        <f aca="false">(O$36*12)/CapRate</f>
        <v>165374.082761253</v>
      </c>
      <c r="P41" s="77" t="n">
        <f aca="false">+O41/N$8</f>
        <v>128.495790801284</v>
      </c>
      <c r="Q41" s="5"/>
      <c r="R41" s="75"/>
      <c r="S41" s="74"/>
      <c r="T41" s="74"/>
      <c r="U41" s="74"/>
      <c r="V41" s="78" t="n">
        <f aca="false">+N41+J41</f>
        <v>18875438.7215323</v>
      </c>
      <c r="W41" s="76" t="n">
        <f aca="false">(W39*12)/CapRate</f>
        <v>47860.0019519541</v>
      </c>
      <c r="X41" s="77" t="n">
        <f aca="false">+V41/V$8</f>
        <v>119.305476367208</v>
      </c>
    </row>
    <row r="42" customFormat="false" ht="13.5" hidden="false" customHeight="false" outlineLevel="0" collapsed="false">
      <c r="B42" s="14"/>
      <c r="C42" s="79"/>
      <c r="D42" s="79"/>
      <c r="E42" s="80"/>
      <c r="F42" s="81"/>
      <c r="G42" s="80"/>
      <c r="H42" s="80"/>
      <c r="I42" s="81"/>
      <c r="J42" s="81"/>
      <c r="K42" s="80"/>
      <c r="L42" s="80"/>
      <c r="M42" s="80"/>
      <c r="N42" s="81"/>
      <c r="O42" s="80"/>
      <c r="P42" s="80"/>
      <c r="Q42" s="80"/>
      <c r="R42" s="81"/>
      <c r="S42" s="80"/>
      <c r="T42" s="80"/>
      <c r="U42" s="80"/>
      <c r="V42" s="81"/>
      <c r="W42" s="81"/>
      <c r="X42" s="45"/>
    </row>
    <row r="43" customFormat="false" ht="14.25" hidden="false" customHeight="false" outlineLevel="0" collapsed="false">
      <c r="B43" s="82" t="s">
        <v>51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4"/>
    </row>
    <row r="44" customFormat="false" ht="12.75" hidden="false" customHeight="false" outlineLevel="0" collapsed="false">
      <c r="B44" s="85" t="s">
        <v>52</v>
      </c>
      <c r="C44" s="86"/>
      <c r="D44" s="86"/>
      <c r="E44" s="86"/>
      <c r="F44" s="86"/>
      <c r="G44" s="86"/>
      <c r="H44" s="86"/>
      <c r="I44" s="86"/>
      <c r="J44" s="87" t="n">
        <f aca="false">J$36/0.1*12*LTV</f>
        <v>6458900.45972549</v>
      </c>
      <c r="K44" s="87" t="n">
        <f aca="false">K$36/0.1*12*LTV</f>
        <v>89706.9508295207</v>
      </c>
      <c r="L44" s="88" t="n">
        <f aca="false">+K44/J$8</f>
        <v>81.0360892768931</v>
      </c>
      <c r="M44" s="86"/>
      <c r="N44" s="87" t="n">
        <f aca="false">N$36/0.1*12*LTV</f>
        <v>7414547.00060076</v>
      </c>
      <c r="O44" s="87" t="n">
        <f aca="false">O$36/0.1*12*LTV</f>
        <v>121549.950829521</v>
      </c>
      <c r="P44" s="88" t="n">
        <f aca="false">+O44/N$8</f>
        <v>94.4444062389438</v>
      </c>
      <c r="Q44" s="86"/>
      <c r="R44" s="86"/>
      <c r="S44" s="86"/>
      <c r="T44" s="86"/>
      <c r="U44" s="86"/>
      <c r="V44" s="87" t="n">
        <f aca="false">+N44+J44</f>
        <v>13873447.4603263</v>
      </c>
      <c r="W44" s="87" t="n">
        <f aca="false">+V44/V$11</f>
        <v>104311.635040047</v>
      </c>
      <c r="X44" s="89" t="n">
        <f aca="false">+V44/V$8</f>
        <v>87.6895251298978</v>
      </c>
    </row>
    <row r="45" customFormat="false" ht="12.75" hidden="false" customHeight="false" outlineLevel="0" collapsed="false">
      <c r="B45" s="90"/>
      <c r="C45" s="91"/>
      <c r="D45" s="91"/>
      <c r="E45" s="92"/>
      <c r="F45" s="92"/>
      <c r="G45" s="92"/>
      <c r="H45" s="92"/>
      <c r="I45" s="92"/>
      <c r="J45" s="87"/>
      <c r="K45" s="87"/>
      <c r="L45" s="91"/>
      <c r="M45" s="92"/>
      <c r="N45" s="87"/>
      <c r="O45" s="87"/>
      <c r="P45" s="91"/>
      <c r="Q45" s="92"/>
      <c r="R45" s="92"/>
      <c r="S45" s="92"/>
      <c r="T45" s="92"/>
      <c r="U45" s="92"/>
      <c r="V45" s="87"/>
      <c r="W45" s="87"/>
      <c r="X45" s="93"/>
    </row>
    <row r="46" customFormat="false" ht="12.75" hidden="false" customHeight="false" outlineLevel="0" collapsed="false">
      <c r="B46" s="85" t="s">
        <v>50</v>
      </c>
      <c r="C46" s="92"/>
      <c r="D46" s="92"/>
      <c r="E46" s="92"/>
      <c r="F46" s="92"/>
      <c r="G46" s="92"/>
      <c r="H46" s="92"/>
      <c r="I46" s="92"/>
      <c r="J46" s="87" t="n">
        <f aca="false">J$36/0.105*12*LTV</f>
        <v>6151333.77116714</v>
      </c>
      <c r="K46" s="87" t="n">
        <f aca="false">K$36/0.105*12*LTV</f>
        <v>85435.1912662102</v>
      </c>
      <c r="L46" s="88" t="n">
        <f aca="false">+K46/J$8</f>
        <v>77.1772278827554</v>
      </c>
      <c r="M46" s="92"/>
      <c r="N46" s="87" t="n">
        <f aca="false">N$36/0.105*12*LTV</f>
        <v>7061473.33390549</v>
      </c>
      <c r="O46" s="87" t="n">
        <f aca="false">O$36/0.105*12*LTV</f>
        <v>115761.857932877</v>
      </c>
      <c r="P46" s="88" t="n">
        <f aca="false">+O46/N$8</f>
        <v>89.9470535608989</v>
      </c>
      <c r="Q46" s="92"/>
      <c r="R46" s="92"/>
      <c r="S46" s="92"/>
      <c r="T46" s="92"/>
      <c r="U46" s="92"/>
      <c r="V46" s="87" t="n">
        <f aca="false">+N46+J46</f>
        <v>13212807.1050726</v>
      </c>
      <c r="W46" s="87" t="n">
        <f aca="false">+V46/V$11</f>
        <v>99344.4143238543</v>
      </c>
      <c r="X46" s="89" t="n">
        <f aca="false">+V46/V$8</f>
        <v>83.5138334570455</v>
      </c>
    </row>
    <row r="47" customFormat="false" ht="12.75" hidden="false" customHeight="false" outlineLevel="0" collapsed="false">
      <c r="B47" s="90"/>
      <c r="C47" s="91"/>
      <c r="D47" s="91"/>
      <c r="E47" s="92"/>
      <c r="F47" s="92"/>
      <c r="G47" s="92"/>
      <c r="H47" s="92"/>
      <c r="I47" s="92"/>
      <c r="J47" s="87"/>
      <c r="K47" s="87"/>
      <c r="L47" s="91"/>
      <c r="M47" s="92"/>
      <c r="N47" s="87"/>
      <c r="O47" s="87"/>
      <c r="P47" s="91"/>
      <c r="Q47" s="92"/>
      <c r="R47" s="92"/>
      <c r="S47" s="92"/>
      <c r="T47" s="92"/>
      <c r="U47" s="92"/>
      <c r="V47" s="87"/>
      <c r="W47" s="87"/>
      <c r="X47" s="93"/>
    </row>
    <row r="48" customFormat="false" ht="12.75" hidden="false" customHeight="false" outlineLevel="0" collapsed="false">
      <c r="B48" s="85" t="s">
        <v>53</v>
      </c>
      <c r="C48" s="92"/>
      <c r="D48" s="92"/>
      <c r="E48" s="92"/>
      <c r="F48" s="92"/>
      <c r="G48" s="92"/>
      <c r="H48" s="92"/>
      <c r="I48" s="92"/>
      <c r="J48" s="87" t="n">
        <f aca="false">J$36/0.11*12*LTV</f>
        <v>5871727.69065954</v>
      </c>
      <c r="K48" s="87" t="n">
        <f aca="false">K$36/0.11*12*LTV</f>
        <v>81551.7734813825</v>
      </c>
      <c r="L48" s="88" t="n">
        <f aca="false">+K48/J$8</f>
        <v>73.6691720699029</v>
      </c>
      <c r="M48" s="92"/>
      <c r="N48" s="87" t="n">
        <f aca="false">N$36/0.11*12*LTV</f>
        <v>6740497.27327342</v>
      </c>
      <c r="O48" s="87" t="n">
        <f aca="false">O$36/0.11*12*LTV</f>
        <v>110499.955299564</v>
      </c>
      <c r="P48" s="88" t="n">
        <f aca="false">+O48/N$8</f>
        <v>85.8585511263126</v>
      </c>
      <c r="Q48" s="92"/>
      <c r="R48" s="92"/>
      <c r="S48" s="92"/>
      <c r="T48" s="92"/>
      <c r="U48" s="92"/>
      <c r="V48" s="87" t="n">
        <f aca="false">+N48+J48</f>
        <v>12612224.963933</v>
      </c>
      <c r="W48" s="87" t="n">
        <f aca="false">+V48/V$11</f>
        <v>94828.7591273155</v>
      </c>
      <c r="X48" s="89" t="n">
        <f aca="false">+V48/V$8</f>
        <v>79.7177501180889</v>
      </c>
    </row>
    <row r="49" customFormat="false" ht="13.5" hidden="false" customHeight="false" outlineLevel="0" collapsed="false">
      <c r="B49" s="94"/>
      <c r="C49" s="95"/>
      <c r="D49" s="95"/>
      <c r="E49" s="96"/>
      <c r="F49" s="96"/>
      <c r="G49" s="96"/>
      <c r="H49" s="96"/>
      <c r="I49" s="96"/>
      <c r="J49" s="95"/>
      <c r="K49" s="95"/>
      <c r="L49" s="95"/>
      <c r="M49" s="96"/>
      <c r="N49" s="95"/>
      <c r="O49" s="95"/>
      <c r="P49" s="95"/>
      <c r="Q49" s="96"/>
      <c r="R49" s="96"/>
      <c r="S49" s="96"/>
      <c r="T49" s="96"/>
      <c r="U49" s="96"/>
      <c r="V49" s="95"/>
      <c r="W49" s="95"/>
      <c r="X49" s="97"/>
    </row>
    <row r="50" customFormat="false" ht="13.5" hidden="false" customHeight="false" outlineLevel="0" collapsed="false">
      <c r="AA50" s="98"/>
    </row>
    <row r="51" customFormat="false" ht="12.75" hidden="false" customHeight="false" outlineLevel="0" collapsed="false">
      <c r="AA51" s="98"/>
    </row>
    <row r="52" customFormat="false" ht="12.75" hidden="false" customHeight="false" outlineLevel="0" collapsed="false">
      <c r="AA52" s="98"/>
    </row>
    <row r="53" customFormat="false" ht="12.75" hidden="false" customHeight="false" outlineLevel="0" collapsed="false">
      <c r="AA53" s="98"/>
    </row>
    <row r="54" customFormat="false" ht="12.75" hidden="false" customHeight="false" outlineLevel="0" collapsed="false">
      <c r="Y54" s="1" t="n">
        <f aca="false">12*V39</f>
        <v>714914.927259039</v>
      </c>
      <c r="AA54" s="98"/>
    </row>
    <row r="55" customFormat="false" ht="12.75" hidden="false" customHeight="false" outlineLevel="0" collapsed="false">
      <c r="Y55" s="1" t="n">
        <f aca="false">PMT(0.075/12,360,V41*0.8)</f>
        <v>-105583.844875155</v>
      </c>
      <c r="AA55" s="98"/>
    </row>
    <row r="56" customFormat="false" ht="12.75" hidden="false" customHeight="false" outlineLevel="0" collapsed="false">
      <c r="Q56" s="1" t="s">
        <v>54</v>
      </c>
      <c r="Y56" s="1" t="n">
        <f aca="false">TotalCost/30</f>
        <v>471844.487513793</v>
      </c>
      <c r="AA56" s="98"/>
    </row>
    <row r="57" customFormat="false" ht="12.75" hidden="false" customHeight="false" outlineLevel="0" collapsed="false">
      <c r="Q57" s="1" t="s">
        <v>55</v>
      </c>
      <c r="Y57" s="1" t="n">
        <f aca="false">+Y54-Y56</f>
        <v>243070.439745246</v>
      </c>
    </row>
    <row r="59" customFormat="false" ht="12.75" hidden="false" customHeight="false" outlineLevel="0" collapsed="false">
      <c r="Q59" s="1" t="s">
        <v>56</v>
      </c>
      <c r="Y59" s="1" t="n">
        <f aca="false">0.25*Y57</f>
        <v>60767.6099363116</v>
      </c>
    </row>
    <row r="60" customFormat="false" ht="12.75" hidden="false" customHeight="false" outlineLevel="0" collapsed="false">
      <c r="Q60" s="1" t="s">
        <v>57</v>
      </c>
      <c r="Y60" s="1" t="n">
        <f aca="false">0.25*Y54</f>
        <v>178728.73181476</v>
      </c>
    </row>
    <row r="61" customFormat="false" ht="12.75" hidden="false" customHeight="false" outlineLevel="0" collapsed="false">
      <c r="Q61" s="1" t="s">
        <v>58</v>
      </c>
      <c r="Y61" s="1" t="n">
        <f aca="false">-0.4*Y59</f>
        <v>-24307.0439745246</v>
      </c>
    </row>
    <row r="62" customFormat="false" ht="12.75" hidden="false" customHeight="false" outlineLevel="0" collapsed="false">
      <c r="Q62" s="1" t="s">
        <v>59</v>
      </c>
      <c r="Y62" s="1" t="n">
        <f aca="false">+Y61+Y60</f>
        <v>154421.687840235</v>
      </c>
    </row>
  </sheetData>
  <mergeCells count="9">
    <mergeCell ref="F5:H5"/>
    <mergeCell ref="J5:L5"/>
    <mergeCell ref="N5:P5"/>
    <mergeCell ref="R5:T5"/>
    <mergeCell ref="V5:X5"/>
    <mergeCell ref="F9:G9"/>
    <mergeCell ref="J9:K9"/>
    <mergeCell ref="N9:O9"/>
    <mergeCell ref="R9:S9"/>
  </mergeCells>
  <printOptions headings="false" gridLines="false" gridLinesSet="true" horizontalCentered="true" verticalCentered="false"/>
  <pageMargins left="0.5" right="0.5" top="0.984027777777778" bottom="0.984027777777778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&amp;C&amp;"Arial,Bold"&amp;10SAN MARCOS 134
TOWN HOME RENTAL COMPLEX</oddHeader>
    <oddFooter>&amp;L&amp;8 F:\My Documents\CREEKSIDE\SM134\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171"/>
  <sheetViews>
    <sheetView showFormulas="false" showGridLines="true" showRowColHeaders="true" showZeros="true" rightToLeft="false" tabSelected="false" showOutlineSymbols="true" defaultGridColor="true" view="normal" topLeftCell="B7" colorId="64" zoomScale="100" zoomScaleNormal="100" zoomScalePageLayoutView="100" workbookViewId="0">
      <pane xSplit="2895" ySplit="930" topLeftCell="B9" activePane="bottomRight" state="split"/>
      <selection pane="topLeft" activeCell="B7" activeCellId="0" sqref="B7"/>
      <selection pane="topRight" activeCell="B7" activeCellId="0" sqref="B7"/>
      <selection pane="bottomLeft" activeCell="B9" activeCellId="0" sqref="B9"/>
      <selection pane="bottomRight" activeCell="B20" activeCellId="0" sqref="B20"/>
    </sheetView>
  </sheetViews>
  <sheetFormatPr defaultColWidth="7.5625" defaultRowHeight="12" customHeight="true" zeroHeight="false" outlineLevelRow="0" outlineLevelCol="0"/>
  <cols>
    <col collapsed="false" customWidth="true" hidden="true" outlineLevel="0" max="1" min="1" style="99" width="8.13"/>
    <col collapsed="false" customWidth="true" hidden="false" outlineLevel="0" max="2" min="2" style="100" width="23.85"/>
    <col collapsed="false" customWidth="true" hidden="true" outlineLevel="0" max="3" min="3" style="100" width="5.85"/>
    <col collapsed="false" customWidth="true" hidden="true" outlineLevel="0" max="4" min="4" style="100" width="5.42"/>
    <col collapsed="false" customWidth="false" hidden="true" outlineLevel="0" max="11" min="5" style="100" width="7.56"/>
    <col collapsed="false" customWidth="true" hidden="true" outlineLevel="0" max="14" min="12" style="100" width="11.42"/>
    <col collapsed="false" customWidth="true" hidden="true" outlineLevel="0" max="15" min="15" style="100" width="10.99"/>
    <col collapsed="false" customWidth="true" hidden="true" outlineLevel="0" max="17" min="16" style="100" width="9.85"/>
    <col collapsed="false" customWidth="true" hidden="true" outlineLevel="0" max="18" min="18" style="100" width="0.99"/>
    <col collapsed="false" customWidth="true" hidden="true" outlineLevel="0" max="19" min="19" style="100" width="11.99"/>
    <col collapsed="false" customWidth="true" hidden="true" outlineLevel="0" max="20" min="20" style="100" width="10.99"/>
    <col collapsed="false" customWidth="true" hidden="true" outlineLevel="0" max="21" min="21" style="100" width="12.42"/>
    <col collapsed="false" customWidth="true" hidden="false" outlineLevel="0" max="22" min="22" style="100" width="1.7"/>
    <col collapsed="false" customWidth="true" hidden="false" outlineLevel="0" max="23" min="23" style="100" width="10.99"/>
    <col collapsed="false" customWidth="true" hidden="false" outlineLevel="0" max="24" min="24" style="100" width="9.56"/>
    <col collapsed="false" customWidth="false" hidden="false" outlineLevel="0" max="25" min="25" style="100" width="7.56"/>
    <col collapsed="false" customWidth="true" hidden="false" outlineLevel="0" max="26" min="26" style="100" width="1.7"/>
    <col collapsed="false" customWidth="true" hidden="false" outlineLevel="0" max="27" min="27" style="100" width="10.99"/>
    <col collapsed="false" customWidth="true" hidden="false" outlineLevel="0" max="28" min="28" style="100" width="9.56"/>
    <col collapsed="false" customWidth="false" hidden="false" outlineLevel="0" max="29" min="29" style="100" width="7.56"/>
    <col collapsed="false" customWidth="true" hidden="true" outlineLevel="0" max="30" min="30" style="100" width="0.99"/>
    <col collapsed="false" customWidth="true" hidden="true" outlineLevel="0" max="33" min="31" style="100" width="10.7"/>
    <col collapsed="false" customWidth="true" hidden="false" outlineLevel="0" max="34" min="34" style="100" width="1.7"/>
    <col collapsed="false" customWidth="true" hidden="false" outlineLevel="0" max="35" min="35" style="100" width="11.99"/>
    <col collapsed="false" customWidth="true" hidden="false" outlineLevel="0" max="36" min="36" style="100" width="9.56"/>
    <col collapsed="false" customWidth="false" hidden="false" outlineLevel="0" max="37" min="37" style="100" width="7.56"/>
    <col collapsed="false" customWidth="true" hidden="false" outlineLevel="0" max="38" min="38" style="100" width="8.7"/>
    <col collapsed="false" customWidth="true" hidden="true" outlineLevel="0" max="39" min="39" style="100" width="3.56"/>
    <col collapsed="false" customWidth="true" hidden="true" outlineLevel="0" max="40" min="40" style="100" width="23.99"/>
    <col collapsed="false" customWidth="true" hidden="true" outlineLevel="0" max="41" min="41" style="100" width="7.7"/>
    <col collapsed="false" customWidth="true" hidden="true" outlineLevel="0" max="42" min="42" style="100" width="13.7"/>
    <col collapsed="false" customWidth="true" hidden="true" outlineLevel="0" max="43" min="43" style="100" width="9.56"/>
    <col collapsed="false" customWidth="true" hidden="true" outlineLevel="0" max="44" min="44" style="100" width="9.42"/>
    <col collapsed="false" customWidth="false" hidden="false" outlineLevel="0" max="45" min="45" style="100" width="7.56"/>
    <col collapsed="false" customWidth="true" hidden="false" outlineLevel="0" max="46" min="46" style="100" width="11.42"/>
    <col collapsed="false" customWidth="true" hidden="false" outlineLevel="0" max="47" min="47" style="100" width="18.99"/>
    <col collapsed="false" customWidth="true" hidden="false" outlineLevel="0" max="48" min="48" style="100" width="16.28"/>
    <col collapsed="false" customWidth="true" hidden="false" outlineLevel="0" max="49" min="49" style="100" width="19.99"/>
    <col collapsed="false" customWidth="false" hidden="false" outlineLevel="0" max="257" min="50" style="100" width="7.56"/>
  </cols>
  <sheetData>
    <row r="1" customFormat="false" ht="12" hidden="true" customHeight="false" outlineLevel="0" collapsed="false">
      <c r="B1" s="100" t="s">
        <v>60</v>
      </c>
      <c r="S1" s="101" t="n">
        <v>1.1</v>
      </c>
      <c r="T1" s="100" t="s">
        <v>61</v>
      </c>
      <c r="U1" s="100" t="n">
        <v>134</v>
      </c>
      <c r="W1" s="100" t="s">
        <v>62</v>
      </c>
      <c r="X1" s="100" t="n">
        <f aca="false">SQRT(10.3*43560)*25*4</f>
        <v>66982.6843296086</v>
      </c>
      <c r="AA1" s="100" t="s">
        <v>63</v>
      </c>
      <c r="AB1" s="100" t="n">
        <v>570</v>
      </c>
      <c r="AF1" s="102" t="n">
        <f aca="false">75/295</f>
        <v>0.254237288135593</v>
      </c>
    </row>
    <row r="2" customFormat="false" ht="12.75" hidden="true" customHeight="false" outlineLevel="0" collapsed="false">
      <c r="B2" s="100" t="s">
        <v>64</v>
      </c>
      <c r="S2" s="103" t="n">
        <v>14</v>
      </c>
      <c r="T2" s="100" t="s">
        <v>65</v>
      </c>
      <c r="U2" s="35" t="n">
        <v>0.25</v>
      </c>
      <c r="W2" s="100" t="s">
        <v>66</v>
      </c>
      <c r="X2" s="100" t="n">
        <f aca="false">(670-((25+38+18+20+18+38)*2))*(670-((25+38+18+20+18+38)*2))-Pool-Vollybasketball</f>
        <v>112986</v>
      </c>
      <c r="Y2" s="100" t="n">
        <f aca="false">+X2+X1</f>
        <v>179968.684329609</v>
      </c>
      <c r="AA2" s="100" t="s">
        <v>67</v>
      </c>
      <c r="AB2" s="100" t="n">
        <f aca="false">295+13+529</f>
        <v>837</v>
      </c>
      <c r="AF2" s="100" t="n">
        <f aca="false">475*3</f>
        <v>1425</v>
      </c>
    </row>
    <row r="3" customFormat="false" ht="12.75" hidden="true" customHeight="false" outlineLevel="0" collapsed="false">
      <c r="A3" s="99" t="s">
        <v>68</v>
      </c>
      <c r="B3" s="100" t="s">
        <v>69</v>
      </c>
      <c r="S3" s="100" t="s">
        <v>70</v>
      </c>
      <c r="W3" s="100" t="s">
        <v>71</v>
      </c>
      <c r="X3" s="100" t="n">
        <f aca="false">(45+15*2)*(20+15*2)</f>
        <v>3750</v>
      </c>
      <c r="AA3" s="100" t="s">
        <v>72</v>
      </c>
      <c r="AB3" s="100" t="n">
        <f aca="false">(11/12+30)*((47+5.5/12))</f>
        <v>1467.25347222222</v>
      </c>
      <c r="AF3" s="100" t="n">
        <f aca="false">75*12</f>
        <v>900</v>
      </c>
    </row>
    <row r="4" customFormat="false" ht="12.75" hidden="true" customHeight="false" outlineLevel="0" collapsed="false">
      <c r="B4" s="104" t="s">
        <v>73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6"/>
      <c r="Q4" s="0"/>
      <c r="W4" s="100" t="s">
        <v>74</v>
      </c>
      <c r="X4" s="100" t="n">
        <f aca="false">100*50+100*50</f>
        <v>10000</v>
      </c>
    </row>
    <row r="5" customFormat="false" ht="12" hidden="false" customHeight="false" outlineLevel="0" collapsed="false">
      <c r="E5" s="107" t="s">
        <v>75</v>
      </c>
      <c r="F5" s="107" t="s">
        <v>76</v>
      </c>
      <c r="G5" s="107" t="s">
        <v>77</v>
      </c>
      <c r="H5" s="107" t="s">
        <v>78</v>
      </c>
      <c r="I5" s="107" t="s">
        <v>79</v>
      </c>
      <c r="J5" s="107" t="s">
        <v>80</v>
      </c>
      <c r="K5" s="107" t="s">
        <v>81</v>
      </c>
      <c r="S5" s="108" t="s">
        <v>82</v>
      </c>
      <c r="T5" s="108"/>
      <c r="U5" s="108"/>
      <c r="W5" s="108" t="s">
        <v>83</v>
      </c>
      <c r="X5" s="108"/>
      <c r="Y5" s="108"/>
      <c r="Z5" s="109"/>
      <c r="AA5" s="108" t="s">
        <v>84</v>
      </c>
      <c r="AB5" s="108"/>
      <c r="AC5" s="108"/>
      <c r="AD5" s="109"/>
      <c r="AE5" s="108" t="s">
        <v>85</v>
      </c>
      <c r="AF5" s="108"/>
      <c r="AG5" s="108"/>
      <c r="AH5" s="109"/>
      <c r="AI5" s="108" t="s">
        <v>86</v>
      </c>
      <c r="AJ5" s="108"/>
      <c r="AK5" s="108"/>
      <c r="AL5" s="109"/>
    </row>
    <row r="6" customFormat="false" ht="22.9" hidden="false" customHeight="true" outlineLevel="0" collapsed="false">
      <c r="B6" s="110" t="s">
        <v>87</v>
      </c>
      <c r="C6" s="111" t="s">
        <v>88</v>
      </c>
      <c r="D6" s="112" t="s">
        <v>89</v>
      </c>
      <c r="E6" s="107" t="s">
        <v>90</v>
      </c>
      <c r="F6" s="107" t="s">
        <v>91</v>
      </c>
      <c r="G6" s="107" t="s">
        <v>92</v>
      </c>
      <c r="H6" s="107" t="s">
        <v>93</v>
      </c>
      <c r="I6" s="107" t="s">
        <v>94</v>
      </c>
      <c r="J6" s="107" t="s">
        <v>95</v>
      </c>
      <c r="K6" s="107" t="s">
        <v>96</v>
      </c>
      <c r="L6" s="113" t="s">
        <v>97</v>
      </c>
      <c r="M6" s="113"/>
      <c r="N6" s="113"/>
      <c r="O6" s="113" t="s">
        <v>11</v>
      </c>
      <c r="P6" s="113" t="s">
        <v>98</v>
      </c>
      <c r="Q6" s="113" t="s">
        <v>99</v>
      </c>
      <c r="R6" s="113"/>
      <c r="S6" s="113" t="s">
        <v>97</v>
      </c>
      <c r="T6" s="113" t="s">
        <v>11</v>
      </c>
      <c r="U6" s="113" t="s">
        <v>12</v>
      </c>
      <c r="W6" s="113" t="s">
        <v>97</v>
      </c>
      <c r="X6" s="113" t="s">
        <v>11</v>
      </c>
      <c r="Y6" s="113" t="s">
        <v>12</v>
      </c>
      <c r="Z6" s="113"/>
      <c r="AA6" s="113" t="s">
        <v>97</v>
      </c>
      <c r="AB6" s="113" t="s">
        <v>11</v>
      </c>
      <c r="AC6" s="113" t="s">
        <v>12</v>
      </c>
      <c r="AD6" s="113"/>
      <c r="AE6" s="113" t="s">
        <v>97</v>
      </c>
      <c r="AF6" s="113" t="s">
        <v>11</v>
      </c>
      <c r="AG6" s="113" t="s">
        <v>12</v>
      </c>
      <c r="AH6" s="113"/>
      <c r="AI6" s="113" t="s">
        <v>97</v>
      </c>
      <c r="AJ6" s="113" t="s">
        <v>11</v>
      </c>
      <c r="AK6" s="113" t="s">
        <v>12</v>
      </c>
      <c r="AL6" s="113" t="s">
        <v>100</v>
      </c>
      <c r="AN6" s="114" t="s">
        <v>87</v>
      </c>
      <c r="AO6" s="113" t="s">
        <v>101</v>
      </c>
      <c r="AP6" s="113" t="s">
        <v>102</v>
      </c>
      <c r="AQ6" s="113" t="s">
        <v>11</v>
      </c>
      <c r="AR6" s="113" t="s">
        <v>103</v>
      </c>
    </row>
    <row r="7" customFormat="false" ht="22.9" hidden="false" customHeight="true" outlineLevel="0" collapsed="false">
      <c r="B7" s="110" t="s">
        <v>104</v>
      </c>
      <c r="C7" s="111"/>
      <c r="D7" s="112"/>
      <c r="E7" s="107"/>
      <c r="F7" s="107"/>
      <c r="G7" s="107"/>
      <c r="H7" s="107"/>
      <c r="I7" s="107"/>
      <c r="J7" s="107"/>
      <c r="K7" s="107"/>
      <c r="L7" s="115" t="n">
        <f aca="false">TRUnits</f>
        <v>14</v>
      </c>
      <c r="M7" s="115"/>
      <c r="N7" s="115"/>
      <c r="O7" s="113"/>
      <c r="P7" s="113"/>
      <c r="Q7" s="113"/>
      <c r="R7" s="113"/>
      <c r="S7" s="115" t="n">
        <v>1</v>
      </c>
      <c r="T7" s="113"/>
      <c r="U7" s="113"/>
      <c r="W7" s="115" t="n">
        <v>72</v>
      </c>
      <c r="X7" s="113"/>
      <c r="Y7" s="113"/>
      <c r="Z7" s="113"/>
      <c r="AA7" s="115" t="n">
        <f aca="false">61</f>
        <v>61</v>
      </c>
      <c r="AB7" s="113"/>
      <c r="AC7" s="113"/>
      <c r="AD7" s="113"/>
      <c r="AE7" s="115" t="n">
        <v>0</v>
      </c>
      <c r="AF7" s="113"/>
      <c r="AG7" s="113"/>
      <c r="AH7" s="113"/>
      <c r="AI7" s="115" t="n">
        <f aca="false">ROUND(AA7+W7+AE7,0)</f>
        <v>133</v>
      </c>
      <c r="AJ7" s="113"/>
      <c r="AK7" s="113"/>
      <c r="AL7" s="113"/>
      <c r="AN7" s="114"/>
      <c r="AO7" s="113"/>
      <c r="AP7" s="113"/>
      <c r="AQ7" s="115" t="n">
        <f aca="false">+AI7</f>
        <v>133</v>
      </c>
      <c r="AR7" s="116" t="n">
        <f aca="false">AI7*AJ9</f>
        <v>160265</v>
      </c>
    </row>
    <row r="8" customFormat="false" ht="22.9" hidden="false" customHeight="true" outlineLevel="0" collapsed="false">
      <c r="B8" s="110" t="s">
        <v>105</v>
      </c>
      <c r="C8" s="111"/>
      <c r="D8" s="112"/>
      <c r="E8" s="107"/>
      <c r="F8" s="107"/>
      <c r="G8" s="107"/>
      <c r="H8" s="107"/>
      <c r="I8" s="107"/>
      <c r="J8" s="107"/>
      <c r="K8" s="107"/>
      <c r="L8" s="115"/>
      <c r="M8" s="115"/>
      <c r="N8" s="115"/>
      <c r="O8" s="113"/>
      <c r="P8" s="113"/>
      <c r="Q8" s="113"/>
      <c r="R8" s="113"/>
      <c r="S8" s="117" t="n">
        <f aca="false">S7/SM134Units</f>
        <v>0.0075187969924812</v>
      </c>
      <c r="T8" s="113"/>
      <c r="U8" s="113"/>
      <c r="W8" s="117" t="n">
        <f aca="false">W7/SM134Units</f>
        <v>0.541353383458647</v>
      </c>
      <c r="X8" s="113"/>
      <c r="Y8" s="113"/>
      <c r="Z8" s="113"/>
      <c r="AA8" s="117" t="n">
        <f aca="false">AA7/SM134Units</f>
        <v>0.458646616541353</v>
      </c>
      <c r="AB8" s="113"/>
      <c r="AC8" s="113"/>
      <c r="AD8" s="113"/>
      <c r="AE8" s="117" t="n">
        <f aca="false">AE7/SM134Units</f>
        <v>0</v>
      </c>
      <c r="AF8" s="113"/>
      <c r="AG8" s="113"/>
      <c r="AH8" s="113"/>
      <c r="AI8" s="117" t="n">
        <f aca="false">+AA8+W8</f>
        <v>1</v>
      </c>
      <c r="AJ8" s="113"/>
      <c r="AK8" s="113"/>
      <c r="AL8" s="113"/>
      <c r="AN8" s="114"/>
      <c r="AO8" s="113"/>
      <c r="AP8" s="113"/>
      <c r="AQ8" s="115"/>
      <c r="AR8" s="116"/>
    </row>
    <row r="9" customFormat="false" ht="22.9" hidden="false" customHeight="true" outlineLevel="0" collapsed="false">
      <c r="B9" s="110" t="s">
        <v>106</v>
      </c>
      <c r="C9" s="111"/>
      <c r="D9" s="112"/>
      <c r="E9" s="107"/>
      <c r="F9" s="107"/>
      <c r="G9" s="107"/>
      <c r="H9" s="107"/>
      <c r="I9" s="107"/>
      <c r="J9" s="107"/>
      <c r="K9" s="107"/>
      <c r="L9" s="115"/>
      <c r="M9" s="115"/>
      <c r="N9" s="115"/>
      <c r="O9" s="113"/>
      <c r="P9" s="115" t="n">
        <v>1376</v>
      </c>
      <c r="Q9" s="115" t="n">
        <f aca="false">+P9+360</f>
        <v>1736</v>
      </c>
      <c r="R9" s="113"/>
      <c r="S9" s="115"/>
      <c r="T9" s="115" t="n">
        <f aca="false">(186+654)+598+598</f>
        <v>2036</v>
      </c>
      <c r="U9" s="115" t="n">
        <f aca="false">+T9+517+68</f>
        <v>2621</v>
      </c>
      <c r="W9" s="115"/>
      <c r="X9" s="115" t="n">
        <v>1107</v>
      </c>
      <c r="Y9" s="115" t="n">
        <f aca="false">X9</f>
        <v>1107</v>
      </c>
      <c r="Z9" s="113"/>
      <c r="AA9" s="115"/>
      <c r="AB9" s="115" t="n">
        <v>1287</v>
      </c>
      <c r="AC9" s="115" t="n">
        <f aca="false">+AB9+295+13</f>
        <v>1595</v>
      </c>
      <c r="AD9" s="113"/>
      <c r="AE9" s="115"/>
      <c r="AF9" s="115" t="n">
        <v>1550</v>
      </c>
      <c r="AG9" s="115" t="n">
        <f aca="false">AF9</f>
        <v>1550</v>
      </c>
      <c r="AH9" s="115"/>
      <c r="AI9" s="113"/>
      <c r="AJ9" s="115" t="n">
        <f aca="false">ROUND(($AF9*$AE7+AB9*$AA7+X9*$W7+T9*$S7)/$AI$7,0)</f>
        <v>1205</v>
      </c>
      <c r="AK9" s="115" t="n">
        <f aca="false">ROUND((AG9*AE$7+AC9*$AA7+Y9*$W7+U9*$S7)/$AI$7,0)</f>
        <v>1351</v>
      </c>
      <c r="AL9" s="113"/>
      <c r="AN9" s="114"/>
      <c r="AO9" s="113"/>
      <c r="AP9" s="113"/>
      <c r="AQ9" s="113"/>
      <c r="AR9" s="113"/>
    </row>
    <row r="10" customFormat="false" ht="12" hidden="false" customHeight="false" outlineLevel="0" collapsed="false">
      <c r="A10" s="99" t="s">
        <v>107</v>
      </c>
      <c r="B10" s="100" t="s">
        <v>108</v>
      </c>
      <c r="C10" s="118"/>
      <c r="D10" s="119" t="n">
        <f aca="false">L10/$L$90</f>
        <v>0.0234911110716617</v>
      </c>
      <c r="E10" s="120" t="s">
        <v>109</v>
      </c>
      <c r="F10" s="120" t="s">
        <v>109</v>
      </c>
      <c r="G10" s="120" t="s">
        <v>109</v>
      </c>
      <c r="H10" s="120" t="s">
        <v>109</v>
      </c>
      <c r="I10" s="120" t="s">
        <v>109</v>
      </c>
      <c r="J10" s="120" t="s">
        <v>109</v>
      </c>
      <c r="K10" s="120" t="s">
        <v>109</v>
      </c>
      <c r="L10" s="121" t="n">
        <f aca="false">O10*TRUnits</f>
        <v>16673.3</v>
      </c>
      <c r="M10" s="121"/>
      <c r="N10" s="121"/>
      <c r="O10" s="121" t="n">
        <f aca="false">2381.9/2</f>
        <v>1190.95</v>
      </c>
      <c r="P10" s="122" t="n">
        <f aca="false">$O10/P$9</f>
        <v>0.865515988372093</v>
      </c>
      <c r="Q10" s="122" t="n">
        <f aca="false">$O10/Q$9</f>
        <v>0.686031105990783</v>
      </c>
      <c r="R10" s="122"/>
      <c r="S10" s="123" t="n">
        <f aca="false">T10*S$7</f>
        <v>1938.40960755814</v>
      </c>
      <c r="T10" s="123" t="n">
        <f aca="false">T$9*$P10*CMF</f>
        <v>1938.40960755814</v>
      </c>
      <c r="U10" s="43" t="n">
        <f aca="false">+T10/T$9</f>
        <v>0.952067587209303</v>
      </c>
      <c r="V10" s="121"/>
      <c r="W10" s="123" t="n">
        <f aca="false">X10*W$7</f>
        <v>75883.5949709302</v>
      </c>
      <c r="X10" s="123" t="n">
        <f aca="false">X$9*$P10*CMF</f>
        <v>1053.9388190407</v>
      </c>
      <c r="Y10" s="43" t="n">
        <f aca="false">+X10/X$9</f>
        <v>0.952067587209302</v>
      </c>
      <c r="Z10" s="121"/>
      <c r="AA10" s="123" t="n">
        <f aca="false">AB10*AA$7</f>
        <v>74743.9700690407</v>
      </c>
      <c r="AB10" s="123" t="n">
        <f aca="false">AB$9*$P10*CMF</f>
        <v>1225.31098473837</v>
      </c>
      <c r="AC10" s="43" t="n">
        <f aca="false">+AB10/AB$9</f>
        <v>0.952067587209303</v>
      </c>
      <c r="AD10" s="121"/>
      <c r="AE10" s="123" t="n">
        <f aca="false">AF10*AE$7</f>
        <v>0</v>
      </c>
      <c r="AF10" s="123" t="n">
        <f aca="false">AF$9*$P10*CMF</f>
        <v>1475.70476017442</v>
      </c>
      <c r="AG10" s="43" t="n">
        <f aca="false">+AF10/AF$9</f>
        <v>0.952067587209303</v>
      </c>
      <c r="AH10" s="43"/>
      <c r="AI10" s="123" t="n">
        <f aca="false">+AA10+W10+S10+AE10</f>
        <v>152565.974647529</v>
      </c>
      <c r="AJ10" s="123" t="n">
        <f aca="false">AI10/AI$7</f>
        <v>1147.11259133481</v>
      </c>
      <c r="AK10" s="43" t="n">
        <f aca="false">+AJ10/AJ$9</f>
        <v>0.951960656709382</v>
      </c>
      <c r="AL10" s="81"/>
      <c r="AM10" s="124" t="s">
        <v>110</v>
      </c>
      <c r="AN10" s="100" t="s">
        <v>111</v>
      </c>
      <c r="AO10" s="119" t="n">
        <f aca="false">AP10/$AP$49</f>
        <v>0.0125706582143201</v>
      </c>
      <c r="AP10" s="125" t="n">
        <f aca="false">+AI10</f>
        <v>152565.974647529</v>
      </c>
      <c r="AQ10" s="125" t="n">
        <f aca="false">+AP10/AQ$7</f>
        <v>1147.11259133481</v>
      </c>
      <c r="AR10" s="43" t="n">
        <f aca="false">+AP10/AR$7</f>
        <v>0.951960656709382</v>
      </c>
    </row>
    <row r="11" customFormat="false" ht="12" hidden="false" customHeight="false" outlineLevel="0" collapsed="false">
      <c r="A11" s="99" t="s">
        <v>112</v>
      </c>
      <c r="B11" s="100" t="s">
        <v>113</v>
      </c>
      <c r="C11" s="118"/>
      <c r="D11" s="119"/>
      <c r="E11" s="120"/>
      <c r="F11" s="120"/>
      <c r="G11" s="120"/>
      <c r="H11" s="120"/>
      <c r="I11" s="120"/>
      <c r="J11" s="120"/>
      <c r="K11" s="120"/>
      <c r="L11" s="121" t="n">
        <v>0</v>
      </c>
      <c r="M11" s="121"/>
      <c r="N11" s="121"/>
      <c r="O11" s="121" t="n">
        <v>0</v>
      </c>
      <c r="P11" s="122" t="n">
        <f aca="false">$O11/P$9</f>
        <v>0</v>
      </c>
      <c r="Q11" s="122" t="n">
        <f aca="false">$O11/Q$9</f>
        <v>0</v>
      </c>
      <c r="R11" s="122"/>
      <c r="S11" s="126" t="n">
        <f aca="false">T11*S$7</f>
        <v>1068.24858208955</v>
      </c>
      <c r="T11" s="126" t="n">
        <f aca="false">(((68000+9450)/134)+0.15*U$9)*CMF</f>
        <v>1068.24858208955</v>
      </c>
      <c r="U11" s="122" t="n">
        <f aca="false">+T11/T$9</f>
        <v>0.524680050142216</v>
      </c>
      <c r="V11" s="121"/>
      <c r="W11" s="126" t="n">
        <f aca="false">X11*W$7</f>
        <v>58927.5779104478</v>
      </c>
      <c r="X11" s="126" t="n">
        <f aca="false">(((68000+9450)/134)+0.15*Y$9)*CMF</f>
        <v>818.438582089552</v>
      </c>
      <c r="Y11" s="122" t="n">
        <f aca="false">+X11/X$9</f>
        <v>0.73933024579002</v>
      </c>
      <c r="Z11" s="121"/>
      <c r="AA11" s="126" t="n">
        <f aca="false">AB11*AA$7</f>
        <v>54836.4735074627</v>
      </c>
      <c r="AB11" s="126" t="n">
        <f aca="false">(((68000+9450)/134)+0.15*AC$9)*CMF</f>
        <v>898.958582089552</v>
      </c>
      <c r="AC11" s="122" t="n">
        <f aca="false">+AB11/AB$9</f>
        <v>0.698491516775099</v>
      </c>
      <c r="AD11" s="121"/>
      <c r="AE11" s="126" t="n">
        <f aca="false">AF11*AE$7</f>
        <v>0</v>
      </c>
      <c r="AF11" s="126" t="n">
        <f aca="false">(((68000+9450+54000+8000+2000)/134)+0.15*AG$9)*CMF</f>
        <v>1416.90671641791</v>
      </c>
      <c r="AG11" s="122" t="n">
        <f aca="false">+AF11/AF$9</f>
        <v>0.91413336543091</v>
      </c>
      <c r="AH11" s="122"/>
      <c r="AI11" s="126" t="n">
        <f aca="false">+AA11+W11+S11+AE11</f>
        <v>114832.3</v>
      </c>
      <c r="AJ11" s="103" t="n">
        <f aca="false">+AI11/AI$7</f>
        <v>863.400751879699</v>
      </c>
      <c r="AK11" s="122" t="n">
        <f aca="false">+AJ11/AJ$9</f>
        <v>0.716515146788132</v>
      </c>
      <c r="AL11" s="81"/>
      <c r="AM11" s="124" t="s">
        <v>114</v>
      </c>
      <c r="AN11" s="100" t="s">
        <v>115</v>
      </c>
      <c r="AO11" s="119" t="n">
        <f aca="false">AP11/$AP$49</f>
        <v>0.00946159586761862</v>
      </c>
      <c r="AP11" s="125" t="n">
        <f aca="false">+AI11</f>
        <v>114832.3</v>
      </c>
      <c r="AQ11" s="125" t="n">
        <f aca="false">+AP11/AQ$7</f>
        <v>863.400751879699</v>
      </c>
      <c r="AR11" s="122" t="n">
        <f aca="false">+AP11/AR$7</f>
        <v>0.716515146788132</v>
      </c>
    </row>
    <row r="12" customFormat="false" ht="12" hidden="false" customHeight="false" outlineLevel="0" collapsed="false">
      <c r="A12" s="99" t="s">
        <v>116</v>
      </c>
      <c r="B12" s="100" t="s">
        <v>117</v>
      </c>
      <c r="C12" s="118"/>
      <c r="D12" s="119" t="n">
        <f aca="false">L12/$L$90</f>
        <v>0.00259379579824805</v>
      </c>
      <c r="E12" s="120" t="s">
        <v>109</v>
      </c>
      <c r="F12" s="120" t="s">
        <v>109</v>
      </c>
      <c r="G12" s="120" t="s">
        <v>109</v>
      </c>
      <c r="H12" s="120" t="s">
        <v>109</v>
      </c>
      <c r="I12" s="120" t="s">
        <v>109</v>
      </c>
      <c r="J12" s="120" t="s">
        <v>109</v>
      </c>
      <c r="K12" s="120" t="s">
        <v>109</v>
      </c>
      <c r="L12" s="121" t="n">
        <f aca="false">O12*TRUnits</f>
        <v>1841</v>
      </c>
      <c r="M12" s="121"/>
      <c r="N12" s="121"/>
      <c r="O12" s="121" t="n">
        <f aca="false">263/2</f>
        <v>131.5</v>
      </c>
      <c r="P12" s="122" t="n">
        <f aca="false">$O12/P$9</f>
        <v>0.0955668604651163</v>
      </c>
      <c r="Q12" s="122" t="n">
        <f aca="false">$O12/Q$9</f>
        <v>0.0757488479262673</v>
      </c>
      <c r="R12" s="122"/>
      <c r="S12" s="126" t="n">
        <f aca="false">T12*S$7</f>
        <v>513.072</v>
      </c>
      <c r="T12" s="126" t="n">
        <f aca="false">0.42/100*60*T9</f>
        <v>513.072</v>
      </c>
      <c r="U12" s="122" t="n">
        <f aca="false">+T12/T$9</f>
        <v>0.252</v>
      </c>
      <c r="V12" s="121"/>
      <c r="W12" s="126" t="n">
        <f aca="false">X12*W$7</f>
        <v>20085.408</v>
      </c>
      <c r="X12" s="126" t="n">
        <f aca="false">0.42/100*60*X9</f>
        <v>278.964</v>
      </c>
      <c r="Y12" s="122" t="n">
        <f aca="false">+X12/X$9</f>
        <v>0.252</v>
      </c>
      <c r="Z12" s="121"/>
      <c r="AA12" s="126" t="n">
        <f aca="false">AB12*AA$7</f>
        <v>19783.764</v>
      </c>
      <c r="AB12" s="126" t="n">
        <f aca="false">0.42/100*60*AB9</f>
        <v>324.324</v>
      </c>
      <c r="AC12" s="122" t="n">
        <f aca="false">+AB12/AB$9</f>
        <v>0.252</v>
      </c>
      <c r="AD12" s="121"/>
      <c r="AE12" s="126" t="n">
        <f aca="false">AF12*AE$7</f>
        <v>0</v>
      </c>
      <c r="AF12" s="126" t="n">
        <f aca="false">0.42/100*60*AF9</f>
        <v>390.6</v>
      </c>
      <c r="AG12" s="122" t="n">
        <f aca="false">+AF12/AF$9</f>
        <v>0.252</v>
      </c>
      <c r="AH12" s="122"/>
      <c r="AI12" s="126" t="n">
        <f aca="false">+AA12+W12+S12+AE12</f>
        <v>40382.244</v>
      </c>
      <c r="AJ12" s="103" t="n">
        <f aca="false">+AI12/AI$7</f>
        <v>303.625894736842</v>
      </c>
      <c r="AK12" s="122" t="n">
        <f aca="false">+AJ12/AJ$9</f>
        <v>0.251971696877047</v>
      </c>
      <c r="AL12" s="81"/>
      <c r="AM12" s="124" t="s">
        <v>118</v>
      </c>
      <c r="AN12" s="100" t="s">
        <v>119</v>
      </c>
      <c r="AO12" s="119" t="n">
        <f aca="false">AP12/$AP$49</f>
        <v>0</v>
      </c>
      <c r="AP12" s="125" t="n">
        <v>0</v>
      </c>
      <c r="AQ12" s="125" t="n">
        <f aca="false">+AP12/AQ$7</f>
        <v>0</v>
      </c>
      <c r="AR12" s="122" t="n">
        <f aca="false">+AP12/AR$7</f>
        <v>0</v>
      </c>
    </row>
    <row r="13" customFormat="false" ht="12" hidden="false" customHeight="false" outlineLevel="0" collapsed="false">
      <c r="A13" s="99" t="s">
        <v>120</v>
      </c>
      <c r="B13" s="100" t="s">
        <v>121</v>
      </c>
      <c r="C13" s="118"/>
      <c r="D13" s="119" t="n">
        <f aca="false">L13/$L$90</f>
        <v>0.00172590975168597</v>
      </c>
      <c r="E13" s="120"/>
      <c r="F13" s="120"/>
      <c r="G13" s="120"/>
      <c r="H13" s="120"/>
      <c r="I13" s="120"/>
      <c r="J13" s="120"/>
      <c r="K13" s="120"/>
      <c r="L13" s="121" t="n">
        <f aca="false">O13*TRUnits</f>
        <v>1225</v>
      </c>
      <c r="M13" s="121"/>
      <c r="N13" s="121"/>
      <c r="O13" s="121" t="n">
        <f aca="false">175/2</f>
        <v>87.5</v>
      </c>
      <c r="P13" s="122" t="n">
        <f aca="false">$O13/P$9</f>
        <v>0.0635901162790698</v>
      </c>
      <c r="Q13" s="122" t="n">
        <f aca="false">$O13/Q$9</f>
        <v>0.0504032258064516</v>
      </c>
      <c r="R13" s="122"/>
      <c r="S13" s="126" t="n">
        <f aca="false">T13*S$7</f>
        <v>0</v>
      </c>
      <c r="T13" s="126"/>
      <c r="U13" s="122" t="n">
        <f aca="false">+T13/T$9</f>
        <v>0</v>
      </c>
      <c r="V13" s="121"/>
      <c r="W13" s="126" t="n">
        <f aca="false">X13*W$7</f>
        <v>0</v>
      </c>
      <c r="X13" s="126" t="n">
        <v>0</v>
      </c>
      <c r="Y13" s="122" t="n">
        <f aca="false">+X13/X$9</f>
        <v>0</v>
      </c>
      <c r="Z13" s="121"/>
      <c r="AA13" s="126" t="n">
        <f aca="false">AB13*AA$7</f>
        <v>0</v>
      </c>
      <c r="AB13" s="126" t="n">
        <v>0</v>
      </c>
      <c r="AC13" s="122" t="n">
        <f aca="false">+AB13/AB$9</f>
        <v>0</v>
      </c>
      <c r="AD13" s="121"/>
      <c r="AE13" s="126" t="n">
        <f aca="false">AF13*AE$7</f>
        <v>0</v>
      </c>
      <c r="AF13" s="126" t="n">
        <v>0</v>
      </c>
      <c r="AG13" s="122" t="n">
        <f aca="false">+AF13/AF$9</f>
        <v>0</v>
      </c>
      <c r="AH13" s="122"/>
      <c r="AI13" s="126" t="n">
        <f aca="false">+AA13+W13+S13+AE13</f>
        <v>0</v>
      </c>
      <c r="AJ13" s="103" t="n">
        <f aca="false">+AI13/AI$7</f>
        <v>0</v>
      </c>
      <c r="AK13" s="122" t="n">
        <f aca="false">+AJ13/AJ$9</f>
        <v>0</v>
      </c>
      <c r="AL13" s="81"/>
      <c r="AM13" s="124" t="s">
        <v>122</v>
      </c>
      <c r="AN13" s="100" t="s">
        <v>123</v>
      </c>
      <c r="AO13" s="119" t="n">
        <f aca="false">AP13/$AP$49</f>
        <v>0.0158075957381967</v>
      </c>
      <c r="AP13" s="125" t="n">
        <f aca="false">AI13+AI14</f>
        <v>191851.628571429</v>
      </c>
      <c r="AQ13" s="125" t="n">
        <f aca="false">+AP13/AQ$7</f>
        <v>1442.49344790548</v>
      </c>
      <c r="AR13" s="122" t="n">
        <f aca="false">+AP13/AR$7</f>
        <v>1.19708999826181</v>
      </c>
    </row>
    <row r="14" customFormat="false" ht="12" hidden="false" customHeight="false" outlineLevel="0" collapsed="false">
      <c r="A14" s="99" t="s">
        <v>120</v>
      </c>
      <c r="B14" s="100" t="s">
        <v>124</v>
      </c>
      <c r="C14" s="118"/>
      <c r="D14" s="119" t="n">
        <f aca="false">L14/$L$90</f>
        <v>0.0256730836695687</v>
      </c>
      <c r="E14" s="120" t="s">
        <v>109</v>
      </c>
      <c r="F14" s="120" t="s">
        <v>109</v>
      </c>
      <c r="G14" s="120" t="s">
        <v>109</v>
      </c>
      <c r="H14" s="120" t="s">
        <v>109</v>
      </c>
      <c r="I14" s="120" t="s">
        <v>109</v>
      </c>
      <c r="J14" s="120" t="s">
        <v>109</v>
      </c>
      <c r="K14" s="120" t="s">
        <v>109</v>
      </c>
      <c r="L14" s="121" t="n">
        <f aca="false">O14*TRUnits</f>
        <v>18222</v>
      </c>
      <c r="M14" s="121"/>
      <c r="N14" s="121"/>
      <c r="O14" s="121" t="n">
        <f aca="false">(6797+11425)/14</f>
        <v>1301.57142857143</v>
      </c>
      <c r="P14" s="122" t="n">
        <f aca="false">$O14/P$9</f>
        <v>0.945909468438538</v>
      </c>
      <c r="Q14" s="122" t="n">
        <f aca="false">$O14/Q$9</f>
        <v>0.749753127057275</v>
      </c>
      <c r="R14" s="122"/>
      <c r="S14" s="126" t="n">
        <f aca="false">T14*S$7</f>
        <v>1431.72857142857</v>
      </c>
      <c r="T14" s="126" t="n">
        <f aca="false">+$O14*CMF</f>
        <v>1431.72857142857</v>
      </c>
      <c r="U14" s="122" t="n">
        <f aca="false">+T14/T$9</f>
        <v>0.703206567499299</v>
      </c>
      <c r="V14" s="121"/>
      <c r="W14" s="126" t="n">
        <f aca="false">X14*W$7</f>
        <v>103084.457142857</v>
      </c>
      <c r="X14" s="126" t="n">
        <f aca="false">+$O14*CMF</f>
        <v>1431.72857142857</v>
      </c>
      <c r="Y14" s="122" t="n">
        <f aca="false">+X14/X$9</f>
        <v>1.29334107626791</v>
      </c>
      <c r="Z14" s="121"/>
      <c r="AA14" s="126" t="n">
        <f aca="false">AB14*AA$7</f>
        <v>87335.4428571429</v>
      </c>
      <c r="AB14" s="126" t="n">
        <f aca="false">+$O14*CMF</f>
        <v>1431.72857142857</v>
      </c>
      <c r="AC14" s="122" t="n">
        <f aca="false">+AB14/AB$9</f>
        <v>1.11245421245421</v>
      </c>
      <c r="AD14" s="121"/>
      <c r="AE14" s="126" t="n">
        <f aca="false">AF14*AE$7</f>
        <v>0</v>
      </c>
      <c r="AF14" s="126" t="n">
        <f aca="false">+$O14*CMF</f>
        <v>1431.72857142857</v>
      </c>
      <c r="AG14" s="122" t="n">
        <f aca="false">+AF14/AF$9</f>
        <v>0.923695852534562</v>
      </c>
      <c r="AH14" s="122"/>
      <c r="AI14" s="126" t="n">
        <f aca="false">+AA14+W14+S14+AE14</f>
        <v>191851.628571429</v>
      </c>
      <c r="AJ14" s="103" t="n">
        <f aca="false">+AI14/AI$7</f>
        <v>1442.49344790548</v>
      </c>
      <c r="AK14" s="122" t="n">
        <f aca="false">+AJ14/AJ$9</f>
        <v>1.19708999826181</v>
      </c>
      <c r="AL14" s="81"/>
      <c r="AM14" s="124" t="s">
        <v>125</v>
      </c>
      <c r="AN14" s="100" t="s">
        <v>126</v>
      </c>
      <c r="AO14" s="119" t="n">
        <f aca="false">AP14/$AP$49</f>
        <v>0.046640764678214</v>
      </c>
      <c r="AP14" s="125" t="n">
        <f aca="false">+AI16</f>
        <v>566063.733506945</v>
      </c>
      <c r="AQ14" s="125" t="n">
        <f aca="false">+AP14/AQ$7</f>
        <v>4256.1182970447</v>
      </c>
      <c r="AR14" s="122" t="n">
        <f aca="false">+AP14/AR$7</f>
        <v>3.5320483792902</v>
      </c>
    </row>
    <row r="15" customFormat="false" ht="12" hidden="false" customHeight="false" outlineLevel="0" collapsed="false">
      <c r="B15" s="127" t="s">
        <v>127</v>
      </c>
      <c r="C15" s="118"/>
      <c r="E15" s="120"/>
      <c r="F15" s="120"/>
      <c r="G15" s="120"/>
      <c r="H15" s="120"/>
      <c r="I15" s="120"/>
      <c r="J15" s="120"/>
      <c r="K15" s="120"/>
      <c r="L15" s="121"/>
      <c r="M15" s="121"/>
      <c r="N15" s="121"/>
      <c r="O15" s="121"/>
      <c r="P15" s="122"/>
      <c r="Q15" s="122"/>
      <c r="R15" s="122"/>
      <c r="S15" s="126"/>
      <c r="T15" s="126"/>
      <c r="U15" s="122"/>
      <c r="V15" s="121"/>
      <c r="W15" s="126"/>
      <c r="X15" s="126"/>
      <c r="Y15" s="122"/>
      <c r="Z15" s="121"/>
      <c r="AA15" s="126"/>
      <c r="AB15" s="126"/>
      <c r="AC15" s="122"/>
      <c r="AD15" s="121"/>
      <c r="AE15" s="126"/>
      <c r="AF15" s="126"/>
      <c r="AG15" s="122"/>
      <c r="AH15" s="122"/>
      <c r="AI15" s="126"/>
      <c r="AJ15" s="103"/>
      <c r="AK15" s="122"/>
      <c r="AL15" s="81"/>
      <c r="AM15" s="124" t="s">
        <v>128</v>
      </c>
      <c r="AN15" s="100" t="s">
        <v>129</v>
      </c>
      <c r="AO15" s="119" t="n">
        <f aca="false">AP15/$AP$49</f>
        <v>0.0528946831331752</v>
      </c>
      <c r="AP15" s="125" t="n">
        <f aca="false">+AI20+AI21</f>
        <v>641965.5</v>
      </c>
      <c r="AQ15" s="125" t="n">
        <f aca="false">+AP15/AQ$7</f>
        <v>4826.80827067669</v>
      </c>
      <c r="AR15" s="122" t="n">
        <f aca="false">+AP15/AR$7</f>
        <v>4.00565001715908</v>
      </c>
    </row>
    <row r="16" customFormat="false" ht="12" hidden="false" customHeight="false" outlineLevel="0" collapsed="false">
      <c r="A16" s="99" t="s">
        <v>130</v>
      </c>
      <c r="B16" s="99" t="s">
        <v>131</v>
      </c>
      <c r="C16" s="118"/>
      <c r="D16" s="119" t="n">
        <f aca="false">L16/$L$90</f>
        <v>0.0028600790170796</v>
      </c>
      <c r="E16" s="120" t="s">
        <v>109</v>
      </c>
      <c r="F16" s="120" t="s">
        <v>109</v>
      </c>
      <c r="G16" s="120" t="s">
        <v>109</v>
      </c>
      <c r="H16" s="120" t="s">
        <v>109</v>
      </c>
      <c r="I16" s="120" t="s">
        <v>109</v>
      </c>
      <c r="J16" s="120" t="s">
        <v>109</v>
      </c>
      <c r="K16" s="120" t="s">
        <v>109</v>
      </c>
      <c r="L16" s="121" t="n">
        <f aca="false">O16*TRUnits</f>
        <v>2030</v>
      </c>
      <c r="M16" s="121"/>
      <c r="N16" s="121"/>
      <c r="O16" s="121" t="n">
        <f aca="false">290/2</f>
        <v>145</v>
      </c>
      <c r="P16" s="122" t="n">
        <f aca="false">$O16/P$9</f>
        <v>0.105377906976744</v>
      </c>
      <c r="Q16" s="122" t="n">
        <f aca="false">$O16/Q$9</f>
        <v>0.0835253456221198</v>
      </c>
      <c r="R16" s="122"/>
      <c r="S16" s="126" t="n">
        <f aca="false">T16*S$7</f>
        <v>8876.88350694445</v>
      </c>
      <c r="T16" s="126" t="n">
        <f aca="false">5.5*MgrOffFirstFlr*CMF</f>
        <v>8876.88350694445</v>
      </c>
      <c r="U16" s="122" t="n">
        <f aca="false">+T16/T$9</f>
        <v>4.35996242973696</v>
      </c>
      <c r="V16" s="121"/>
      <c r="W16" s="126" t="n">
        <f aca="false">X16*W$7</f>
        <v>248292</v>
      </c>
      <c r="X16" s="126" t="n">
        <f aca="false">5.5*TwoBdrm_First_Flr*CMF</f>
        <v>3448.5</v>
      </c>
      <c r="Y16" s="122" t="n">
        <f aca="false">+X16/X$9</f>
        <v>3.11517615176152</v>
      </c>
      <c r="Z16" s="121"/>
      <c r="AA16" s="126" t="n">
        <f aca="false">AB16*AA$7</f>
        <v>308894.85</v>
      </c>
      <c r="AB16" s="126" t="n">
        <f aca="false">5.5*ThreeBdrm_First_Flr*CMF</f>
        <v>5063.85</v>
      </c>
      <c r="AC16" s="122" t="n">
        <f aca="false">+AB16/AB$9</f>
        <v>3.93461538461539</v>
      </c>
      <c r="AD16" s="121"/>
      <c r="AE16" s="126" t="n">
        <f aca="false">AF16*AE$7</f>
        <v>0</v>
      </c>
      <c r="AF16" s="126" t="n">
        <f aca="false">5.5*1550*CMF</f>
        <v>9377.5</v>
      </c>
      <c r="AG16" s="122" t="n">
        <f aca="false">+AF16/AF$9</f>
        <v>6.05</v>
      </c>
      <c r="AH16" s="122"/>
      <c r="AI16" s="126" t="n">
        <f aca="false">+AA16+W16+S16+AE16</f>
        <v>566063.733506945</v>
      </c>
      <c r="AJ16" s="103" t="n">
        <f aca="false">+AI16/AI$7</f>
        <v>4256.1182970447</v>
      </c>
      <c r="AK16" s="122" t="n">
        <f aca="false">+AJ16/AJ$9</f>
        <v>3.5320483792902</v>
      </c>
      <c r="AL16" s="81"/>
      <c r="AM16" s="124" t="s">
        <v>132</v>
      </c>
      <c r="AN16" s="100" t="s">
        <v>133</v>
      </c>
      <c r="AO16" s="119" t="n">
        <f aca="false">AP16/$AP$49</f>
        <v>0.164527920785891</v>
      </c>
      <c r="AP16" s="125" t="n">
        <f aca="false">SUM(AI24:AI26)+SUM(AI29:AI33)+AI36</f>
        <v>1996821.65909468</v>
      </c>
      <c r="AQ16" s="125" t="n">
        <f aca="false">+AP16/AQ$7</f>
        <v>15013.6966849224</v>
      </c>
      <c r="AR16" s="122" t="n">
        <f aca="false">+AP16/AR$7</f>
        <v>12.4594993235871</v>
      </c>
    </row>
    <row r="17" customFormat="false" ht="12" hidden="false" customHeight="false" outlineLevel="0" collapsed="false">
      <c r="A17" s="99" t="s">
        <v>130</v>
      </c>
      <c r="B17" s="99" t="s">
        <v>134</v>
      </c>
      <c r="C17" s="118"/>
      <c r="D17" s="119" t="n">
        <f aca="false">L17/$L$90</f>
        <v>0.0256913994465254</v>
      </c>
      <c r="E17" s="120" t="s">
        <v>109</v>
      </c>
      <c r="F17" s="120" t="s">
        <v>109</v>
      </c>
      <c r="G17" s="120" t="s">
        <v>109</v>
      </c>
      <c r="H17" s="120" t="s">
        <v>109</v>
      </c>
      <c r="I17" s="120" t="s">
        <v>109</v>
      </c>
      <c r="J17" s="120" t="s">
        <v>109</v>
      </c>
      <c r="K17" s="120" t="s">
        <v>109</v>
      </c>
      <c r="L17" s="121" t="n">
        <f aca="false">O17*TRUnits</f>
        <v>18235</v>
      </c>
      <c r="M17" s="121"/>
      <c r="N17" s="121"/>
      <c r="O17" s="121" t="n">
        <f aca="false">2605/2</f>
        <v>1302.5</v>
      </c>
      <c r="P17" s="122" t="n">
        <f aca="false">$O17/P$9</f>
        <v>0.946584302325581</v>
      </c>
      <c r="Q17" s="122" t="n">
        <f aca="false">$O17/Q$9</f>
        <v>0.75028801843318</v>
      </c>
      <c r="R17" s="122"/>
      <c r="S17" s="126"/>
      <c r="T17" s="126"/>
      <c r="U17" s="122" t="n">
        <f aca="false">+T17/T$9</f>
        <v>0</v>
      </c>
      <c r="V17" s="121"/>
      <c r="W17" s="126"/>
      <c r="X17" s="126"/>
      <c r="Y17" s="122" t="n">
        <f aca="false">+X17/X$9</f>
        <v>0</v>
      </c>
      <c r="Z17" s="121"/>
      <c r="AA17" s="126"/>
      <c r="AB17" s="126"/>
      <c r="AC17" s="122" t="n">
        <f aca="false">+AB17/AB$9</f>
        <v>0</v>
      </c>
      <c r="AD17" s="121"/>
      <c r="AE17" s="126"/>
      <c r="AF17" s="126"/>
      <c r="AG17" s="122" t="n">
        <f aca="false">+AF17/AF$9</f>
        <v>0</v>
      </c>
      <c r="AH17" s="122"/>
      <c r="AI17" s="126" t="n">
        <f aca="false">+AA17+W17+S17+AE17</f>
        <v>0</v>
      </c>
      <c r="AJ17" s="103" t="n">
        <f aca="false">+AI17/AI$7</f>
        <v>0</v>
      </c>
      <c r="AK17" s="122" t="n">
        <f aca="false">+AJ17/AJ$9</f>
        <v>0</v>
      </c>
      <c r="AL17" s="81"/>
      <c r="AM17" s="124" t="s">
        <v>135</v>
      </c>
      <c r="AN17" s="100" t="s">
        <v>136</v>
      </c>
      <c r="AO17" s="119" t="n">
        <f aca="false">AP17/$AP$49</f>
        <v>0.00869338602935105</v>
      </c>
      <c r="AP17" s="125" t="n">
        <f aca="false">AI41+AI42</f>
        <v>105508.788</v>
      </c>
      <c r="AQ17" s="125" t="n">
        <f aca="false">+AP17/AQ$7</f>
        <v>793.299157894737</v>
      </c>
      <c r="AR17" s="122" t="n">
        <f aca="false">+AP17/AR$7</f>
        <v>0.658339550120114</v>
      </c>
    </row>
    <row r="18" customFormat="false" ht="12" hidden="false" customHeight="false" outlineLevel="0" collapsed="false">
      <c r="A18" s="99" t="s">
        <v>130</v>
      </c>
      <c r="B18" s="99" t="s">
        <v>137</v>
      </c>
      <c r="C18" s="118"/>
      <c r="D18" s="119" t="n">
        <f aca="false">L18/$L$90</f>
        <v>0.0742437063468112</v>
      </c>
      <c r="E18" s="120" t="s">
        <v>109</v>
      </c>
      <c r="F18" s="120" t="s">
        <v>109</v>
      </c>
      <c r="G18" s="120" t="s">
        <v>109</v>
      </c>
      <c r="H18" s="120" t="s">
        <v>109</v>
      </c>
      <c r="I18" s="120" t="s">
        <v>109</v>
      </c>
      <c r="J18" s="120" t="s">
        <v>109</v>
      </c>
      <c r="K18" s="120" t="s">
        <v>109</v>
      </c>
      <c r="L18" s="121" t="n">
        <f aca="false">O18*TRUnits</f>
        <v>52696</v>
      </c>
      <c r="M18" s="121"/>
      <c r="N18" s="121"/>
      <c r="O18" s="121" t="n">
        <f aca="false">7528/2</f>
        <v>3764</v>
      </c>
      <c r="P18" s="122" t="n">
        <f aca="false">$O18/P$9</f>
        <v>2.73546511627907</v>
      </c>
      <c r="Q18" s="122" t="n">
        <f aca="false">$O18/Q$9</f>
        <v>2.16820276497696</v>
      </c>
      <c r="R18" s="122"/>
      <c r="S18" s="126"/>
      <c r="T18" s="126"/>
      <c r="U18" s="122" t="n">
        <f aca="false">+T18/T$9</f>
        <v>0</v>
      </c>
      <c r="V18" s="121"/>
      <c r="W18" s="126"/>
      <c r="X18" s="126"/>
      <c r="Y18" s="122" t="n">
        <f aca="false">+X18/X$9</f>
        <v>0</v>
      </c>
      <c r="Z18" s="121"/>
      <c r="AA18" s="126"/>
      <c r="AB18" s="126"/>
      <c r="AC18" s="122" t="n">
        <f aca="false">+AB18/AB$9</f>
        <v>0</v>
      </c>
      <c r="AD18" s="121"/>
      <c r="AE18" s="126"/>
      <c r="AF18" s="126"/>
      <c r="AG18" s="122" t="n">
        <f aca="false">+AF18/AF$9</f>
        <v>0</v>
      </c>
      <c r="AH18" s="122"/>
      <c r="AI18" s="126" t="n">
        <f aca="false">+AA18+W18+S18+AE18</f>
        <v>0</v>
      </c>
      <c r="AJ18" s="103" t="n">
        <f aca="false">+AI18/AI$7</f>
        <v>0</v>
      </c>
      <c r="AK18" s="122" t="n">
        <f aca="false">+AJ18/AJ$9</f>
        <v>0</v>
      </c>
      <c r="AL18" s="81"/>
      <c r="AM18" s="124" t="s">
        <v>138</v>
      </c>
      <c r="AN18" s="100" t="s">
        <v>139</v>
      </c>
      <c r="AO18" s="119" t="n">
        <f aca="false">AP18/$AP$49</f>
        <v>0.0179120928583914</v>
      </c>
      <c r="AP18" s="125" t="n">
        <f aca="false">AI27+AI34</f>
        <v>217393.223037791</v>
      </c>
      <c r="AQ18" s="125" t="n">
        <f aca="false">+AP18/AQ$7</f>
        <v>1634.53551156234</v>
      </c>
      <c r="AR18" s="122" t="n">
        <f aca="false">+AP18/AR$7</f>
        <v>1.35646100544592</v>
      </c>
    </row>
    <row r="19" customFormat="false" ht="12" hidden="false" customHeight="false" outlineLevel="0" collapsed="false">
      <c r="B19" s="127" t="s">
        <v>140</v>
      </c>
      <c r="C19" s="118"/>
      <c r="E19" s="120"/>
      <c r="F19" s="120"/>
      <c r="G19" s="120"/>
      <c r="H19" s="120"/>
      <c r="I19" s="120"/>
      <c r="J19" s="120"/>
      <c r="K19" s="120"/>
      <c r="L19" s="121" t="n">
        <f aca="false">O19*TRUnits</f>
        <v>0</v>
      </c>
      <c r="M19" s="121"/>
      <c r="N19" s="121"/>
      <c r="O19" s="121"/>
      <c r="P19" s="122" t="n">
        <f aca="false">O19/1376</f>
        <v>0</v>
      </c>
      <c r="Q19" s="122"/>
      <c r="R19" s="122"/>
      <c r="S19" s="126"/>
      <c r="T19" s="126"/>
      <c r="U19" s="122"/>
      <c r="V19" s="121"/>
      <c r="W19" s="126"/>
      <c r="X19" s="126"/>
      <c r="Y19" s="122"/>
      <c r="Z19" s="121"/>
      <c r="AA19" s="126"/>
      <c r="AB19" s="126"/>
      <c r="AC19" s="122"/>
      <c r="AD19" s="121"/>
      <c r="AE19" s="126"/>
      <c r="AF19" s="126"/>
      <c r="AG19" s="122"/>
      <c r="AH19" s="122"/>
      <c r="AI19" s="126"/>
      <c r="AJ19" s="103"/>
      <c r="AK19" s="122"/>
      <c r="AL19" s="81"/>
      <c r="AM19" s="124" t="s">
        <v>141</v>
      </c>
      <c r="AN19" s="100" t="s">
        <v>142</v>
      </c>
      <c r="AO19" s="119" t="n">
        <f aca="false">AP19/$AP$49</f>
        <v>0.00725618925753208</v>
      </c>
      <c r="AP19" s="125" t="n">
        <f aca="false">+AI35</f>
        <v>88066</v>
      </c>
      <c r="AQ19" s="125" t="n">
        <f aca="false">+AP19/AQ$7</f>
        <v>662.15037593985</v>
      </c>
      <c r="AR19" s="122" t="n">
        <f aca="false">+AP19/AR$7</f>
        <v>0.549502386672074</v>
      </c>
    </row>
    <row r="20" customFormat="false" ht="12" hidden="false" customHeight="false" outlineLevel="0" collapsed="false">
      <c r="A20" s="99" t="s">
        <v>143</v>
      </c>
      <c r="B20" s="99" t="s">
        <v>144</v>
      </c>
      <c r="C20" s="118" t="n">
        <v>0.333</v>
      </c>
      <c r="D20" s="119" t="n">
        <f aca="false">L20/$L$90</f>
        <v>0.0450018639825318</v>
      </c>
      <c r="E20" s="120" t="s">
        <v>109</v>
      </c>
      <c r="F20" s="120" t="s">
        <v>109</v>
      </c>
      <c r="G20" s="120" t="s">
        <v>109</v>
      </c>
      <c r="H20" s="120" t="s">
        <v>109</v>
      </c>
      <c r="I20" s="120" t="s">
        <v>109</v>
      </c>
      <c r="J20" s="120" t="s">
        <v>109</v>
      </c>
      <c r="K20" s="120" t="s">
        <v>109</v>
      </c>
      <c r="L20" s="121" t="n">
        <f aca="false">O20*TRUnits</f>
        <v>31941</v>
      </c>
      <c r="M20" s="121"/>
      <c r="N20" s="121"/>
      <c r="O20" s="121" t="n">
        <f aca="false">4563/2</f>
        <v>2281.5</v>
      </c>
      <c r="P20" s="122" t="n">
        <f aca="false">$O20/P$9</f>
        <v>1.65806686046512</v>
      </c>
      <c r="Q20" s="122" t="n">
        <f aca="false">$O20/Q$9</f>
        <v>1.31422811059908</v>
      </c>
      <c r="R20" s="122"/>
      <c r="S20" s="126" t="n">
        <f aca="false">T20*S$7</f>
        <v>2232.45</v>
      </c>
      <c r="T20" s="126" t="n">
        <f aca="false">(13500+300-1500)/2*0.33*CMF</f>
        <v>2232.45</v>
      </c>
      <c r="U20" s="122" t="n">
        <f aca="false">+T20/T$9</f>
        <v>1.09648821218075</v>
      </c>
      <c r="V20" s="121"/>
      <c r="W20" s="126" t="n">
        <f aca="false">X20*W$7</f>
        <v>165963.6</v>
      </c>
      <c r="X20" s="126" t="n">
        <f aca="false">(13500+300-1100)/2*0.33*CMF</f>
        <v>2305.05</v>
      </c>
      <c r="Y20" s="122" t="n">
        <f aca="false">+X20/X$9</f>
        <v>2.08224932249323</v>
      </c>
      <c r="Z20" s="121"/>
      <c r="AA20" s="126" t="n">
        <f aca="false">AB20*AA$7</f>
        <v>152786.7</v>
      </c>
      <c r="AB20" s="126" t="n">
        <f aca="false">(13500+300)/2*0.33*CMF</f>
        <v>2504.7</v>
      </c>
      <c r="AC20" s="122" t="n">
        <f aca="false">+AB20/AB$9</f>
        <v>1.94615384615385</v>
      </c>
      <c r="AD20" s="121"/>
      <c r="AE20" s="126" t="n">
        <f aca="false">AF20*AE$7</f>
        <v>0</v>
      </c>
      <c r="AF20" s="126" t="n">
        <f aca="false">(13500+300)/2*0.33*CMF</f>
        <v>2504.7</v>
      </c>
      <c r="AG20" s="122" t="n">
        <f aca="false">+AF20/AF$9</f>
        <v>1.61593548387097</v>
      </c>
      <c r="AH20" s="122"/>
      <c r="AI20" s="126" t="n">
        <f aca="false">+AA20+W20+S20+AE20</f>
        <v>320982.75</v>
      </c>
      <c r="AJ20" s="103" t="n">
        <f aca="false">+AI20/AI$7</f>
        <v>2413.40413533835</v>
      </c>
      <c r="AK20" s="122" t="n">
        <f aca="false">+AJ20/AJ$9</f>
        <v>2.00282500857954</v>
      </c>
      <c r="AL20" s="81"/>
      <c r="AM20" s="124" t="s">
        <v>145</v>
      </c>
      <c r="AN20" s="100" t="s">
        <v>146</v>
      </c>
      <c r="AO20" s="119" t="n">
        <f aca="false">AP20/$AP$49</f>
        <v>0.0107446344182991</v>
      </c>
      <c r="AP20" s="125" t="n">
        <f aca="false">+AI64</f>
        <v>130404.12</v>
      </c>
      <c r="AQ20" s="125" t="n">
        <f aca="false">+AP20/AQ$7</f>
        <v>980.482105263158</v>
      </c>
      <c r="AR20" s="122" t="n">
        <f aca="false">+AP20/AR$7</f>
        <v>0.813678095654073</v>
      </c>
    </row>
    <row r="21" customFormat="false" ht="12.75" hidden="false" customHeight="false" outlineLevel="0" collapsed="false">
      <c r="A21" s="99" t="s">
        <v>147</v>
      </c>
      <c r="B21" s="99" t="s">
        <v>148</v>
      </c>
      <c r="C21" s="118" t="n">
        <v>0.333</v>
      </c>
      <c r="D21" s="119" t="n">
        <f aca="false">L21/$L$90</f>
        <v>0.0450018639825318</v>
      </c>
      <c r="E21" s="120" t="s">
        <v>109</v>
      </c>
      <c r="F21" s="120" t="s">
        <v>109</v>
      </c>
      <c r="G21" s="120" t="s">
        <v>109</v>
      </c>
      <c r="H21" s="120" t="s">
        <v>109</v>
      </c>
      <c r="I21" s="120" t="s">
        <v>109</v>
      </c>
      <c r="J21" s="120" t="s">
        <v>109</v>
      </c>
      <c r="K21" s="120" t="s">
        <v>109</v>
      </c>
      <c r="L21" s="121" t="n">
        <f aca="false">O21*TRUnits</f>
        <v>31941</v>
      </c>
      <c r="M21" s="121"/>
      <c r="N21" s="121"/>
      <c r="O21" s="121" t="n">
        <f aca="false">4563/2</f>
        <v>2281.5</v>
      </c>
      <c r="P21" s="122" t="n">
        <f aca="false">$O21/P$9</f>
        <v>1.65806686046512</v>
      </c>
      <c r="Q21" s="122" t="n">
        <f aca="false">$O21/Q$9</f>
        <v>1.31422811059908</v>
      </c>
      <c r="R21" s="122"/>
      <c r="S21" s="126" t="n">
        <f aca="false">T21*S$7</f>
        <v>2232.45</v>
      </c>
      <c r="T21" s="126" t="n">
        <f aca="false">(13500+300-1500)/2*0.33*CMF</f>
        <v>2232.45</v>
      </c>
      <c r="U21" s="122" t="n">
        <f aca="false">+T21/T$9</f>
        <v>1.09648821218075</v>
      </c>
      <c r="V21" s="121"/>
      <c r="W21" s="126" t="n">
        <f aca="false">X21*W$7</f>
        <v>165963.6</v>
      </c>
      <c r="X21" s="126" t="n">
        <f aca="false">(13500+300-1100)/2*0.33*CMF</f>
        <v>2305.05</v>
      </c>
      <c r="Y21" s="122" t="n">
        <f aca="false">+X21/X$9</f>
        <v>2.08224932249323</v>
      </c>
      <c r="Z21" s="121"/>
      <c r="AA21" s="126" t="n">
        <f aca="false">AB21*AA$7</f>
        <v>152786.7</v>
      </c>
      <c r="AB21" s="126" t="n">
        <f aca="false">(13500+300)/2*0.33*CMF</f>
        <v>2504.7</v>
      </c>
      <c r="AC21" s="122" t="n">
        <f aca="false">+AB21/AB$9</f>
        <v>1.94615384615385</v>
      </c>
      <c r="AD21" s="121"/>
      <c r="AE21" s="126" t="n">
        <f aca="false">AF21*AE$7</f>
        <v>0</v>
      </c>
      <c r="AF21" s="126" t="n">
        <f aca="false">(13500+300)/2*0.33*CMF</f>
        <v>2504.7</v>
      </c>
      <c r="AG21" s="122" t="n">
        <f aca="false">+AF21/AF$9</f>
        <v>1.61593548387097</v>
      </c>
      <c r="AH21" s="122"/>
      <c r="AI21" s="126" t="n">
        <f aca="false">+AA21+W21+S21+AE21</f>
        <v>320982.75</v>
      </c>
      <c r="AJ21" s="103" t="n">
        <f aca="false">+AI21/AI$7</f>
        <v>2413.40413533835</v>
      </c>
      <c r="AK21" s="122" t="n">
        <f aca="false">+AJ21/AJ$9</f>
        <v>2.00282500857954</v>
      </c>
      <c r="AL21" s="81"/>
      <c r="AM21" s="124" t="s">
        <v>149</v>
      </c>
      <c r="AN21" s="128" t="s">
        <v>150</v>
      </c>
      <c r="AO21" s="119" t="n">
        <f aca="false">AP21/$AP$49</f>
        <v>0.0205204087765406</v>
      </c>
      <c r="AP21" s="125" t="n">
        <f aca="false">AI44+AI45</f>
        <v>249049.501766917</v>
      </c>
      <c r="AQ21" s="125" t="n">
        <f aca="false">+AP21/AQ$7</f>
        <v>1872.55264486404</v>
      </c>
      <c r="AR21" s="122" t="n">
        <f aca="false">+AP21/AR$7</f>
        <v>1.55398559739754</v>
      </c>
    </row>
    <row r="22" customFormat="false" ht="12.75" hidden="false" customHeight="false" outlineLevel="0" collapsed="false">
      <c r="A22" s="99" t="s">
        <v>147</v>
      </c>
      <c r="B22" s="99" t="s">
        <v>151</v>
      </c>
      <c r="C22" s="118" t="n">
        <v>0.333</v>
      </c>
      <c r="D22" s="119" t="n">
        <f aca="false">L22/$L$90</f>
        <v>0.0450018639825318</v>
      </c>
      <c r="E22" s="120" t="s">
        <v>109</v>
      </c>
      <c r="F22" s="120" t="s">
        <v>109</v>
      </c>
      <c r="G22" s="129"/>
      <c r="H22" s="120" t="s">
        <v>109</v>
      </c>
      <c r="I22" s="120" t="s">
        <v>109</v>
      </c>
      <c r="J22" s="129"/>
      <c r="K22" s="130" t="s">
        <v>109</v>
      </c>
      <c r="L22" s="121" t="n">
        <f aca="false">O22*TRUnits</f>
        <v>31941</v>
      </c>
      <c r="M22" s="121"/>
      <c r="N22" s="121"/>
      <c r="O22" s="121" t="n">
        <f aca="false">4563/2</f>
        <v>2281.5</v>
      </c>
      <c r="P22" s="122" t="n">
        <f aca="false">$O22/P$9</f>
        <v>1.65806686046512</v>
      </c>
      <c r="Q22" s="122" t="n">
        <f aca="false">$O22/Q$9</f>
        <v>1.31422811059908</v>
      </c>
      <c r="R22" s="122"/>
      <c r="S22" s="126" t="n">
        <f aca="false">T22*S$7</f>
        <v>2232.45</v>
      </c>
      <c r="T22" s="126" t="n">
        <f aca="false">(13500+300-1500)/2*0.33*CMF</f>
        <v>2232.45</v>
      </c>
      <c r="U22" s="122" t="n">
        <f aca="false">+T22/T$9</f>
        <v>1.09648821218075</v>
      </c>
      <c r="V22" s="121"/>
      <c r="W22" s="126" t="n">
        <f aca="false">X22*W$7</f>
        <v>165963.6</v>
      </c>
      <c r="X22" s="126" t="n">
        <f aca="false">(13500+300-1100)/2*0.33*CMF</f>
        <v>2305.05</v>
      </c>
      <c r="Y22" s="122" t="n">
        <f aca="false">+X22/X$9</f>
        <v>2.08224932249323</v>
      </c>
      <c r="Z22" s="121"/>
      <c r="AA22" s="126" t="n">
        <f aca="false">AB22*AA$7</f>
        <v>152786.7</v>
      </c>
      <c r="AB22" s="126" t="n">
        <f aca="false">(13500+300)/2*0.33*CMF</f>
        <v>2504.7</v>
      </c>
      <c r="AC22" s="122" t="n">
        <f aca="false">+AB22/AB$9</f>
        <v>1.94615384615385</v>
      </c>
      <c r="AD22" s="121"/>
      <c r="AE22" s="126" t="n">
        <f aca="false">AF22*AE$7</f>
        <v>0</v>
      </c>
      <c r="AF22" s="126" t="n">
        <f aca="false">(13500+300)/2*0.33*CMF</f>
        <v>2504.7</v>
      </c>
      <c r="AG22" s="122" t="n">
        <f aca="false">+AF22/AF$9</f>
        <v>1.61593548387097</v>
      </c>
      <c r="AH22" s="122"/>
      <c r="AI22" s="126" t="n">
        <f aca="false">+AA22+W22+S22+AE22</f>
        <v>320982.75</v>
      </c>
      <c r="AJ22" s="103" t="n">
        <f aca="false">+AI22/AI$7</f>
        <v>2413.40413533835</v>
      </c>
      <c r="AK22" s="122" t="n">
        <f aca="false">+AJ22/AJ$9</f>
        <v>2.00282500857954</v>
      </c>
      <c r="AL22" s="81"/>
      <c r="AM22" s="124" t="s">
        <v>152</v>
      </c>
      <c r="AN22" s="100" t="s">
        <v>153</v>
      </c>
      <c r="AO22" s="119" t="n">
        <f aca="false">AP22/$AP$49</f>
        <v>0.0169929502266243</v>
      </c>
      <c r="AP22" s="125" t="n">
        <f aca="false">AI51</f>
        <v>206237.889</v>
      </c>
      <c r="AQ22" s="125" t="n">
        <f aca="false">+AP22/AQ$7</f>
        <v>1550.66081954887</v>
      </c>
      <c r="AR22" s="122" t="n">
        <f aca="false">+AP22/AR$7</f>
        <v>1.28685545190778</v>
      </c>
    </row>
    <row r="23" customFormat="false" ht="12" hidden="false" customHeight="false" outlineLevel="0" collapsed="false">
      <c r="B23" s="127" t="s">
        <v>154</v>
      </c>
      <c r="C23" s="118"/>
      <c r="E23" s="120"/>
      <c r="F23" s="120"/>
      <c r="G23" s="120"/>
      <c r="H23" s="120"/>
      <c r="I23" s="120"/>
      <c r="J23" s="120"/>
      <c r="K23" s="120"/>
      <c r="L23" s="121"/>
      <c r="M23" s="121"/>
      <c r="N23" s="121"/>
      <c r="O23" s="121"/>
      <c r="P23" s="122" t="n">
        <f aca="false">O23/1376</f>
        <v>0</v>
      </c>
      <c r="Q23" s="122"/>
      <c r="R23" s="122"/>
      <c r="S23" s="126"/>
      <c r="T23" s="126"/>
      <c r="U23" s="122"/>
      <c r="V23" s="121"/>
      <c r="W23" s="126"/>
      <c r="X23" s="126"/>
      <c r="Y23" s="122"/>
      <c r="Z23" s="121"/>
      <c r="AA23" s="126"/>
      <c r="AB23" s="126"/>
      <c r="AC23" s="122"/>
      <c r="AD23" s="121"/>
      <c r="AE23" s="126"/>
      <c r="AF23" s="126"/>
      <c r="AG23" s="122"/>
      <c r="AH23" s="122"/>
      <c r="AI23" s="126"/>
      <c r="AJ23" s="103"/>
      <c r="AK23" s="122"/>
      <c r="AL23" s="81"/>
      <c r="AM23" s="124" t="s">
        <v>155</v>
      </c>
      <c r="AN23" s="100" t="s">
        <v>156</v>
      </c>
      <c r="AO23" s="119" t="n">
        <f aca="false">AP23/$AP$49</f>
        <v>0.0169929502266243</v>
      </c>
      <c r="AP23" s="125" t="n">
        <f aca="false">AI52</f>
        <v>206237.889</v>
      </c>
      <c r="AQ23" s="125" t="n">
        <f aca="false">+AP23/AQ$7</f>
        <v>1550.66081954887</v>
      </c>
      <c r="AR23" s="122" t="n">
        <f aca="false">+AP23/AR$7</f>
        <v>1.28685545190778</v>
      </c>
    </row>
    <row r="24" customFormat="false" ht="12" hidden="false" customHeight="false" outlineLevel="0" collapsed="false">
      <c r="A24" s="99" t="s">
        <v>157</v>
      </c>
      <c r="B24" s="99" t="s">
        <v>158</v>
      </c>
      <c r="C24" s="118" t="n">
        <v>0.15</v>
      </c>
      <c r="D24" s="119" t="n">
        <f aca="false">L24/$L$90</f>
        <v>0.014349706792589</v>
      </c>
      <c r="E24" s="120" t="s">
        <v>109</v>
      </c>
      <c r="F24" s="120" t="s">
        <v>109</v>
      </c>
      <c r="G24" s="120" t="s">
        <v>109</v>
      </c>
      <c r="H24" s="120" t="s">
        <v>109</v>
      </c>
      <c r="I24" s="120" t="s">
        <v>109</v>
      </c>
      <c r="J24" s="120" t="s">
        <v>109</v>
      </c>
      <c r="K24" s="120" t="s">
        <v>109</v>
      </c>
      <c r="L24" s="121" t="n">
        <f aca="false">O24*TRUnits</f>
        <v>10185</v>
      </c>
      <c r="M24" s="121"/>
      <c r="N24" s="121"/>
      <c r="O24" s="121" t="n">
        <f aca="false">1455/2</f>
        <v>727.5</v>
      </c>
      <c r="P24" s="122" t="n">
        <f aca="false">$O24/P$9</f>
        <v>0.528706395348837</v>
      </c>
      <c r="Q24" s="122" t="n">
        <f aca="false">$O24/Q$9</f>
        <v>0.419066820276498</v>
      </c>
      <c r="R24" s="122"/>
      <c r="S24" s="126" t="n">
        <f aca="false">T24*S$7</f>
        <v>592.045421511628</v>
      </c>
      <c r="T24" s="126" t="n">
        <f aca="false">T$9*$P24*CMF*0.5</f>
        <v>592.045421511628</v>
      </c>
      <c r="U24" s="122" t="n">
        <f aca="false">+T24/T$9</f>
        <v>0.290788517441861</v>
      </c>
      <c r="V24" s="121"/>
      <c r="W24" s="126" t="n">
        <f aca="false">X24*W$7</f>
        <v>23177.007994186</v>
      </c>
      <c r="X24" s="126" t="n">
        <f aca="false">X$9*$P24*CMF*0.5</f>
        <v>321.90288880814</v>
      </c>
      <c r="Y24" s="122" t="n">
        <f aca="false">+X24/X$9</f>
        <v>0.29078851744186</v>
      </c>
      <c r="Z24" s="121"/>
      <c r="AA24" s="126" t="n">
        <f aca="false">AB24*AA$7</f>
        <v>22828.9341388081</v>
      </c>
      <c r="AB24" s="126" t="n">
        <f aca="false">AB$9*$P24*CMF*0.5</f>
        <v>374.244821947674</v>
      </c>
      <c r="AC24" s="122" t="n">
        <f aca="false">+AB24/AB$9</f>
        <v>0.29078851744186</v>
      </c>
      <c r="AD24" s="121"/>
      <c r="AE24" s="126" t="n">
        <f aca="false">AF24*AE$7</f>
        <v>0</v>
      </c>
      <c r="AF24" s="126" t="n">
        <f aca="false">AF$9*$P24*CMF</f>
        <v>901.444404069768</v>
      </c>
      <c r="AG24" s="122" t="n">
        <f aca="false">+AF24/AF$9</f>
        <v>0.581577034883721</v>
      </c>
      <c r="AH24" s="122"/>
      <c r="AI24" s="126" t="n">
        <f aca="false">+AA24+W24+S24+AE24</f>
        <v>46597.9875545058</v>
      </c>
      <c r="AJ24" s="103" t="n">
        <f aca="false">+AI24/AI$7</f>
        <v>350.360808680495</v>
      </c>
      <c r="AK24" s="122" t="n">
        <f aca="false">+AJ24/AJ$9</f>
        <v>0.290755857826137</v>
      </c>
      <c r="AL24" s="81"/>
      <c r="AM24" s="124" t="s">
        <v>159</v>
      </c>
      <c r="AN24" s="100" t="s">
        <v>160</v>
      </c>
      <c r="AO24" s="119" t="n">
        <f aca="false">AP24/$AP$49</f>
        <v>0.012326852558408</v>
      </c>
      <c r="AP24" s="131" t="n">
        <f aca="false">AI53</f>
        <v>149606.985</v>
      </c>
      <c r="AQ24" s="125" t="n">
        <f aca="false">+AP24/AQ$7</f>
        <v>1124.86454887218</v>
      </c>
      <c r="AR24" s="122" t="n">
        <f aca="false">+AP24/AR$7</f>
        <v>0.93349755093127</v>
      </c>
    </row>
    <row r="25" customFormat="false" ht="12" hidden="false" customHeight="false" outlineLevel="0" collapsed="false">
      <c r="A25" s="99" t="s">
        <v>157</v>
      </c>
      <c r="B25" s="99" t="s">
        <v>161</v>
      </c>
      <c r="C25" s="118" t="n">
        <v>0.25</v>
      </c>
      <c r="D25" s="119" t="n">
        <f aca="false">L25/$L$90</f>
        <v>0.0239161779876484</v>
      </c>
      <c r="E25" s="120" t="s">
        <v>109</v>
      </c>
      <c r="F25" s="120" t="s">
        <v>109</v>
      </c>
      <c r="G25" s="120" t="s">
        <v>109</v>
      </c>
      <c r="H25" s="120" t="s">
        <v>109</v>
      </c>
      <c r="I25" s="120" t="s">
        <v>109</v>
      </c>
      <c r="J25" s="120" t="s">
        <v>109</v>
      </c>
      <c r="K25" s="120" t="s">
        <v>109</v>
      </c>
      <c r="L25" s="121" t="n">
        <f aca="false">O25*TRUnits</f>
        <v>16975</v>
      </c>
      <c r="M25" s="121"/>
      <c r="N25" s="121"/>
      <c r="O25" s="121" t="n">
        <f aca="false">2425/2</f>
        <v>1212.5</v>
      </c>
      <c r="P25" s="122" t="n">
        <f aca="false">$O25/P$9</f>
        <v>0.881177325581395</v>
      </c>
      <c r="Q25" s="122" t="n">
        <f aca="false">$O25/Q$9</f>
        <v>0.69844470046083</v>
      </c>
      <c r="R25" s="122"/>
      <c r="S25" s="126" t="n">
        <f aca="false">T25*S$7</f>
        <v>986.742369186047</v>
      </c>
      <c r="T25" s="126" t="n">
        <f aca="false">T$9*$P25*CMF*0.5</f>
        <v>986.742369186047</v>
      </c>
      <c r="U25" s="122" t="n">
        <f aca="false">+T25/T$9</f>
        <v>0.484647529069768</v>
      </c>
      <c r="V25" s="121"/>
      <c r="W25" s="126" t="n">
        <f aca="false">X25*W$7</f>
        <v>38628.3466569768</v>
      </c>
      <c r="X25" s="126" t="n">
        <f aca="false">X$9*$P25*CMF*0.5</f>
        <v>536.504814680233</v>
      </c>
      <c r="Y25" s="122" t="n">
        <f aca="false">+X25/X$9</f>
        <v>0.484647529069768</v>
      </c>
      <c r="Z25" s="121"/>
      <c r="AA25" s="126" t="n">
        <f aca="false">AB25*AA$7</f>
        <v>38048.2235646802</v>
      </c>
      <c r="AB25" s="126" t="n">
        <f aca="false">AB$9*$P25*CMF*0.5</f>
        <v>623.741369912791</v>
      </c>
      <c r="AC25" s="122" t="n">
        <f aca="false">+AB25/AB$9</f>
        <v>0.484647529069768</v>
      </c>
      <c r="AD25" s="121"/>
      <c r="AE25" s="126" t="n">
        <f aca="false">AF25*AE$7</f>
        <v>0</v>
      </c>
      <c r="AF25" s="126" t="n">
        <f aca="false">AF$9*$P25*CMF</f>
        <v>1502.40734011628</v>
      </c>
      <c r="AG25" s="122" t="n">
        <f aca="false">+AF25/AF$9</f>
        <v>0.969295058139535</v>
      </c>
      <c r="AH25" s="122"/>
      <c r="AI25" s="126" t="n">
        <f aca="false">+AA25+W25+S25+AE25</f>
        <v>77663.312590843</v>
      </c>
      <c r="AJ25" s="103" t="n">
        <f aca="false">+AI25/AI$7</f>
        <v>583.934681134158</v>
      </c>
      <c r="AK25" s="122" t="n">
        <f aca="false">+AJ25/AJ$9</f>
        <v>0.484593096376895</v>
      </c>
      <c r="AL25" s="81"/>
      <c r="AM25" s="124" t="s">
        <v>162</v>
      </c>
      <c r="AN25" s="100" t="s">
        <v>163</v>
      </c>
      <c r="AO25" s="100" t="s">
        <v>164</v>
      </c>
      <c r="AP25" s="125"/>
      <c r="AQ25" s="125" t="n">
        <f aca="false">+AP25/AQ$7</f>
        <v>0</v>
      </c>
      <c r="AR25" s="122" t="n">
        <f aca="false">+AP25/AR$7</f>
        <v>0</v>
      </c>
    </row>
    <row r="26" customFormat="false" ht="12" hidden="false" customHeight="false" outlineLevel="0" collapsed="false">
      <c r="A26" s="99" t="s">
        <v>157</v>
      </c>
      <c r="B26" s="99" t="s">
        <v>165</v>
      </c>
      <c r="C26" s="118" t="n">
        <v>0.25</v>
      </c>
      <c r="D26" s="119" t="n">
        <f aca="false">L26/$L$90</f>
        <v>0.0239161779876484</v>
      </c>
      <c r="E26" s="120" t="s">
        <v>109</v>
      </c>
      <c r="F26" s="120" t="s">
        <v>109</v>
      </c>
      <c r="G26" s="120" t="s">
        <v>109</v>
      </c>
      <c r="H26" s="120" t="s">
        <v>109</v>
      </c>
      <c r="I26" s="120" t="s">
        <v>109</v>
      </c>
      <c r="J26" s="120" t="s">
        <v>109</v>
      </c>
      <c r="K26" s="120" t="s">
        <v>109</v>
      </c>
      <c r="L26" s="121" t="n">
        <f aca="false">O26*TRUnits</f>
        <v>16975</v>
      </c>
      <c r="M26" s="121"/>
      <c r="N26" s="121"/>
      <c r="O26" s="121" t="n">
        <f aca="false">2425/2</f>
        <v>1212.5</v>
      </c>
      <c r="P26" s="122" t="n">
        <f aca="false">$O26/P$9</f>
        <v>0.881177325581395</v>
      </c>
      <c r="Q26" s="122" t="n">
        <f aca="false">$O26/Q$9</f>
        <v>0.69844470046083</v>
      </c>
      <c r="R26" s="122"/>
      <c r="S26" s="126" t="n">
        <f aca="false">T26*S$7</f>
        <v>1973.48473837209</v>
      </c>
      <c r="T26" s="126" t="n">
        <f aca="false">T$9*$P26*CMF</f>
        <v>1973.48473837209</v>
      </c>
      <c r="U26" s="122" t="n">
        <f aca="false">+T26/T$9</f>
        <v>0.969295058139535</v>
      </c>
      <c r="V26" s="121"/>
      <c r="W26" s="126" t="n">
        <f aca="false">X26*W$7</f>
        <v>77256.6933139535</v>
      </c>
      <c r="X26" s="126" t="n">
        <f aca="false">X$9*$P26*CMF</f>
        <v>1073.00962936047</v>
      </c>
      <c r="Y26" s="122" t="n">
        <f aca="false">+X26/X$9</f>
        <v>0.969295058139535</v>
      </c>
      <c r="Z26" s="121"/>
      <c r="AA26" s="126" t="n">
        <f aca="false">AB26*AA$7</f>
        <v>76096.4471293605</v>
      </c>
      <c r="AB26" s="126" t="n">
        <f aca="false">AB$9*$P26*CMF</f>
        <v>1247.48273982558</v>
      </c>
      <c r="AC26" s="122" t="n">
        <f aca="false">+AB26/AB$9</f>
        <v>0.969295058139535</v>
      </c>
      <c r="AD26" s="121"/>
      <c r="AE26" s="126" t="n">
        <f aca="false">AF26*AE$7</f>
        <v>0</v>
      </c>
      <c r="AF26" s="126" t="n">
        <f aca="false">AF$9*$P26*CMF</f>
        <v>1502.40734011628</v>
      </c>
      <c r="AG26" s="122" t="n">
        <f aca="false">+AF26/AF$9</f>
        <v>0.969295058139535</v>
      </c>
      <c r="AH26" s="122"/>
      <c r="AI26" s="126" t="n">
        <f aca="false">+AA26+W26+S26+AE26</f>
        <v>155326.625181686</v>
      </c>
      <c r="AJ26" s="103" t="n">
        <f aca="false">+AI26/AI$7</f>
        <v>1167.86936226832</v>
      </c>
      <c r="AK26" s="122" t="n">
        <f aca="false">+AJ26/AJ$9</f>
        <v>0.96918619275379</v>
      </c>
      <c r="AL26" s="81"/>
      <c r="AM26" s="124" t="s">
        <v>166</v>
      </c>
      <c r="AN26" s="100" t="s">
        <v>167</v>
      </c>
      <c r="AO26" s="119" t="n">
        <f aca="false">AP26/$AP$49</f>
        <v>0.0264473415665876</v>
      </c>
      <c r="AP26" s="125" t="n">
        <f aca="false">+AI22</f>
        <v>320982.75</v>
      </c>
      <c r="AQ26" s="125" t="n">
        <f aca="false">+AP26/AQ$7</f>
        <v>2413.40413533835</v>
      </c>
      <c r="AR26" s="122" t="n">
        <f aca="false">+AP26/AR$7</f>
        <v>2.00282500857954</v>
      </c>
    </row>
    <row r="27" customFormat="false" ht="12" hidden="false" customHeight="false" outlineLevel="0" collapsed="false">
      <c r="A27" s="99" t="s">
        <v>168</v>
      </c>
      <c r="B27" s="99" t="s">
        <v>169</v>
      </c>
      <c r="C27" s="118" t="n">
        <v>0.35</v>
      </c>
      <c r="D27" s="119" t="n">
        <f aca="false">L27/$L$90</f>
        <v>0.0334727868412696</v>
      </c>
      <c r="E27" s="120" t="s">
        <v>109</v>
      </c>
      <c r="F27" s="120" t="s">
        <v>109</v>
      </c>
      <c r="G27" s="120" t="s">
        <v>109</v>
      </c>
      <c r="H27" s="120" t="s">
        <v>109</v>
      </c>
      <c r="I27" s="120" t="s">
        <v>109</v>
      </c>
      <c r="J27" s="120" t="s">
        <v>109</v>
      </c>
      <c r="K27" s="120" t="s">
        <v>109</v>
      </c>
      <c r="L27" s="121" t="n">
        <f aca="false">O27*TRUnits</f>
        <v>23758</v>
      </c>
      <c r="M27" s="121"/>
      <c r="N27" s="121"/>
      <c r="O27" s="121" t="n">
        <f aca="false">3394/2</f>
        <v>1697</v>
      </c>
      <c r="P27" s="122" t="n">
        <f aca="false">$O27/P$9</f>
        <v>1.23328488372093</v>
      </c>
      <c r="Q27" s="122" t="n">
        <f aca="false">$O27/Q$9</f>
        <v>0.977534562211982</v>
      </c>
      <c r="R27" s="122"/>
      <c r="S27" s="126" t="n">
        <f aca="false">T27*S$7</f>
        <v>2762.0648255814</v>
      </c>
      <c r="T27" s="126" t="n">
        <f aca="false">T$9*$P27*CMF</f>
        <v>2762.0648255814</v>
      </c>
      <c r="U27" s="122" t="n">
        <f aca="false">+T27/T$9</f>
        <v>1.35661337209302</v>
      </c>
      <c r="V27" s="121"/>
      <c r="W27" s="126" t="n">
        <f aca="false">X27*W$7</f>
        <v>108127.512209302</v>
      </c>
      <c r="X27" s="126" t="n">
        <f aca="false">X$9*$P27*CMF</f>
        <v>1501.77100290698</v>
      </c>
      <c r="Y27" s="122" t="n">
        <f aca="false">+X27/X$9</f>
        <v>1.35661337209302</v>
      </c>
      <c r="Z27" s="121"/>
      <c r="AA27" s="126" t="n">
        <f aca="false">AB27*AA$7</f>
        <v>106503.646002907</v>
      </c>
      <c r="AB27" s="126" t="n">
        <f aca="false">AB$9*$P27*CMF</f>
        <v>1745.96140988372</v>
      </c>
      <c r="AC27" s="122" t="n">
        <f aca="false">+AB27/AB$9</f>
        <v>1.35661337209302</v>
      </c>
      <c r="AD27" s="121"/>
      <c r="AE27" s="126" t="n">
        <f aca="false">AF27*AE$7</f>
        <v>0</v>
      </c>
      <c r="AF27" s="126" t="n">
        <f aca="false">AF$9*$P27*CMF</f>
        <v>2102.75072674419</v>
      </c>
      <c r="AG27" s="122" t="n">
        <f aca="false">+AF27/AF$9</f>
        <v>1.35661337209302</v>
      </c>
      <c r="AH27" s="122"/>
      <c r="AI27" s="126" t="n">
        <f aca="false">+AA27+W27+S27+AE27</f>
        <v>217393.223037791</v>
      </c>
      <c r="AJ27" s="103" t="n">
        <f aca="false">+AI27/AI$7</f>
        <v>1634.53551156234</v>
      </c>
      <c r="AK27" s="122" t="n">
        <f aca="false">+AJ27/AJ$9</f>
        <v>1.35646100544592</v>
      </c>
      <c r="AL27" s="81"/>
      <c r="AM27" s="124" t="s">
        <v>170</v>
      </c>
      <c r="AN27" s="100" t="s">
        <v>171</v>
      </c>
      <c r="AO27" s="119" t="n">
        <f aca="false">AP27/$AP$49</f>
        <v>0</v>
      </c>
      <c r="AP27" s="100" t="n">
        <f aca="false">+AI38+AI39</f>
        <v>0</v>
      </c>
      <c r="AQ27" s="125" t="n">
        <f aca="false">+AP27/AQ$7</f>
        <v>0</v>
      </c>
      <c r="AR27" s="122" t="n">
        <f aca="false">+AP27/AR$7</f>
        <v>0</v>
      </c>
    </row>
    <row r="28" customFormat="false" ht="12" hidden="false" customHeight="false" outlineLevel="0" collapsed="false">
      <c r="B28" s="127" t="s">
        <v>172</v>
      </c>
      <c r="C28" s="118"/>
      <c r="E28" s="132"/>
      <c r="F28" s="132"/>
      <c r="G28" s="132"/>
      <c r="H28" s="132"/>
      <c r="I28" s="132"/>
      <c r="J28" s="132"/>
      <c r="K28" s="132"/>
      <c r="L28" s="121"/>
      <c r="M28" s="121"/>
      <c r="N28" s="121"/>
      <c r="O28" s="121"/>
      <c r="P28" s="122"/>
      <c r="Q28" s="122"/>
      <c r="R28" s="122"/>
      <c r="S28" s="126"/>
      <c r="T28" s="133"/>
      <c r="U28" s="122"/>
      <c r="V28" s="121"/>
      <c r="W28" s="126"/>
      <c r="X28" s="126"/>
      <c r="Y28" s="122"/>
      <c r="Z28" s="121"/>
      <c r="AA28" s="126"/>
      <c r="AB28" s="126"/>
      <c r="AC28" s="122"/>
      <c r="AD28" s="121"/>
      <c r="AE28" s="126"/>
      <c r="AF28" s="126"/>
      <c r="AG28" s="122"/>
      <c r="AH28" s="122"/>
      <c r="AI28" s="126"/>
      <c r="AJ28" s="103"/>
      <c r="AK28" s="122"/>
      <c r="AL28" s="81"/>
      <c r="AM28" s="124" t="s">
        <v>173</v>
      </c>
      <c r="AN28" s="100" t="s">
        <v>174</v>
      </c>
      <c r="AO28" s="119" t="n">
        <f aca="false">AP28/$AP$49</f>
        <v>0</v>
      </c>
      <c r="AP28" s="125" t="n">
        <v>0</v>
      </c>
      <c r="AQ28" s="125" t="n">
        <f aca="false">+AP28/AQ$7</f>
        <v>0</v>
      </c>
      <c r="AR28" s="122" t="n">
        <f aca="false">+AP28/AR$7</f>
        <v>0</v>
      </c>
    </row>
    <row r="29" customFormat="false" ht="12" hidden="false" customHeight="false" outlineLevel="0" collapsed="false">
      <c r="A29" s="99" t="s">
        <v>157</v>
      </c>
      <c r="B29" s="99" t="s">
        <v>175</v>
      </c>
      <c r="C29" s="118"/>
      <c r="D29" s="119" t="n">
        <f aca="false">L29/$L$90</f>
        <v>0.0642926038356618</v>
      </c>
      <c r="E29" s="120" t="s">
        <v>109</v>
      </c>
      <c r="F29" s="120" t="s">
        <v>109</v>
      </c>
      <c r="G29" s="120" t="s">
        <v>109</v>
      </c>
      <c r="H29" s="120" t="s">
        <v>109</v>
      </c>
      <c r="I29" s="120" t="s">
        <v>109</v>
      </c>
      <c r="J29" s="120" t="s">
        <v>109</v>
      </c>
      <c r="K29" s="120" t="s">
        <v>109</v>
      </c>
      <c r="L29" s="121" t="n">
        <f aca="false">O29*TRUnits</f>
        <v>45633</v>
      </c>
      <c r="M29" s="121"/>
      <c r="N29" s="121"/>
      <c r="O29" s="81" t="n">
        <f aca="false">(2975+(24808/7))/2</f>
        <v>3259.5</v>
      </c>
      <c r="P29" s="122" t="n">
        <f aca="false">$O29/P$9</f>
        <v>2.3688226744186</v>
      </c>
      <c r="Q29" s="122" t="n">
        <f aca="false">$O29/Q$9</f>
        <v>1.87759216589862</v>
      </c>
      <c r="R29" s="122"/>
      <c r="S29" s="126" t="n">
        <f aca="false">T29*S$7</f>
        <v>5305.21526162791</v>
      </c>
      <c r="T29" s="126" t="n">
        <f aca="false">T$9*$P29*CMF</f>
        <v>5305.21526162791</v>
      </c>
      <c r="U29" s="122" t="n">
        <f aca="false">+T29/T$9</f>
        <v>2.60570494186047</v>
      </c>
      <c r="V29" s="121"/>
      <c r="W29" s="126" t="n">
        <f aca="false">X29*W$7</f>
        <v>207685.106686047</v>
      </c>
      <c r="X29" s="126" t="n">
        <f aca="false">X$9*$P29*CMF</f>
        <v>2884.51537063954</v>
      </c>
      <c r="Y29" s="122" t="n">
        <f aca="false">+X29/X$9</f>
        <v>2.60570494186047</v>
      </c>
      <c r="Z29" s="121"/>
      <c r="AA29" s="126" t="n">
        <f aca="false">AB29*AA$7</f>
        <v>204566.07787064</v>
      </c>
      <c r="AB29" s="126" t="n">
        <f aca="false">AB$9*$P29*CMF</f>
        <v>3353.54226017442</v>
      </c>
      <c r="AC29" s="122" t="n">
        <f aca="false">+AB29/AB$9</f>
        <v>2.60570494186047</v>
      </c>
      <c r="AD29" s="121"/>
      <c r="AE29" s="126" t="n">
        <f aca="false">AF29*AE$7</f>
        <v>0</v>
      </c>
      <c r="AF29" s="126" t="n">
        <f aca="false">AF$9*$P29*CMF</f>
        <v>4038.84265988372</v>
      </c>
      <c r="AG29" s="122" t="n">
        <f aca="false">+AF29/AF$9</f>
        <v>2.60570494186047</v>
      </c>
      <c r="AH29" s="122"/>
      <c r="AI29" s="126" t="n">
        <f aca="false">+AA29+W29+S29+AE29</f>
        <v>417556.399818314</v>
      </c>
      <c r="AJ29" s="103" t="n">
        <f aca="false">+AI29/AI$7</f>
        <v>3139.52180314522</v>
      </c>
      <c r="AK29" s="122" t="n">
        <f aca="false">+AJ29/AJ$9</f>
        <v>2.60541228476782</v>
      </c>
      <c r="AL29" s="81"/>
      <c r="AM29" s="124" t="s">
        <v>176</v>
      </c>
      <c r="AN29" s="100" t="s">
        <v>177</v>
      </c>
      <c r="AO29" s="119" t="n">
        <f aca="false">AP29/$AP$49</f>
        <v>0.0640803961544599</v>
      </c>
      <c r="AP29" s="125" t="n">
        <f aca="false">+AI55+AI56</f>
        <v>777722.847</v>
      </c>
      <c r="AQ29" s="125" t="n">
        <f aca="false">+AP29/AQ$7</f>
        <v>5847.54020300752</v>
      </c>
      <c r="AR29" s="122" t="n">
        <f aca="false">+AP29/AR$7</f>
        <v>4.8527304589274</v>
      </c>
    </row>
    <row r="30" customFormat="false" ht="12" hidden="false" customHeight="false" outlineLevel="0" collapsed="false">
      <c r="A30" s="99" t="s">
        <v>157</v>
      </c>
      <c r="B30" s="99" t="s">
        <v>178</v>
      </c>
      <c r="C30" s="118"/>
      <c r="D30" s="119" t="n">
        <f aca="false">L30/$L$90</f>
        <v>0.0576735638247062</v>
      </c>
      <c r="E30" s="120" t="s">
        <v>109</v>
      </c>
      <c r="F30" s="120" t="s">
        <v>109</v>
      </c>
      <c r="G30" s="120" t="s">
        <v>109</v>
      </c>
      <c r="H30" s="120" t="s">
        <v>109</v>
      </c>
      <c r="I30" s="120" t="s">
        <v>109</v>
      </c>
      <c r="J30" s="120" t="s">
        <v>109</v>
      </c>
      <c r="K30" s="120" t="s">
        <v>109</v>
      </c>
      <c r="L30" s="121" t="n">
        <f aca="false">O30*TRUnits</f>
        <v>40935</v>
      </c>
      <c r="M30" s="121"/>
      <c r="N30" s="121"/>
      <c r="O30" s="81" t="n">
        <f aca="false">(2465+(23680/7))/2</f>
        <v>2923.92857142857</v>
      </c>
      <c r="P30" s="122" t="n">
        <f aca="false">$O30/P$9</f>
        <v>2.124948089701</v>
      </c>
      <c r="Q30" s="122" t="n">
        <f aca="false">$O30/Q$9</f>
        <v>1.68429065174457</v>
      </c>
      <c r="R30" s="122"/>
      <c r="S30" s="126" t="n">
        <f aca="false">T30*S$7</f>
        <v>4759.03374169435</v>
      </c>
      <c r="T30" s="126" t="n">
        <f aca="false">T$9*$P30*CMF</f>
        <v>4759.03374169435</v>
      </c>
      <c r="U30" s="122" t="n">
        <f aca="false">+T30/T$9</f>
        <v>2.3374428986711</v>
      </c>
      <c r="V30" s="121"/>
      <c r="W30" s="126" t="n">
        <f aca="false">X30*W$7</f>
        <v>186303.548795681</v>
      </c>
      <c r="X30" s="126" t="n">
        <f aca="false">X$9*$P30*CMF</f>
        <v>2587.5492888289</v>
      </c>
      <c r="Y30" s="122" t="n">
        <f aca="false">+X30/X$9</f>
        <v>2.3374428986711</v>
      </c>
      <c r="Z30" s="121"/>
      <c r="AA30" s="126" t="n">
        <f aca="false">AB30*AA$7</f>
        <v>183505.629645972</v>
      </c>
      <c r="AB30" s="126" t="n">
        <f aca="false">AB$9*$P30*CMF</f>
        <v>3008.2890105897</v>
      </c>
      <c r="AC30" s="122" t="n">
        <f aca="false">+AB30/AB$9</f>
        <v>2.3374428986711</v>
      </c>
      <c r="AD30" s="121"/>
      <c r="AE30" s="126" t="n">
        <f aca="false">AF30*AE$7</f>
        <v>0</v>
      </c>
      <c r="AF30" s="126" t="n">
        <f aca="false">AF$9*$P30*CMF</f>
        <v>3623.0364929402</v>
      </c>
      <c r="AG30" s="122" t="n">
        <f aca="false">+AF30/AF$9</f>
        <v>2.3374428986711</v>
      </c>
      <c r="AH30" s="122"/>
      <c r="AI30" s="126" t="n">
        <f aca="false">+AA30+W30+S30+AE30</f>
        <v>374568.212183347</v>
      </c>
      <c r="AJ30" s="103" t="n">
        <f aca="false">+AI30/AI$7</f>
        <v>2816.30234724321</v>
      </c>
      <c r="AK30" s="122" t="n">
        <f aca="false">+AJ30/AJ$9</f>
        <v>2.33718037115619</v>
      </c>
      <c r="AL30" s="81"/>
      <c r="AM30" s="124" t="s">
        <v>179</v>
      </c>
      <c r="AN30" s="100" t="s">
        <v>180</v>
      </c>
      <c r="AO30" s="119" t="n">
        <f aca="false">AP30/$AP$49</f>
        <v>0.0279530686504443</v>
      </c>
      <c r="AP30" s="125" t="n">
        <f aca="false">+AI57+SUM(AI60:AI62)+AI74</f>
        <v>339257.268023256</v>
      </c>
      <c r="AQ30" s="125" t="n">
        <f aca="false">+AP30/AQ$7</f>
        <v>2550.80652649065</v>
      </c>
      <c r="AR30" s="122" t="n">
        <f aca="false">+AP30/AR$7</f>
        <v>2.11685188920386</v>
      </c>
    </row>
    <row r="31" customFormat="false" ht="12" hidden="false" customHeight="false" outlineLevel="0" collapsed="false">
      <c r="A31" s="99" t="s">
        <v>157</v>
      </c>
      <c r="B31" s="99" t="s">
        <v>181</v>
      </c>
      <c r="C31" s="118"/>
      <c r="D31" s="119" t="n">
        <f aca="false">L31/$L$90</f>
        <v>0.130685886397661</v>
      </c>
      <c r="E31" s="120" t="s">
        <v>109</v>
      </c>
      <c r="F31" s="120" t="s">
        <v>109</v>
      </c>
      <c r="G31" s="120" t="s">
        <v>109</v>
      </c>
      <c r="H31" s="120" t="s">
        <v>109</v>
      </c>
      <c r="I31" s="120" t="s">
        <v>109</v>
      </c>
      <c r="J31" s="120" t="s">
        <v>109</v>
      </c>
      <c r="K31" s="120" t="s">
        <v>109</v>
      </c>
      <c r="L31" s="121" t="n">
        <f aca="false">O31*TRUnits</f>
        <v>92757</v>
      </c>
      <c r="M31" s="121"/>
      <c r="N31" s="121"/>
      <c r="O31" s="81" t="n">
        <f aca="false">13251/2</f>
        <v>6625.5</v>
      </c>
      <c r="P31" s="122" t="n">
        <f aca="false">$O31/P$9</f>
        <v>4.81504360465116</v>
      </c>
      <c r="Q31" s="122" t="n">
        <f aca="false">$O31/Q$9</f>
        <v>3.81653225806452</v>
      </c>
      <c r="R31" s="122"/>
      <c r="S31" s="126" t="n">
        <f aca="false">T31*S$7</f>
        <v>5391.88582848837</v>
      </c>
      <c r="T31" s="126" t="n">
        <f aca="false">T$9*$P$31*CMF*0.5</f>
        <v>5391.88582848837</v>
      </c>
      <c r="U31" s="122" t="n">
        <f aca="false">+T31/T$9</f>
        <v>2.64827398255814</v>
      </c>
      <c r="V31" s="121"/>
      <c r="W31" s="126" t="n">
        <f aca="false">X31*W$7</f>
        <v>211078.029505814</v>
      </c>
      <c r="X31" s="126" t="n">
        <f aca="false">X$9*$P$31*CMF*0.5</f>
        <v>2931.63929869186</v>
      </c>
      <c r="Y31" s="122" t="n">
        <f aca="false">+X31/X$9</f>
        <v>2.64827398255814</v>
      </c>
      <c r="Z31" s="121"/>
      <c r="AA31" s="126" t="n">
        <f aca="false">AB31*AA$7</f>
        <v>207908.045548692</v>
      </c>
      <c r="AB31" s="126" t="n">
        <f aca="false">AB$9*$P$31*CMF*0.5</f>
        <v>3408.32861555233</v>
      </c>
      <c r="AC31" s="122" t="n">
        <f aca="false">+AB31/AB$9</f>
        <v>2.64827398255814</v>
      </c>
      <c r="AD31" s="121"/>
      <c r="AE31" s="126" t="n">
        <f aca="false">AF31*AE$7</f>
        <v>0</v>
      </c>
      <c r="AF31" s="126" t="n">
        <f aca="false">AF$9*$P31*CMF</f>
        <v>8209.64934593023</v>
      </c>
      <c r="AG31" s="122" t="n">
        <f aca="false">+AF31/AF$9</f>
        <v>5.29654796511628</v>
      </c>
      <c r="AH31" s="122"/>
      <c r="AI31" s="126" t="n">
        <f aca="false">+AA31+W31+S31+AE31</f>
        <v>424377.960882994</v>
      </c>
      <c r="AJ31" s="103" t="n">
        <f aca="false">+AI31/AI$7</f>
        <v>3190.81173596236</v>
      </c>
      <c r="AK31" s="122" t="n">
        <f aca="false">+AJ31/AJ$9</f>
        <v>2.64797654436711</v>
      </c>
      <c r="AL31" s="81"/>
      <c r="AM31" s="124" t="s">
        <v>182</v>
      </c>
      <c r="AN31" s="100" t="s">
        <v>183</v>
      </c>
      <c r="AO31" s="119" t="n">
        <f aca="false">AP31/$AP$49</f>
        <v>0.0206465140253036</v>
      </c>
      <c r="AP31" s="125" t="n">
        <f aca="false">AI68+AI69</f>
        <v>250580</v>
      </c>
      <c r="AQ31" s="125" t="n">
        <f aca="false">+AP31/AQ$7</f>
        <v>1884.06015037594</v>
      </c>
      <c r="AR31" s="122" t="n">
        <f aca="false">+AP31/AR$7</f>
        <v>1.56353539450285</v>
      </c>
    </row>
    <row r="32" customFormat="false" ht="12" hidden="false" customHeight="false" outlineLevel="0" collapsed="false">
      <c r="A32" s="99" t="s">
        <v>157</v>
      </c>
      <c r="B32" s="99" t="s">
        <v>184</v>
      </c>
      <c r="C32" s="118"/>
      <c r="D32" s="119" t="n">
        <f aca="false">L32/$L$90</f>
        <v>0</v>
      </c>
      <c r="E32" s="120" t="s">
        <v>109</v>
      </c>
      <c r="F32" s="120" t="s">
        <v>109</v>
      </c>
      <c r="G32" s="120" t="s">
        <v>109</v>
      </c>
      <c r="H32" s="120" t="s">
        <v>109</v>
      </c>
      <c r="I32" s="120" t="s">
        <v>109</v>
      </c>
      <c r="J32" s="120" t="s">
        <v>109</v>
      </c>
      <c r="K32" s="120" t="s">
        <v>109</v>
      </c>
      <c r="L32" s="121" t="n">
        <f aca="false">O32*TRUnits</f>
        <v>0</v>
      </c>
      <c r="M32" s="121"/>
      <c r="N32" s="121"/>
      <c r="O32" s="81"/>
      <c r="P32" s="122"/>
      <c r="Q32" s="122" t="n">
        <f aca="false">$O32/Q$9</f>
        <v>0</v>
      </c>
      <c r="R32" s="122"/>
      <c r="S32" s="126" t="n">
        <f aca="false">T32*S$7</f>
        <v>5391.88582848837</v>
      </c>
      <c r="T32" s="126" t="n">
        <f aca="false">T$9*$P$31*CMF*0.5</f>
        <v>5391.88582848837</v>
      </c>
      <c r="U32" s="122" t="n">
        <f aca="false">+T32/T$9</f>
        <v>2.64827398255814</v>
      </c>
      <c r="V32" s="121"/>
      <c r="W32" s="126" t="n">
        <f aca="false">X32*W$7</f>
        <v>211078.029505814</v>
      </c>
      <c r="X32" s="126" t="n">
        <f aca="false">X$9*$P$31*CMF*0.5</f>
        <v>2931.63929869186</v>
      </c>
      <c r="Y32" s="122" t="n">
        <f aca="false">+X32/X$9</f>
        <v>2.64827398255814</v>
      </c>
      <c r="Z32" s="121"/>
      <c r="AA32" s="126" t="n">
        <f aca="false">AB32*AA$7</f>
        <v>207908.045548692</v>
      </c>
      <c r="AB32" s="126" t="n">
        <f aca="false">AB$9*$P$31*CMF*0.5</f>
        <v>3408.32861555233</v>
      </c>
      <c r="AC32" s="122" t="n">
        <f aca="false">+AB32/AB$9</f>
        <v>2.64827398255814</v>
      </c>
      <c r="AD32" s="121"/>
      <c r="AE32" s="126" t="n">
        <f aca="false">AF32*AE$7</f>
        <v>0</v>
      </c>
      <c r="AF32" s="126" t="n">
        <f aca="false">AF$9*$P32*CMF</f>
        <v>0</v>
      </c>
      <c r="AG32" s="122" t="n">
        <f aca="false">+AF32/AF$9</f>
        <v>0</v>
      </c>
      <c r="AH32" s="122"/>
      <c r="AI32" s="126" t="n">
        <f aca="false">+AA32+W32+S32+AE32</f>
        <v>424377.960882994</v>
      </c>
      <c r="AJ32" s="103" t="n">
        <f aca="false">+AI32/AI$7</f>
        <v>3190.81173596236</v>
      </c>
      <c r="AK32" s="122" t="n">
        <f aca="false">+AJ32/AJ$9</f>
        <v>2.64797654436711</v>
      </c>
      <c r="AL32" s="81"/>
      <c r="AM32" s="124" t="s">
        <v>185</v>
      </c>
      <c r="AN32" s="100" t="s">
        <v>186</v>
      </c>
      <c r="AO32" s="119" t="n">
        <f aca="false">AP32/$AP$49</f>
        <v>0</v>
      </c>
      <c r="AP32" s="125" t="n">
        <v>0</v>
      </c>
      <c r="AQ32" s="125" t="n">
        <f aca="false">+AP32/AQ$7</f>
        <v>0</v>
      </c>
      <c r="AR32" s="122" t="n">
        <f aca="false">+AP32/AR$7</f>
        <v>0</v>
      </c>
    </row>
    <row r="33" customFormat="false" ht="12" hidden="false" customHeight="false" outlineLevel="0" collapsed="false">
      <c r="A33" s="99" t="s">
        <v>157</v>
      </c>
      <c r="B33" s="99" t="s">
        <v>187</v>
      </c>
      <c r="C33" s="118"/>
      <c r="D33" s="119" t="n">
        <f aca="false">L33/$L$90</f>
        <v>0</v>
      </c>
      <c r="E33" s="120" t="s">
        <v>109</v>
      </c>
      <c r="F33" s="120" t="s">
        <v>109</v>
      </c>
      <c r="G33" s="120" t="s">
        <v>109</v>
      </c>
      <c r="H33" s="120" t="s">
        <v>109</v>
      </c>
      <c r="I33" s="120" t="s">
        <v>109</v>
      </c>
      <c r="J33" s="120" t="s">
        <v>109</v>
      </c>
      <c r="K33" s="120" t="s">
        <v>109</v>
      </c>
      <c r="L33" s="121" t="n">
        <f aca="false">O33*TRUnits</f>
        <v>0</v>
      </c>
      <c r="M33" s="121"/>
      <c r="N33" s="121"/>
      <c r="O33" s="80"/>
      <c r="P33" s="122"/>
      <c r="Q33" s="122" t="n">
        <f aca="false">$O33/Q$9</f>
        <v>0</v>
      </c>
      <c r="R33" s="122"/>
      <c r="S33" s="126" t="n">
        <f aca="false">T33*S$7</f>
        <v>0</v>
      </c>
      <c r="T33" s="126" t="n">
        <f aca="false">T$9*$P33*CMF</f>
        <v>0</v>
      </c>
      <c r="U33" s="122" t="n">
        <f aca="false">+T33/T$9</f>
        <v>0</v>
      </c>
      <c r="V33" s="121"/>
      <c r="W33" s="126" t="n">
        <f aca="false">X33*W$7</f>
        <v>0</v>
      </c>
      <c r="X33" s="126" t="n">
        <f aca="false">X$9*$P33*CMF</f>
        <v>0</v>
      </c>
      <c r="Y33" s="122" t="n">
        <f aca="false">+X33/X$9</f>
        <v>0</v>
      </c>
      <c r="Z33" s="121"/>
      <c r="AA33" s="126" t="n">
        <f aca="false">AB33*AA$7</f>
        <v>0</v>
      </c>
      <c r="AB33" s="126" t="n">
        <f aca="false">AB$9*$P33*CMF</f>
        <v>0</v>
      </c>
      <c r="AC33" s="122" t="n">
        <f aca="false">+AB33/AB$9</f>
        <v>0</v>
      </c>
      <c r="AD33" s="121"/>
      <c r="AE33" s="126" t="n">
        <f aca="false">AF33*AE$7</f>
        <v>0</v>
      </c>
      <c r="AF33" s="126" t="n">
        <f aca="false">AF$9*$P33*CMF</f>
        <v>0</v>
      </c>
      <c r="AG33" s="122" t="n">
        <f aca="false">+AF33/AF$9</f>
        <v>0</v>
      </c>
      <c r="AH33" s="122"/>
      <c r="AI33" s="126" t="n">
        <f aca="false">+AA33+W33+S33+AE33</f>
        <v>0</v>
      </c>
      <c r="AJ33" s="103" t="n">
        <f aca="false">+AI33/AI$7</f>
        <v>0</v>
      </c>
      <c r="AK33" s="122" t="n">
        <f aca="false">+AJ33/AJ$9</f>
        <v>0</v>
      </c>
      <c r="AL33" s="81"/>
      <c r="AM33" s="124" t="s">
        <v>188</v>
      </c>
      <c r="AN33" s="100" t="s">
        <v>189</v>
      </c>
      <c r="AO33" s="119" t="n">
        <f aca="false">AP33/$AP$49</f>
        <v>0.0242161608874941</v>
      </c>
      <c r="AP33" s="125" t="n">
        <f aca="false">AI65+AI66</f>
        <v>293903.638539244</v>
      </c>
      <c r="AQ33" s="125" t="n">
        <f aca="false">+AP33/AQ$7</f>
        <v>2209.80179352815</v>
      </c>
      <c r="AR33" s="122" t="n">
        <f aca="false">+AP33/AR$7</f>
        <v>1.83386040956693</v>
      </c>
    </row>
    <row r="34" customFormat="false" ht="12" hidden="false" customHeight="false" outlineLevel="0" collapsed="false">
      <c r="A34" s="99" t="s">
        <v>168</v>
      </c>
      <c r="B34" s="99" t="s">
        <v>190</v>
      </c>
      <c r="C34" s="118"/>
      <c r="D34" s="119" t="n">
        <f aca="false">L34/$L$90</f>
        <v>0</v>
      </c>
      <c r="E34" s="120" t="s">
        <v>109</v>
      </c>
      <c r="F34" s="120" t="s">
        <v>109</v>
      </c>
      <c r="G34" s="120" t="s">
        <v>109</v>
      </c>
      <c r="H34" s="120" t="s">
        <v>109</v>
      </c>
      <c r="I34" s="120" t="s">
        <v>109</v>
      </c>
      <c r="J34" s="120" t="s">
        <v>109</v>
      </c>
      <c r="K34" s="120" t="s">
        <v>109</v>
      </c>
      <c r="L34" s="121" t="n">
        <f aca="false">O34*TRUnits</f>
        <v>0</v>
      </c>
      <c r="M34" s="121"/>
      <c r="N34" s="121"/>
      <c r="O34" s="99"/>
      <c r="P34" s="122" t="n">
        <f aca="false">$O34/P$9</f>
        <v>0</v>
      </c>
      <c r="Q34" s="122" t="n">
        <f aca="false">$O34/Q$9</f>
        <v>0</v>
      </c>
      <c r="R34" s="122"/>
      <c r="S34" s="126" t="n">
        <f aca="false">T34*S$7</f>
        <v>0</v>
      </c>
      <c r="T34" s="126" t="n">
        <f aca="false">T$9*$P34*CMF</f>
        <v>0</v>
      </c>
      <c r="U34" s="122" t="n">
        <f aca="false">+T34/T$9</f>
        <v>0</v>
      </c>
      <c r="W34" s="126" t="n">
        <f aca="false">X34*W$7</f>
        <v>0</v>
      </c>
      <c r="X34" s="126" t="n">
        <f aca="false">X$9*$P34*CMF</f>
        <v>0</v>
      </c>
      <c r="Y34" s="122" t="n">
        <f aca="false">+X34/X$9</f>
        <v>0</v>
      </c>
      <c r="Z34" s="121"/>
      <c r="AA34" s="126" t="n">
        <f aca="false">AB34*AA$7</f>
        <v>0</v>
      </c>
      <c r="AB34" s="126" t="n">
        <f aca="false">AB$9*$P34*CMF</f>
        <v>0</v>
      </c>
      <c r="AC34" s="122" t="n">
        <f aca="false">+AB34/AB$9</f>
        <v>0</v>
      </c>
      <c r="AD34" s="121"/>
      <c r="AE34" s="126" t="n">
        <f aca="false">AF34*AE$7</f>
        <v>0</v>
      </c>
      <c r="AF34" s="126" t="n">
        <f aca="false">AF$9*$P34*CMF</f>
        <v>0</v>
      </c>
      <c r="AG34" s="122" t="n">
        <f aca="false">+AF34/AF$9</f>
        <v>0</v>
      </c>
      <c r="AH34" s="122"/>
      <c r="AI34" s="126" t="n">
        <f aca="false">+AA34+W34+S34+AE34</f>
        <v>0</v>
      </c>
      <c r="AJ34" s="103" t="n">
        <f aca="false">+AI34/AI$7</f>
        <v>0</v>
      </c>
      <c r="AK34" s="122" t="n">
        <f aca="false">+AJ34/AJ$9</f>
        <v>0</v>
      </c>
      <c r="AL34" s="81"/>
      <c r="AM34" s="124" t="s">
        <v>191</v>
      </c>
      <c r="AN34" s="100" t="s">
        <v>192</v>
      </c>
      <c r="AO34" s="119" t="n">
        <f aca="false">AP34/$AP$49</f>
        <v>0</v>
      </c>
      <c r="AP34" s="125" t="n">
        <v>0</v>
      </c>
      <c r="AQ34" s="125" t="n">
        <f aca="false">+AP34/AQ$7</f>
        <v>0</v>
      </c>
      <c r="AR34" s="122" t="n">
        <f aca="false">+AP34/AR$7</f>
        <v>0</v>
      </c>
    </row>
    <row r="35" customFormat="false" ht="12" hidden="false" customHeight="false" outlineLevel="0" collapsed="false">
      <c r="A35" s="99" t="s">
        <v>193</v>
      </c>
      <c r="B35" s="99" t="s">
        <v>194</v>
      </c>
      <c r="C35" s="118"/>
      <c r="D35" s="119" t="n">
        <f aca="false">L35/$L$90</f>
        <v>0.00881693324575574</v>
      </c>
      <c r="E35" s="120" t="s">
        <v>109</v>
      </c>
      <c r="F35" s="120" t="s">
        <v>109</v>
      </c>
      <c r="G35" s="120" t="s">
        <v>109</v>
      </c>
      <c r="H35" s="120" t="s">
        <v>109</v>
      </c>
      <c r="I35" s="120" t="s">
        <v>109</v>
      </c>
      <c r="J35" s="120" t="s">
        <v>109</v>
      </c>
      <c r="K35" s="120" t="s">
        <v>109</v>
      </c>
      <c r="L35" s="121" t="n">
        <f aca="false">O35*TRUnits</f>
        <v>6258</v>
      </c>
      <c r="M35" s="121"/>
      <c r="N35" s="121"/>
      <c r="O35" s="81" t="n">
        <f aca="false">894/2</f>
        <v>447</v>
      </c>
      <c r="P35" s="122" t="n">
        <f aca="false">$O35/P$9</f>
        <v>0.324854651162791</v>
      </c>
      <c r="Q35" s="122" t="n">
        <f aca="false">$O35/Q$9</f>
        <v>0.257488479262673</v>
      </c>
      <c r="R35" s="122"/>
      <c r="S35" s="126" t="n">
        <f aca="false">T35*S$7</f>
        <v>341</v>
      </c>
      <c r="T35" s="126" t="n">
        <f aca="false">(120+80+70+40)*CMF</f>
        <v>341</v>
      </c>
      <c r="U35" s="122" t="n">
        <f aca="false">+T35/T$9</f>
        <v>0.167485265225933</v>
      </c>
      <c r="V35" s="121"/>
      <c r="W35" s="126" t="n">
        <f aca="false">X35*W$7</f>
        <v>42768</v>
      </c>
      <c r="X35" s="126" t="n">
        <f aca="false">(120+3*70+2*65+2*40)*CMF</f>
        <v>594</v>
      </c>
      <c r="Y35" s="122" t="n">
        <f aca="false">+X35/X$9</f>
        <v>0.536585365853659</v>
      </c>
      <c r="Z35" s="121"/>
      <c r="AA35" s="126" t="n">
        <f aca="false">AB35*AA$7</f>
        <v>44957</v>
      </c>
      <c r="AB35" s="126" t="n">
        <f aca="false">(120+4*80+70+4*40)*CMF</f>
        <v>737</v>
      </c>
      <c r="AC35" s="122" t="n">
        <f aca="false">+AB35/AB$9</f>
        <v>0.572649572649573</v>
      </c>
      <c r="AD35" s="121"/>
      <c r="AE35" s="126" t="n">
        <f aca="false">AF35*AE$7</f>
        <v>0</v>
      </c>
      <c r="AF35" s="126" t="n">
        <f aca="false">(120+4*80+70+4*40)*CMF</f>
        <v>737</v>
      </c>
      <c r="AG35" s="122" t="n">
        <f aca="false">+AF35/AF$9</f>
        <v>0.475483870967742</v>
      </c>
      <c r="AH35" s="122"/>
      <c r="AI35" s="126" t="n">
        <f aca="false">+AA35+W35+S35+AE35</f>
        <v>88066</v>
      </c>
      <c r="AJ35" s="103" t="n">
        <f aca="false">+AI35/AI$7</f>
        <v>662.15037593985</v>
      </c>
      <c r="AK35" s="122" t="n">
        <f aca="false">+AJ35/AJ$9</f>
        <v>0.549502386672074</v>
      </c>
      <c r="AL35" s="81"/>
      <c r="AM35" s="124" t="s">
        <v>195</v>
      </c>
      <c r="AN35" s="100" t="s">
        <v>196</v>
      </c>
      <c r="AO35" s="119" t="n">
        <f aca="false">AP35/$AP$49</f>
        <v>0.0109305074251607</v>
      </c>
      <c r="AP35" s="125" t="n">
        <f aca="false">+AI72</f>
        <v>132660</v>
      </c>
      <c r="AQ35" s="125" t="n">
        <f aca="false">+AP35/AQ$7</f>
        <v>997.443609022557</v>
      </c>
      <c r="AR35" s="122" t="n">
        <f aca="false">+AP35/AR$7</f>
        <v>0.827754032383864</v>
      </c>
    </row>
    <row r="36" customFormat="false" ht="12" hidden="false" customHeight="false" outlineLevel="0" collapsed="false">
      <c r="A36" s="99" t="s">
        <v>157</v>
      </c>
      <c r="B36" s="99" t="s">
        <v>197</v>
      </c>
      <c r="C36" s="118"/>
      <c r="D36" s="119" t="n">
        <f aca="false">L36/$L$90</f>
        <v>0.00591740486292332</v>
      </c>
      <c r="E36" s="120" t="s">
        <v>109</v>
      </c>
      <c r="F36" s="120" t="s">
        <v>109</v>
      </c>
      <c r="G36" s="120" t="s">
        <v>109</v>
      </c>
      <c r="H36" s="120" t="s">
        <v>109</v>
      </c>
      <c r="I36" s="120" t="s">
        <v>109</v>
      </c>
      <c r="J36" s="120" t="s">
        <v>109</v>
      </c>
      <c r="K36" s="120" t="s">
        <v>109</v>
      </c>
      <c r="L36" s="121" t="n">
        <f aca="false">O36*TRUnits</f>
        <v>4200</v>
      </c>
      <c r="M36" s="121"/>
      <c r="N36" s="121"/>
      <c r="O36" s="81" t="n">
        <f aca="false">600/2</f>
        <v>300</v>
      </c>
      <c r="P36" s="122" t="n">
        <f aca="false">$O36/P$9</f>
        <v>0.218023255813954</v>
      </c>
      <c r="Q36" s="122" t="n">
        <f aca="false">$O36/Q$9</f>
        <v>0.172811059907834</v>
      </c>
      <c r="R36" s="122"/>
      <c r="S36" s="126" t="n">
        <f aca="false">T36*S$7</f>
        <v>569.8</v>
      </c>
      <c r="T36" s="134" t="n">
        <f aca="false">((75+46+13)*2+180+70)*CMF</f>
        <v>569.8</v>
      </c>
      <c r="U36" s="122" t="n">
        <f aca="false">+T36/T$9</f>
        <v>0.279862475442043</v>
      </c>
      <c r="V36" s="121"/>
      <c r="W36" s="126" t="n">
        <f aca="false">X36*W$7</f>
        <v>41025.6</v>
      </c>
      <c r="X36" s="134" t="n">
        <f aca="false">((75+46+13)*2+180+70)*CMF</f>
        <v>569.8</v>
      </c>
      <c r="Y36" s="122" t="n">
        <f aca="false">+X36/X$9</f>
        <v>0.514724480578139</v>
      </c>
      <c r="Z36" s="121"/>
      <c r="AA36" s="126" t="n">
        <f aca="false">AB36*AA$7</f>
        <v>34757.8</v>
      </c>
      <c r="AB36" s="134" t="n">
        <f aca="false">((75+46+13)*2+180+70)*CMF</f>
        <v>569.8</v>
      </c>
      <c r="AC36" s="122" t="n">
        <f aca="false">+AB36/AB$9</f>
        <v>0.442735042735043</v>
      </c>
      <c r="AD36" s="121"/>
      <c r="AE36" s="126" t="n">
        <f aca="false">AF36*AE$7</f>
        <v>0</v>
      </c>
      <c r="AF36" s="134" t="n">
        <f aca="false">((75+46+13)*2+180+70)*CMF</f>
        <v>569.8</v>
      </c>
      <c r="AG36" s="122" t="n">
        <f aca="false">+AF36/AF$9</f>
        <v>0.367612903225807</v>
      </c>
      <c r="AH36" s="122"/>
      <c r="AI36" s="126" t="n">
        <f aca="false">+AA36+W36+S36+AE36</f>
        <v>76353.2</v>
      </c>
      <c r="AJ36" s="103" t="n">
        <f aca="false">+AI36/AI$7</f>
        <v>574.084210526316</v>
      </c>
      <c r="AK36" s="122" t="n">
        <f aca="false">+AJ36/AJ$9</f>
        <v>0.476418431972046</v>
      </c>
      <c r="AL36" s="81"/>
      <c r="AM36" s="124" t="s">
        <v>198</v>
      </c>
      <c r="AN36" s="100" t="s">
        <v>199</v>
      </c>
      <c r="AO36" s="119" t="n">
        <f aca="false">AP36/$AP$49</f>
        <v>0.0177191446807535</v>
      </c>
      <c r="AP36" s="125" t="n">
        <f aca="false">+AI73</f>
        <v>215051.474</v>
      </c>
      <c r="AQ36" s="125" t="n">
        <f aca="false">+AP36/AQ$7</f>
        <v>1616.92837593985</v>
      </c>
      <c r="AR36" s="122" t="n">
        <f aca="false">+AP36/AR$7</f>
        <v>1.34184927463888</v>
      </c>
    </row>
    <row r="37" customFormat="false" ht="12" hidden="false" customHeight="false" outlineLevel="0" collapsed="false">
      <c r="B37" s="127" t="s">
        <v>200</v>
      </c>
      <c r="C37" s="118"/>
      <c r="D37" s="119"/>
      <c r="E37" s="120"/>
      <c r="F37" s="120"/>
      <c r="G37" s="120"/>
      <c r="H37" s="120"/>
      <c r="I37" s="120"/>
      <c r="J37" s="120"/>
      <c r="K37" s="120"/>
      <c r="L37" s="121"/>
      <c r="M37" s="121"/>
      <c r="N37" s="121"/>
      <c r="O37" s="121"/>
      <c r="P37" s="122"/>
      <c r="Q37" s="122"/>
      <c r="R37" s="122"/>
      <c r="S37" s="126"/>
      <c r="T37" s="133"/>
      <c r="U37" s="122"/>
      <c r="V37" s="121"/>
      <c r="W37" s="126"/>
      <c r="X37" s="126"/>
      <c r="Y37" s="122"/>
      <c r="Z37" s="121"/>
      <c r="AA37" s="126"/>
      <c r="AB37" s="126"/>
      <c r="AC37" s="122"/>
      <c r="AD37" s="121"/>
      <c r="AE37" s="126"/>
      <c r="AF37" s="126"/>
      <c r="AG37" s="122"/>
      <c r="AH37" s="122"/>
      <c r="AI37" s="126"/>
      <c r="AJ37" s="103"/>
      <c r="AK37" s="122"/>
      <c r="AL37" s="81"/>
      <c r="AM37" s="124" t="s">
        <v>201</v>
      </c>
      <c r="AN37" s="100" t="s">
        <v>202</v>
      </c>
      <c r="AO37" s="119" t="n">
        <f aca="false">AP37/$AP$49</f>
        <v>0.00174888118802572</v>
      </c>
      <c r="AP37" s="125" t="n">
        <f aca="false">SUM(AI75:AI78)</f>
        <v>21225.6</v>
      </c>
      <c r="AQ37" s="125" t="n">
        <f aca="false">+AP37/AQ$7</f>
        <v>159.590977443609</v>
      </c>
      <c r="AR37" s="122" t="n">
        <f aca="false">+AP37/AR$7</f>
        <v>0.132440645181418</v>
      </c>
    </row>
    <row r="38" customFormat="false" ht="12" hidden="false" customHeight="false" outlineLevel="0" collapsed="false">
      <c r="A38" s="99" t="s">
        <v>203</v>
      </c>
      <c r="B38" s="99" t="s">
        <v>204</v>
      </c>
      <c r="C38" s="118"/>
      <c r="D38" s="119"/>
      <c r="E38" s="120"/>
      <c r="F38" s="120"/>
      <c r="G38" s="120"/>
      <c r="H38" s="120"/>
      <c r="I38" s="120"/>
      <c r="J38" s="120"/>
      <c r="K38" s="120"/>
      <c r="L38" s="121" t="n">
        <v>0</v>
      </c>
      <c r="M38" s="121"/>
      <c r="N38" s="121"/>
      <c r="O38" s="121" t="n">
        <v>0</v>
      </c>
      <c r="P38" s="122" t="n">
        <f aca="false">$O38/P$9</f>
        <v>0</v>
      </c>
      <c r="Q38" s="122" t="n">
        <f aca="false">$O38/Q$9</f>
        <v>0</v>
      </c>
      <c r="R38" s="122"/>
      <c r="S38" s="126" t="n">
        <f aca="false">T38*S$7</f>
        <v>0</v>
      </c>
      <c r="T38" s="126" t="n">
        <v>0</v>
      </c>
      <c r="U38" s="122" t="n">
        <f aca="false">+T38/T$9</f>
        <v>0</v>
      </c>
      <c r="V38" s="121"/>
      <c r="W38" s="126" t="n">
        <f aca="false">X38*W$7</f>
        <v>0</v>
      </c>
      <c r="X38" s="126" t="n">
        <v>0</v>
      </c>
      <c r="Y38" s="122" t="n">
        <f aca="false">+X38/X$9</f>
        <v>0</v>
      </c>
      <c r="Z38" s="121"/>
      <c r="AA38" s="126" t="n">
        <f aca="false">AB38*AA$7</f>
        <v>0</v>
      </c>
      <c r="AB38" s="126" t="n">
        <v>0</v>
      </c>
      <c r="AC38" s="122" t="n">
        <f aca="false">+AB38/AB$9</f>
        <v>0</v>
      </c>
      <c r="AD38" s="121"/>
      <c r="AE38" s="126" t="n">
        <f aca="false">AF38*AE$7</f>
        <v>0</v>
      </c>
      <c r="AF38" s="126" t="n">
        <v>0</v>
      </c>
      <c r="AG38" s="122" t="n">
        <f aca="false">+AF38/AF$9</f>
        <v>0</v>
      </c>
      <c r="AH38" s="122"/>
      <c r="AI38" s="126" t="n">
        <f aca="false">+AA38+W38+S38+AE38</f>
        <v>0</v>
      </c>
      <c r="AJ38" s="103" t="n">
        <f aca="false">+AI38/AI$7</f>
        <v>0</v>
      </c>
      <c r="AK38" s="122" t="n">
        <f aca="false">+AJ38/AJ$9</f>
        <v>0</v>
      </c>
      <c r="AL38" s="81"/>
      <c r="AM38" s="124" t="s">
        <v>205</v>
      </c>
      <c r="AN38" s="100" t="s">
        <v>206</v>
      </c>
      <c r="AO38" s="119" t="n">
        <f aca="false">AP38/$AP$49</f>
        <v>0.00747436428192203</v>
      </c>
      <c r="AP38" s="125" t="n">
        <f aca="false">+AI70</f>
        <v>90713.9190406977</v>
      </c>
      <c r="AQ38" s="125" t="n">
        <f aca="false">+AP38/AQ$7</f>
        <v>682.059541659381</v>
      </c>
      <c r="AR38" s="122" t="n">
        <f aca="false">+AP38/AR$7</f>
        <v>0.566024515899901</v>
      </c>
    </row>
    <row r="39" customFormat="false" ht="12" hidden="false" customHeight="false" outlineLevel="0" collapsed="false">
      <c r="A39" s="99" t="s">
        <v>203</v>
      </c>
      <c r="B39" s="99" t="s">
        <v>207</v>
      </c>
      <c r="C39" s="118"/>
      <c r="D39" s="119"/>
      <c r="E39" s="120"/>
      <c r="F39" s="120"/>
      <c r="G39" s="120"/>
      <c r="H39" s="120"/>
      <c r="I39" s="120"/>
      <c r="J39" s="120"/>
      <c r="K39" s="120"/>
      <c r="L39" s="121" t="n">
        <v>0</v>
      </c>
      <c r="M39" s="121"/>
      <c r="N39" s="121"/>
      <c r="O39" s="121" t="n">
        <v>0</v>
      </c>
      <c r="P39" s="122" t="n">
        <f aca="false">$O39/P$9</f>
        <v>0</v>
      </c>
      <c r="Q39" s="122" t="n">
        <f aca="false">$O39/Q$9</f>
        <v>0</v>
      </c>
      <c r="R39" s="122"/>
      <c r="S39" s="126" t="n">
        <f aca="false">T39*S$7</f>
        <v>0</v>
      </c>
      <c r="T39" s="126" t="n">
        <v>0</v>
      </c>
      <c r="U39" s="122" t="n">
        <f aca="false">+T39/T$9</f>
        <v>0</v>
      </c>
      <c r="V39" s="121"/>
      <c r="W39" s="126" t="n">
        <f aca="false">X39*W$7</f>
        <v>0</v>
      </c>
      <c r="X39" s="126" t="n">
        <v>0</v>
      </c>
      <c r="Y39" s="122" t="n">
        <f aca="false">+X39/X$9</f>
        <v>0</v>
      </c>
      <c r="Z39" s="121"/>
      <c r="AA39" s="126" t="n">
        <f aca="false">AB39*AA$7</f>
        <v>0</v>
      </c>
      <c r="AB39" s="126" t="n">
        <v>0</v>
      </c>
      <c r="AC39" s="122" t="n">
        <f aca="false">+AB39/AB$9</f>
        <v>0</v>
      </c>
      <c r="AD39" s="121"/>
      <c r="AE39" s="126" t="n">
        <f aca="false">AF39*AE$7</f>
        <v>0</v>
      </c>
      <c r="AF39" s="126" t="n">
        <v>0</v>
      </c>
      <c r="AG39" s="122" t="n">
        <f aca="false">+AF39/AF$9</f>
        <v>0</v>
      </c>
      <c r="AH39" s="122"/>
      <c r="AI39" s="126" t="n">
        <f aca="false">+AA39+W39+S39+AE39</f>
        <v>0</v>
      </c>
      <c r="AJ39" s="103" t="n">
        <f aca="false">+AI39/AI$7</f>
        <v>0</v>
      </c>
      <c r="AK39" s="122" t="n">
        <f aca="false">+AJ39/AJ$9</f>
        <v>0</v>
      </c>
      <c r="AL39" s="81"/>
      <c r="AM39" s="124" t="s">
        <v>208</v>
      </c>
      <c r="AN39" s="100" t="s">
        <v>209</v>
      </c>
      <c r="AO39" s="119" t="n">
        <f aca="false">AP39/$AP$49</f>
        <v>0</v>
      </c>
      <c r="AP39" s="125" t="n">
        <f aca="false">SUM(AI79:AI81)</f>
        <v>0</v>
      </c>
      <c r="AQ39" s="125" t="n">
        <f aca="false">+AP39/AQ$7</f>
        <v>0</v>
      </c>
      <c r="AR39" s="122" t="n">
        <f aca="false">+AP39/AR$7</f>
        <v>0</v>
      </c>
    </row>
    <row r="40" customFormat="false" ht="12" hidden="false" customHeight="false" outlineLevel="0" collapsed="false">
      <c r="B40" s="110" t="s">
        <v>210</v>
      </c>
      <c r="C40" s="118"/>
      <c r="D40" s="119"/>
      <c r="E40" s="120"/>
      <c r="F40" s="120"/>
      <c r="G40" s="120"/>
      <c r="H40" s="120"/>
      <c r="I40" s="120"/>
      <c r="J40" s="120"/>
      <c r="K40" s="120"/>
      <c r="L40" s="121"/>
      <c r="M40" s="121"/>
      <c r="N40" s="121"/>
      <c r="O40" s="121"/>
      <c r="P40" s="122"/>
      <c r="Q40" s="122"/>
      <c r="R40" s="122"/>
      <c r="S40" s="126"/>
      <c r="T40" s="126"/>
      <c r="U40" s="122"/>
      <c r="V40" s="121"/>
      <c r="W40" s="126"/>
      <c r="X40" s="126"/>
      <c r="Y40" s="122"/>
      <c r="Z40" s="121"/>
      <c r="AA40" s="126"/>
      <c r="AB40" s="126"/>
      <c r="AC40" s="122"/>
      <c r="AD40" s="121"/>
      <c r="AE40" s="126"/>
      <c r="AF40" s="126"/>
      <c r="AG40" s="122"/>
      <c r="AH40" s="122"/>
      <c r="AI40" s="126"/>
      <c r="AJ40" s="103"/>
      <c r="AK40" s="122"/>
      <c r="AL40" s="81"/>
      <c r="AM40" s="124" t="s">
        <v>211</v>
      </c>
      <c r="AN40" s="100" t="s">
        <v>212</v>
      </c>
      <c r="AO40" s="119" t="n">
        <f aca="false">AP40/$AP$49</f>
        <v>0.0177087158857862</v>
      </c>
      <c r="AP40" s="131" t="n">
        <f aca="false">SUM(AI83:AI87)</f>
        <v>214924.903120301</v>
      </c>
      <c r="AQ40" s="125" t="n">
        <f aca="false">+AP40/AQ$7</f>
        <v>1615.97671519023</v>
      </c>
      <c r="AR40" s="122" t="n">
        <f aca="false">+AP40/AR$7</f>
        <v>1.34105951468069</v>
      </c>
    </row>
    <row r="41" customFormat="false" ht="14.45" hidden="false" customHeight="true" outlineLevel="0" collapsed="false">
      <c r="A41" s="99" t="s">
        <v>213</v>
      </c>
      <c r="B41" s="100" t="s">
        <v>204</v>
      </c>
      <c r="C41" s="118"/>
      <c r="D41" s="119" t="n">
        <f aca="false">L41/$L$90</f>
        <v>0.00739675607865415</v>
      </c>
      <c r="E41" s="120" t="s">
        <v>109</v>
      </c>
      <c r="F41" s="120" t="s">
        <v>109</v>
      </c>
      <c r="G41" s="120" t="s">
        <v>109</v>
      </c>
      <c r="H41" s="120" t="s">
        <v>109</v>
      </c>
      <c r="I41" s="120" t="s">
        <v>109</v>
      </c>
      <c r="J41" s="120" t="s">
        <v>109</v>
      </c>
      <c r="K41" s="120" t="s">
        <v>109</v>
      </c>
      <c r="L41" s="121" t="n">
        <f aca="false">O41*TRUnits</f>
        <v>5250</v>
      </c>
      <c r="M41" s="121"/>
      <c r="N41" s="121"/>
      <c r="O41" s="121" t="n">
        <f aca="false">750/2</f>
        <v>375</v>
      </c>
      <c r="P41" s="122" t="n">
        <f aca="false">$O41/P$9</f>
        <v>0.272529069767442</v>
      </c>
      <c r="Q41" s="122" t="n">
        <f aca="false">$O41/Q$9</f>
        <v>0.216013824884793</v>
      </c>
      <c r="R41" s="122"/>
      <c r="S41" s="126" t="n">
        <f aca="false">T41*S$7</f>
        <v>813.0342</v>
      </c>
      <c r="T41" s="126" t="n">
        <f aca="false">((U$9*1.2)/100*23.5)*CMF</f>
        <v>813.0342</v>
      </c>
      <c r="U41" s="122" t="n">
        <f aca="false">+T41/T$9</f>
        <v>0.399329174852652</v>
      </c>
      <c r="V41" s="121"/>
      <c r="W41" s="126" t="n">
        <f aca="false">X41*W$7</f>
        <v>24724.1808</v>
      </c>
      <c r="X41" s="126" t="n">
        <f aca="false">((Y$9*1.2)/100*23.5)*CMF</f>
        <v>343.3914</v>
      </c>
      <c r="Y41" s="122" t="n">
        <f aca="false">+X41/X$9</f>
        <v>0.3102</v>
      </c>
      <c r="Z41" s="121"/>
      <c r="AA41" s="126" t="n">
        <f aca="false">AB41*AA$7</f>
        <v>30180.909</v>
      </c>
      <c r="AB41" s="126" t="n">
        <f aca="false">((AC$9*1.2)/100*23.5)*CMF</f>
        <v>494.769</v>
      </c>
      <c r="AC41" s="122" t="n">
        <f aca="false">+AB41/AB$9</f>
        <v>0.384435897435898</v>
      </c>
      <c r="AD41" s="121"/>
      <c r="AE41" s="126" t="n">
        <f aca="false">AF41*AE$7</f>
        <v>0</v>
      </c>
      <c r="AF41" s="126" t="n">
        <f aca="false">((AG$9*1.2)/100*23.5)*CMF</f>
        <v>480.81</v>
      </c>
      <c r="AG41" s="122" t="n">
        <f aca="false">+AF41/AF$9</f>
        <v>0.3102</v>
      </c>
      <c r="AH41" s="122"/>
      <c r="AI41" s="126" t="n">
        <f aca="false">+AA41+W41+S41+AE41</f>
        <v>55718.124</v>
      </c>
      <c r="AJ41" s="103" t="n">
        <f aca="false">+AI41/AI$7</f>
        <v>418.933263157895</v>
      </c>
      <c r="AK41" s="122" t="n">
        <f aca="false">+AJ41/AJ$9</f>
        <v>0.347662459052195</v>
      </c>
      <c r="AL41" s="81"/>
      <c r="AM41" s="124" t="s">
        <v>214</v>
      </c>
      <c r="AN41" s="100" t="s">
        <v>215</v>
      </c>
      <c r="AO41" s="119" t="n">
        <f aca="false">AP41/$AP$49</f>
        <v>0</v>
      </c>
      <c r="AP41" s="131"/>
      <c r="AQ41" s="125" t="n">
        <f aca="false">+AP41/AQ$7</f>
        <v>0</v>
      </c>
      <c r="AR41" s="122" t="n">
        <f aca="false">+AP41/AR$7</f>
        <v>0</v>
      </c>
    </row>
    <row r="42" customFormat="false" ht="12" hidden="false" customHeight="false" outlineLevel="0" collapsed="false">
      <c r="A42" s="99" t="s">
        <v>213</v>
      </c>
      <c r="B42" s="100" t="s">
        <v>207</v>
      </c>
      <c r="C42" s="118"/>
      <c r="D42" s="119" t="n">
        <f aca="false">L42/$L$90</f>
        <v>0.00700226242112592</v>
      </c>
      <c r="E42" s="120" t="s">
        <v>109</v>
      </c>
      <c r="F42" s="120" t="s">
        <v>109</v>
      </c>
      <c r="G42" s="120" t="s">
        <v>109</v>
      </c>
      <c r="H42" s="120" t="s">
        <v>109</v>
      </c>
      <c r="I42" s="120" t="s">
        <v>109</v>
      </c>
      <c r="J42" s="120" t="s">
        <v>109</v>
      </c>
      <c r="K42" s="120" t="s">
        <v>109</v>
      </c>
      <c r="L42" s="121" t="n">
        <f aca="false">O42*TRUnits</f>
        <v>4970</v>
      </c>
      <c r="M42" s="121"/>
      <c r="N42" s="121"/>
      <c r="O42" s="121" t="n">
        <f aca="false">710/2</f>
        <v>355</v>
      </c>
      <c r="P42" s="122" t="n">
        <f aca="false">$O42/P$9</f>
        <v>0.257994186046512</v>
      </c>
      <c r="Q42" s="122" t="n">
        <f aca="false">$O42/Q$9</f>
        <v>0.204493087557604</v>
      </c>
      <c r="R42" s="122"/>
      <c r="S42" s="126" t="n">
        <f aca="false">T42*S$7</f>
        <v>726.5412</v>
      </c>
      <c r="T42" s="126" t="n">
        <f aca="false">((U$9*1.2)/100*21)*CMF</f>
        <v>726.5412</v>
      </c>
      <c r="U42" s="122" t="n">
        <f aca="false">+T42/T$9</f>
        <v>0.356847347740668</v>
      </c>
      <c r="V42" s="121"/>
      <c r="W42" s="126" t="n">
        <f aca="false">X42*W$7</f>
        <v>22093.9488</v>
      </c>
      <c r="X42" s="126" t="n">
        <f aca="false">((Y$9*1.2)/100*21)*CMF</f>
        <v>306.8604</v>
      </c>
      <c r="Y42" s="122" t="n">
        <f aca="false">+X42/X$9</f>
        <v>0.2772</v>
      </c>
      <c r="Z42" s="121"/>
      <c r="AA42" s="126" t="n">
        <f aca="false">AB42*AA$7</f>
        <v>26970.174</v>
      </c>
      <c r="AB42" s="126" t="n">
        <f aca="false">((AC$9*1.2)/100*21)*CMF</f>
        <v>442.134</v>
      </c>
      <c r="AC42" s="122" t="n">
        <f aca="false">+AB42/AB$9</f>
        <v>0.343538461538462</v>
      </c>
      <c r="AD42" s="121"/>
      <c r="AE42" s="126" t="n">
        <f aca="false">AF42*AE$7</f>
        <v>0</v>
      </c>
      <c r="AF42" s="126" t="n">
        <f aca="false">((AG$9*1.2)/100*21)*CMF</f>
        <v>429.66</v>
      </c>
      <c r="AG42" s="122" t="n">
        <f aca="false">+AF42/AF$9</f>
        <v>0.2772</v>
      </c>
      <c r="AH42" s="122"/>
      <c r="AI42" s="126" t="n">
        <f aca="false">+AA42+W42+S42+AE42</f>
        <v>49790.664</v>
      </c>
      <c r="AJ42" s="103" t="n">
        <f aca="false">+AI42/AI$7</f>
        <v>374.365894736842</v>
      </c>
      <c r="AK42" s="122" t="n">
        <f aca="false">+AJ42/AJ$9</f>
        <v>0.310677091067919</v>
      </c>
      <c r="AL42" s="81"/>
      <c r="AM42" s="124" t="s">
        <v>216</v>
      </c>
      <c r="AN42" s="100" t="s">
        <v>217</v>
      </c>
      <c r="AO42" s="119" t="n">
        <f aca="false">AP42/$AP$49</f>
        <v>0.0282235579725831</v>
      </c>
      <c r="AP42" s="131" t="n">
        <f aca="false">(SUM(AP10:AP41)+SUM(AP43:AP46))*1.0125*0.7*0.095/12*6</f>
        <v>342540.108616029</v>
      </c>
      <c r="AQ42" s="125" t="n">
        <f aca="false">+AP42/AQ$7</f>
        <v>2575.48953846638</v>
      </c>
      <c r="AR42" s="122" t="n">
        <f aca="false">+AP42/AR$7</f>
        <v>2.13733571656961</v>
      </c>
    </row>
    <row r="43" customFormat="false" ht="12" hidden="false" customHeight="false" outlineLevel="0" collapsed="false">
      <c r="B43" s="110" t="s">
        <v>218</v>
      </c>
      <c r="C43" s="118"/>
      <c r="E43" s="120"/>
      <c r="F43" s="120"/>
      <c r="G43" s="120"/>
      <c r="H43" s="120"/>
      <c r="I43" s="120"/>
      <c r="J43" s="120"/>
      <c r="K43" s="120"/>
      <c r="L43" s="121"/>
      <c r="M43" s="121"/>
      <c r="N43" s="121"/>
      <c r="O43" s="121"/>
      <c r="P43" s="122"/>
      <c r="Q43" s="122"/>
      <c r="R43" s="122"/>
      <c r="S43" s="126"/>
      <c r="T43" s="126"/>
      <c r="U43" s="122"/>
      <c r="V43" s="121"/>
      <c r="W43" s="126"/>
      <c r="X43" s="126"/>
      <c r="Y43" s="122"/>
      <c r="Z43" s="121"/>
      <c r="AA43" s="126"/>
      <c r="AB43" s="126"/>
      <c r="AC43" s="122"/>
      <c r="AD43" s="121"/>
      <c r="AE43" s="126"/>
      <c r="AF43" s="126"/>
      <c r="AG43" s="122"/>
      <c r="AH43" s="122"/>
      <c r="AI43" s="126"/>
      <c r="AJ43" s="103" t="s">
        <v>219</v>
      </c>
      <c r="AK43" s="122"/>
      <c r="AL43" s="81"/>
      <c r="AM43" s="124" t="s">
        <v>220</v>
      </c>
      <c r="AN43" s="100" t="s">
        <v>221</v>
      </c>
      <c r="AO43" s="119" t="n">
        <f aca="false">AP43/$AP$49</f>
        <v>0.15606994760679</v>
      </c>
      <c r="AP43" s="131" t="n">
        <f aca="false">(2.5*43560+75000)*10.3</f>
        <v>1894170</v>
      </c>
      <c r="AQ43" s="125" t="n">
        <f aca="false">+AP43/AQ$7</f>
        <v>14241.8796992481</v>
      </c>
      <c r="AR43" s="122" t="n">
        <f aca="false">+AP43/AR$7</f>
        <v>11.8189873022806</v>
      </c>
    </row>
    <row r="44" customFormat="false" ht="12" hidden="false" customHeight="false" outlineLevel="0" collapsed="false">
      <c r="A44" s="99" t="s">
        <v>222</v>
      </c>
      <c r="B44" s="100" t="s">
        <v>223</v>
      </c>
      <c r="C44" s="118" t="n">
        <v>0.1</v>
      </c>
      <c r="D44" s="119" t="n">
        <f aca="false">L44/$L$90</f>
        <v>0.00295870243146166</v>
      </c>
      <c r="E44" s="120" t="s">
        <v>109</v>
      </c>
      <c r="F44" s="120" t="s">
        <v>109</v>
      </c>
      <c r="G44" s="120" t="s">
        <v>109</v>
      </c>
      <c r="H44" s="120" t="s">
        <v>109</v>
      </c>
      <c r="I44" s="120" t="s">
        <v>109</v>
      </c>
      <c r="J44" s="120" t="s">
        <v>109</v>
      </c>
      <c r="K44" s="120" t="s">
        <v>109</v>
      </c>
      <c r="L44" s="121" t="n">
        <f aca="false">O44*TRUnits</f>
        <v>2100</v>
      </c>
      <c r="M44" s="121"/>
      <c r="N44" s="121"/>
      <c r="O44" s="121" t="n">
        <f aca="false">300/2</f>
        <v>150</v>
      </c>
      <c r="P44" s="122" t="n">
        <f aca="false">$O44/P$9</f>
        <v>0.109011627906977</v>
      </c>
      <c r="Q44" s="122" t="n">
        <f aca="false">$O44/Q$9</f>
        <v>0.0864055299539171</v>
      </c>
      <c r="R44" s="122"/>
      <c r="S44" s="126" t="n">
        <f aca="false">T44*S$7</f>
        <v>82.7067669172932</v>
      </c>
      <c r="T44" s="126" t="n">
        <f aca="false">10000/SM134Units*CMF</f>
        <v>82.7067669172932</v>
      </c>
      <c r="U44" s="122" t="n">
        <f aca="false">+T44/T$9</f>
        <v>0.0406221841440537</v>
      </c>
      <c r="V44" s="121"/>
      <c r="W44" s="126" t="n">
        <f aca="false">X44*W$7</f>
        <v>5954.88721804511</v>
      </c>
      <c r="X44" s="126" t="n">
        <f aca="false">10000/SM134Units*CMF</f>
        <v>82.7067669172932</v>
      </c>
      <c r="Y44" s="122" t="n">
        <f aca="false">+X44/X$9</f>
        <v>0.0747125265738873</v>
      </c>
      <c r="Z44" s="121"/>
      <c r="AA44" s="126" t="n">
        <f aca="false">AB44*AA$7</f>
        <v>5045.11278195489</v>
      </c>
      <c r="AB44" s="126" t="n">
        <f aca="false">10000/SM134Units*CMF</f>
        <v>82.7067669172932</v>
      </c>
      <c r="AC44" s="122" t="n">
        <f aca="false">+AB44/AB$9</f>
        <v>0.064263222157959</v>
      </c>
      <c r="AD44" s="121"/>
      <c r="AE44" s="126" t="n">
        <f aca="false">AF44*AE$7</f>
        <v>0</v>
      </c>
      <c r="AF44" s="126" t="n">
        <f aca="false">10000/SM134Units*CMF</f>
        <v>82.7067669172932</v>
      </c>
      <c r="AG44" s="122" t="n">
        <f aca="false">+AF44/AF$9</f>
        <v>0.0533592044627698</v>
      </c>
      <c r="AH44" s="122"/>
      <c r="AI44" s="126" t="n">
        <f aca="false">+AA44+W44+S44+AE44</f>
        <v>11082.7067669173</v>
      </c>
      <c r="AJ44" s="103" t="n">
        <f aca="false">+AI44/AI$7</f>
        <v>83.3286223076488</v>
      </c>
      <c r="AK44" s="122" t="n">
        <f aca="false">+AJ44/AJ$9</f>
        <v>0.0691523836577999</v>
      </c>
      <c r="AL44" s="81"/>
      <c r="AM44" s="124" t="s">
        <v>224</v>
      </c>
      <c r="AN44" s="100" t="s">
        <v>225</v>
      </c>
      <c r="AO44" s="119" t="n">
        <f aca="false">AP44/$AP$49</f>
        <v>0.0154722992036435</v>
      </c>
      <c r="AP44" s="131" t="n">
        <f aca="false">AI12+AI88</f>
        <v>187782.244</v>
      </c>
      <c r="AQ44" s="125" t="n">
        <f aca="false">+AP44/AQ$7</f>
        <v>1411.89657142857</v>
      </c>
      <c r="AR44" s="122" t="n">
        <f aca="false">+AP44/AR$7</f>
        <v>1.17169839952579</v>
      </c>
    </row>
    <row r="45" customFormat="false" ht="12.75" hidden="false" customHeight="false" outlineLevel="0" collapsed="false">
      <c r="A45" s="99" t="s">
        <v>222</v>
      </c>
      <c r="B45" s="100" t="s">
        <v>144</v>
      </c>
      <c r="C45" s="118" t="n">
        <v>0.5</v>
      </c>
      <c r="D45" s="119" t="n">
        <f aca="false">L45/$L$90</f>
        <v>0.0306817442142574</v>
      </c>
      <c r="E45" s="120" t="s">
        <v>109</v>
      </c>
      <c r="F45" s="120" t="s">
        <v>109</v>
      </c>
      <c r="G45" s="120" t="s">
        <v>109</v>
      </c>
      <c r="H45" s="120" t="s">
        <v>109</v>
      </c>
      <c r="I45" s="120" t="s">
        <v>109</v>
      </c>
      <c r="J45" s="120" t="s">
        <v>109</v>
      </c>
      <c r="K45" s="120" t="s">
        <v>109</v>
      </c>
      <c r="L45" s="121" t="n">
        <f aca="false">O45*TRUnits</f>
        <v>21777</v>
      </c>
      <c r="M45" s="121"/>
      <c r="N45" s="121"/>
      <c r="O45" s="121" t="n">
        <f aca="false">3111/2</f>
        <v>1555.5</v>
      </c>
      <c r="P45" s="122" t="n">
        <f aca="false">$O45/P$9</f>
        <v>1.13045058139535</v>
      </c>
      <c r="Q45" s="122" t="n">
        <f aca="false">$O45/Q$9</f>
        <v>0.89602534562212</v>
      </c>
      <c r="R45" s="122"/>
      <c r="S45" s="126" t="n">
        <f aca="false">T45*S$7</f>
        <v>3023.46</v>
      </c>
      <c r="T45" s="126" t="n">
        <f aca="false">2.25*CMF*60%*T$9</f>
        <v>3023.46</v>
      </c>
      <c r="U45" s="122" t="n">
        <f aca="false">+T45/T$9</f>
        <v>1.485</v>
      </c>
      <c r="V45" s="121"/>
      <c r="W45" s="126" t="n">
        <f aca="false">X45*W$7</f>
        <v>118360.44</v>
      </c>
      <c r="X45" s="126" t="n">
        <f aca="false">2.25*CMF*60%*X$9</f>
        <v>1643.895</v>
      </c>
      <c r="Y45" s="122" t="n">
        <f aca="false">+X45/X$9</f>
        <v>1.485</v>
      </c>
      <c r="Z45" s="121"/>
      <c r="AA45" s="126" t="n">
        <f aca="false">AB45*AA$7</f>
        <v>116582.895</v>
      </c>
      <c r="AB45" s="126" t="n">
        <f aca="false">2.25*CMF*60%*AB$9</f>
        <v>1911.195</v>
      </c>
      <c r="AC45" s="122" t="n">
        <f aca="false">+AB45/AB$9</f>
        <v>1.485</v>
      </c>
      <c r="AD45" s="121"/>
      <c r="AE45" s="126" t="n">
        <f aca="false">AF45*AE$7</f>
        <v>0</v>
      </c>
      <c r="AF45" s="126" t="n">
        <f aca="false">2.25*CMF*60%*AF$9</f>
        <v>2301.75</v>
      </c>
      <c r="AG45" s="122" t="n">
        <f aca="false">+AF45/AF$9</f>
        <v>1.485</v>
      </c>
      <c r="AH45" s="122"/>
      <c r="AI45" s="126" t="n">
        <f aca="false">+AA45+W45+S45+AE45</f>
        <v>237966.795</v>
      </c>
      <c r="AJ45" s="103" t="n">
        <f aca="false">+AI45/AI$7</f>
        <v>1789.22402255639</v>
      </c>
      <c r="AK45" s="122" t="n">
        <f aca="false">+AJ45/AJ$9</f>
        <v>1.48483321373974</v>
      </c>
      <c r="AL45" s="81"/>
      <c r="AM45" s="124" t="s">
        <v>226</v>
      </c>
      <c r="AN45" s="100" t="s">
        <v>227</v>
      </c>
      <c r="AO45" s="119" t="n">
        <f aca="false">AP45/$AP$49</f>
        <v>0.0197120074522337</v>
      </c>
      <c r="AP45" s="131" t="n">
        <f aca="false">AI46+AI48+AI49+AI71</f>
        <v>239238.198822674</v>
      </c>
      <c r="AQ45" s="125" t="n">
        <f aca="false">+AP45/AQ$7</f>
        <v>1798.78344979454</v>
      </c>
      <c r="AR45" s="122" t="n">
        <f aca="false">+AP45/AR$7</f>
        <v>1.49276634837722</v>
      </c>
    </row>
    <row r="46" customFormat="false" ht="12.75" hidden="false" customHeight="false" outlineLevel="0" collapsed="false">
      <c r="A46" s="99" t="s">
        <v>228</v>
      </c>
      <c r="B46" s="44" t="s">
        <v>229</v>
      </c>
      <c r="C46" s="118" t="n">
        <v>0.4</v>
      </c>
      <c r="D46" s="119" t="n">
        <f aca="false">L46/$L$90</f>
        <v>0.0245473678396936</v>
      </c>
      <c r="E46" s="120" t="s">
        <v>109</v>
      </c>
      <c r="F46" s="120" t="s">
        <v>109</v>
      </c>
      <c r="G46" s="129"/>
      <c r="H46" s="120" t="s">
        <v>109</v>
      </c>
      <c r="I46" s="120" t="s">
        <v>109</v>
      </c>
      <c r="J46" s="129"/>
      <c r="K46" s="130" t="s">
        <v>109</v>
      </c>
      <c r="L46" s="121" t="n">
        <f aca="false">O46*TRUnits</f>
        <v>17423</v>
      </c>
      <c r="M46" s="121"/>
      <c r="N46" s="121"/>
      <c r="O46" s="121" t="n">
        <f aca="false">2489/2</f>
        <v>1244.5</v>
      </c>
      <c r="P46" s="122" t="n">
        <f aca="false">$O46/P$9</f>
        <v>0.904433139534884</v>
      </c>
      <c r="Q46" s="122" t="n">
        <f aca="false">$O46/Q$9</f>
        <v>0.716877880184332</v>
      </c>
      <c r="R46" s="122"/>
      <c r="S46" s="126" t="n">
        <f aca="false">T46*S$7</f>
        <v>2015.64</v>
      </c>
      <c r="T46" s="126" t="n">
        <f aca="false">2.25*CMF*40%*T$9</f>
        <v>2015.64</v>
      </c>
      <c r="U46" s="122" t="n">
        <f aca="false">+T46/T$9</f>
        <v>0.99</v>
      </c>
      <c r="V46" s="121"/>
      <c r="W46" s="126" t="n">
        <f aca="false">X46*W$7</f>
        <v>78906.96</v>
      </c>
      <c r="X46" s="126" t="n">
        <f aca="false">2.25*CMF*40%*X$9</f>
        <v>1095.93</v>
      </c>
      <c r="Y46" s="122" t="n">
        <f aca="false">+X46/X$9</f>
        <v>0.99</v>
      </c>
      <c r="Z46" s="121"/>
      <c r="AA46" s="126" t="n">
        <f aca="false">AB46*AA$7</f>
        <v>77721.93</v>
      </c>
      <c r="AB46" s="126" t="n">
        <f aca="false">2.25*CMF*40%*AB$9</f>
        <v>1274.13</v>
      </c>
      <c r="AC46" s="122" t="n">
        <f aca="false">+AB46/AB$9</f>
        <v>0.99</v>
      </c>
      <c r="AD46" s="121"/>
      <c r="AE46" s="126" t="n">
        <f aca="false">AF46*AE$7</f>
        <v>0</v>
      </c>
      <c r="AF46" s="126" t="n">
        <f aca="false">2.25*CMF*40%*AF$9</f>
        <v>1534.5</v>
      </c>
      <c r="AG46" s="122" t="n">
        <f aca="false">+AF46/AF$9</f>
        <v>0.99</v>
      </c>
      <c r="AH46" s="122"/>
      <c r="AI46" s="126" t="n">
        <f aca="false">+AA46+W46+S46+AE46</f>
        <v>158644.53</v>
      </c>
      <c r="AJ46" s="103" t="n">
        <f aca="false">+AI46/AI$7</f>
        <v>1192.81601503759</v>
      </c>
      <c r="AK46" s="122" t="n">
        <f aca="false">+AJ46/AJ$9</f>
        <v>0.989888809159829</v>
      </c>
      <c r="AL46" s="81"/>
      <c r="AM46" s="124" t="s">
        <v>230</v>
      </c>
      <c r="AN46" s="100" t="s">
        <v>231</v>
      </c>
      <c r="AO46" s="119" t="n">
        <f aca="false">AP46/$AP$49</f>
        <v>0.014827411388141</v>
      </c>
      <c r="AP46" s="99" t="n">
        <f aca="false">+AI89</f>
        <v>179955.45112782</v>
      </c>
      <c r="AQ46" s="125" t="n">
        <f aca="false">+AP46/AQ$7</f>
        <v>1353.04850472045</v>
      </c>
      <c r="AR46" s="122" t="n">
        <f aca="false">+AP46/AR$7</f>
        <v>1.12286182964353</v>
      </c>
    </row>
    <row r="47" customFormat="false" ht="12" hidden="false" customHeight="false" outlineLevel="0" collapsed="false">
      <c r="B47" s="110" t="s">
        <v>232</v>
      </c>
      <c r="C47" s="118"/>
      <c r="E47" s="120"/>
      <c r="F47" s="120"/>
      <c r="G47" s="120"/>
      <c r="H47" s="120"/>
      <c r="I47" s="120"/>
      <c r="J47" s="120"/>
      <c r="K47" s="120"/>
      <c r="L47" s="121"/>
      <c r="M47" s="121"/>
      <c r="N47" s="121"/>
      <c r="P47" s="122"/>
      <c r="Q47" s="122"/>
      <c r="R47" s="122"/>
      <c r="S47" s="126"/>
      <c r="T47" s="101"/>
      <c r="U47" s="122"/>
      <c r="V47" s="121"/>
      <c r="W47" s="126"/>
      <c r="X47" s="126"/>
      <c r="Y47" s="122"/>
      <c r="Z47" s="121"/>
      <c r="AA47" s="126"/>
      <c r="AB47" s="126"/>
      <c r="AC47" s="122"/>
      <c r="AD47" s="121"/>
      <c r="AE47" s="126"/>
      <c r="AF47" s="126"/>
      <c r="AG47" s="122"/>
      <c r="AH47" s="122"/>
      <c r="AI47" s="126"/>
      <c r="AJ47" s="103" t="s">
        <v>219</v>
      </c>
      <c r="AK47" s="122"/>
      <c r="AL47" s="81"/>
      <c r="AM47" s="124" t="s">
        <v>224</v>
      </c>
      <c r="AN47" s="100" t="s">
        <v>233</v>
      </c>
      <c r="AO47" s="119" t="n">
        <f aca="false">AP47/$AP$49</f>
        <v>0.0270304995892297</v>
      </c>
      <c r="AP47" s="99" t="n">
        <f aca="false">(SUM(AP$44:AP46)+SUM(AP$10:AP$41))*0.1-500000</f>
        <v>328060.348529929</v>
      </c>
      <c r="AQ47" s="125" t="n">
        <f aca="false">+AP47/AQ$7</f>
        <v>2466.61916187916</v>
      </c>
      <c r="AR47" s="122" t="n">
        <f aca="false">+AP47/AR$7</f>
        <v>2.04698685633126</v>
      </c>
    </row>
    <row r="48" customFormat="false" ht="12" hidden="false" customHeight="false" outlineLevel="0" collapsed="false">
      <c r="A48" s="99" t="s">
        <v>228</v>
      </c>
      <c r="B48" s="100" t="s">
        <v>144</v>
      </c>
      <c r="C48" s="118" t="n">
        <v>0.75</v>
      </c>
      <c r="D48" s="119" t="n">
        <f aca="false">L48/$L$90</f>
        <v>0</v>
      </c>
      <c r="E48" s="120" t="s">
        <v>109</v>
      </c>
      <c r="F48" s="120" t="s">
        <v>109</v>
      </c>
      <c r="G48" s="120" t="s">
        <v>109</v>
      </c>
      <c r="H48" s="120" t="s">
        <v>109</v>
      </c>
      <c r="I48" s="120" t="s">
        <v>109</v>
      </c>
      <c r="J48" s="120" t="s">
        <v>109</v>
      </c>
      <c r="K48" s="120" t="s">
        <v>109</v>
      </c>
      <c r="L48" s="121" t="n">
        <f aca="false">O48*TRUnits</f>
        <v>0</v>
      </c>
      <c r="M48" s="121"/>
      <c r="N48" s="121"/>
      <c r="O48" s="121" t="n">
        <v>0</v>
      </c>
      <c r="P48" s="122" t="n">
        <f aca="false">$O48/P$9</f>
        <v>0</v>
      </c>
      <c r="Q48" s="122" t="n">
        <f aca="false">$O48/Q$9</f>
        <v>0</v>
      </c>
      <c r="R48" s="122"/>
      <c r="S48" s="126" t="n">
        <f aca="false">T48*S$7</f>
        <v>0</v>
      </c>
      <c r="T48" s="126" t="n">
        <f aca="false">0*CMF</f>
        <v>0</v>
      </c>
      <c r="U48" s="122" t="n">
        <f aca="false">+T48/T$9</f>
        <v>0</v>
      </c>
      <c r="V48" s="121"/>
      <c r="W48" s="126" t="n">
        <f aca="false">X48*W$7</f>
        <v>0</v>
      </c>
      <c r="X48" s="126" t="n">
        <f aca="false">0*CMF</f>
        <v>0</v>
      </c>
      <c r="Y48" s="122" t="n">
        <f aca="false">+X48/X$9</f>
        <v>0</v>
      </c>
      <c r="Z48" s="121"/>
      <c r="AA48" s="126" t="n">
        <f aca="false">AB48*AA$7</f>
        <v>0</v>
      </c>
      <c r="AB48" s="126" t="n">
        <f aca="false">0*CMF</f>
        <v>0</v>
      </c>
      <c r="AC48" s="122" t="n">
        <f aca="false">+AB48/AB$9</f>
        <v>0</v>
      </c>
      <c r="AD48" s="121"/>
      <c r="AE48" s="126" t="n">
        <f aca="false">AF48*AE$7</f>
        <v>0</v>
      </c>
      <c r="AF48" s="126" t="n">
        <f aca="false">0*CMF</f>
        <v>0</v>
      </c>
      <c r="AG48" s="122" t="n">
        <f aca="false">+AF48/AF$9</f>
        <v>0</v>
      </c>
      <c r="AH48" s="122"/>
      <c r="AI48" s="126" t="n">
        <f aca="false">+AA48+W48+S48+AE48</f>
        <v>0</v>
      </c>
      <c r="AJ48" s="103" t="n">
        <f aca="false">+AI48/AI$7</f>
        <v>0</v>
      </c>
      <c r="AK48" s="122" t="n">
        <f aca="false">+AJ48/AJ$9</f>
        <v>0</v>
      </c>
      <c r="AL48" s="81"/>
      <c r="AM48" s="124" t="s">
        <v>226</v>
      </c>
      <c r="AN48" s="100" t="s">
        <v>234</v>
      </c>
      <c r="AO48" s="119" t="n">
        <f aca="false">AP48/$AP$49</f>
        <v>0.106396499272256</v>
      </c>
      <c r="AP48" s="99" t="n">
        <f aca="false">(SUM(AP$44:AP47)+SUM(AP$10:AP$41))*0.15</f>
        <v>1291299.57507438</v>
      </c>
      <c r="AQ48" s="125" t="n">
        <f aca="false">+AP48/AQ$7</f>
        <v>9709.01936146152</v>
      </c>
      <c r="AR48" s="122" t="n">
        <f aca="false">+AP48/AR$7</f>
        <v>8.0572774783913</v>
      </c>
    </row>
    <row r="49" customFormat="false" ht="12.75" hidden="false" customHeight="false" outlineLevel="0" collapsed="false">
      <c r="A49" s="99" t="s">
        <v>228</v>
      </c>
      <c r="B49" s="100" t="s">
        <v>229</v>
      </c>
      <c r="C49" s="118" t="n">
        <v>0.25</v>
      </c>
      <c r="D49" s="119" t="n">
        <f aca="false">L49/$L$90</f>
        <v>0.00394493657528221</v>
      </c>
      <c r="E49" s="120" t="s">
        <v>109</v>
      </c>
      <c r="F49" s="120" t="s">
        <v>109</v>
      </c>
      <c r="G49" s="120" t="s">
        <v>109</v>
      </c>
      <c r="H49" s="120" t="s">
        <v>109</v>
      </c>
      <c r="I49" s="120" t="s">
        <v>109</v>
      </c>
      <c r="J49" s="120" t="s">
        <v>109</v>
      </c>
      <c r="K49" s="120" t="s">
        <v>109</v>
      </c>
      <c r="L49" s="121" t="n">
        <f aca="false">O49*TRUnits</f>
        <v>2800</v>
      </c>
      <c r="M49" s="121"/>
      <c r="N49" s="121"/>
      <c r="O49" s="121" t="n">
        <f aca="false">400/2</f>
        <v>200</v>
      </c>
      <c r="P49" s="122" t="n">
        <f aca="false">$O49/P$9</f>
        <v>0.145348837209302</v>
      </c>
      <c r="Q49" s="122" t="n">
        <f aca="false">$O49/Q$9</f>
        <v>0.115207373271889</v>
      </c>
      <c r="R49" s="122"/>
      <c r="S49" s="126" t="n">
        <f aca="false">T49*S$7</f>
        <v>220</v>
      </c>
      <c r="T49" s="126" t="n">
        <f aca="false">$O49*CMF</f>
        <v>220</v>
      </c>
      <c r="U49" s="122" t="n">
        <f aca="false">+T49/T$9</f>
        <v>0.108055009823183</v>
      </c>
      <c r="V49" s="121"/>
      <c r="W49" s="126" t="n">
        <f aca="false">X49*W$7</f>
        <v>15840</v>
      </c>
      <c r="X49" s="126" t="n">
        <f aca="false">$O49*CMF</f>
        <v>220</v>
      </c>
      <c r="Y49" s="122" t="n">
        <f aca="false">+X49/X$9</f>
        <v>0.19873532068654</v>
      </c>
      <c r="Z49" s="121"/>
      <c r="AA49" s="126" t="n">
        <f aca="false">AB49*AA$7</f>
        <v>13420</v>
      </c>
      <c r="AB49" s="126" t="n">
        <f aca="false">$O49*CMF</f>
        <v>220</v>
      </c>
      <c r="AC49" s="122" t="n">
        <f aca="false">+AB49/AB$9</f>
        <v>0.170940170940171</v>
      </c>
      <c r="AD49" s="121"/>
      <c r="AE49" s="126" t="n">
        <f aca="false">AF49*AE$7</f>
        <v>0</v>
      </c>
      <c r="AF49" s="126" t="n">
        <f aca="false">$O49*CMF</f>
        <v>220</v>
      </c>
      <c r="AG49" s="122" t="n">
        <f aca="false">+AF49/AF$9</f>
        <v>0.141935483870968</v>
      </c>
      <c r="AH49" s="122"/>
      <c r="AI49" s="126" t="n">
        <f aca="false">+AA49+W49+S49+AE49</f>
        <v>29480</v>
      </c>
      <c r="AJ49" s="103" t="n">
        <f aca="false">+AI49/AI$7</f>
        <v>221.654135338346</v>
      </c>
      <c r="AK49" s="122" t="n">
        <f aca="false">+AJ49/AJ$9</f>
        <v>0.183945340529748</v>
      </c>
      <c r="AL49" s="81"/>
      <c r="AM49" s="124"/>
      <c r="AN49" s="135" t="s">
        <v>97</v>
      </c>
      <c r="AO49" s="136" t="n">
        <f aca="false">SUM(AO10:AO48)</f>
        <v>1</v>
      </c>
      <c r="AP49" s="137" t="n">
        <f aca="false">SUM(AP10:AP48)</f>
        <v>12136673.5175196</v>
      </c>
      <c r="AQ49" s="137" t="n">
        <f aca="false">+AP49/AQ$7</f>
        <v>91253.1843422529</v>
      </c>
      <c r="AR49" s="138" t="n">
        <f aca="false">+AP49/AR$7</f>
        <v>75.7287836865169</v>
      </c>
    </row>
    <row r="50" customFormat="false" ht="12.75" hidden="false" customHeight="false" outlineLevel="0" collapsed="false">
      <c r="B50" s="110" t="s">
        <v>235</v>
      </c>
      <c r="C50" s="118"/>
      <c r="D50" s="119"/>
      <c r="E50" s="120"/>
      <c r="F50" s="120"/>
      <c r="G50" s="120"/>
      <c r="H50" s="120"/>
      <c r="I50" s="120"/>
      <c r="J50" s="120"/>
      <c r="K50" s="120"/>
      <c r="L50" s="121" t="n">
        <f aca="false">O50*TRUnits</f>
        <v>0</v>
      </c>
      <c r="M50" s="121"/>
      <c r="N50" s="121"/>
      <c r="O50" s="121"/>
      <c r="P50" s="122"/>
      <c r="Q50" s="122"/>
      <c r="R50" s="122"/>
      <c r="S50" s="133"/>
      <c r="T50" s="133"/>
      <c r="U50" s="122"/>
      <c r="V50" s="121"/>
      <c r="W50" s="126"/>
      <c r="X50" s="126"/>
      <c r="Y50" s="122"/>
      <c r="Z50" s="121"/>
      <c r="AA50" s="126"/>
      <c r="AB50" s="126"/>
      <c r="AC50" s="122"/>
      <c r="AD50" s="121"/>
      <c r="AE50" s="126"/>
      <c r="AF50" s="126"/>
      <c r="AG50" s="122"/>
      <c r="AH50" s="122"/>
      <c r="AI50" s="126"/>
      <c r="AJ50" s="103" t="s">
        <v>219</v>
      </c>
      <c r="AK50" s="122"/>
      <c r="AL50" s="81"/>
      <c r="AM50" s="124"/>
      <c r="AN50" s="139" t="s">
        <v>236</v>
      </c>
    </row>
    <row r="51" customFormat="false" ht="12.75" hidden="false" customHeight="false" outlineLevel="0" collapsed="false">
      <c r="A51" s="99" t="s">
        <v>237</v>
      </c>
      <c r="B51" s="100" t="s">
        <v>144</v>
      </c>
      <c r="C51" s="118" t="n">
        <v>0.6</v>
      </c>
      <c r="D51" s="119" t="n">
        <f aca="false">L51/$L$90</f>
        <v>0.0236696194516933</v>
      </c>
      <c r="E51" s="120" t="s">
        <v>109</v>
      </c>
      <c r="F51" s="120" t="s">
        <v>109</v>
      </c>
      <c r="G51" s="120" t="s">
        <v>109</v>
      </c>
      <c r="H51" s="120" t="s">
        <v>109</v>
      </c>
      <c r="I51" s="120" t="s">
        <v>109</v>
      </c>
      <c r="J51" s="120" t="s">
        <v>109</v>
      </c>
      <c r="K51" s="120" t="s">
        <v>109</v>
      </c>
      <c r="L51" s="121" t="n">
        <f aca="false">O51*TRUnits</f>
        <v>16800</v>
      </c>
      <c r="M51" s="121"/>
      <c r="N51" s="121"/>
      <c r="O51" s="121" t="n">
        <f aca="false">2400/2</f>
        <v>1200</v>
      </c>
      <c r="P51" s="122" t="n">
        <f aca="false">$O51/P$9</f>
        <v>0.872093023255814</v>
      </c>
      <c r="Q51" s="122" t="n">
        <f aca="false">$O51/Q$9</f>
        <v>0.691244239631336</v>
      </c>
      <c r="R51" s="122"/>
      <c r="S51" s="126" t="n">
        <f aca="false">T51*S$7</f>
        <v>2620.332</v>
      </c>
      <c r="T51" s="126" t="n">
        <f aca="false">1.17*T$9*CMF</f>
        <v>2620.332</v>
      </c>
      <c r="U51" s="122" t="n">
        <f aca="false">+T51/T$9</f>
        <v>1.287</v>
      </c>
      <c r="V51" s="121"/>
      <c r="W51" s="126" t="n">
        <f aca="false">X51*W$7</f>
        <v>102579.048</v>
      </c>
      <c r="X51" s="126" t="n">
        <f aca="false">1.17*X$9*CMF</f>
        <v>1424.709</v>
      </c>
      <c r="Y51" s="122" t="n">
        <f aca="false">+X51/X$9</f>
        <v>1.287</v>
      </c>
      <c r="Z51" s="121"/>
      <c r="AA51" s="126" t="n">
        <f aca="false">AB51*AA$7</f>
        <v>101038.509</v>
      </c>
      <c r="AB51" s="126" t="n">
        <f aca="false">1.17*AB$9*CMF</f>
        <v>1656.369</v>
      </c>
      <c r="AC51" s="122" t="n">
        <f aca="false">+AB51/AB$9</f>
        <v>1.287</v>
      </c>
      <c r="AD51" s="121"/>
      <c r="AE51" s="126" t="n">
        <f aca="false">AF51*AE$7</f>
        <v>0</v>
      </c>
      <c r="AF51" s="126" t="n">
        <f aca="false">1.17*AF$9*CMF</f>
        <v>1994.85</v>
      </c>
      <c r="AG51" s="122" t="n">
        <f aca="false">+AF51/AF$9</f>
        <v>1.287</v>
      </c>
      <c r="AH51" s="122"/>
      <c r="AI51" s="126" t="n">
        <f aca="false">+AA51+W51+S51+AE51</f>
        <v>206237.889</v>
      </c>
      <c r="AJ51" s="103" t="n">
        <f aca="false">+AI51/AI$7</f>
        <v>1550.66081954887</v>
      </c>
      <c r="AK51" s="122" t="n">
        <f aca="false">+AJ51/AJ$9</f>
        <v>1.28685545190778</v>
      </c>
      <c r="AL51" s="81"/>
      <c r="AM51" s="124"/>
      <c r="AN51" s="100" t="s">
        <v>238</v>
      </c>
      <c r="AO51" s="119" t="n">
        <f aca="false">AP51/$AP$49</f>
        <v>-0.15606994760679</v>
      </c>
      <c r="AP51" s="100" t="n">
        <f aca="false">-AP43</f>
        <v>-1894170</v>
      </c>
      <c r="AQ51" s="121" t="n">
        <f aca="false">AP51/AQ$7</f>
        <v>-14241.8796992481</v>
      </c>
      <c r="AR51" s="140" t="n">
        <f aca="false">AQ51/AR$7</f>
        <v>-0.0888645661825609</v>
      </c>
    </row>
    <row r="52" customFormat="false" ht="12.75" hidden="false" customHeight="false" outlineLevel="0" collapsed="false">
      <c r="A52" s="99" t="s">
        <v>239</v>
      </c>
      <c r="B52" s="100" t="s">
        <v>240</v>
      </c>
      <c r="C52" s="118" t="n">
        <v>0.4</v>
      </c>
      <c r="D52" s="119" t="n">
        <f aca="false">L52/$L$90</f>
        <v>0.0157797463011288</v>
      </c>
      <c r="E52" s="120" t="s">
        <v>109</v>
      </c>
      <c r="F52" s="120" t="s">
        <v>109</v>
      </c>
      <c r="G52" s="129"/>
      <c r="H52" s="120" t="s">
        <v>109</v>
      </c>
      <c r="I52" s="120" t="s">
        <v>109</v>
      </c>
      <c r="J52" s="130" t="s">
        <v>109</v>
      </c>
      <c r="K52" s="120" t="s">
        <v>109</v>
      </c>
      <c r="L52" s="121" t="n">
        <f aca="false">O52*TRUnits</f>
        <v>11200</v>
      </c>
      <c r="M52" s="121"/>
      <c r="N52" s="121"/>
      <c r="O52" s="121" t="n">
        <f aca="false">1600/2</f>
        <v>800</v>
      </c>
      <c r="P52" s="122" t="n">
        <f aca="false">$O52/P$9</f>
        <v>0.581395348837209</v>
      </c>
      <c r="Q52" s="122" t="n">
        <f aca="false">$O52/Q$9</f>
        <v>0.460829493087558</v>
      </c>
      <c r="R52" s="122"/>
      <c r="S52" s="126" t="n">
        <f aca="false">T52*S$7</f>
        <v>2620.332</v>
      </c>
      <c r="T52" s="126" t="n">
        <f aca="false">1.17*T$9*CMF</f>
        <v>2620.332</v>
      </c>
      <c r="U52" s="122" t="n">
        <f aca="false">+T52/T$9</f>
        <v>1.287</v>
      </c>
      <c r="V52" s="121"/>
      <c r="W52" s="126" t="n">
        <f aca="false">X52*W$7</f>
        <v>102579.048</v>
      </c>
      <c r="X52" s="126" t="n">
        <f aca="false">1.17*X$9*CMF</f>
        <v>1424.709</v>
      </c>
      <c r="Y52" s="122" t="n">
        <f aca="false">+X52/X$9</f>
        <v>1.287</v>
      </c>
      <c r="Z52" s="121"/>
      <c r="AA52" s="126" t="n">
        <f aca="false">AB52*AA$7</f>
        <v>101038.509</v>
      </c>
      <c r="AB52" s="126" t="n">
        <f aca="false">1.17*AB$9*CMF</f>
        <v>1656.369</v>
      </c>
      <c r="AC52" s="122" t="n">
        <f aca="false">+AB52/AB$9</f>
        <v>1.287</v>
      </c>
      <c r="AD52" s="121"/>
      <c r="AE52" s="126" t="n">
        <f aca="false">AF52*AE$7</f>
        <v>0</v>
      </c>
      <c r="AF52" s="126" t="n">
        <f aca="false">1.17*AF$9*CMF</f>
        <v>1994.85</v>
      </c>
      <c r="AG52" s="122" t="n">
        <f aca="false">+AF52/AF$9</f>
        <v>1.287</v>
      </c>
      <c r="AH52" s="122"/>
      <c r="AI52" s="126" t="n">
        <f aca="false">+AA52+W52+S52+AE52</f>
        <v>206237.889</v>
      </c>
      <c r="AJ52" s="103" t="n">
        <f aca="false">+AI52/AI$7</f>
        <v>1550.66081954887</v>
      </c>
      <c r="AK52" s="122" t="n">
        <f aca="false">+AJ52/AJ$9</f>
        <v>1.28685545190778</v>
      </c>
      <c r="AL52" s="81"/>
      <c r="AM52" s="124"/>
      <c r="AN52" s="100" t="s">
        <v>241</v>
      </c>
      <c r="AO52" s="119" t="n">
        <f aca="false">AP52/$AP$49</f>
        <v>-0.0282235579725831</v>
      </c>
      <c r="AP52" s="100" t="n">
        <f aca="false">-AP42</f>
        <v>-342540.108616029</v>
      </c>
      <c r="AQ52" s="121" t="n">
        <f aca="false">AP52/AQ$7</f>
        <v>-2575.48953846638</v>
      </c>
      <c r="AR52" s="140" t="n">
        <f aca="false">AQ52/AR$7</f>
        <v>-0.0160701933576663</v>
      </c>
    </row>
    <row r="53" customFormat="false" ht="12" hidden="false" customHeight="false" outlineLevel="0" collapsed="false">
      <c r="A53" s="99" t="s">
        <v>242</v>
      </c>
      <c r="B53" s="110" t="s">
        <v>243</v>
      </c>
      <c r="C53" s="118"/>
      <c r="D53" s="119" t="n">
        <f aca="false">L53/$L$90</f>
        <v>0.0189988145465591</v>
      </c>
      <c r="E53" s="120" t="s">
        <v>109</v>
      </c>
      <c r="F53" s="120" t="s">
        <v>109</v>
      </c>
      <c r="G53" s="120" t="s">
        <v>109</v>
      </c>
      <c r="H53" s="120" t="s">
        <v>109</v>
      </c>
      <c r="I53" s="120" t="s">
        <v>109</v>
      </c>
      <c r="J53" s="120" t="s">
        <v>109</v>
      </c>
      <c r="K53" s="120" t="s">
        <v>109</v>
      </c>
      <c r="L53" s="121" t="n">
        <f aca="false">O53*TRUnits</f>
        <v>13484.8</v>
      </c>
      <c r="M53" s="121"/>
      <c r="N53" s="121"/>
      <c r="O53" s="121" t="n">
        <f aca="false">(1376*0.7)</f>
        <v>963.2</v>
      </c>
      <c r="P53" s="122" t="n">
        <f aca="false">$O53/P$9</f>
        <v>0.7</v>
      </c>
      <c r="Q53" s="122" t="n">
        <f aca="false">$O53/Q$9</f>
        <v>0.554838709677419</v>
      </c>
      <c r="R53" s="122"/>
      <c r="S53" s="126" t="n">
        <f aca="false">T53*S$7</f>
        <v>1679.7</v>
      </c>
      <c r="T53" s="126" t="n">
        <f aca="false">T$9*0.75*CMF</f>
        <v>1679.7</v>
      </c>
      <c r="U53" s="122" t="n">
        <f aca="false">+T53/T$9</f>
        <v>0.825</v>
      </c>
      <c r="V53" s="121"/>
      <c r="W53" s="126" t="n">
        <f aca="false">X53*W$7</f>
        <v>74523.24</v>
      </c>
      <c r="X53" s="126" t="n">
        <f aca="false">X$9*0.85*CMF</f>
        <v>1035.045</v>
      </c>
      <c r="Y53" s="122" t="n">
        <f aca="false">+X53/X$9</f>
        <v>0.935</v>
      </c>
      <c r="Z53" s="121"/>
      <c r="AA53" s="126" t="n">
        <f aca="false">AB53*AA$7</f>
        <v>73404.045</v>
      </c>
      <c r="AB53" s="126" t="n">
        <f aca="false">AB$9*0.85*CMF</f>
        <v>1203.345</v>
      </c>
      <c r="AC53" s="122" t="n">
        <f aca="false">+AB53/AB$9</f>
        <v>0.935</v>
      </c>
      <c r="AD53" s="121"/>
      <c r="AE53" s="126" t="n">
        <f aca="false">AF53*AE$7</f>
        <v>0</v>
      </c>
      <c r="AF53" s="126" t="n">
        <f aca="false">AF$9*0.85*CMF</f>
        <v>1449.25</v>
      </c>
      <c r="AG53" s="122" t="n">
        <f aca="false">+AF53/AF$9</f>
        <v>0.935</v>
      </c>
      <c r="AH53" s="122"/>
      <c r="AI53" s="126" t="n">
        <f aca="false">+AA53+W53+S53+AE53</f>
        <v>149606.985</v>
      </c>
      <c r="AJ53" s="103" t="n">
        <f aca="false">+AI53/AI$7</f>
        <v>1124.86454887218</v>
      </c>
      <c r="AK53" s="122" t="n">
        <f aca="false">+AJ53/AJ$9</f>
        <v>0.93349755093127</v>
      </c>
      <c r="AL53" s="81"/>
      <c r="AM53" s="124"/>
      <c r="AN53" s="100" t="s">
        <v>233</v>
      </c>
      <c r="AO53" s="119" t="n">
        <f aca="false">AP53/$AP$49</f>
        <v>-0.0270304995892297</v>
      </c>
      <c r="AP53" s="100" t="n">
        <f aca="false">-AP47</f>
        <v>-328060.348529929</v>
      </c>
      <c r="AQ53" s="121" t="n">
        <f aca="false">AP53/AQ$7</f>
        <v>-2466.61916187916</v>
      </c>
      <c r="AR53" s="140" t="n">
        <f aca="false">AQ53/AR$7</f>
        <v>-0.015390878619032</v>
      </c>
    </row>
    <row r="54" customFormat="false" ht="12" hidden="false" customHeight="false" outlineLevel="0" collapsed="false">
      <c r="A54" s="99" t="s">
        <v>244</v>
      </c>
      <c r="B54" s="110" t="s">
        <v>245</v>
      </c>
      <c r="C54" s="118"/>
      <c r="E54" s="120"/>
      <c r="F54" s="120"/>
      <c r="G54" s="120"/>
      <c r="H54" s="120"/>
      <c r="I54" s="120"/>
      <c r="K54" s="120"/>
      <c r="L54" s="121"/>
      <c r="M54" s="121"/>
      <c r="N54" s="121"/>
      <c r="O54" s="121"/>
      <c r="P54" s="122"/>
      <c r="Q54" s="122"/>
      <c r="R54" s="122"/>
      <c r="S54" s="126"/>
      <c r="T54" s="133"/>
      <c r="U54" s="122"/>
      <c r="V54" s="121"/>
      <c r="W54" s="126"/>
      <c r="X54" s="126"/>
      <c r="Y54" s="122"/>
      <c r="Z54" s="121"/>
      <c r="AA54" s="126"/>
      <c r="AB54" s="126"/>
      <c r="AC54" s="122"/>
      <c r="AD54" s="121"/>
      <c r="AE54" s="126"/>
      <c r="AF54" s="126"/>
      <c r="AG54" s="122"/>
      <c r="AH54" s="122"/>
      <c r="AI54" s="126"/>
      <c r="AJ54" s="103" t="s">
        <v>219</v>
      </c>
      <c r="AK54" s="122"/>
      <c r="AL54" s="81"/>
      <c r="AM54" s="124"/>
      <c r="AN54" s="100" t="s">
        <v>246</v>
      </c>
      <c r="AO54" s="119" t="n">
        <f aca="false">AP54/$AP$49</f>
        <v>-0.106396499272256</v>
      </c>
      <c r="AP54" s="100" t="n">
        <f aca="false">-AP48</f>
        <v>-1291299.57507438</v>
      </c>
      <c r="AQ54" s="121" t="n">
        <f aca="false">AP54/AQ$7</f>
        <v>-9709.01936146152</v>
      </c>
      <c r="AR54" s="140" t="n">
        <f aca="false">AQ54/AR$7</f>
        <v>-0.0605810336721151</v>
      </c>
    </row>
    <row r="55" customFormat="false" ht="12.75" hidden="false" customHeight="false" outlineLevel="0" collapsed="false">
      <c r="A55" s="99" t="s">
        <v>244</v>
      </c>
      <c r="B55" s="100" t="s">
        <v>247</v>
      </c>
      <c r="C55" s="118"/>
      <c r="D55" s="119" t="n">
        <f aca="false">L55/$L$90</f>
        <v>0.028793105828841</v>
      </c>
      <c r="E55" s="120" t="s">
        <v>109</v>
      </c>
      <c r="F55" s="120" t="s">
        <v>109</v>
      </c>
      <c r="G55" s="120" t="s">
        <v>109</v>
      </c>
      <c r="H55" s="120" t="s">
        <v>109</v>
      </c>
      <c r="I55" s="120" t="s">
        <v>109</v>
      </c>
      <c r="J55" s="120" t="s">
        <v>109</v>
      </c>
      <c r="K55" s="120" t="s">
        <v>109</v>
      </c>
      <c r="L55" s="121" t="n">
        <f aca="false">7*O55</f>
        <v>20436.5</v>
      </c>
      <c r="M55" s="121"/>
      <c r="N55" s="121"/>
      <c r="O55" s="121" t="n">
        <f aca="false">(2739+(21700/7))/2</f>
        <v>2919.5</v>
      </c>
      <c r="P55" s="122" t="n">
        <f aca="false">$O55/P$9</f>
        <v>2.12172965116279</v>
      </c>
      <c r="Q55" s="122" t="n">
        <f aca="false">$O55/Q$9</f>
        <v>1.68173963133641</v>
      </c>
      <c r="R55" s="122"/>
      <c r="S55" s="126" t="n">
        <f aca="false">T55*S$7</f>
        <v>2217.204</v>
      </c>
      <c r="T55" s="126" t="n">
        <f aca="false">T$9*3*0.33*CMF</f>
        <v>2217.204</v>
      </c>
      <c r="U55" s="122" t="n">
        <f aca="false">+T55/T$9</f>
        <v>1.089</v>
      </c>
      <c r="V55" s="121"/>
      <c r="W55" s="126" t="n">
        <f aca="false">X55*W$7</f>
        <v>86797.656</v>
      </c>
      <c r="X55" s="126" t="n">
        <f aca="false">X$9*3*0.33*CMF</f>
        <v>1205.523</v>
      </c>
      <c r="Y55" s="122" t="n">
        <f aca="false">+X55/X$9</f>
        <v>1.089</v>
      </c>
      <c r="Z55" s="121"/>
      <c r="AA55" s="126" t="n">
        <f aca="false">AB55*AA$7</f>
        <v>85494.123</v>
      </c>
      <c r="AB55" s="126" t="n">
        <f aca="false">AB$9*3*0.33*CMF</f>
        <v>1401.543</v>
      </c>
      <c r="AC55" s="122" t="n">
        <f aca="false">+AB55/AB$9</f>
        <v>1.089</v>
      </c>
      <c r="AD55" s="121"/>
      <c r="AE55" s="126" t="n">
        <f aca="false">AF55*AE$7</f>
        <v>0</v>
      </c>
      <c r="AF55" s="126" t="n">
        <f aca="false">AF$9*3*0.33*CMF</f>
        <v>1687.95</v>
      </c>
      <c r="AG55" s="122" t="n">
        <f aca="false">+AF55/AF$9</f>
        <v>1.089</v>
      </c>
      <c r="AH55" s="122"/>
      <c r="AI55" s="126" t="n">
        <f aca="false">+AA55+W55+S55+AE55</f>
        <v>174508.983</v>
      </c>
      <c r="AJ55" s="103" t="n">
        <f aca="false">+AI55/AI$7</f>
        <v>1312.09761654135</v>
      </c>
      <c r="AK55" s="122" t="n">
        <f aca="false">+AJ55/AJ$9</f>
        <v>1.08887769007581</v>
      </c>
      <c r="AL55" s="81"/>
      <c r="AM55" s="124"/>
      <c r="AN55" s="135" t="s">
        <v>248</v>
      </c>
      <c r="AO55" s="136" t="n">
        <f aca="false">AP55/$AP$49</f>
        <v>0.682279495559142</v>
      </c>
      <c r="AP55" s="137" t="n">
        <f aca="false">SUM(AP49:AP54)</f>
        <v>8280603.48529929</v>
      </c>
      <c r="AQ55" s="137" t="n">
        <f aca="false">+AP55/AQ$7</f>
        <v>62260.1765811977</v>
      </c>
      <c r="AR55" s="138" t="n">
        <f aca="false">+AP55/AR$7</f>
        <v>51.6681963329441</v>
      </c>
    </row>
    <row r="56" customFormat="false" ht="13.5" hidden="false" customHeight="false" outlineLevel="0" collapsed="false">
      <c r="A56" s="99" t="s">
        <v>244</v>
      </c>
      <c r="B56" s="100" t="s">
        <v>249</v>
      </c>
      <c r="C56" s="118"/>
      <c r="D56" s="119" t="n">
        <f aca="false">L56/$L$90</f>
        <v>0.0199712414123662</v>
      </c>
      <c r="E56" s="120" t="s">
        <v>109</v>
      </c>
      <c r="F56" s="120" t="s">
        <v>109</v>
      </c>
      <c r="G56" s="130" t="s">
        <v>109</v>
      </c>
      <c r="H56" s="120" t="s">
        <v>109</v>
      </c>
      <c r="I56" s="120" t="s">
        <v>109</v>
      </c>
      <c r="J56" s="130" t="s">
        <v>109</v>
      </c>
      <c r="K56" s="130" t="s">
        <v>109</v>
      </c>
      <c r="L56" s="121" t="n">
        <f aca="false">7*O56</f>
        <v>14175</v>
      </c>
      <c r="M56" s="121"/>
      <c r="N56" s="121"/>
      <c r="O56" s="121" t="n">
        <f aca="false">4050/2</f>
        <v>2025</v>
      </c>
      <c r="P56" s="122" t="n">
        <f aca="false">$O56/P$9</f>
        <v>1.47165697674419</v>
      </c>
      <c r="Q56" s="122" t="n">
        <f aca="false">$O56/Q$9</f>
        <v>1.16647465437788</v>
      </c>
      <c r="R56" s="122"/>
      <c r="S56" s="126" t="n">
        <f aca="false">T56*S$7</f>
        <v>4501.596</v>
      </c>
      <c r="T56" s="126" t="n">
        <f aca="false">$T$9*3*0.67*CMF</f>
        <v>4501.596</v>
      </c>
      <c r="U56" s="122" t="n">
        <f aca="false">+T56/T$9</f>
        <v>2.211</v>
      </c>
      <c r="V56" s="121"/>
      <c r="W56" s="126" t="n">
        <f aca="false">X56*W$7</f>
        <v>324114.912</v>
      </c>
      <c r="X56" s="126" t="n">
        <f aca="false">$T$9*3*0.67*CMF</f>
        <v>4501.596</v>
      </c>
      <c r="Y56" s="122" t="n">
        <f aca="false">+X56/X$9</f>
        <v>4.06648238482385</v>
      </c>
      <c r="Z56" s="121"/>
      <c r="AA56" s="126" t="n">
        <f aca="false">AB56*AA$7</f>
        <v>274597.356</v>
      </c>
      <c r="AB56" s="126" t="n">
        <f aca="false">$T$9*3*0.67*CMF</f>
        <v>4501.596</v>
      </c>
      <c r="AC56" s="122" t="n">
        <f aca="false">+AB56/AB$9</f>
        <v>3.49774358974359</v>
      </c>
      <c r="AD56" s="121"/>
      <c r="AE56" s="126" t="n">
        <f aca="false">AF56*AE$7</f>
        <v>0</v>
      </c>
      <c r="AF56" s="126" t="n">
        <f aca="false">$T$9*3*0.67*CMF</f>
        <v>4501.596</v>
      </c>
      <c r="AG56" s="122" t="n">
        <f aca="false">+AF56/AF$9</f>
        <v>2.90425548387097</v>
      </c>
      <c r="AH56" s="122"/>
      <c r="AI56" s="126" t="n">
        <f aca="false">+AA56+W56+S56+AE56</f>
        <v>603213.864</v>
      </c>
      <c r="AJ56" s="103" t="n">
        <f aca="false">+AI56/AI$7</f>
        <v>4535.44258646617</v>
      </c>
      <c r="AK56" s="122" t="n">
        <f aca="false">+AJ56/AJ$9</f>
        <v>3.76385276885159</v>
      </c>
      <c r="AL56" s="81"/>
      <c r="AM56" s="124"/>
    </row>
    <row r="57" customFormat="false" ht="12.75" hidden="false" customHeight="false" outlineLevel="0" collapsed="false">
      <c r="A57" s="99" t="s">
        <v>250</v>
      </c>
      <c r="B57" s="127" t="s">
        <v>251</v>
      </c>
      <c r="C57" s="118"/>
      <c r="D57" s="119" t="n">
        <f aca="false">L57/$L$90</f>
        <v>0.00359975462494502</v>
      </c>
      <c r="E57" s="120" t="s">
        <v>109</v>
      </c>
      <c r="F57" s="120" t="s">
        <v>109</v>
      </c>
      <c r="G57" s="129"/>
      <c r="H57" s="120" t="s">
        <v>109</v>
      </c>
      <c r="I57" s="120" t="s">
        <v>109</v>
      </c>
      <c r="J57" s="130" t="s">
        <v>109</v>
      </c>
      <c r="K57" s="130" t="s">
        <v>109</v>
      </c>
      <c r="L57" s="121" t="n">
        <f aca="false">7*O57</f>
        <v>2555</v>
      </c>
      <c r="M57" s="121"/>
      <c r="N57" s="121"/>
      <c r="O57" s="121" t="n">
        <f aca="false">730/2</f>
        <v>365</v>
      </c>
      <c r="P57" s="122" t="n">
        <f aca="false">$O57/P$9</f>
        <v>0.265261627906977</v>
      </c>
      <c r="Q57" s="122" t="n">
        <f aca="false">$O57/Q$9</f>
        <v>0.210253456221198</v>
      </c>
      <c r="R57" s="122"/>
      <c r="S57" s="126" t="n">
        <f aca="false">T57*S$7</f>
        <v>365</v>
      </c>
      <c r="T57" s="126" t="n">
        <f aca="false">+O57</f>
        <v>365</v>
      </c>
      <c r="U57" s="122" t="n">
        <f aca="false">+T57/T$9</f>
        <v>0.179273084479371</v>
      </c>
      <c r="V57" s="121"/>
      <c r="W57" s="126" t="n">
        <f aca="false">X57*W$7</f>
        <v>0</v>
      </c>
      <c r="X57" s="126" t="n">
        <v>0</v>
      </c>
      <c r="Y57" s="122" t="n">
        <f aca="false">+X57/X$9</f>
        <v>0</v>
      </c>
      <c r="Z57" s="121"/>
      <c r="AA57" s="126" t="n">
        <f aca="false">AB57*AA$7</f>
        <v>22265</v>
      </c>
      <c r="AB57" s="126" t="n">
        <f aca="false">+O57</f>
        <v>365</v>
      </c>
      <c r="AC57" s="122" t="n">
        <f aca="false">+AB57/AB$9</f>
        <v>0.283605283605284</v>
      </c>
      <c r="AD57" s="121"/>
      <c r="AE57" s="126" t="n">
        <f aca="false">AF57*AE$7</f>
        <v>0</v>
      </c>
      <c r="AF57" s="126" t="n">
        <v>0</v>
      </c>
      <c r="AG57" s="122" t="n">
        <f aca="false">+AF57/AF$9</f>
        <v>0</v>
      </c>
      <c r="AH57" s="122"/>
      <c r="AI57" s="126" t="n">
        <f aca="false">+AA57+W57+S57+AE57</f>
        <v>22630</v>
      </c>
      <c r="AJ57" s="103" t="n">
        <f aca="false">+AI57/AI$7</f>
        <v>170.15037593985</v>
      </c>
      <c r="AK57" s="122" t="n">
        <f aca="false">+AJ57/AJ$9</f>
        <v>0.141203631485352</v>
      </c>
      <c r="AL57" s="81"/>
      <c r="AM57" s="124"/>
      <c r="AP57" s="100" t="n">
        <f aca="false">0.75*AP49</f>
        <v>9102505.13813972</v>
      </c>
    </row>
    <row r="58" customFormat="false" ht="12" hidden="false" customHeight="false" outlineLevel="0" collapsed="false">
      <c r="B58" s="127" t="s">
        <v>252</v>
      </c>
      <c r="C58" s="118"/>
      <c r="D58" s="119"/>
      <c r="E58" s="120"/>
      <c r="F58" s="120"/>
      <c r="G58" s="141"/>
      <c r="H58" s="120"/>
      <c r="I58" s="120"/>
      <c r="J58" s="130"/>
      <c r="K58" s="130"/>
      <c r="L58" s="121"/>
      <c r="M58" s="121"/>
      <c r="N58" s="121"/>
      <c r="O58" s="121"/>
      <c r="P58" s="122"/>
      <c r="Q58" s="122"/>
      <c r="R58" s="122"/>
      <c r="S58" s="126" t="n">
        <f aca="false">T58*S$7</f>
        <v>500</v>
      </c>
      <c r="T58" s="126" t="n">
        <v>500</v>
      </c>
      <c r="U58" s="122" t="n">
        <f aca="false">+T58/T$9</f>
        <v>0.245579567779961</v>
      </c>
      <c r="V58" s="121"/>
      <c r="W58" s="126" t="n">
        <f aca="false">X58*W$7</f>
        <v>36000</v>
      </c>
      <c r="X58" s="126" t="n">
        <v>500</v>
      </c>
      <c r="Y58" s="122" t="n">
        <f aca="false">+X58/X$9</f>
        <v>0.4516711833785</v>
      </c>
      <c r="Z58" s="121"/>
      <c r="AA58" s="126" t="n">
        <f aca="false">AB58*AA$7</f>
        <v>30500</v>
      </c>
      <c r="AB58" s="126" t="n">
        <v>500</v>
      </c>
      <c r="AC58" s="122" t="n">
        <f aca="false">+AB58/AB$9</f>
        <v>0.388500388500389</v>
      </c>
      <c r="AD58" s="121"/>
      <c r="AE58" s="126" t="n">
        <f aca="false">AF58*AE$7</f>
        <v>0</v>
      </c>
      <c r="AF58" s="126" t="n">
        <v>0</v>
      </c>
      <c r="AG58" s="122" t="n">
        <f aca="false">+AF58/AF$9</f>
        <v>0</v>
      </c>
      <c r="AH58" s="122"/>
      <c r="AI58" s="126" t="n">
        <f aca="false">+AA58+W58+S58+AE58</f>
        <v>67000</v>
      </c>
      <c r="AJ58" s="103" t="n">
        <f aca="false">+AI58/AI$7</f>
        <v>503.759398496241</v>
      </c>
      <c r="AK58" s="122" t="n">
        <f aca="false">+AJ58/AJ$9</f>
        <v>0.418057592113063</v>
      </c>
      <c r="AL58" s="81"/>
      <c r="AM58" s="124"/>
    </row>
    <row r="59" customFormat="false" ht="12.75" hidden="false" customHeight="false" outlineLevel="0" collapsed="false">
      <c r="A59" s="99" t="s">
        <v>250</v>
      </c>
      <c r="B59" s="110" t="s">
        <v>253</v>
      </c>
      <c r="C59" s="118"/>
      <c r="D59" s="119"/>
      <c r="E59" s="120"/>
      <c r="F59" s="120"/>
      <c r="G59" s="120"/>
      <c r="H59" s="120"/>
      <c r="I59" s="120"/>
      <c r="J59" s="120"/>
      <c r="K59" s="120"/>
      <c r="L59" s="121"/>
      <c r="M59" s="121"/>
      <c r="N59" s="121"/>
      <c r="O59" s="81"/>
      <c r="P59" s="122"/>
      <c r="Q59" s="122"/>
      <c r="R59" s="122"/>
      <c r="S59" s="126"/>
      <c r="T59" s="126"/>
      <c r="U59" s="122"/>
      <c r="V59" s="121"/>
      <c r="W59" s="126"/>
      <c r="X59" s="126"/>
      <c r="Y59" s="122"/>
      <c r="Z59" s="121"/>
      <c r="AA59" s="126"/>
      <c r="AB59" s="126"/>
      <c r="AC59" s="122"/>
      <c r="AD59" s="121"/>
      <c r="AE59" s="126"/>
      <c r="AF59" s="126"/>
      <c r="AG59" s="122"/>
      <c r="AH59" s="122"/>
      <c r="AI59" s="126"/>
      <c r="AJ59" s="103" t="s">
        <v>219</v>
      </c>
      <c r="AK59" s="122"/>
      <c r="AL59" s="81"/>
      <c r="AM59" s="124"/>
      <c r="AP59" s="100" t="n">
        <f aca="false">+AP49-AP57</f>
        <v>3034168.37937991</v>
      </c>
    </row>
    <row r="60" customFormat="false" ht="12.75" hidden="false" customHeight="false" outlineLevel="0" collapsed="false">
      <c r="A60" s="99" t="s">
        <v>250</v>
      </c>
      <c r="B60" s="99" t="s">
        <v>254</v>
      </c>
      <c r="C60" s="118"/>
      <c r="D60" s="119" t="n">
        <f aca="false">L60/$L$90</f>
        <v>0.00727347681067658</v>
      </c>
      <c r="E60" s="120" t="s">
        <v>109</v>
      </c>
      <c r="F60" s="120" t="s">
        <v>109</v>
      </c>
      <c r="G60" s="129"/>
      <c r="H60" s="120" t="s">
        <v>109</v>
      </c>
      <c r="I60" s="120" t="s">
        <v>109</v>
      </c>
      <c r="J60" s="130" t="s">
        <v>109</v>
      </c>
      <c r="K60" s="130" t="s">
        <v>109</v>
      </c>
      <c r="L60" s="121" t="n">
        <f aca="false">7*O60</f>
        <v>5162.5</v>
      </c>
      <c r="M60" s="121"/>
      <c r="N60" s="121"/>
      <c r="O60" s="121" t="n">
        <f aca="false">1475/2</f>
        <v>737.5</v>
      </c>
      <c r="P60" s="122" t="n">
        <f aca="false">$O60/P$9</f>
        <v>0.535973837209302</v>
      </c>
      <c r="Q60" s="122" t="n">
        <f aca="false">$O60/Q$9</f>
        <v>0.424827188940092</v>
      </c>
      <c r="R60" s="122"/>
      <c r="S60" s="126" t="n">
        <f aca="false">T60*S$7</f>
        <v>990</v>
      </c>
      <c r="T60" s="126" t="n">
        <f aca="false">12*75*CMF</f>
        <v>990</v>
      </c>
      <c r="U60" s="122" t="n">
        <f aca="false">+T60/T$9</f>
        <v>0.486247544204322</v>
      </c>
      <c r="V60" s="121"/>
      <c r="W60" s="126" t="n">
        <f aca="false">X60*W$7</f>
        <v>71280</v>
      </c>
      <c r="X60" s="126" t="n">
        <f aca="false">12*75*CMF</f>
        <v>990</v>
      </c>
      <c r="Y60" s="122" t="n">
        <f aca="false">+X60/X$9</f>
        <v>0.894308943089431</v>
      </c>
      <c r="Z60" s="121"/>
      <c r="AA60" s="126" t="n">
        <f aca="false">AB60*AA$7</f>
        <v>60390</v>
      </c>
      <c r="AB60" s="126" t="n">
        <f aca="false">12*75*CMF</f>
        <v>990</v>
      </c>
      <c r="AC60" s="122" t="n">
        <f aca="false">+AB60/AB$9</f>
        <v>0.769230769230769</v>
      </c>
      <c r="AD60" s="121"/>
      <c r="AE60" s="126" t="n">
        <f aca="false">AF60*AE$7</f>
        <v>0</v>
      </c>
      <c r="AF60" s="126" t="n">
        <f aca="false">15*75*CMF</f>
        <v>1237.5</v>
      </c>
      <c r="AG60" s="122" t="n">
        <f aca="false">+AF60/AF$9</f>
        <v>0.798387096774194</v>
      </c>
      <c r="AH60" s="122"/>
      <c r="AI60" s="126" t="n">
        <f aca="false">+AA60+W60+S60+AE60</f>
        <v>132660</v>
      </c>
      <c r="AJ60" s="103" t="n">
        <f aca="false">+AI60/AI$7</f>
        <v>997.443609022557</v>
      </c>
      <c r="AK60" s="122" t="n">
        <f aca="false">+AJ60/AJ$9</f>
        <v>0.827754032383865</v>
      </c>
      <c r="AL60" s="81"/>
      <c r="AM60" s="124"/>
      <c r="AO60" s="119"/>
      <c r="AP60" s="125" t="n">
        <f aca="false">AP59-AP48-AP47</f>
        <v>1414808.4557756</v>
      </c>
    </row>
    <row r="61" customFormat="false" ht="12.75" hidden="false" customHeight="false" outlineLevel="0" collapsed="false">
      <c r="A61" s="99" t="s">
        <v>250</v>
      </c>
      <c r="B61" s="100" t="s">
        <v>255</v>
      </c>
      <c r="C61" s="118"/>
      <c r="D61" s="119" t="n">
        <f aca="false">L61/$L$90</f>
        <v>0.006237930959665</v>
      </c>
      <c r="E61" s="120" t="s">
        <v>109</v>
      </c>
      <c r="F61" s="120" t="s">
        <v>109</v>
      </c>
      <c r="G61" s="129"/>
      <c r="H61" s="120" t="s">
        <v>109</v>
      </c>
      <c r="I61" s="120" t="s">
        <v>109</v>
      </c>
      <c r="J61" s="130" t="s">
        <v>109</v>
      </c>
      <c r="K61" s="130" t="s">
        <v>109</v>
      </c>
      <c r="L61" s="121" t="n">
        <f aca="false">7*O61</f>
        <v>4427.5</v>
      </c>
      <c r="M61" s="121"/>
      <c r="N61" s="121"/>
      <c r="O61" s="121" t="n">
        <f aca="false">1265/2</f>
        <v>632.5</v>
      </c>
      <c r="P61" s="122" t="n">
        <f aca="false">$O61/P$9</f>
        <v>0.459665697674419</v>
      </c>
      <c r="Q61" s="122" t="n">
        <f aca="false">$O61/Q$9</f>
        <v>0.36434331797235</v>
      </c>
      <c r="R61" s="122"/>
      <c r="S61" s="126" t="n">
        <f aca="false">T61*S$7</f>
        <v>1029.46729651163</v>
      </c>
      <c r="T61" s="126" t="n">
        <f aca="false">T$9*$P61*CMF</f>
        <v>1029.46729651163</v>
      </c>
      <c r="U61" s="122" t="n">
        <f aca="false">+T61/T$9</f>
        <v>0.505632267441861</v>
      </c>
      <c r="V61" s="121"/>
      <c r="W61" s="126" t="n">
        <f aca="false">X61*W$7</f>
        <v>40300.914244186</v>
      </c>
      <c r="X61" s="126" t="n">
        <f aca="false">X$9*$P61*CMF</f>
        <v>559.73492005814</v>
      </c>
      <c r="Y61" s="122" t="n">
        <f aca="false">+X61/X$9</f>
        <v>0.505632267441861</v>
      </c>
      <c r="Z61" s="121"/>
      <c r="AA61" s="126" t="n">
        <f aca="false">AB61*AA$7</f>
        <v>39695.6724200581</v>
      </c>
      <c r="AB61" s="126" t="n">
        <f aca="false">AB$9*$P61*CMF</f>
        <v>650.748728197675</v>
      </c>
      <c r="AC61" s="122" t="n">
        <f aca="false">+AB61/AB$9</f>
        <v>0.505632267441861</v>
      </c>
      <c r="AD61" s="121"/>
      <c r="AE61" s="126" t="n">
        <f aca="false">AF61*AE$7</f>
        <v>0</v>
      </c>
      <c r="AF61" s="126" t="n">
        <f aca="false">AF$9*$P61*CMF</f>
        <v>783.730014534884</v>
      </c>
      <c r="AG61" s="122" t="n">
        <f aca="false">+AF61/AF$9</f>
        <v>0.505632267441861</v>
      </c>
      <c r="AH61" s="122"/>
      <c r="AI61" s="126" t="n">
        <f aca="false">+AA61+W61+S61+AE61</f>
        <v>81026.0539607558</v>
      </c>
      <c r="AJ61" s="103" t="n">
        <f aca="false">+AI61/AI$7</f>
        <v>609.218450832751</v>
      </c>
      <c r="AK61" s="122" t="n">
        <f aca="false">+AJ61/AJ$9</f>
        <v>0.505575477869503</v>
      </c>
      <c r="AL61" s="81"/>
      <c r="AM61" s="124"/>
      <c r="AO61" s="119"/>
      <c r="AP61" s="125"/>
    </row>
    <row r="62" customFormat="false" ht="12.75" hidden="false" customHeight="false" outlineLevel="0" collapsed="false">
      <c r="A62" s="99" t="s">
        <v>250</v>
      </c>
      <c r="B62" s="100" t="s">
        <v>207</v>
      </c>
      <c r="C62" s="118"/>
      <c r="D62" s="119" t="n">
        <f aca="false">L62/$L$90</f>
        <v>0.00614916988672115</v>
      </c>
      <c r="E62" s="120" t="s">
        <v>109</v>
      </c>
      <c r="F62" s="120" t="s">
        <v>109</v>
      </c>
      <c r="G62" s="129"/>
      <c r="H62" s="120" t="s">
        <v>109</v>
      </c>
      <c r="I62" s="120" t="s">
        <v>109</v>
      </c>
      <c r="J62" s="130" t="s">
        <v>109</v>
      </c>
      <c r="K62" s="130" t="s">
        <v>109</v>
      </c>
      <c r="L62" s="121" t="n">
        <f aca="false">7*O62</f>
        <v>4364.5</v>
      </c>
      <c r="M62" s="121"/>
      <c r="N62" s="121"/>
      <c r="O62" s="121" t="n">
        <f aca="false">1247/2</f>
        <v>623.5</v>
      </c>
      <c r="P62" s="122" t="n">
        <f aca="false">$O62/P$9</f>
        <v>0.453125</v>
      </c>
      <c r="Q62" s="122" t="n">
        <f aca="false">$O62/Q$9</f>
        <v>0.359158986175115</v>
      </c>
      <c r="R62" s="122"/>
      <c r="S62" s="126" t="n">
        <f aca="false">T62*S$7</f>
        <v>1014.81875</v>
      </c>
      <c r="T62" s="126" t="n">
        <f aca="false">T$9*$P62*CMF</f>
        <v>1014.81875</v>
      </c>
      <c r="U62" s="122" t="n">
        <f aca="false">+T62/T$9</f>
        <v>0.4984375</v>
      </c>
      <c r="V62" s="121"/>
      <c r="W62" s="126" t="n">
        <f aca="false">X62*W$7</f>
        <v>39727.4625</v>
      </c>
      <c r="X62" s="126" t="n">
        <f aca="false">X$9*$P62*CMF</f>
        <v>551.7703125</v>
      </c>
      <c r="Y62" s="122" t="n">
        <f aca="false">+X62/X$9</f>
        <v>0.4984375</v>
      </c>
      <c r="Z62" s="121"/>
      <c r="AA62" s="126" t="n">
        <f aca="false">AB62*AA$7</f>
        <v>39130.8328125</v>
      </c>
      <c r="AB62" s="126" t="n">
        <f aca="false">AB$9*$P62*CMF</f>
        <v>641.4890625</v>
      </c>
      <c r="AC62" s="122" t="n">
        <f aca="false">+AB62/AB$9</f>
        <v>0.4984375</v>
      </c>
      <c r="AD62" s="121"/>
      <c r="AE62" s="126" t="n">
        <f aca="false">AF62*AE$7</f>
        <v>0</v>
      </c>
      <c r="AF62" s="126" t="n">
        <f aca="false">AF$9*$P62*CMF</f>
        <v>772.578125</v>
      </c>
      <c r="AG62" s="122" t="n">
        <f aca="false">+AF62/AF$9</f>
        <v>0.4984375</v>
      </c>
      <c r="AH62" s="122"/>
      <c r="AI62" s="126" t="n">
        <f aca="false">+AA62+W62+S62+AE62</f>
        <v>79873.1140625</v>
      </c>
      <c r="AJ62" s="103" t="n">
        <f aca="false">+AI62/AI$7</f>
        <v>600.549729793233</v>
      </c>
      <c r="AK62" s="122" t="n">
        <f aca="false">+AJ62/AJ$9</f>
        <v>0.498381518500608</v>
      </c>
      <c r="AL62" s="81"/>
      <c r="AM62" s="124"/>
      <c r="AO62" s="119"/>
      <c r="AP62" s="121" t="n">
        <f aca="false">AA7</f>
        <v>61</v>
      </c>
      <c r="AQ62" s="100" t="n">
        <f aca="false">475*3</f>
        <v>1425</v>
      </c>
      <c r="AR62" s="100" t="n">
        <f aca="false">AQ62*AP62</f>
        <v>86925</v>
      </c>
      <c r="AT62" s="43"/>
    </row>
    <row r="63" customFormat="false" ht="12" hidden="false" customHeight="false" outlineLevel="0" collapsed="false">
      <c r="B63" s="110" t="s">
        <v>256</v>
      </c>
      <c r="C63" s="118"/>
      <c r="D63" s="119" t="n">
        <f aca="false">L63/$L$90</f>
        <v>0</v>
      </c>
      <c r="E63" s="120"/>
      <c r="F63" s="120"/>
      <c r="G63" s="120"/>
      <c r="H63" s="120"/>
      <c r="I63" s="120"/>
      <c r="J63" s="120"/>
      <c r="K63" s="120"/>
      <c r="L63" s="121"/>
      <c r="M63" s="121"/>
      <c r="N63" s="121"/>
      <c r="O63" s="121"/>
      <c r="P63" s="122"/>
      <c r="Q63" s="122"/>
      <c r="R63" s="122"/>
      <c r="S63" s="126"/>
      <c r="T63" s="126"/>
      <c r="U63" s="122"/>
      <c r="V63" s="121"/>
      <c r="W63" s="126"/>
      <c r="X63" s="126"/>
      <c r="Y63" s="122"/>
      <c r="Z63" s="121"/>
      <c r="AA63" s="126"/>
      <c r="AB63" s="126"/>
      <c r="AC63" s="122"/>
      <c r="AD63" s="121"/>
      <c r="AE63" s="126"/>
      <c r="AF63" s="126"/>
      <c r="AG63" s="122"/>
      <c r="AH63" s="122"/>
      <c r="AI63" s="126"/>
      <c r="AJ63" s="103" t="s">
        <v>219</v>
      </c>
      <c r="AK63" s="122"/>
      <c r="AL63" s="81"/>
      <c r="AM63" s="124"/>
      <c r="AO63" s="119"/>
      <c r="AP63" s="121" t="n">
        <f aca="false">W7</f>
        <v>72</v>
      </c>
      <c r="AQ63" s="100" t="n">
        <v>1200</v>
      </c>
      <c r="AR63" s="100" t="n">
        <f aca="false">AQ63*AP63</f>
        <v>86400</v>
      </c>
      <c r="AT63" s="43"/>
    </row>
    <row r="64" customFormat="false" ht="12.75" hidden="false" customHeight="false" outlineLevel="0" collapsed="false">
      <c r="A64" s="99" t="s">
        <v>257</v>
      </c>
      <c r="B64" s="100" t="s">
        <v>258</v>
      </c>
      <c r="C64" s="118"/>
      <c r="D64" s="119" t="n">
        <f aca="false">L64/$L$90</f>
        <v>0.0112184133859588</v>
      </c>
      <c r="E64" s="120" t="s">
        <v>109</v>
      </c>
      <c r="F64" s="120" t="s">
        <v>109</v>
      </c>
      <c r="G64" s="120" t="s">
        <v>109</v>
      </c>
      <c r="H64" s="120" t="s">
        <v>109</v>
      </c>
      <c r="I64" s="120" t="s">
        <v>109</v>
      </c>
      <c r="J64" s="120" t="s">
        <v>109</v>
      </c>
      <c r="K64" s="120" t="s">
        <v>109</v>
      </c>
      <c r="L64" s="121" t="n">
        <f aca="false">7*O64</f>
        <v>7962.5</v>
      </c>
      <c r="M64" s="121"/>
      <c r="N64" s="121"/>
      <c r="O64" s="121" t="n">
        <f aca="false">2275/2</f>
        <v>1137.5</v>
      </c>
      <c r="P64" s="122" t="n">
        <f aca="false">$O64/P$9</f>
        <v>0.826671511627907</v>
      </c>
      <c r="Q64" s="122" t="n">
        <f aca="false">$O64/Q$9</f>
        <v>0.655241935483871</v>
      </c>
      <c r="R64" s="122"/>
      <c r="S64" s="126" t="n">
        <f aca="false">T64*S$7</f>
        <v>1902.846</v>
      </c>
      <c r="T64" s="126" t="n">
        <f aca="false">2*U$9*0.33*CMF</f>
        <v>1902.846</v>
      </c>
      <c r="U64" s="122" t="n">
        <f aca="false">+T64/T$9</f>
        <v>0.934600196463654</v>
      </c>
      <c r="V64" s="121"/>
      <c r="W64" s="126" t="n">
        <f aca="false">X64*W$7</f>
        <v>57865.104</v>
      </c>
      <c r="X64" s="126" t="n">
        <f aca="false">2*Y$9*0.33*CMF</f>
        <v>803.682</v>
      </c>
      <c r="Y64" s="122" t="n">
        <f aca="false">+X64/X$9</f>
        <v>0.726</v>
      </c>
      <c r="Z64" s="121"/>
      <c r="AA64" s="126" t="n">
        <f aca="false">AB64*AA$7</f>
        <v>70636.17</v>
      </c>
      <c r="AB64" s="126" t="n">
        <f aca="false">2*AC$9*0.33*CMF</f>
        <v>1157.97</v>
      </c>
      <c r="AC64" s="122" t="n">
        <f aca="false">+AB64/AB$9</f>
        <v>0.89974358974359</v>
      </c>
      <c r="AD64" s="121"/>
      <c r="AE64" s="126" t="n">
        <f aca="false">AF64*AE$7</f>
        <v>0</v>
      </c>
      <c r="AF64" s="126" t="n">
        <f aca="false">2*AG$9*0.33*CMF</f>
        <v>1125.3</v>
      </c>
      <c r="AG64" s="122" t="n">
        <f aca="false">+AF64/AF$9</f>
        <v>0.726</v>
      </c>
      <c r="AH64" s="122"/>
      <c r="AI64" s="126" t="n">
        <f aca="false">+AA64+W64+S64+AE64</f>
        <v>130404.12</v>
      </c>
      <c r="AJ64" s="103" t="n">
        <f aca="false">+AI64/AI$7</f>
        <v>980.482105263158</v>
      </c>
      <c r="AK64" s="122" t="n">
        <f aca="false">+AJ64/AJ$9</f>
        <v>0.813678095654073</v>
      </c>
      <c r="AL64" s="81"/>
      <c r="AM64" s="124"/>
      <c r="AO64" s="119"/>
      <c r="AP64" s="100" t="n">
        <f aca="false">S7</f>
        <v>1</v>
      </c>
      <c r="AQ64" s="121" t="n">
        <v>1250</v>
      </c>
      <c r="AR64" s="100" t="n">
        <f aca="false">AQ64*AP64</f>
        <v>1250</v>
      </c>
      <c r="AT64" s="43"/>
    </row>
    <row r="65" customFormat="false" ht="12.75" hidden="false" customHeight="false" outlineLevel="0" collapsed="false">
      <c r="A65" s="99" t="s">
        <v>259</v>
      </c>
      <c r="B65" s="100" t="s">
        <v>260</v>
      </c>
      <c r="C65" s="118"/>
      <c r="D65" s="119" t="n">
        <f aca="false">L65/$L$90</f>
        <v>0.00897473070876703</v>
      </c>
      <c r="E65" s="120" t="s">
        <v>109</v>
      </c>
      <c r="F65" s="120" t="s">
        <v>109</v>
      </c>
      <c r="G65" s="129"/>
      <c r="H65" s="120" t="s">
        <v>109</v>
      </c>
      <c r="I65" s="120" t="s">
        <v>109</v>
      </c>
      <c r="J65" s="130" t="s">
        <v>109</v>
      </c>
      <c r="K65" s="130" t="s">
        <v>109</v>
      </c>
      <c r="L65" s="121" t="n">
        <f aca="false">7*O65</f>
        <v>6370</v>
      </c>
      <c r="M65" s="121"/>
      <c r="N65" s="121"/>
      <c r="O65" s="121" t="n">
        <f aca="false">1820/2</f>
        <v>910</v>
      </c>
      <c r="P65" s="122" t="n">
        <f aca="false">$O65/P$9</f>
        <v>0.661337209302326</v>
      </c>
      <c r="Q65" s="122" t="n">
        <f aca="false">$O65/Q$9</f>
        <v>0.524193548387097</v>
      </c>
      <c r="R65" s="122"/>
      <c r="S65" s="126" t="n">
        <f aca="false">T65*S$7</f>
        <v>3863.354</v>
      </c>
      <c r="T65" s="126" t="n">
        <f aca="false">2*U$9*0.67*CMF</f>
        <v>3863.354</v>
      </c>
      <c r="U65" s="122" t="n">
        <f aca="false">+T65/T$9</f>
        <v>1.89752161100197</v>
      </c>
      <c r="V65" s="121"/>
      <c r="W65" s="126" t="n">
        <f aca="false">X65*W$7</f>
        <v>117483.696</v>
      </c>
      <c r="X65" s="126" t="n">
        <f aca="false">2*Y$9*0.67*CMF</f>
        <v>1631.718</v>
      </c>
      <c r="Y65" s="122" t="n">
        <f aca="false">+X65/X$9</f>
        <v>1.474</v>
      </c>
      <c r="Z65" s="121"/>
      <c r="AA65" s="126" t="n">
        <f aca="false">AB65*AA$7</f>
        <v>143412.83</v>
      </c>
      <c r="AB65" s="126" t="n">
        <f aca="false">2*AC$9*0.67*CMF</f>
        <v>2351.03</v>
      </c>
      <c r="AC65" s="122" t="n">
        <f aca="false">+AB65/AB$9</f>
        <v>1.82675213675214</v>
      </c>
      <c r="AD65" s="121"/>
      <c r="AE65" s="126" t="n">
        <f aca="false">AF65*AE$7</f>
        <v>0</v>
      </c>
      <c r="AF65" s="126" t="n">
        <f aca="false">2*AG$9*0.67*CMF</f>
        <v>2284.7</v>
      </c>
      <c r="AG65" s="122" t="n">
        <f aca="false">+AF65/AF$9</f>
        <v>1.474</v>
      </c>
      <c r="AH65" s="122"/>
      <c r="AI65" s="126" t="n">
        <f aca="false">+AA65+W65+S65+AE65</f>
        <v>264759.88</v>
      </c>
      <c r="AJ65" s="103" t="n">
        <f aca="false">+AI65/AI$7</f>
        <v>1990.67578947368</v>
      </c>
      <c r="AK65" s="122" t="n">
        <f aca="false">+AJ65/AJ$9</f>
        <v>1.65201310329766</v>
      </c>
      <c r="AL65" s="81"/>
      <c r="AM65" s="124"/>
      <c r="AO65" s="119"/>
      <c r="AP65" s="100" t="n">
        <f aca="false">2900000/28</f>
        <v>103571.428571429</v>
      </c>
      <c r="AQ65" s="43" t="n">
        <f aca="false">AP65/1343</f>
        <v>77.1194553770875</v>
      </c>
      <c r="AR65" s="121"/>
    </row>
    <row r="66" customFormat="false" ht="12.75" hidden="false" customHeight="false" outlineLevel="0" collapsed="false">
      <c r="A66" s="99" t="s">
        <v>259</v>
      </c>
      <c r="B66" s="100" t="s">
        <v>261</v>
      </c>
      <c r="C66" s="118"/>
      <c r="D66" s="119" t="n">
        <f aca="false">L66/$L$90</f>
        <v>0.00224368267719176</v>
      </c>
      <c r="E66" s="120" t="s">
        <v>109</v>
      </c>
      <c r="F66" s="120" t="s">
        <v>109</v>
      </c>
      <c r="G66" s="129"/>
      <c r="H66" s="120" t="s">
        <v>109</v>
      </c>
      <c r="I66" s="120" t="s">
        <v>109</v>
      </c>
      <c r="J66" s="130" t="s">
        <v>109</v>
      </c>
      <c r="K66" s="130" t="s">
        <v>109</v>
      </c>
      <c r="L66" s="121" t="n">
        <f aca="false">7*O66</f>
        <v>1592.5</v>
      </c>
      <c r="M66" s="121"/>
      <c r="N66" s="121"/>
      <c r="O66" s="121" t="n">
        <f aca="false">455/2</f>
        <v>227.5</v>
      </c>
      <c r="P66" s="122" t="n">
        <f aca="false">$O66/P$9</f>
        <v>0.165334302325581</v>
      </c>
      <c r="Q66" s="122" t="n">
        <f aca="false">$O66/Q$9</f>
        <v>0.131048387096774</v>
      </c>
      <c r="R66" s="122"/>
      <c r="S66" s="126" t="n">
        <f aca="false">T66*S$7</f>
        <v>370.282703488372</v>
      </c>
      <c r="T66" s="126" t="n">
        <f aca="false">T$9*$P66*CMF</f>
        <v>370.282703488372</v>
      </c>
      <c r="U66" s="122" t="n">
        <f aca="false">+T66/T$9</f>
        <v>0.18186773255814</v>
      </c>
      <c r="V66" s="121"/>
      <c r="W66" s="126" t="n">
        <f aca="false">X66*W$7</f>
        <v>14495.585755814</v>
      </c>
      <c r="X66" s="126" t="n">
        <f aca="false">X$9*$P66*CMF</f>
        <v>201.32757994186</v>
      </c>
      <c r="Y66" s="122" t="n">
        <f aca="false">+X66/X$9</f>
        <v>0.18186773255814</v>
      </c>
      <c r="Z66" s="121"/>
      <c r="AA66" s="126" t="n">
        <f aca="false">AB66*AA$7</f>
        <v>14277.8900799419</v>
      </c>
      <c r="AB66" s="126" t="n">
        <f aca="false">AB$9*$P66*CMF</f>
        <v>234.063771802326</v>
      </c>
      <c r="AC66" s="122" t="n">
        <f aca="false">+AB66/AB$9</f>
        <v>0.18186773255814</v>
      </c>
      <c r="AD66" s="121"/>
      <c r="AE66" s="126" t="n">
        <f aca="false">AF66*AE$7</f>
        <v>0</v>
      </c>
      <c r="AF66" s="126" t="n">
        <f aca="false">AF$9*$P66*CMF</f>
        <v>281.894985465116</v>
      </c>
      <c r="AG66" s="122" t="n">
        <f aca="false">+AF66/AF$9</f>
        <v>0.18186773255814</v>
      </c>
      <c r="AH66" s="122"/>
      <c r="AI66" s="126" t="n">
        <f aca="false">+AA66+W66+S66+AE66</f>
        <v>29143.7585392442</v>
      </c>
      <c r="AJ66" s="103" t="n">
        <f aca="false">+AI66/AI$7</f>
        <v>219.126004054468</v>
      </c>
      <c r="AK66" s="122" t="n">
        <f aca="false">+AJ66/AJ$9</f>
        <v>0.181847306269268</v>
      </c>
      <c r="AL66" s="81"/>
      <c r="AM66" s="124"/>
      <c r="AP66" s="100" t="n">
        <f aca="false">2700000/28</f>
        <v>96428.5714285714</v>
      </c>
      <c r="AQ66" s="43" t="n">
        <f aca="false">AP66/1343</f>
        <v>71.8008722476332</v>
      </c>
    </row>
    <row r="67" customFormat="false" ht="12" hidden="false" customHeight="false" outlineLevel="0" collapsed="false">
      <c r="B67" s="110" t="s">
        <v>262</v>
      </c>
      <c r="C67" s="118"/>
      <c r="D67" s="119"/>
      <c r="E67" s="120"/>
      <c r="F67" s="120"/>
      <c r="G67" s="120"/>
      <c r="H67" s="120"/>
      <c r="I67" s="120"/>
      <c r="J67" s="120"/>
      <c r="K67" s="120"/>
      <c r="L67" s="121"/>
      <c r="M67" s="121"/>
      <c r="N67" s="121"/>
      <c r="O67" s="121"/>
      <c r="P67" s="122"/>
      <c r="Q67" s="122"/>
      <c r="R67" s="122"/>
      <c r="S67" s="126"/>
      <c r="T67" s="133"/>
      <c r="U67" s="122"/>
      <c r="V67" s="121"/>
      <c r="W67" s="126"/>
      <c r="X67" s="126"/>
      <c r="Y67" s="122"/>
      <c r="Z67" s="121"/>
      <c r="AA67" s="126"/>
      <c r="AB67" s="126"/>
      <c r="AC67" s="122"/>
      <c r="AD67" s="121"/>
      <c r="AE67" s="126"/>
      <c r="AF67" s="126"/>
      <c r="AG67" s="122"/>
      <c r="AH67" s="122"/>
      <c r="AI67" s="126"/>
      <c r="AJ67" s="103" t="s">
        <v>219</v>
      </c>
      <c r="AK67" s="122"/>
      <c r="AL67" s="81"/>
      <c r="AM67" s="124"/>
    </row>
    <row r="68" customFormat="false" ht="12.75" hidden="false" customHeight="false" outlineLevel="0" collapsed="false">
      <c r="A68" s="99" t="s">
        <v>263</v>
      </c>
      <c r="B68" s="100" t="s">
        <v>264</v>
      </c>
      <c r="C68" s="118"/>
      <c r="D68" s="119" t="n">
        <f aca="false">L68/$L$90</f>
        <v>0.00934949968341884</v>
      </c>
      <c r="E68" s="120" t="s">
        <v>109</v>
      </c>
      <c r="F68" s="120" t="s">
        <v>109</v>
      </c>
      <c r="G68" s="120" t="s">
        <v>109</v>
      </c>
      <c r="H68" s="120" t="s">
        <v>109</v>
      </c>
      <c r="I68" s="120" t="s">
        <v>109</v>
      </c>
      <c r="J68" s="120" t="s">
        <v>109</v>
      </c>
      <c r="K68" s="120" t="s">
        <v>109</v>
      </c>
      <c r="L68" s="121" t="n">
        <f aca="false">7*O68</f>
        <v>6636</v>
      </c>
      <c r="M68" s="121"/>
      <c r="N68" s="121"/>
      <c r="O68" s="121" t="n">
        <f aca="false">1896/2</f>
        <v>948</v>
      </c>
      <c r="P68" s="122" t="n">
        <f aca="false">$O68/P$9</f>
        <v>0.688953488372093</v>
      </c>
      <c r="Q68" s="122" t="n">
        <f aca="false">$O68/Q$9</f>
        <v>0.546082949308756</v>
      </c>
      <c r="R68" s="122"/>
      <c r="S68" s="126" t="n">
        <f aca="false">T68*S$7</f>
        <v>1210</v>
      </c>
      <c r="T68" s="126" t="n">
        <f aca="false">1100*CMF</f>
        <v>1210</v>
      </c>
      <c r="U68" s="122" t="n">
        <f aca="false">+T68/T$9</f>
        <v>0.594302554027505</v>
      </c>
      <c r="V68" s="121"/>
      <c r="W68" s="126" t="n">
        <f aca="false">X68*W$7</f>
        <v>87120</v>
      </c>
      <c r="X68" s="126" t="n">
        <f aca="false">1100*CMF</f>
        <v>1210</v>
      </c>
      <c r="Y68" s="122" t="n">
        <f aca="false">+X68/X$9</f>
        <v>1.09304426377597</v>
      </c>
      <c r="Z68" s="121"/>
      <c r="AA68" s="126" t="n">
        <f aca="false">AB68*AA$7</f>
        <v>73810</v>
      </c>
      <c r="AB68" s="126" t="n">
        <f aca="false">1100*CMF</f>
        <v>1210</v>
      </c>
      <c r="AC68" s="122" t="n">
        <f aca="false">+AB68/AB$9</f>
        <v>0.94017094017094</v>
      </c>
      <c r="AD68" s="121"/>
      <c r="AE68" s="126" t="n">
        <f aca="false">AF68*AE$7</f>
        <v>0</v>
      </c>
      <c r="AF68" s="126" t="n">
        <f aca="false">1100*CMF</f>
        <v>1210</v>
      </c>
      <c r="AG68" s="122" t="n">
        <f aca="false">+AF68/AF$9</f>
        <v>0.780645161290323</v>
      </c>
      <c r="AH68" s="122"/>
      <c r="AI68" s="126" t="n">
        <f aca="false">+AA68+W68+S68+AE68</f>
        <v>162140</v>
      </c>
      <c r="AJ68" s="103" t="n">
        <f aca="false">+AI68/AI$7</f>
        <v>1219.0977443609</v>
      </c>
      <c r="AK68" s="122" t="n">
        <f aca="false">+AJ68/AJ$9</f>
        <v>1.01169937291361</v>
      </c>
      <c r="AL68" s="81"/>
      <c r="AM68" s="124"/>
      <c r="AP68" s="142" t="n">
        <f aca="false">0.0725/12</f>
        <v>0.00604166666666667</v>
      </c>
    </row>
    <row r="69" customFormat="false" ht="12.75" hidden="false" customHeight="false" outlineLevel="0" collapsed="false">
      <c r="A69" s="99" t="s">
        <v>263</v>
      </c>
      <c r="B69" s="99" t="s">
        <v>265</v>
      </c>
      <c r="C69" s="118"/>
      <c r="D69" s="119" t="n">
        <f aca="false">L69/$L$90</f>
        <v>0.00582864378997947</v>
      </c>
      <c r="E69" s="120" t="s">
        <v>109</v>
      </c>
      <c r="F69" s="120" t="s">
        <v>109</v>
      </c>
      <c r="G69" s="129"/>
      <c r="H69" s="120" t="s">
        <v>109</v>
      </c>
      <c r="I69" s="120" t="s">
        <v>109</v>
      </c>
      <c r="J69" s="129"/>
      <c r="K69" s="143" t="s">
        <v>266</v>
      </c>
      <c r="L69" s="121" t="n">
        <f aca="false">7*O69</f>
        <v>4137</v>
      </c>
      <c r="M69" s="121"/>
      <c r="N69" s="121"/>
      <c r="O69" s="121" t="n">
        <f aca="false">1182/2</f>
        <v>591</v>
      </c>
      <c r="P69" s="122" t="n">
        <f aca="false">$O69/P$9</f>
        <v>0.429505813953488</v>
      </c>
      <c r="Q69" s="122" t="n">
        <f aca="false">$O69/Q$9</f>
        <v>0.340437788018433</v>
      </c>
      <c r="R69" s="122"/>
      <c r="S69" s="126" t="n">
        <f aca="false">T69*S$7</f>
        <v>660</v>
      </c>
      <c r="T69" s="126" t="n">
        <f aca="false">600*CMF</f>
        <v>660</v>
      </c>
      <c r="U69" s="122" t="n">
        <f aca="false">+T69/T$9</f>
        <v>0.324165029469548</v>
      </c>
      <c r="V69" s="121"/>
      <c r="W69" s="126" t="n">
        <f aca="false">X69*W$7</f>
        <v>47520</v>
      </c>
      <c r="X69" s="126" t="n">
        <f aca="false">600*CMF</f>
        <v>660</v>
      </c>
      <c r="Y69" s="122" t="n">
        <f aca="false">+X69/X$9</f>
        <v>0.596205962059621</v>
      </c>
      <c r="Z69" s="121"/>
      <c r="AA69" s="126" t="n">
        <f aca="false">AB69*AA$7</f>
        <v>40260</v>
      </c>
      <c r="AB69" s="126" t="n">
        <f aca="false">600*CMF</f>
        <v>660</v>
      </c>
      <c r="AC69" s="122" t="n">
        <f aca="false">+AB69/AB$9</f>
        <v>0.512820512820513</v>
      </c>
      <c r="AD69" s="121"/>
      <c r="AE69" s="126" t="n">
        <f aca="false">AF69*AE$7</f>
        <v>0</v>
      </c>
      <c r="AF69" s="126" t="n">
        <f aca="false">600*CMF</f>
        <v>660</v>
      </c>
      <c r="AG69" s="122" t="n">
        <f aca="false">+AF69/AF$9</f>
        <v>0.425806451612903</v>
      </c>
      <c r="AH69" s="122"/>
      <c r="AI69" s="126" t="n">
        <f aca="false">+AA69+W69+S69+AE69</f>
        <v>88440</v>
      </c>
      <c r="AJ69" s="103" t="n">
        <f aca="false">+AI69/AI$7</f>
        <v>664.962406015038</v>
      </c>
      <c r="AK69" s="122" t="n">
        <f aca="false">+AJ69/AJ$9</f>
        <v>0.551836021589243</v>
      </c>
      <c r="AL69" s="81"/>
      <c r="AM69" s="124"/>
      <c r="AP69" s="100" t="n">
        <v>360</v>
      </c>
    </row>
    <row r="70" customFormat="false" ht="12.75" hidden="false" customHeight="false" outlineLevel="0" collapsed="false">
      <c r="A70" s="99" t="s">
        <v>267</v>
      </c>
      <c r="B70" s="99" t="s">
        <v>268</v>
      </c>
      <c r="C70" s="118"/>
      <c r="D70" s="119" t="n">
        <f aca="false">L70/$L$90</f>
        <v>0.00471419920746224</v>
      </c>
      <c r="E70" s="120" t="s">
        <v>109</v>
      </c>
      <c r="F70" s="120" t="s">
        <v>109</v>
      </c>
      <c r="G70" s="129"/>
      <c r="H70" s="120" t="s">
        <v>109</v>
      </c>
      <c r="I70" s="120" t="s">
        <v>109</v>
      </c>
      <c r="J70" s="129"/>
      <c r="K70" s="130" t="s">
        <v>109</v>
      </c>
      <c r="L70" s="121" t="n">
        <f aca="false">7*O70</f>
        <v>3346</v>
      </c>
      <c r="M70" s="121"/>
      <c r="N70" s="121"/>
      <c r="O70" s="121" t="n">
        <f aca="false">956/2</f>
        <v>478</v>
      </c>
      <c r="P70" s="122" t="n">
        <f aca="false">$O70/P$9</f>
        <v>0.347383720930233</v>
      </c>
      <c r="Q70" s="122" t="n">
        <f aca="false">$O70/Q$9</f>
        <v>0.275345622119816</v>
      </c>
      <c r="R70" s="122"/>
      <c r="S70" s="126" t="n">
        <f aca="false">T70*S$7</f>
        <v>998.000581395349</v>
      </c>
      <c r="T70" s="126" t="n">
        <f aca="false">(T$9*$P70+200)*CMF</f>
        <v>998.000581395349</v>
      </c>
      <c r="U70" s="122" t="n">
        <f aca="false">+T70/T$9</f>
        <v>0.490177102846439</v>
      </c>
      <c r="V70" s="121"/>
      <c r="W70" s="126" t="n">
        <f aca="false">X70*W$7</f>
        <v>46296.6593023256</v>
      </c>
      <c r="X70" s="126" t="n">
        <f aca="false">(X$9*$P70+200)*CMF</f>
        <v>643.009156976744</v>
      </c>
      <c r="Y70" s="122" t="n">
        <f aca="false">+X70/X$9</f>
        <v>0.580857413709796</v>
      </c>
      <c r="Z70" s="121"/>
      <c r="AA70" s="126" t="n">
        <f aca="false">AB70*AA$7</f>
        <v>43419.2591569768</v>
      </c>
      <c r="AB70" s="126" t="n">
        <f aca="false">(AB$9*$P70+200)*CMF</f>
        <v>711.79113372093</v>
      </c>
      <c r="AC70" s="122" t="n">
        <f aca="false">+AB70/AB$9</f>
        <v>0.553062263963427</v>
      </c>
      <c r="AD70" s="121"/>
      <c r="AE70" s="126" t="n">
        <f aca="false">AF70*AE$7</f>
        <v>0</v>
      </c>
      <c r="AF70" s="126" t="n">
        <f aca="false">(AF$9*$P70+200)*CMF</f>
        <v>812.289244186047</v>
      </c>
      <c r="AG70" s="122" t="n">
        <f aca="false">+AF70/AF$9</f>
        <v>0.524057576894224</v>
      </c>
      <c r="AH70" s="122"/>
      <c r="AI70" s="126" t="n">
        <f aca="false">+AA70+W70+S70+AE70</f>
        <v>90713.9190406977</v>
      </c>
      <c r="AJ70" s="103" t="n">
        <f aca="false">+AI70/AI$7</f>
        <v>682.059541659381</v>
      </c>
      <c r="AK70" s="122" t="n">
        <f aca="false">+AJ70/AJ$9</f>
        <v>0.566024515899901</v>
      </c>
      <c r="AL70" s="81"/>
      <c r="AM70" s="124"/>
      <c r="AO70" s="119"/>
      <c r="AP70" s="121" t="n">
        <f aca="false">PMT(AP68,AP69,AP49)</f>
        <v>-82793.5079243804</v>
      </c>
      <c r="AQ70" s="121"/>
    </row>
    <row r="71" customFormat="false" ht="12.75" hidden="false" customHeight="false" outlineLevel="0" collapsed="false">
      <c r="A71" s="99" t="s">
        <v>228</v>
      </c>
      <c r="B71" s="99" t="s">
        <v>269</v>
      </c>
      <c r="C71" s="118"/>
      <c r="D71" s="119" t="n">
        <f aca="false">L71/$L$90</f>
        <v>0.00393507423384401</v>
      </c>
      <c r="E71" s="120" t="s">
        <v>109</v>
      </c>
      <c r="F71" s="120" t="s">
        <v>109</v>
      </c>
      <c r="G71" s="129"/>
      <c r="H71" s="120" t="s">
        <v>109</v>
      </c>
      <c r="I71" s="120" t="s">
        <v>109</v>
      </c>
      <c r="J71" s="130" t="s">
        <v>109</v>
      </c>
      <c r="K71" s="130" t="s">
        <v>109</v>
      </c>
      <c r="L71" s="121" t="n">
        <f aca="false">7*O71</f>
        <v>2793</v>
      </c>
      <c r="M71" s="121"/>
      <c r="N71" s="121"/>
      <c r="O71" s="121" t="n">
        <f aca="false">798/2</f>
        <v>399</v>
      </c>
      <c r="P71" s="122" t="n">
        <f aca="false">$O71/P$9</f>
        <v>0.289970930232558</v>
      </c>
      <c r="Q71" s="122" t="n">
        <f aca="false">$O71/Q$9</f>
        <v>0.229838709677419</v>
      </c>
      <c r="R71" s="122"/>
      <c r="S71" s="126" t="n">
        <f aca="false">T71*S$7</f>
        <v>649.418895348837</v>
      </c>
      <c r="T71" s="126" t="n">
        <f aca="false">T$9*$P71*CMF</f>
        <v>649.418895348837</v>
      </c>
      <c r="U71" s="122" t="n">
        <f aca="false">+T71/T$9</f>
        <v>0.318968023255814</v>
      </c>
      <c r="V71" s="121"/>
      <c r="W71" s="126" t="n">
        <f aca="false">X71*W$7</f>
        <v>25423.0273255814</v>
      </c>
      <c r="X71" s="126" t="n">
        <f aca="false">X$9*$P71*CMF</f>
        <v>353.097601744186</v>
      </c>
      <c r="Y71" s="122" t="n">
        <f aca="false">+X71/X$9</f>
        <v>0.318968023255814</v>
      </c>
      <c r="Z71" s="121"/>
      <c r="AA71" s="126" t="n">
        <f aca="false">AB71*AA$7</f>
        <v>25041.2226017442</v>
      </c>
      <c r="AB71" s="126" t="n">
        <f aca="false">AB$9*$P71*CMF</f>
        <v>410.511845930233</v>
      </c>
      <c r="AC71" s="122" t="n">
        <f aca="false">+AB71/AB$9</f>
        <v>0.318968023255814</v>
      </c>
      <c r="AD71" s="121"/>
      <c r="AE71" s="126" t="n">
        <f aca="false">AF71*AE$7</f>
        <v>0</v>
      </c>
      <c r="AF71" s="126" t="n">
        <f aca="false">AF$9*$P71*CMF</f>
        <v>494.400436046512</v>
      </c>
      <c r="AG71" s="122" t="n">
        <f aca="false">+AF71/AF$9</f>
        <v>0.318968023255814</v>
      </c>
      <c r="AH71" s="122"/>
      <c r="AI71" s="126" t="n">
        <f aca="false">+AA71+W71+S71+AE71</f>
        <v>51113.6688226744</v>
      </c>
      <c r="AJ71" s="103" t="n">
        <f aca="false">+AI71/AI$7</f>
        <v>384.313299418605</v>
      </c>
      <c r="AK71" s="122" t="n">
        <f aca="false">+AJ71/AJ$9</f>
        <v>0.318932198687639</v>
      </c>
      <c r="AL71" s="81"/>
      <c r="AM71" s="124"/>
      <c r="AO71" s="119" t="s">
        <v>270</v>
      </c>
      <c r="AP71" s="121" t="n">
        <f aca="false">+AS64</f>
        <v>0</v>
      </c>
      <c r="AQ71" s="121"/>
      <c r="AR71" s="121" t="n">
        <f aca="false">2700000*0.105</f>
        <v>283500</v>
      </c>
    </row>
    <row r="72" customFormat="false" ht="12.75" hidden="false" customHeight="false" outlineLevel="0" collapsed="false">
      <c r="A72" s="99" t="s">
        <v>271</v>
      </c>
      <c r="B72" s="99" t="s">
        <v>196</v>
      </c>
      <c r="C72" s="118"/>
      <c r="D72" s="119" t="n">
        <f aca="false">L72/$L$90</f>
        <v>0.0102864221200484</v>
      </c>
      <c r="E72" s="120" t="s">
        <v>109</v>
      </c>
      <c r="F72" s="120" t="s">
        <v>109</v>
      </c>
      <c r="G72" s="129"/>
      <c r="H72" s="120" t="s">
        <v>109</v>
      </c>
      <c r="I72" s="120" t="s">
        <v>109</v>
      </c>
      <c r="J72" s="130" t="s">
        <v>109</v>
      </c>
      <c r="K72" s="130" t="s">
        <v>109</v>
      </c>
      <c r="L72" s="121" t="n">
        <f aca="false">7*O72</f>
        <v>7301</v>
      </c>
      <c r="M72" s="121"/>
      <c r="N72" s="121"/>
      <c r="O72" s="121" t="n">
        <f aca="false">2086/2</f>
        <v>1043</v>
      </c>
      <c r="P72" s="122" t="n">
        <f aca="false">$O72/P$9</f>
        <v>0.757994186046512</v>
      </c>
      <c r="Q72" s="122" t="n">
        <f aca="false">$O72/Q$9</f>
        <v>0.600806451612903</v>
      </c>
      <c r="R72" s="122"/>
      <c r="S72" s="126" t="n">
        <f aca="false">T72*S$7</f>
        <v>990</v>
      </c>
      <c r="T72" s="126" t="n">
        <f aca="false">(250+300+250+100)*CMF</f>
        <v>990</v>
      </c>
      <c r="U72" s="122" t="n">
        <f aca="false">+T72/T$9</f>
        <v>0.486247544204322</v>
      </c>
      <c r="V72" s="121"/>
      <c r="W72" s="126" t="n">
        <f aca="false">X72*W$7</f>
        <v>71280</v>
      </c>
      <c r="X72" s="126" t="n">
        <f aca="false">(250+300+250+100)*CMF</f>
        <v>990</v>
      </c>
      <c r="Y72" s="122" t="n">
        <f aca="false">+X72/X$9</f>
        <v>0.894308943089431</v>
      </c>
      <c r="Z72" s="121"/>
      <c r="AA72" s="126" t="n">
        <f aca="false">AB72*AA$7</f>
        <v>60390</v>
      </c>
      <c r="AB72" s="126" t="n">
        <f aca="false">(250+300+250+100)*CMF</f>
        <v>990</v>
      </c>
      <c r="AC72" s="122" t="n">
        <f aca="false">+AB72/AB$9</f>
        <v>0.769230769230769</v>
      </c>
      <c r="AD72" s="121"/>
      <c r="AE72" s="126" t="n">
        <f aca="false">AF72*AE$7</f>
        <v>0</v>
      </c>
      <c r="AF72" s="126" t="n">
        <f aca="false">(250+300+250+100)*CMF</f>
        <v>990</v>
      </c>
      <c r="AG72" s="122" t="n">
        <f aca="false">+AF72/AF$9</f>
        <v>0.638709677419355</v>
      </c>
      <c r="AH72" s="122"/>
      <c r="AI72" s="126" t="n">
        <f aca="false">+AA72+W72+S72+AE72</f>
        <v>132660</v>
      </c>
      <c r="AJ72" s="103" t="n">
        <f aca="false">+AI72/AI$7</f>
        <v>997.443609022557</v>
      </c>
      <c r="AK72" s="122" t="n">
        <f aca="false">+AJ72/AJ$9</f>
        <v>0.827754032383865</v>
      </c>
      <c r="AL72" s="81"/>
      <c r="AM72" s="124"/>
      <c r="AN72" s="114"/>
      <c r="AP72" s="121" t="n">
        <f aca="false">0.9*AP71</f>
        <v>0</v>
      </c>
      <c r="AQ72" s="121"/>
      <c r="AR72" s="121" t="n">
        <f aca="false">AR71/12</f>
        <v>23625</v>
      </c>
    </row>
    <row r="73" customFormat="false" ht="12.75" hidden="false" customHeight="false" outlineLevel="0" collapsed="false">
      <c r="A73" s="99" t="s">
        <v>272</v>
      </c>
      <c r="B73" s="99" t="s">
        <v>273</v>
      </c>
      <c r="C73" s="118"/>
      <c r="D73" s="119" t="n">
        <f aca="false">L73/$L$90</f>
        <v>0.0157797463011288</v>
      </c>
      <c r="E73" s="120" t="s">
        <v>109</v>
      </c>
      <c r="F73" s="120" t="s">
        <v>109</v>
      </c>
      <c r="G73" s="129"/>
      <c r="H73" s="120" t="s">
        <v>109</v>
      </c>
      <c r="I73" s="120" t="s">
        <v>109</v>
      </c>
      <c r="J73" s="129"/>
      <c r="K73" s="130" t="s">
        <v>109</v>
      </c>
      <c r="L73" s="121" t="n">
        <f aca="false">7*O73</f>
        <v>11200</v>
      </c>
      <c r="M73" s="121"/>
      <c r="N73" s="121"/>
      <c r="O73" s="121" t="n">
        <f aca="false">3200/2</f>
        <v>1600</v>
      </c>
      <c r="P73" s="122" t="n">
        <f aca="false">$O73/P$9</f>
        <v>1.16279069767442</v>
      </c>
      <c r="Q73" s="122" t="n">
        <f aca="false">$O73/Q$9</f>
        <v>0.921658986175115</v>
      </c>
      <c r="R73" s="122"/>
      <c r="S73" s="126" t="n">
        <f aca="false">T73*S$7</f>
        <v>2732.312</v>
      </c>
      <c r="T73" s="126" t="n">
        <f aca="false">1.22*T$9*CMF</f>
        <v>2732.312</v>
      </c>
      <c r="U73" s="122" t="n">
        <f aca="false">+T73/T$9</f>
        <v>1.342</v>
      </c>
      <c r="V73" s="121"/>
      <c r="W73" s="126" t="n">
        <f aca="false">X73*W$7</f>
        <v>106962.768</v>
      </c>
      <c r="X73" s="126" t="n">
        <f aca="false">1.22*X$9*CMF</f>
        <v>1485.594</v>
      </c>
      <c r="Y73" s="122" t="n">
        <f aca="false">+X73/X$9</f>
        <v>1.342</v>
      </c>
      <c r="Z73" s="121"/>
      <c r="AA73" s="126" t="n">
        <f aca="false">AB73*AA$7</f>
        <v>105356.394</v>
      </c>
      <c r="AB73" s="126" t="n">
        <f aca="false">1.22*AB$9*CMF</f>
        <v>1727.154</v>
      </c>
      <c r="AC73" s="122" t="n">
        <f aca="false">+AB73/AB$9</f>
        <v>1.342</v>
      </c>
      <c r="AD73" s="121"/>
      <c r="AE73" s="126" t="n">
        <f aca="false">AF73*AE$7</f>
        <v>0</v>
      </c>
      <c r="AF73" s="126" t="n">
        <f aca="false">1.22*AF$9*CMF</f>
        <v>2080.1</v>
      </c>
      <c r="AG73" s="122" t="n">
        <f aca="false">+AF73/AF$9</f>
        <v>1.342</v>
      </c>
      <c r="AH73" s="122"/>
      <c r="AI73" s="126" t="n">
        <f aca="false">+AA73+W73+S73+AE73</f>
        <v>215051.474</v>
      </c>
      <c r="AJ73" s="103" t="n">
        <f aca="false">+AI73/AI$7</f>
        <v>1616.92837593985</v>
      </c>
      <c r="AK73" s="122" t="n">
        <f aca="false">+AJ73/AJ$9</f>
        <v>1.34184927463888</v>
      </c>
      <c r="AL73" s="81"/>
      <c r="AM73" s="124"/>
      <c r="AO73" s="119"/>
      <c r="AP73" s="102" t="n">
        <f aca="false">((110000/28/1343)*1187*134)/12</f>
        <v>38773.3131227174</v>
      </c>
      <c r="AQ73" s="121"/>
      <c r="AR73" s="121"/>
    </row>
    <row r="74" customFormat="false" ht="12.75" hidden="false" customHeight="false" outlineLevel="0" collapsed="false">
      <c r="A74" s="99" t="s">
        <v>250</v>
      </c>
      <c r="B74" s="99" t="s">
        <v>274</v>
      </c>
      <c r="C74" s="118"/>
      <c r="D74" s="119" t="n">
        <f aca="false">L74/$L$90</f>
        <v>0.00154345643507917</v>
      </c>
      <c r="E74" s="120" t="s">
        <v>109</v>
      </c>
      <c r="F74" s="120" t="s">
        <v>109</v>
      </c>
      <c r="G74" s="143" t="s">
        <v>266</v>
      </c>
      <c r="H74" s="120" t="s">
        <v>109</v>
      </c>
      <c r="I74" s="120" t="s">
        <v>109</v>
      </c>
      <c r="J74" s="129"/>
      <c r="K74" s="143" t="s">
        <v>266</v>
      </c>
      <c r="L74" s="121" t="n">
        <f aca="false">7*O74</f>
        <v>1095.5</v>
      </c>
      <c r="M74" s="121"/>
      <c r="N74" s="121"/>
      <c r="O74" s="121" t="n">
        <f aca="false">313/2</f>
        <v>156.5</v>
      </c>
      <c r="P74" s="122" t="n">
        <f aca="false">$O74/P$9</f>
        <v>0.113735465116279</v>
      </c>
      <c r="Q74" s="122" t="n">
        <f aca="false">$O74/Q$9</f>
        <v>0.0901497695852535</v>
      </c>
      <c r="R74" s="122"/>
      <c r="S74" s="126" t="n">
        <f aca="false">T74*S$7</f>
        <v>172.15</v>
      </c>
      <c r="T74" s="126" t="n">
        <f aca="false">$O74*CMF</f>
        <v>172.15</v>
      </c>
      <c r="U74" s="122" t="n">
        <f aca="false">+T74/T$9</f>
        <v>0.0845530451866405</v>
      </c>
      <c r="V74" s="121"/>
      <c r="W74" s="126" t="n">
        <f aca="false">X74*W$7</f>
        <v>12394.8</v>
      </c>
      <c r="X74" s="126" t="n">
        <f aca="false">$O74*CMF</f>
        <v>172.15</v>
      </c>
      <c r="Y74" s="122" t="n">
        <f aca="false">+X74/X$9</f>
        <v>0.155510388437218</v>
      </c>
      <c r="Z74" s="121"/>
      <c r="AA74" s="126" t="n">
        <f aca="false">AB74*AA$7</f>
        <v>10501.15</v>
      </c>
      <c r="AB74" s="126" t="n">
        <f aca="false">$O74*CMF</f>
        <v>172.15</v>
      </c>
      <c r="AC74" s="122" t="n">
        <f aca="false">+AB74/AB$9</f>
        <v>0.133760683760684</v>
      </c>
      <c r="AD74" s="121"/>
      <c r="AE74" s="126" t="n">
        <f aca="false">AF74*AE$7</f>
        <v>0</v>
      </c>
      <c r="AF74" s="126" t="n">
        <f aca="false">$O74*CMF</f>
        <v>172.15</v>
      </c>
      <c r="AG74" s="122" t="n">
        <f aca="false">+AF74/AF$9</f>
        <v>0.111064516129032</v>
      </c>
      <c r="AH74" s="122"/>
      <c r="AI74" s="126" t="n">
        <f aca="false">+AA74+W74+S74+AE74</f>
        <v>23068.1</v>
      </c>
      <c r="AJ74" s="103" t="n">
        <f aca="false">+AI74/AI$7</f>
        <v>173.444360902256</v>
      </c>
      <c r="AK74" s="122" t="n">
        <f aca="false">+AJ74/AJ$9</f>
        <v>0.143937228964528</v>
      </c>
      <c r="AL74" s="81"/>
      <c r="AM74" s="124"/>
      <c r="AO74" s="119"/>
      <c r="AP74" s="121" t="n">
        <f aca="false">+AP72-AP73</f>
        <v>-38773.3131227174</v>
      </c>
      <c r="AQ74" s="121"/>
      <c r="AR74" s="121"/>
    </row>
    <row r="75" customFormat="false" ht="12" hidden="false" customHeight="false" outlineLevel="0" collapsed="false">
      <c r="A75" s="99" t="s">
        <v>275</v>
      </c>
      <c r="B75" s="127" t="s">
        <v>276</v>
      </c>
      <c r="C75" s="118"/>
      <c r="D75" s="119" t="n">
        <f aca="false">L75/$L$90</f>
        <v>0.0155578436187692</v>
      </c>
      <c r="E75" s="120"/>
      <c r="F75" s="120"/>
      <c r="G75" s="120"/>
      <c r="H75" s="120"/>
      <c r="I75" s="120"/>
      <c r="J75" s="120"/>
      <c r="K75" s="120"/>
      <c r="L75" s="121" t="n">
        <f aca="false">7*O75</f>
        <v>11042.5</v>
      </c>
      <c r="M75" s="121"/>
      <c r="N75" s="121"/>
      <c r="O75" s="121" t="n">
        <f aca="false">3155/2</f>
        <v>1577.5</v>
      </c>
      <c r="P75" s="122" t="n">
        <f aca="false">$O75/P$9</f>
        <v>1.14643895348837</v>
      </c>
      <c r="Q75" s="122" t="n">
        <f aca="false">$O75/Q$9</f>
        <v>0.908698156682028</v>
      </c>
      <c r="R75" s="122"/>
      <c r="S75" s="126" t="n">
        <f aca="false">T75*S$7</f>
        <v>158.4</v>
      </c>
      <c r="T75" s="126" t="n">
        <f aca="false">8*8*2.25*CMF</f>
        <v>158.4</v>
      </c>
      <c r="U75" s="122" t="n">
        <f aca="false">+T75/T$9</f>
        <v>0.0777996070726916</v>
      </c>
      <c r="V75" s="121"/>
      <c r="W75" s="126" t="n">
        <f aca="false">X75*W$7</f>
        <v>11404.8</v>
      </c>
      <c r="X75" s="126" t="n">
        <f aca="false">8*8*2.25*CMF</f>
        <v>158.4</v>
      </c>
      <c r="Y75" s="122" t="n">
        <f aca="false">+X75/X$9</f>
        <v>0.143089430894309</v>
      </c>
      <c r="Z75" s="121"/>
      <c r="AA75" s="126" t="n">
        <f aca="false">AB75*AA$7</f>
        <v>9662.4</v>
      </c>
      <c r="AB75" s="126" t="n">
        <f aca="false">8*8*2.25*CMF</f>
        <v>158.4</v>
      </c>
      <c r="AC75" s="122" t="n">
        <f aca="false">+AB75/AB$9</f>
        <v>0.123076923076923</v>
      </c>
      <c r="AD75" s="121"/>
      <c r="AE75" s="126" t="n">
        <f aca="false">AF75*AE$7</f>
        <v>0</v>
      </c>
      <c r="AF75" s="126" t="n">
        <f aca="false">8*8*2.25*CMF</f>
        <v>158.4</v>
      </c>
      <c r="AG75" s="122" t="n">
        <f aca="false">+AF75/AF$9</f>
        <v>0.102193548387097</v>
      </c>
      <c r="AH75" s="122"/>
      <c r="AI75" s="126" t="n">
        <f aca="false">+AA75+W75+S75+AE75</f>
        <v>21225.6</v>
      </c>
      <c r="AJ75" s="103" t="n">
        <f aca="false">+AI75/AI$7</f>
        <v>159.590977443609</v>
      </c>
      <c r="AK75" s="122" t="n">
        <f aca="false">+AJ75/AJ$9</f>
        <v>0.132440645181418</v>
      </c>
      <c r="AL75" s="81"/>
      <c r="AM75" s="124"/>
      <c r="AO75" s="119"/>
      <c r="AP75" s="102" t="n">
        <f aca="false">+AP74/-AP70</f>
        <v>-0.468313447452077</v>
      </c>
      <c r="AQ75" s="121"/>
      <c r="AR75" s="121"/>
    </row>
    <row r="76" customFormat="false" ht="12.75" hidden="false" customHeight="false" outlineLevel="0" collapsed="false">
      <c r="A76" s="99" t="s">
        <v>275</v>
      </c>
      <c r="B76" s="99" t="s">
        <v>277</v>
      </c>
      <c r="C76" s="118"/>
      <c r="D76" s="119" t="n">
        <f aca="false">L76/$L$90</f>
        <v>0</v>
      </c>
      <c r="E76" s="120" t="s">
        <v>109</v>
      </c>
      <c r="F76" s="120" t="s">
        <v>109</v>
      </c>
      <c r="G76" s="120" t="s">
        <v>109</v>
      </c>
      <c r="H76" s="120" t="s">
        <v>109</v>
      </c>
      <c r="I76" s="120" t="s">
        <v>109</v>
      </c>
      <c r="J76" s="120" t="s">
        <v>109</v>
      </c>
      <c r="K76" s="120" t="s">
        <v>109</v>
      </c>
      <c r="L76" s="121" t="n">
        <f aca="false">7*O76</f>
        <v>0</v>
      </c>
      <c r="M76" s="121"/>
      <c r="N76" s="121"/>
      <c r="O76" s="121"/>
      <c r="P76" s="122" t="n">
        <f aca="false">$O76/P$9</f>
        <v>0</v>
      </c>
      <c r="Q76" s="122" t="n">
        <f aca="false">$O76/Q$9</f>
        <v>0</v>
      </c>
      <c r="R76" s="122"/>
      <c r="S76" s="126" t="n">
        <f aca="false">T76*S$7</f>
        <v>0</v>
      </c>
      <c r="T76" s="126" t="n">
        <f aca="false">$O76*CMF</f>
        <v>0</v>
      </c>
      <c r="U76" s="122" t="n">
        <f aca="false">+T76/T$9</f>
        <v>0</v>
      </c>
      <c r="V76" s="121"/>
      <c r="W76" s="126" t="n">
        <f aca="false">X76*W$7</f>
        <v>0</v>
      </c>
      <c r="X76" s="126" t="n">
        <f aca="false">$O76*CMF</f>
        <v>0</v>
      </c>
      <c r="Y76" s="122" t="n">
        <f aca="false">+X76/X$9</f>
        <v>0</v>
      </c>
      <c r="Z76" s="121"/>
      <c r="AA76" s="126" t="n">
        <f aca="false">AB76*AA$7</f>
        <v>0</v>
      </c>
      <c r="AB76" s="126" t="n">
        <f aca="false">$O76*CMF</f>
        <v>0</v>
      </c>
      <c r="AC76" s="122" t="n">
        <f aca="false">+AB76/AB$9</f>
        <v>0</v>
      </c>
      <c r="AD76" s="121"/>
      <c r="AE76" s="126" t="n">
        <f aca="false">AF76*AE$7</f>
        <v>0</v>
      </c>
      <c r="AF76" s="126" t="n">
        <f aca="false">$O76*CMF</f>
        <v>0</v>
      </c>
      <c r="AG76" s="122" t="n">
        <f aca="false">+AF76/AF$9</f>
        <v>0</v>
      </c>
      <c r="AH76" s="122"/>
      <c r="AI76" s="126" t="n">
        <f aca="false">+AA76+W76+S76+AE76</f>
        <v>0</v>
      </c>
      <c r="AJ76" s="103" t="n">
        <f aca="false">+AI76/AI$7</f>
        <v>0</v>
      </c>
      <c r="AK76" s="122" t="n">
        <f aca="false">+AJ76/AJ$9</f>
        <v>0</v>
      </c>
      <c r="AL76" s="81"/>
      <c r="AM76" s="124"/>
      <c r="AN76" s="114"/>
      <c r="AO76" s="119"/>
      <c r="AP76" s="121"/>
      <c r="AQ76" s="121"/>
      <c r="AR76" s="121"/>
    </row>
    <row r="77" customFormat="false" ht="12.75" hidden="false" customHeight="false" outlineLevel="0" collapsed="false">
      <c r="A77" s="99" t="s">
        <v>275</v>
      </c>
      <c r="B77" s="99" t="s">
        <v>278</v>
      </c>
      <c r="C77" s="118"/>
      <c r="D77" s="119" t="n">
        <f aca="false">L77/$L$90</f>
        <v>0</v>
      </c>
      <c r="E77" s="120" t="s">
        <v>109</v>
      </c>
      <c r="F77" s="120" t="s">
        <v>109</v>
      </c>
      <c r="G77" s="129"/>
      <c r="H77" s="120" t="s">
        <v>109</v>
      </c>
      <c r="I77" s="120" t="s">
        <v>109</v>
      </c>
      <c r="J77" s="129"/>
      <c r="K77" s="143" t="s">
        <v>266</v>
      </c>
      <c r="L77" s="121" t="n">
        <f aca="false">7*O77</f>
        <v>0</v>
      </c>
      <c r="M77" s="121"/>
      <c r="N77" s="121"/>
      <c r="O77" s="121"/>
      <c r="P77" s="122" t="n">
        <f aca="false">$O77/P$9</f>
        <v>0</v>
      </c>
      <c r="Q77" s="122" t="n">
        <f aca="false">$O77/Q$9</f>
        <v>0</v>
      </c>
      <c r="R77" s="122"/>
      <c r="S77" s="126" t="n">
        <f aca="false">T77*S$7</f>
        <v>0</v>
      </c>
      <c r="T77" s="126" t="n">
        <f aca="false">$O77*CMF</f>
        <v>0</v>
      </c>
      <c r="U77" s="122" t="n">
        <f aca="false">+T77/T$9</f>
        <v>0</v>
      </c>
      <c r="V77" s="121"/>
      <c r="W77" s="126" t="n">
        <f aca="false">X77*W$7</f>
        <v>0</v>
      </c>
      <c r="X77" s="126" t="n">
        <f aca="false">$O77*CMF</f>
        <v>0</v>
      </c>
      <c r="Y77" s="122" t="n">
        <f aca="false">+X77/X$9</f>
        <v>0</v>
      </c>
      <c r="Z77" s="121"/>
      <c r="AA77" s="126" t="n">
        <f aca="false">AB77*AA$7</f>
        <v>0</v>
      </c>
      <c r="AB77" s="126" t="n">
        <f aca="false">$O77*CMF</f>
        <v>0</v>
      </c>
      <c r="AC77" s="122" t="n">
        <f aca="false">+AB77/AB$9</f>
        <v>0</v>
      </c>
      <c r="AD77" s="121"/>
      <c r="AE77" s="126" t="n">
        <f aca="false">AF77*AE$7</f>
        <v>0</v>
      </c>
      <c r="AF77" s="126" t="n">
        <f aca="false">$O77*CMF</f>
        <v>0</v>
      </c>
      <c r="AG77" s="122" t="n">
        <f aca="false">+AF77/AF$9</f>
        <v>0</v>
      </c>
      <c r="AH77" s="122"/>
      <c r="AI77" s="126" t="n">
        <f aca="false">+AA77+W77+S77+AE77</f>
        <v>0</v>
      </c>
      <c r="AJ77" s="103" t="n">
        <f aca="false">+AI77/AI$7</f>
        <v>0</v>
      </c>
      <c r="AK77" s="122" t="n">
        <f aca="false">+AJ77/AJ$9</f>
        <v>0</v>
      </c>
      <c r="AL77" s="81"/>
      <c r="AM77" s="124"/>
      <c r="AP77" s="121" t="n">
        <f aca="false">+AP71-AP73+0.05*AP71</f>
        <v>-38773.3131227174</v>
      </c>
      <c r="AQ77" s="121"/>
      <c r="AR77" s="100" t="n">
        <f aca="false">AU77*12</f>
        <v>0</v>
      </c>
      <c r="AU77" s="103"/>
    </row>
    <row r="78" customFormat="false" ht="12.75" hidden="false" customHeight="false" outlineLevel="0" collapsed="false">
      <c r="A78" s="99" t="s">
        <v>275</v>
      </c>
      <c r="B78" s="99" t="s">
        <v>279</v>
      </c>
      <c r="C78" s="118"/>
      <c r="D78" s="119" t="n">
        <f aca="false">L78/$L$90</f>
        <v>0</v>
      </c>
      <c r="E78" s="120" t="s">
        <v>109</v>
      </c>
      <c r="F78" s="120" t="s">
        <v>109</v>
      </c>
      <c r="G78" s="129"/>
      <c r="H78" s="120" t="s">
        <v>109</v>
      </c>
      <c r="I78" s="120" t="s">
        <v>109</v>
      </c>
      <c r="J78" s="129"/>
      <c r="K78" s="143" t="s">
        <v>266</v>
      </c>
      <c r="L78" s="121" t="n">
        <f aca="false">7*O78</f>
        <v>0</v>
      </c>
      <c r="M78" s="121"/>
      <c r="N78" s="121"/>
      <c r="O78" s="121"/>
      <c r="P78" s="122" t="n">
        <f aca="false">$O78/P$9</f>
        <v>0</v>
      </c>
      <c r="Q78" s="122" t="n">
        <f aca="false">$O78/Q$9</f>
        <v>0</v>
      </c>
      <c r="R78" s="122"/>
      <c r="S78" s="126" t="n">
        <f aca="false">T78*S$7</f>
        <v>0</v>
      </c>
      <c r="T78" s="126" t="n">
        <f aca="false">$O78*CMF</f>
        <v>0</v>
      </c>
      <c r="U78" s="122" t="n">
        <f aca="false">+T78/T$9</f>
        <v>0</v>
      </c>
      <c r="V78" s="121"/>
      <c r="W78" s="126" t="n">
        <f aca="false">X78*W$7</f>
        <v>0</v>
      </c>
      <c r="X78" s="126" t="n">
        <f aca="false">$O78*CMF</f>
        <v>0</v>
      </c>
      <c r="Y78" s="122" t="n">
        <f aca="false">+X78/X$9</f>
        <v>0</v>
      </c>
      <c r="Z78" s="121"/>
      <c r="AA78" s="126" t="n">
        <f aca="false">AB78*AA$7</f>
        <v>0</v>
      </c>
      <c r="AB78" s="126" t="n">
        <f aca="false">$O78*CMF</f>
        <v>0</v>
      </c>
      <c r="AC78" s="122" t="n">
        <f aca="false">+AB78/AB$9</f>
        <v>0</v>
      </c>
      <c r="AD78" s="121"/>
      <c r="AE78" s="126" t="n">
        <f aca="false">AF78*AE$7</f>
        <v>0</v>
      </c>
      <c r="AF78" s="126" t="n">
        <f aca="false">$O78*CMF</f>
        <v>0</v>
      </c>
      <c r="AG78" s="122" t="n">
        <f aca="false">+AF78/AF$9</f>
        <v>0</v>
      </c>
      <c r="AH78" s="122"/>
      <c r="AI78" s="126" t="n">
        <f aca="false">+AA78+W78+S78+AE78</f>
        <v>0</v>
      </c>
      <c r="AJ78" s="103" t="n">
        <f aca="false">+AI78/AI$7</f>
        <v>0</v>
      </c>
      <c r="AK78" s="122" t="n">
        <f aca="false">+AJ78/AJ$9</f>
        <v>0</v>
      </c>
      <c r="AL78" s="81"/>
      <c r="AM78" s="124"/>
      <c r="AO78" s="119"/>
      <c r="AP78" s="121" t="n">
        <f aca="false">+AP70</f>
        <v>-82793.5079243804</v>
      </c>
      <c r="AQ78" s="121"/>
      <c r="AR78" s="121" t="n">
        <f aca="false">0.8*AR77</f>
        <v>0</v>
      </c>
    </row>
    <row r="79" customFormat="false" ht="12.75" hidden="false" customHeight="false" outlineLevel="0" collapsed="false">
      <c r="A79" s="99" t="s">
        <v>280</v>
      </c>
      <c r="B79" s="127" t="s">
        <v>281</v>
      </c>
      <c r="C79" s="118"/>
      <c r="D79" s="119" t="n">
        <f aca="false">L79/$L$90</f>
        <v>0.0078454926140925</v>
      </c>
      <c r="E79" s="120" t="s">
        <v>109</v>
      </c>
      <c r="F79" s="120" t="s">
        <v>109</v>
      </c>
      <c r="G79" s="120" t="s">
        <v>109</v>
      </c>
      <c r="H79" s="120" t="s">
        <v>109</v>
      </c>
      <c r="I79" s="120" t="s">
        <v>109</v>
      </c>
      <c r="J79" s="120" t="s">
        <v>109</v>
      </c>
      <c r="K79" s="120" t="s">
        <v>109</v>
      </c>
      <c r="L79" s="121" t="n">
        <f aca="false">7*O79</f>
        <v>5568.5</v>
      </c>
      <c r="M79" s="121"/>
      <c r="N79" s="121"/>
      <c r="O79" s="121" t="n">
        <f aca="false">1591/2</f>
        <v>795.5</v>
      </c>
      <c r="P79" s="122" t="n">
        <f aca="false">$O79/P$9</f>
        <v>0.578125</v>
      </c>
      <c r="Q79" s="122" t="n">
        <f aca="false">$O79/Q$9</f>
        <v>0.45823732718894</v>
      </c>
      <c r="R79" s="122"/>
      <c r="S79" s="126" t="n">
        <f aca="false">T79*S$7</f>
        <v>0</v>
      </c>
      <c r="T79" s="126" t="n">
        <v>0</v>
      </c>
      <c r="U79" s="122" t="n">
        <f aca="false">+T79/T$9</f>
        <v>0</v>
      </c>
      <c r="V79" s="121"/>
      <c r="W79" s="126" t="n">
        <f aca="false">X79*W$7</f>
        <v>0</v>
      </c>
      <c r="X79" s="126" t="n">
        <v>0</v>
      </c>
      <c r="Y79" s="122" t="n">
        <f aca="false">+X79/X$9</f>
        <v>0</v>
      </c>
      <c r="Z79" s="121"/>
      <c r="AA79" s="126" t="n">
        <f aca="false">AB79*AA$7</f>
        <v>0</v>
      </c>
      <c r="AB79" s="126" t="n">
        <v>0</v>
      </c>
      <c r="AC79" s="122" t="n">
        <f aca="false">+AB79/AB$9</f>
        <v>0</v>
      </c>
      <c r="AD79" s="121"/>
      <c r="AE79" s="126" t="n">
        <f aca="false">AF79*AE$7</f>
        <v>0</v>
      </c>
      <c r="AF79" s="126" t="n">
        <f aca="false">(26+20)*15*CMF</f>
        <v>759</v>
      </c>
      <c r="AG79" s="122" t="n">
        <f aca="false">+AF79/AF$9</f>
        <v>0.489677419354839</v>
      </c>
      <c r="AH79" s="122"/>
      <c r="AI79" s="126" t="n">
        <f aca="false">+AA79+W79+S79+AE79</f>
        <v>0</v>
      </c>
      <c r="AJ79" s="103" t="n">
        <f aca="false">+AI79/AI$7</f>
        <v>0</v>
      </c>
      <c r="AK79" s="122" t="n">
        <f aca="false">+AJ79/AJ$9</f>
        <v>0</v>
      </c>
      <c r="AL79" s="81"/>
      <c r="AM79" s="124"/>
      <c r="AN79" s="114"/>
      <c r="AP79" s="121" t="n">
        <f aca="false">+AP78+AP77</f>
        <v>-121566.821047098</v>
      </c>
      <c r="AQ79" s="121"/>
      <c r="AR79" s="121"/>
    </row>
    <row r="80" customFormat="false" ht="12.75" hidden="false" customHeight="false" outlineLevel="0" collapsed="false">
      <c r="A80" s="99" t="s">
        <v>280</v>
      </c>
      <c r="B80" s="127" t="s">
        <v>282</v>
      </c>
      <c r="C80" s="118"/>
      <c r="D80" s="119" t="n">
        <f aca="false">L80/$L$90</f>
        <v>0.00270721272478742</v>
      </c>
      <c r="E80" s="120" t="s">
        <v>109</v>
      </c>
      <c r="F80" s="120" t="s">
        <v>109</v>
      </c>
      <c r="G80" s="129"/>
      <c r="H80" s="120" t="s">
        <v>109</v>
      </c>
      <c r="I80" s="120" t="s">
        <v>109</v>
      </c>
      <c r="J80" s="129"/>
      <c r="K80" s="129"/>
      <c r="L80" s="121" t="n">
        <f aca="false">7*O80</f>
        <v>1921.5</v>
      </c>
      <c r="M80" s="121"/>
      <c r="N80" s="121"/>
      <c r="O80" s="121" t="n">
        <f aca="false">549/2</f>
        <v>274.5</v>
      </c>
      <c r="P80" s="122" t="n">
        <f aca="false">$O80/P$9</f>
        <v>0.199491279069767</v>
      </c>
      <c r="Q80" s="122" t="n">
        <f aca="false">$O80/Q$9</f>
        <v>0.158122119815668</v>
      </c>
      <c r="R80" s="122"/>
      <c r="S80" s="126" t="n">
        <f aca="false">T80*S$7</f>
        <v>0</v>
      </c>
      <c r="T80" s="100" t="n">
        <v>0</v>
      </c>
      <c r="U80" s="122" t="n">
        <f aca="false">+T80/T$9</f>
        <v>0</v>
      </c>
      <c r="V80" s="121"/>
      <c r="W80" s="126" t="n">
        <f aca="false">X80*W$7</f>
        <v>0</v>
      </c>
      <c r="X80" s="100" t="n">
        <v>0</v>
      </c>
      <c r="Y80" s="122" t="n">
        <f aca="false">+X80/X$9</f>
        <v>0</v>
      </c>
      <c r="Z80" s="121"/>
      <c r="AA80" s="126" t="n">
        <f aca="false">AB80*AA$7</f>
        <v>0</v>
      </c>
      <c r="AB80" s="100" t="n">
        <v>0</v>
      </c>
      <c r="AC80" s="122" t="n">
        <f aca="false">+AB80/AB$9</f>
        <v>0</v>
      </c>
      <c r="AD80" s="121"/>
      <c r="AE80" s="126" t="n">
        <f aca="false">AF80*AE$7</f>
        <v>0</v>
      </c>
      <c r="AF80" s="100" t="n">
        <v>0</v>
      </c>
      <c r="AG80" s="122" t="n">
        <f aca="false">+AF80/AF$9</f>
        <v>0</v>
      </c>
      <c r="AH80" s="122"/>
      <c r="AI80" s="126" t="n">
        <f aca="false">+AA80+W80+S80+AE80</f>
        <v>0</v>
      </c>
      <c r="AJ80" s="103" t="n">
        <f aca="false">+AI80/AI$7</f>
        <v>0</v>
      </c>
      <c r="AK80" s="122" t="n">
        <f aca="false">+AJ80/AJ$9</f>
        <v>0</v>
      </c>
      <c r="AL80" s="81"/>
      <c r="AM80" s="124"/>
      <c r="AO80" s="119"/>
      <c r="AP80" s="121" t="n">
        <f aca="false">AP79*12</f>
        <v>-1458801.85256517</v>
      </c>
      <c r="AQ80" s="121"/>
      <c r="AR80" s="121"/>
    </row>
    <row r="81" customFormat="false" ht="12" hidden="false" customHeight="false" outlineLevel="0" collapsed="false">
      <c r="A81" s="99" t="s">
        <v>280</v>
      </c>
      <c r="B81" s="100" t="s">
        <v>283</v>
      </c>
      <c r="C81" s="118"/>
      <c r="D81" s="119" t="n">
        <f aca="false">L81/$L$90</f>
        <v>0</v>
      </c>
      <c r="E81" s="120" t="s">
        <v>284</v>
      </c>
      <c r="F81" s="120"/>
      <c r="G81" s="120"/>
      <c r="H81" s="120"/>
      <c r="I81" s="120"/>
      <c r="J81" s="120"/>
      <c r="K81" s="120"/>
      <c r="L81" s="121" t="n">
        <f aca="false">7*O81</f>
        <v>0</v>
      </c>
      <c r="M81" s="121"/>
      <c r="N81" s="121"/>
      <c r="O81" s="121" t="n">
        <f aca="false">0/2</f>
        <v>0</v>
      </c>
      <c r="P81" s="122" t="n">
        <f aca="false">$O81/P$9</f>
        <v>0</v>
      </c>
      <c r="Q81" s="122" t="n">
        <f aca="false">$O81/Q$9</f>
        <v>0</v>
      </c>
      <c r="R81" s="122"/>
      <c r="S81" s="126" t="n">
        <f aca="false">T81*S$7</f>
        <v>0</v>
      </c>
      <c r="T81" s="126"/>
      <c r="U81" s="122" t="n">
        <f aca="false">+T81/T$9</f>
        <v>0</v>
      </c>
      <c r="V81" s="121"/>
      <c r="W81" s="126" t="n">
        <f aca="false">X81*W$7</f>
        <v>0</v>
      </c>
      <c r="X81" s="126"/>
      <c r="Y81" s="122" t="n">
        <f aca="false">+X81/X$9</f>
        <v>0</v>
      </c>
      <c r="Z81" s="121"/>
      <c r="AA81" s="126" t="n">
        <f aca="false">AB81*AA$7</f>
        <v>0</v>
      </c>
      <c r="AB81" s="126"/>
      <c r="AC81" s="122" t="n">
        <f aca="false">+AB81/AB$9</f>
        <v>0</v>
      </c>
      <c r="AD81" s="121"/>
      <c r="AE81" s="126" t="n">
        <f aca="false">AF81*AE$7</f>
        <v>0</v>
      </c>
      <c r="AF81" s="126"/>
      <c r="AG81" s="122" t="n">
        <f aca="false">+AF81/AF$9</f>
        <v>0</v>
      </c>
      <c r="AH81" s="122"/>
      <c r="AI81" s="126" t="n">
        <f aca="false">+AA81+W81+S81+AE81</f>
        <v>0</v>
      </c>
      <c r="AJ81" s="103" t="n">
        <f aca="false">+AI81/AI$7</f>
        <v>0</v>
      </c>
      <c r="AK81" s="122" t="n">
        <f aca="false">+AJ81/AJ$9</f>
        <v>0</v>
      </c>
      <c r="AL81" s="81"/>
      <c r="AM81" s="124"/>
      <c r="AO81" s="119"/>
      <c r="AP81" s="121" t="n">
        <f aca="false">AP80/0.105</f>
        <v>-13893350.9768112</v>
      </c>
      <c r="AQ81" s="140"/>
      <c r="AR81" s="121"/>
    </row>
    <row r="82" customFormat="false" ht="12.75" hidden="false" customHeight="false" outlineLevel="0" collapsed="false">
      <c r="B82" s="110" t="s">
        <v>285</v>
      </c>
      <c r="C82" s="118"/>
      <c r="D82" s="119"/>
      <c r="E82" s="120"/>
      <c r="F82" s="120"/>
      <c r="G82" s="120"/>
      <c r="H82" s="120"/>
      <c r="I82" s="120"/>
      <c r="J82" s="120"/>
      <c r="K82" s="120"/>
      <c r="L82" s="121"/>
      <c r="M82" s="121"/>
      <c r="N82" s="121"/>
      <c r="O82" s="121"/>
      <c r="P82" s="122"/>
      <c r="Q82" s="122"/>
      <c r="R82" s="122"/>
      <c r="S82" s="126"/>
      <c r="T82" s="126"/>
      <c r="U82" s="122"/>
      <c r="V82" s="121"/>
      <c r="W82" s="126"/>
      <c r="X82" s="126"/>
      <c r="Y82" s="122"/>
      <c r="Z82" s="121"/>
      <c r="AA82" s="126"/>
      <c r="AB82" s="126"/>
      <c r="AC82" s="122"/>
      <c r="AD82" s="121"/>
      <c r="AE82" s="126"/>
      <c r="AF82" s="126"/>
      <c r="AG82" s="122"/>
      <c r="AH82" s="122"/>
      <c r="AI82" s="126"/>
      <c r="AJ82" s="103" t="s">
        <v>219</v>
      </c>
      <c r="AK82" s="122"/>
      <c r="AL82" s="81"/>
      <c r="AM82" s="124"/>
      <c r="AO82" s="119"/>
      <c r="AP82" s="121"/>
      <c r="AQ82" s="121"/>
      <c r="AR82" s="121"/>
    </row>
    <row r="83" customFormat="false" ht="12.75" hidden="false" customHeight="false" outlineLevel="0" collapsed="false">
      <c r="A83" s="99" t="s">
        <v>286</v>
      </c>
      <c r="B83" s="100" t="s">
        <v>287</v>
      </c>
      <c r="C83" s="118"/>
      <c r="D83" s="119" t="n">
        <f aca="false">L83/$L$90</f>
        <v>0.00473885506105776</v>
      </c>
      <c r="E83" s="120" t="s">
        <v>109</v>
      </c>
      <c r="F83" s="120" t="s">
        <v>109</v>
      </c>
      <c r="G83" s="129"/>
      <c r="H83" s="120" t="s">
        <v>109</v>
      </c>
      <c r="I83" s="120" t="s">
        <v>109</v>
      </c>
      <c r="J83" s="129"/>
      <c r="K83" s="130" t="s">
        <v>109</v>
      </c>
      <c r="L83" s="121" t="n">
        <f aca="false">7*O83</f>
        <v>3363.5</v>
      </c>
      <c r="M83" s="121"/>
      <c r="N83" s="121"/>
      <c r="O83" s="121" t="n">
        <f aca="false">961/2</f>
        <v>480.5</v>
      </c>
      <c r="P83" s="122" t="n">
        <f aca="false">$O83/P$9</f>
        <v>0.349200581395349</v>
      </c>
      <c r="Q83" s="122" t="n">
        <f aca="false">$O83/Q$9</f>
        <v>0.276785714285714</v>
      </c>
      <c r="R83" s="122"/>
      <c r="S83" s="126" t="n">
        <f aca="false">T83*S$7</f>
        <v>343.795488721805</v>
      </c>
      <c r="T83" s="126" t="n">
        <f aca="false">(((40*8*2)*4.33*15)*CMF)/SM134Units</f>
        <v>343.795488721805</v>
      </c>
      <c r="U83" s="122" t="n">
        <f aca="false">+T83/T$9</f>
        <v>0.168858295050002</v>
      </c>
      <c r="V83" s="121"/>
      <c r="W83" s="126" t="n">
        <f aca="false">X83*W$7</f>
        <v>24753.2751879699</v>
      </c>
      <c r="X83" s="126" t="n">
        <f aca="false">(((40*8*2)*4.33*15)*CMF)/SM134Units</f>
        <v>343.795488721805</v>
      </c>
      <c r="Y83" s="122" t="n">
        <f aca="false">+X83/X$9</f>
        <v>0.310565030462335</v>
      </c>
      <c r="Z83" s="121"/>
      <c r="AA83" s="126" t="n">
        <f aca="false">AB83*AA$7</f>
        <v>20971.5248120301</v>
      </c>
      <c r="AB83" s="126" t="n">
        <f aca="false">(((40*8*2)*4.33*15)*CMF)/SM134Units</f>
        <v>343.795488721805</v>
      </c>
      <c r="AC83" s="122" t="n">
        <f aca="false">+AB83/AB$9</f>
        <v>0.267129361866204</v>
      </c>
      <c r="AD83" s="121"/>
      <c r="AE83" s="126" t="n">
        <f aca="false">AF83*AE$7</f>
        <v>0</v>
      </c>
      <c r="AF83" s="126" t="n">
        <f aca="false">(((40*8*2)*4.33*15)*CMF)/SM134Units</f>
        <v>343.795488721805</v>
      </c>
      <c r="AG83" s="122" t="n">
        <f aca="false">+AF83/AF$9</f>
        <v>0.221803541110842</v>
      </c>
      <c r="AH83" s="122"/>
      <c r="AI83" s="126" t="n">
        <f aca="false">+AA83+W83+S83+AE83</f>
        <v>46068.5954887218</v>
      </c>
      <c r="AJ83" s="103" t="n">
        <f aca="false">+AI83/AI$7</f>
        <v>346.380417208435</v>
      </c>
      <c r="AK83" s="122" t="n">
        <f aca="false">+AJ83/AJ$9</f>
        <v>0.287452628388742</v>
      </c>
      <c r="AL83" s="81"/>
      <c r="AM83" s="124"/>
      <c r="AN83" s="114"/>
      <c r="AP83" s="121" t="n">
        <v>7000</v>
      </c>
      <c r="AQ83" s="121"/>
      <c r="AR83" s="121"/>
    </row>
    <row r="84" customFormat="false" ht="12.75" hidden="false" customHeight="false" outlineLevel="0" collapsed="false">
      <c r="A84" s="99" t="s">
        <v>286</v>
      </c>
      <c r="B84" s="100" t="s">
        <v>288</v>
      </c>
      <c r="C84" s="118"/>
      <c r="D84" s="119" t="n">
        <f aca="false">L84/$L$90</f>
        <v>0.00172590975168597</v>
      </c>
      <c r="E84" s="120" t="s">
        <v>109</v>
      </c>
      <c r="F84" s="120" t="s">
        <v>109</v>
      </c>
      <c r="G84" s="129"/>
      <c r="H84" s="120" t="s">
        <v>109</v>
      </c>
      <c r="I84" s="120" t="s">
        <v>109</v>
      </c>
      <c r="J84" s="129"/>
      <c r="K84" s="130" t="s">
        <v>109</v>
      </c>
      <c r="L84" s="121" t="n">
        <f aca="false">7*O84</f>
        <v>1225</v>
      </c>
      <c r="M84" s="121"/>
      <c r="N84" s="121"/>
      <c r="O84" s="121" t="n">
        <f aca="false">350/2</f>
        <v>175</v>
      </c>
      <c r="P84" s="122" t="n">
        <f aca="false">$O84/P$9</f>
        <v>0.12718023255814</v>
      </c>
      <c r="Q84" s="122" t="n">
        <f aca="false">$O84/Q$9</f>
        <v>0.100806451612903</v>
      </c>
      <c r="R84" s="122"/>
      <c r="S84" s="126" t="n">
        <f aca="false">T84*S$7</f>
        <v>335.94</v>
      </c>
      <c r="T84" s="126" t="n">
        <f aca="false">0.15*T$9*CMF</f>
        <v>335.94</v>
      </c>
      <c r="U84" s="122" t="n">
        <f aca="false">+T84/T$9</f>
        <v>0.165</v>
      </c>
      <c r="V84" s="121"/>
      <c r="W84" s="126" t="n">
        <f aca="false">X84*W$7</f>
        <v>13151.16</v>
      </c>
      <c r="X84" s="126" t="n">
        <f aca="false">0.15*X$9*CMF</f>
        <v>182.655</v>
      </c>
      <c r="Y84" s="122" t="n">
        <f aca="false">+X84/X$9</f>
        <v>0.165</v>
      </c>
      <c r="Z84" s="121"/>
      <c r="AA84" s="126" t="n">
        <f aca="false">AB84*AA$7</f>
        <v>12953.655</v>
      </c>
      <c r="AB84" s="126" t="n">
        <f aca="false">0.15*AB$9*CMF</f>
        <v>212.355</v>
      </c>
      <c r="AC84" s="122" t="n">
        <f aca="false">+AB84/AB$9</f>
        <v>0.165</v>
      </c>
      <c r="AD84" s="121"/>
      <c r="AE84" s="126" t="n">
        <f aca="false">AF84*AE$7</f>
        <v>0</v>
      </c>
      <c r="AF84" s="126" t="n">
        <f aca="false">0.15*AF$9*CMF</f>
        <v>255.75</v>
      </c>
      <c r="AG84" s="122" t="n">
        <f aca="false">+AF84/AF$9</f>
        <v>0.165</v>
      </c>
      <c r="AH84" s="122"/>
      <c r="AI84" s="126" t="n">
        <f aca="false">+AA84+W84+S84+AE84</f>
        <v>26440.755</v>
      </c>
      <c r="AJ84" s="103" t="n">
        <f aca="false">+AI84/AI$7</f>
        <v>198.802669172932</v>
      </c>
      <c r="AK84" s="122" t="n">
        <f aca="false">+AJ84/AJ$9</f>
        <v>0.164981468193305</v>
      </c>
      <c r="AL84" s="81"/>
      <c r="AM84" s="124"/>
      <c r="AO84" s="119"/>
      <c r="AP84" s="121" t="n">
        <f aca="false">1250*14+1220*14</f>
        <v>34580</v>
      </c>
      <c r="AQ84" s="121"/>
      <c r="AR84" s="121"/>
    </row>
    <row r="85" customFormat="false" ht="12.75" hidden="false" customHeight="false" outlineLevel="0" collapsed="false">
      <c r="A85" s="99" t="s">
        <v>286</v>
      </c>
      <c r="B85" s="100" t="s">
        <v>289</v>
      </c>
      <c r="C85" s="118"/>
      <c r="D85" s="119" t="n">
        <f aca="false">L85/$L$90</f>
        <v>0.00483747847543981</v>
      </c>
      <c r="E85" s="120" t="s">
        <v>109</v>
      </c>
      <c r="F85" s="120" t="s">
        <v>109</v>
      </c>
      <c r="G85" s="129"/>
      <c r="H85" s="120" t="s">
        <v>109</v>
      </c>
      <c r="I85" s="120" t="s">
        <v>109</v>
      </c>
      <c r="J85" s="129"/>
      <c r="K85" s="130" t="s">
        <v>109</v>
      </c>
      <c r="L85" s="121" t="n">
        <f aca="false">7*O85</f>
        <v>3433.5</v>
      </c>
      <c r="M85" s="121"/>
      <c r="N85" s="121"/>
      <c r="O85" s="121" t="n">
        <f aca="false">981/2</f>
        <v>490.5</v>
      </c>
      <c r="P85" s="122" t="n">
        <f aca="false">$O85/P$9</f>
        <v>0.356468023255814</v>
      </c>
      <c r="Q85" s="122" t="n">
        <f aca="false">$O85/Q$9</f>
        <v>0.282546082949309</v>
      </c>
      <c r="R85" s="122"/>
      <c r="S85" s="126" t="n">
        <f aca="false">T85*S$7</f>
        <v>539.55</v>
      </c>
      <c r="T85" s="126" t="n">
        <f aca="false">$O85*CMF</f>
        <v>539.55</v>
      </c>
      <c r="U85" s="122" t="n">
        <f aca="false">+T85/T$9</f>
        <v>0.265004911591356</v>
      </c>
      <c r="V85" s="121"/>
      <c r="W85" s="126" t="n">
        <f aca="false">X85*W$7</f>
        <v>38847.6</v>
      </c>
      <c r="X85" s="126" t="n">
        <f aca="false">$O85*CMF</f>
        <v>539.55</v>
      </c>
      <c r="Y85" s="122" t="n">
        <f aca="false">+X85/X$9</f>
        <v>0.48739837398374</v>
      </c>
      <c r="Z85" s="121"/>
      <c r="AA85" s="126" t="n">
        <f aca="false">AB85*AA$7</f>
        <v>32912.55</v>
      </c>
      <c r="AB85" s="126" t="n">
        <f aca="false">$O85*CMF</f>
        <v>539.55</v>
      </c>
      <c r="AC85" s="122" t="n">
        <f aca="false">+AB85/AB$9</f>
        <v>0.419230769230769</v>
      </c>
      <c r="AD85" s="121"/>
      <c r="AE85" s="126" t="n">
        <f aca="false">AF85*AE$7</f>
        <v>0</v>
      </c>
      <c r="AF85" s="126" t="n">
        <f aca="false">$O85*CMF</f>
        <v>539.55</v>
      </c>
      <c r="AG85" s="122" t="n">
        <f aca="false">+AF85/AF$9</f>
        <v>0.348096774193548</v>
      </c>
      <c r="AH85" s="122"/>
      <c r="AI85" s="126" t="n">
        <f aca="false">+AA85+W85+S85+AE85</f>
        <v>72299.7</v>
      </c>
      <c r="AJ85" s="103" t="n">
        <f aca="false">+AI85/AI$7</f>
        <v>543.606766917293</v>
      </c>
      <c r="AK85" s="122" t="n">
        <f aca="false">+AJ85/AJ$9</f>
        <v>0.451125947649206</v>
      </c>
      <c r="AL85" s="81"/>
      <c r="AM85" s="124"/>
      <c r="AO85" s="119"/>
      <c r="AP85" s="121" t="n">
        <f aca="false">28*3*475</f>
        <v>39900</v>
      </c>
      <c r="AQ85" s="121"/>
      <c r="AR85" s="121"/>
    </row>
    <row r="86" customFormat="false" ht="12.75" hidden="false" customHeight="false" outlineLevel="0" collapsed="false">
      <c r="A86" s="99" t="s">
        <v>286</v>
      </c>
      <c r="B86" s="100" t="s">
        <v>290</v>
      </c>
      <c r="C86" s="118"/>
      <c r="D86" s="119" t="n">
        <f aca="false">L86/$L$90</f>
        <v>0.00435422374496774</v>
      </c>
      <c r="E86" s="120" t="s">
        <v>109</v>
      </c>
      <c r="F86" s="120" t="s">
        <v>109</v>
      </c>
      <c r="G86" s="129"/>
      <c r="H86" s="120" t="s">
        <v>109</v>
      </c>
      <c r="I86" s="120" t="s">
        <v>109</v>
      </c>
      <c r="J86" s="129"/>
      <c r="K86" s="130" t="s">
        <v>109</v>
      </c>
      <c r="L86" s="121" t="n">
        <f aca="false">7*O86</f>
        <v>3090.5</v>
      </c>
      <c r="M86" s="121"/>
      <c r="N86" s="121"/>
      <c r="O86" s="121" t="n">
        <f aca="false">883/2</f>
        <v>441.5</v>
      </c>
      <c r="P86" s="122" t="n">
        <f aca="false">$O86/P$9</f>
        <v>0.320857558139535</v>
      </c>
      <c r="Q86" s="122" t="n">
        <f aca="false">$O86/Q$9</f>
        <v>0.254320276497696</v>
      </c>
      <c r="R86" s="122"/>
      <c r="S86" s="126" t="n">
        <f aca="false">T86*S$7</f>
        <v>485.65</v>
      </c>
      <c r="T86" s="126" t="n">
        <f aca="false">$O86*CMF</f>
        <v>485.65</v>
      </c>
      <c r="U86" s="122" t="n">
        <f aca="false">+T86/T$9</f>
        <v>0.238531434184676</v>
      </c>
      <c r="V86" s="121"/>
      <c r="W86" s="126" t="n">
        <f aca="false">X86*W$7</f>
        <v>34966.8</v>
      </c>
      <c r="X86" s="126" t="n">
        <f aca="false">$O86*CMF</f>
        <v>485.65</v>
      </c>
      <c r="Y86" s="122" t="n">
        <f aca="false">+X86/X$9</f>
        <v>0.438708220415538</v>
      </c>
      <c r="Z86" s="121"/>
      <c r="AA86" s="126" t="n">
        <f aca="false">AB86*AA$7</f>
        <v>29624.65</v>
      </c>
      <c r="AB86" s="126" t="n">
        <f aca="false">$O86*CMF</f>
        <v>485.65</v>
      </c>
      <c r="AC86" s="122" t="n">
        <f aca="false">+AB86/AB$9</f>
        <v>0.377350427350427</v>
      </c>
      <c r="AD86" s="121"/>
      <c r="AE86" s="126" t="n">
        <f aca="false">AF86*AE$7</f>
        <v>0</v>
      </c>
      <c r="AF86" s="126" t="n">
        <f aca="false">$O86*CMF</f>
        <v>485.65</v>
      </c>
      <c r="AG86" s="122" t="n">
        <f aca="false">+AF86/AF$9</f>
        <v>0.313322580645161</v>
      </c>
      <c r="AH86" s="122"/>
      <c r="AI86" s="126" t="n">
        <f aca="false">+AA86+W86+S86+AE86</f>
        <v>65077.1</v>
      </c>
      <c r="AJ86" s="103" t="n">
        <f aca="false">+AI86/AI$7</f>
        <v>489.301503759399</v>
      </c>
      <c r="AK86" s="122" t="n">
        <f aca="false">+AJ86/AJ$9</f>
        <v>0.406059339219418</v>
      </c>
      <c r="AL86" s="81"/>
      <c r="AN86" s="114"/>
      <c r="AP86" s="121" t="n">
        <f aca="false">+AP85-AP84</f>
        <v>5320</v>
      </c>
      <c r="AQ86" s="121"/>
      <c r="AR86" s="121"/>
    </row>
    <row r="87" customFormat="false" ht="12.75" hidden="false" customHeight="false" outlineLevel="0" collapsed="false">
      <c r="A87" s="99" t="s">
        <v>286</v>
      </c>
      <c r="B87" s="100" t="s">
        <v>291</v>
      </c>
      <c r="C87" s="118"/>
      <c r="D87" s="119" t="n">
        <f aca="false">L87/$L$90</f>
        <v>0.000488185901191174</v>
      </c>
      <c r="E87" s="120" t="s">
        <v>109</v>
      </c>
      <c r="F87" s="120" t="s">
        <v>109</v>
      </c>
      <c r="G87" s="129"/>
      <c r="H87" s="120" t="s">
        <v>109</v>
      </c>
      <c r="I87" s="120" t="s">
        <v>109</v>
      </c>
      <c r="J87" s="129"/>
      <c r="K87" s="130" t="s">
        <v>109</v>
      </c>
      <c r="L87" s="121" t="n">
        <f aca="false">7*O87</f>
        <v>346.5</v>
      </c>
      <c r="M87" s="121"/>
      <c r="N87" s="121"/>
      <c r="O87" s="121" t="n">
        <f aca="false">99/2</f>
        <v>49.5</v>
      </c>
      <c r="P87" s="122" t="n">
        <f aca="false">$O87/P$9</f>
        <v>0.0359738372093023</v>
      </c>
      <c r="Q87" s="122" t="n">
        <f aca="false">$O87/Q$9</f>
        <v>0.0285138248847926</v>
      </c>
      <c r="R87" s="122"/>
      <c r="S87" s="126" t="n">
        <f aca="false">T87*S$7</f>
        <v>37.6026315789474</v>
      </c>
      <c r="T87" s="126" t="n">
        <f aca="false">((70*4.33*15)*CMF)/SM134Units</f>
        <v>37.6026315789474</v>
      </c>
      <c r="U87" s="122" t="n">
        <f aca="false">+T87/T$9</f>
        <v>0.018468876021094</v>
      </c>
      <c r="V87" s="121"/>
      <c r="W87" s="126" t="n">
        <f aca="false">X87*W$7</f>
        <v>2707.38947368421</v>
      </c>
      <c r="X87" s="126" t="n">
        <f aca="false">((70*4.33*15)*CMF)/SM134Units</f>
        <v>37.6026315789474</v>
      </c>
      <c r="Y87" s="122" t="n">
        <f aca="false">+X87/X$9</f>
        <v>0.0339680502068179</v>
      </c>
      <c r="Z87" s="121"/>
      <c r="AA87" s="126" t="n">
        <f aca="false">AB87*AA$7</f>
        <v>2293.76052631579</v>
      </c>
      <c r="AB87" s="126" t="n">
        <f aca="false">((70*4.33*15)*CMF)/SM134Units</f>
        <v>37.6026315789474</v>
      </c>
      <c r="AC87" s="122" t="n">
        <f aca="false">+AB87/AB$9</f>
        <v>0.0292172739541161</v>
      </c>
      <c r="AD87" s="121"/>
      <c r="AE87" s="126" t="n">
        <f aca="false">AF87*AE$7</f>
        <v>0</v>
      </c>
      <c r="AF87" s="126" t="n">
        <f aca="false">((70*4.33*15)*CMF)/SM134Units</f>
        <v>37.6026315789474</v>
      </c>
      <c r="AG87" s="122" t="n">
        <f aca="false">+AF87/AF$9</f>
        <v>0.0242597623089983</v>
      </c>
      <c r="AH87" s="122"/>
      <c r="AI87" s="126" t="n">
        <f aca="false">+AA87+W87+S87+AE87</f>
        <v>5038.75263157895</v>
      </c>
      <c r="AJ87" s="103" t="n">
        <f aca="false">+AI87/AI$7</f>
        <v>37.8853581321725</v>
      </c>
      <c r="AK87" s="122" t="n">
        <f aca="false">+AJ87/AJ$9</f>
        <v>0.0314401312300187</v>
      </c>
      <c r="AL87" s="81"/>
      <c r="AM87" s="121"/>
      <c r="AO87" s="119"/>
      <c r="AP87" s="121" t="n">
        <f aca="false">+AP86+AP83</f>
        <v>12320</v>
      </c>
      <c r="AQ87" s="121"/>
      <c r="AR87" s="121"/>
    </row>
    <row r="88" customFormat="false" ht="12.75" hidden="false" customHeight="false" outlineLevel="0" collapsed="false">
      <c r="A88" s="99" t="s">
        <v>116</v>
      </c>
      <c r="B88" s="110" t="s">
        <v>292</v>
      </c>
      <c r="C88" s="118"/>
      <c r="D88" s="119" t="n">
        <f aca="false">L88/$L$90</f>
        <v>0.00986234143820553</v>
      </c>
      <c r="E88" s="120" t="s">
        <v>109</v>
      </c>
      <c r="F88" s="120" t="s">
        <v>109</v>
      </c>
      <c r="G88" s="129"/>
      <c r="H88" s="120" t="s">
        <v>109</v>
      </c>
      <c r="I88" s="120" t="s">
        <v>109</v>
      </c>
      <c r="J88" s="129"/>
      <c r="K88" s="130" t="s">
        <v>109</v>
      </c>
      <c r="L88" s="121" t="n">
        <f aca="false">7*O88</f>
        <v>7000</v>
      </c>
      <c r="M88" s="121"/>
      <c r="N88" s="121"/>
      <c r="O88" s="121" t="n">
        <f aca="false">2000/2</f>
        <v>1000</v>
      </c>
      <c r="P88" s="122" t="n">
        <f aca="false">$O88/P$9</f>
        <v>0.726744186046512</v>
      </c>
      <c r="Q88" s="122" t="n">
        <f aca="false">$O88/Q$9</f>
        <v>0.576036866359447</v>
      </c>
      <c r="R88" s="122"/>
      <c r="S88" s="126" t="n">
        <f aca="false">T88*S$7</f>
        <v>1100</v>
      </c>
      <c r="T88" s="126" t="n">
        <f aca="false">$O88*CMF</f>
        <v>1100</v>
      </c>
      <c r="U88" s="122" t="n">
        <f aca="false">+T88/T$9</f>
        <v>0.540275049115914</v>
      </c>
      <c r="V88" s="121"/>
      <c r="W88" s="126" t="n">
        <f aca="false">X88*W$7</f>
        <v>79200</v>
      </c>
      <c r="X88" s="126" t="n">
        <f aca="false">$O88*CMF</f>
        <v>1100</v>
      </c>
      <c r="Y88" s="122" t="n">
        <f aca="false">+X88/X$9</f>
        <v>0.993676603432701</v>
      </c>
      <c r="Z88" s="121"/>
      <c r="AA88" s="126" t="n">
        <f aca="false">AB88*AA$7</f>
        <v>67100</v>
      </c>
      <c r="AB88" s="126" t="n">
        <f aca="false">$O88*CMF</f>
        <v>1100</v>
      </c>
      <c r="AC88" s="122" t="n">
        <f aca="false">+AB88/AB$9</f>
        <v>0.854700854700855</v>
      </c>
      <c r="AD88" s="121"/>
      <c r="AE88" s="126" t="n">
        <f aca="false">AF88*AE$7</f>
        <v>0</v>
      </c>
      <c r="AF88" s="126" t="n">
        <f aca="false">$O88*CMF</f>
        <v>1100</v>
      </c>
      <c r="AG88" s="122" t="n">
        <f aca="false">+AF88/AF$9</f>
        <v>0.709677419354839</v>
      </c>
      <c r="AH88" s="122"/>
      <c r="AI88" s="126" t="n">
        <f aca="false">+AA88+W88+S88+AE88</f>
        <v>147400</v>
      </c>
      <c r="AJ88" s="103" t="n">
        <f aca="false">+AI88/AI$7</f>
        <v>1108.27067669173</v>
      </c>
      <c r="AK88" s="122" t="n">
        <f aca="false">+AJ88/AJ$9</f>
        <v>0.919726702648738</v>
      </c>
      <c r="AL88" s="81"/>
      <c r="AO88" s="119"/>
      <c r="AP88" s="121" t="n">
        <f aca="false">AP87*0.58</f>
        <v>7145.6</v>
      </c>
      <c r="AQ88" s="121"/>
      <c r="AR88" s="121"/>
    </row>
    <row r="89" customFormat="false" ht="12.75" hidden="false" customHeight="false" outlineLevel="0" collapsed="false">
      <c r="A89" s="99" t="s">
        <v>293</v>
      </c>
      <c r="B89" s="110" t="s">
        <v>294</v>
      </c>
      <c r="C89" s="118"/>
      <c r="D89" s="119" t="n">
        <f aca="false">L89/$L$90</f>
        <v>0.0126780399188132</v>
      </c>
      <c r="E89" s="120" t="s">
        <v>109</v>
      </c>
      <c r="F89" s="120" t="s">
        <v>109</v>
      </c>
      <c r="G89" s="129"/>
      <c r="H89" s="120" t="s">
        <v>109</v>
      </c>
      <c r="I89" s="120" t="s">
        <v>109</v>
      </c>
      <c r="J89" s="129"/>
      <c r="K89" s="130" t="s">
        <v>109</v>
      </c>
      <c r="L89" s="121" t="n">
        <f aca="false">7*O89</f>
        <v>8998.5</v>
      </c>
      <c r="M89" s="121"/>
      <c r="N89" s="121"/>
      <c r="O89" s="121" t="n">
        <f aca="false">2571/2</f>
        <v>1285.5</v>
      </c>
      <c r="P89" s="122" t="n">
        <f aca="false">$O89/P$9</f>
        <v>0.934229651162791</v>
      </c>
      <c r="Q89" s="122" t="n">
        <f aca="false">$O89/Q$9</f>
        <v>0.740495391705069</v>
      </c>
      <c r="R89" s="122"/>
      <c r="S89" s="126" t="n">
        <f aca="false">T89*S$7</f>
        <v>1342.95112781955</v>
      </c>
      <c r="T89" s="126" t="n">
        <f aca="false">(((1000+500+500+500)*4.33*15)*CMF)/SM134Units</f>
        <v>1342.95112781955</v>
      </c>
      <c r="U89" s="122" t="n">
        <f aca="false">+T89/T$9</f>
        <v>0.659602715039071</v>
      </c>
      <c r="V89" s="121"/>
      <c r="W89" s="126" t="n">
        <f aca="false">X89*W$7</f>
        <v>96692.4812030075</v>
      </c>
      <c r="X89" s="126" t="n">
        <f aca="false">(((1000+500+500+500)*4.33*15)*CMF)/SM134Units</f>
        <v>1342.95112781955</v>
      </c>
      <c r="Y89" s="122" t="n">
        <f aca="false">+X89/X$9</f>
        <v>1.2131446502435</v>
      </c>
      <c r="Z89" s="121"/>
      <c r="AA89" s="126" t="n">
        <f aca="false">AB89*AA$7</f>
        <v>81920.0187969925</v>
      </c>
      <c r="AB89" s="126" t="n">
        <f aca="false">(((1000+500+500+500)*4.33*15)*CMF)/SM134Units</f>
        <v>1342.95112781955</v>
      </c>
      <c r="AC89" s="122" t="n">
        <f aca="false">+AB89/AB$9</f>
        <v>1.04347406978986</v>
      </c>
      <c r="AD89" s="121"/>
      <c r="AE89" s="126" t="n">
        <f aca="false">AF89*AE$7</f>
        <v>0</v>
      </c>
      <c r="AF89" s="126" t="n">
        <f aca="false">(((1000+500+500+500)*4.33*15)*CMF)/SM134Units</f>
        <v>1342.95112781955</v>
      </c>
      <c r="AG89" s="122" t="n">
        <f aca="false">+AF89/AF$9</f>
        <v>0.866420082464225</v>
      </c>
      <c r="AH89" s="122"/>
      <c r="AI89" s="126" t="n">
        <f aca="false">+AA89+W89+S89+AE89</f>
        <v>179955.45112782</v>
      </c>
      <c r="AJ89" s="103" t="n">
        <f aca="false">+AI89/AI$7</f>
        <v>1353.04850472045</v>
      </c>
      <c r="AK89" s="122" t="n">
        <f aca="false">+AJ89/AJ$9</f>
        <v>1.12286182964353</v>
      </c>
      <c r="AL89" s="81"/>
      <c r="AN89" s="121"/>
      <c r="AP89" s="100" t="n">
        <f aca="false">0.5*AP80/12</f>
        <v>-60783.4105235489</v>
      </c>
      <c r="AR89" s="121"/>
    </row>
    <row r="90" customFormat="false" ht="12.75" hidden="false" customHeight="false" outlineLevel="0" collapsed="false">
      <c r="A90" s="144"/>
      <c r="B90" s="145" t="s">
        <v>295</v>
      </c>
      <c r="C90" s="145"/>
      <c r="D90" s="146" t="n">
        <f aca="false">SUM(D10:D89)</f>
        <v>1</v>
      </c>
      <c r="E90" s="147" t="s">
        <v>296</v>
      </c>
      <c r="F90" s="147" t="s">
        <v>296</v>
      </c>
      <c r="G90" s="147"/>
      <c r="H90" s="147" t="s">
        <v>296</v>
      </c>
      <c r="I90" s="147" t="s">
        <v>296</v>
      </c>
      <c r="J90" s="147"/>
      <c r="K90" s="147"/>
      <c r="L90" s="148" t="n">
        <f aca="false">+SUM(L10:L89)</f>
        <v>709770.6</v>
      </c>
      <c r="M90" s="148"/>
      <c r="N90" s="148"/>
      <c r="O90" s="148" t="n">
        <f aca="false">+SUM(O10:O89)</f>
        <v>61379.65</v>
      </c>
      <c r="P90" s="149" t="n">
        <f aca="false">$O90/P$9</f>
        <v>44.6073037790698</v>
      </c>
      <c r="Q90" s="150" t="n">
        <f aca="false">$O90/Q$9</f>
        <v>35.3569412442396</v>
      </c>
      <c r="R90" s="151"/>
      <c r="S90" s="152" t="n">
        <f aca="false">+SUM(S10:S89)</f>
        <v>90910.9359247527</v>
      </c>
      <c r="T90" s="148" t="n">
        <f aca="false">+SUM(T10:T89)</f>
        <v>90910.9359247527</v>
      </c>
      <c r="U90" s="152" t="n">
        <f aca="false">+T90/T$9</f>
        <v>44.6517367017449</v>
      </c>
      <c r="V90" s="153"/>
      <c r="W90" s="148" t="n">
        <f aca="false">+SUM(W10:W89)</f>
        <v>4183639.55650262</v>
      </c>
      <c r="X90" s="148" t="n">
        <f aca="false">+SUM(X10:X89)</f>
        <v>58106.1049514253</v>
      </c>
      <c r="Y90" s="152" t="n">
        <f aca="false">+X90/X$9</f>
        <v>52.4897063698512</v>
      </c>
      <c r="Z90" s="154"/>
      <c r="AA90" s="148" t="n">
        <f aca="false">+SUM(AA10:AA89)</f>
        <v>4073052.99287191</v>
      </c>
      <c r="AB90" s="148" t="n">
        <f aca="false">+SUM(AB10:AB89)</f>
        <v>66771.3605388838</v>
      </c>
      <c r="AC90" s="152" t="n">
        <f aca="false">+AB90/AB$9</f>
        <v>51.8813990201117</v>
      </c>
      <c r="AD90" s="154"/>
      <c r="AE90" s="148" t="n">
        <f aca="false">+SUM(AE10:AE89)</f>
        <v>0</v>
      </c>
      <c r="AF90" s="148" t="n">
        <f aca="false">+SUM(AF10:AF89)</f>
        <v>79399.1431780917</v>
      </c>
      <c r="AG90" s="152" t="n">
        <f aca="false">+AF90/AF$9</f>
        <v>51.225253663285</v>
      </c>
      <c r="AH90" s="152"/>
      <c r="AI90" s="155" t="n">
        <f aca="false">+SUM(AI10:AI89)</f>
        <v>8347603.48529929</v>
      </c>
      <c r="AJ90" s="148" t="n">
        <f aca="false">+SUM(AJ10:AJ89)</f>
        <v>62763.9359796939</v>
      </c>
      <c r="AK90" s="152" t="n">
        <f aca="false">+AJ90/AJ$9</f>
        <v>52.0862539250572</v>
      </c>
      <c r="AL90" s="156"/>
      <c r="AP90" s="100" t="n">
        <f aca="false">+AP89+AP88</f>
        <v>-53637.8105235489</v>
      </c>
    </row>
    <row r="91" customFormat="false" ht="12.75" hidden="false" customHeight="false" outlineLevel="0" collapsed="false">
      <c r="L91" s="157" t="s">
        <v>297</v>
      </c>
      <c r="M91" s="157" t="s">
        <v>298</v>
      </c>
      <c r="N91" s="157" t="s">
        <v>299</v>
      </c>
      <c r="O91" s="157" t="s">
        <v>300</v>
      </c>
      <c r="P91" s="157" t="s">
        <v>301</v>
      </c>
    </row>
    <row r="92" customFormat="false" ht="12" hidden="false" customHeight="false" outlineLevel="0" collapsed="false">
      <c r="B92" s="110" t="s">
        <v>302</v>
      </c>
      <c r="L92" s="100" t="s">
        <v>303</v>
      </c>
      <c r="O92" s="100" t="n">
        <f aca="false">10.3*43560*2.5</f>
        <v>1121670</v>
      </c>
      <c r="P92" s="100" t="n">
        <f aca="false">O92/10.3</f>
        <v>108900</v>
      </c>
      <c r="S92" s="158"/>
      <c r="T92" s="158"/>
      <c r="U92" s="43"/>
      <c r="W92" s="158" t="n">
        <f aca="false">X92*W$7</f>
        <v>607219.84962406</v>
      </c>
      <c r="X92" s="158" t="n">
        <f aca="false">+$O92/SM134Units</f>
        <v>8433.60902255639</v>
      </c>
      <c r="Y92" s="43" t="n">
        <f aca="false">+X92/X$9</f>
        <v>7.61843633473929</v>
      </c>
      <c r="AA92" s="158" t="n">
        <f aca="false">AB92*AA$7</f>
        <v>514450.15037594</v>
      </c>
      <c r="AB92" s="158" t="n">
        <f aca="false">+$O92/SM134Units</f>
        <v>8433.60902255639</v>
      </c>
      <c r="AC92" s="43" t="n">
        <f aca="false">+AB92/AB$9</f>
        <v>6.55292076344708</v>
      </c>
      <c r="AE92" s="158" t="n">
        <f aca="false">AF92*AE$7</f>
        <v>0</v>
      </c>
      <c r="AF92" s="158" t="n">
        <f aca="false">+$O92/SM134Units</f>
        <v>8433.60902255639</v>
      </c>
      <c r="AG92" s="43" t="n">
        <f aca="false">+AF92/AF$9</f>
        <v>5.44103807906864</v>
      </c>
      <c r="AH92" s="43"/>
      <c r="AI92" s="158" t="n">
        <f aca="false">+AA92+W92</f>
        <v>1121670</v>
      </c>
      <c r="AJ92" s="158" t="n">
        <f aca="false">+AI92/AI$7</f>
        <v>8433.60902255639</v>
      </c>
      <c r="AK92" s="43" t="n">
        <f aca="false">+AJ92/AJ$9</f>
        <v>6.99884566187253</v>
      </c>
    </row>
    <row r="93" customFormat="false" ht="12" hidden="false" customHeight="false" outlineLevel="0" collapsed="false">
      <c r="B93" s="139" t="s">
        <v>304</v>
      </c>
      <c r="S93" s="126"/>
      <c r="U93" s="122"/>
      <c r="W93" s="126"/>
      <c r="Y93" s="122"/>
      <c r="AA93" s="126"/>
      <c r="AC93" s="122"/>
    </row>
    <row r="94" customFormat="false" ht="12" hidden="false" customHeight="false" outlineLevel="0" collapsed="false">
      <c r="B94" s="100" t="s">
        <v>305</v>
      </c>
      <c r="L94" s="100" t="s">
        <v>306</v>
      </c>
      <c r="M94" s="100" t="n">
        <v>1</v>
      </c>
      <c r="N94" s="100" t="n">
        <v>37800</v>
      </c>
      <c r="O94" s="100" t="n">
        <f aca="false">+N94*M94</f>
        <v>37800</v>
      </c>
      <c r="P94" s="100" t="n">
        <f aca="false">O94/10.3</f>
        <v>3669.90291262136</v>
      </c>
      <c r="S94" s="126"/>
      <c r="T94" s="122"/>
      <c r="U94" s="122"/>
      <c r="W94" s="126" t="n">
        <f aca="false">X94*W$7</f>
        <v>20310.447761194</v>
      </c>
      <c r="X94" s="122" t="n">
        <f aca="false">(37800)/134</f>
        <v>282.089552238806</v>
      </c>
      <c r="Y94" s="122" t="n">
        <f aca="false">+X94/X$9</f>
        <v>0.254823443756826</v>
      </c>
      <c r="AA94" s="126" t="n">
        <f aca="false">AB94*AA$7</f>
        <v>17207.4626865672</v>
      </c>
      <c r="AB94" s="122" t="n">
        <f aca="false">(37800)/134</f>
        <v>282.089552238806</v>
      </c>
      <c r="AC94" s="122" t="n">
        <f aca="false">+AB94/AB$9</f>
        <v>0.219183801273354</v>
      </c>
      <c r="AE94" s="158"/>
      <c r="AF94" s="158"/>
      <c r="AG94" s="43"/>
      <c r="AH94" s="43"/>
      <c r="AI94" s="158" t="n">
        <f aca="false">+AA94+W94</f>
        <v>37517.9104477612</v>
      </c>
      <c r="AJ94" s="103" t="n">
        <f aca="false">+AI94/AI$7</f>
        <v>282.089552238806</v>
      </c>
      <c r="AK94" s="122" t="n">
        <f aca="false">+AJ94/AJ$9</f>
        <v>0.234099213476188</v>
      </c>
    </row>
    <row r="95" customFormat="false" ht="12" hidden="false" customHeight="false" outlineLevel="0" collapsed="false">
      <c r="B95" s="100" t="s">
        <v>307</v>
      </c>
      <c r="L95" s="100" t="s">
        <v>308</v>
      </c>
      <c r="M95" s="100" t="n">
        <v>13100</v>
      </c>
      <c r="N95" s="36" t="n">
        <v>5.75</v>
      </c>
      <c r="O95" s="100" t="n">
        <f aca="false">+N95*M95</f>
        <v>75325</v>
      </c>
      <c r="P95" s="100" t="n">
        <f aca="false">O95/10.3</f>
        <v>7313.1067961165</v>
      </c>
      <c r="S95" s="126"/>
      <c r="U95" s="122"/>
      <c r="W95" s="126" t="n">
        <f aca="false">X95*W$7</f>
        <v>40777.4436090226</v>
      </c>
      <c r="X95" s="100" t="n">
        <f aca="false">+$O95/SM134Units</f>
        <v>566.353383458647</v>
      </c>
      <c r="Y95" s="122" t="n">
        <f aca="false">+X95/X$9</f>
        <v>0.511611005834369</v>
      </c>
      <c r="AA95" s="126" t="n">
        <f aca="false">AB95*AA$7</f>
        <v>34547.5563909774</v>
      </c>
      <c r="AB95" s="100" t="n">
        <f aca="false">+$O95/SM134Units</f>
        <v>566.353383458647</v>
      </c>
      <c r="AC95" s="122" t="n">
        <f aca="false">+AB95/AB$9</f>
        <v>0.440057019004387</v>
      </c>
      <c r="AE95" s="158"/>
      <c r="AF95" s="158"/>
      <c r="AG95" s="43"/>
      <c r="AH95" s="43"/>
      <c r="AI95" s="121" t="n">
        <f aca="false">+AA95+W95</f>
        <v>75325</v>
      </c>
      <c r="AJ95" s="103" t="n">
        <f aca="false">+AI95/AI$7</f>
        <v>566.353383458647</v>
      </c>
      <c r="AK95" s="122" t="n">
        <f aca="false">+AJ95/AJ$9</f>
        <v>0.470002807849499</v>
      </c>
    </row>
    <row r="96" customFormat="false" ht="12" hidden="false" customHeight="false" outlineLevel="0" collapsed="false">
      <c r="B96" s="100" t="s">
        <v>309</v>
      </c>
      <c r="L96" s="100" t="s">
        <v>308</v>
      </c>
      <c r="M96" s="100" t="n">
        <v>13100</v>
      </c>
      <c r="N96" s="34" t="n">
        <v>3.75</v>
      </c>
      <c r="O96" s="100" t="n">
        <f aca="false">+N96*M96</f>
        <v>49125</v>
      </c>
      <c r="P96" s="100" t="n">
        <f aca="false">O96/10.3</f>
        <v>4769.41747572816</v>
      </c>
      <c r="S96" s="126"/>
      <c r="U96" s="122"/>
      <c r="W96" s="126" t="n">
        <f aca="false">X96*W$7</f>
        <v>26593.984962406</v>
      </c>
      <c r="X96" s="100" t="n">
        <f aca="false">+$O96/SM134Units</f>
        <v>369.360902255639</v>
      </c>
      <c r="Y96" s="122" t="n">
        <f aca="false">+X96/X$9</f>
        <v>0.33365935163111</v>
      </c>
      <c r="AA96" s="126" t="n">
        <f aca="false">AB96*AA$7</f>
        <v>22531.015037594</v>
      </c>
      <c r="AB96" s="100" t="n">
        <f aca="false">+$O96/SM134Units</f>
        <v>369.360902255639</v>
      </c>
      <c r="AC96" s="122" t="n">
        <f aca="false">+AB96/AB$9</f>
        <v>0.28699370804634</v>
      </c>
      <c r="AE96" s="158"/>
      <c r="AF96" s="158"/>
      <c r="AG96" s="43"/>
      <c r="AH96" s="43"/>
      <c r="AI96" s="121" t="n">
        <f aca="false">+AA96+W96</f>
        <v>49125</v>
      </c>
      <c r="AJ96" s="103" t="n">
        <f aca="false">+AI96/AI$7</f>
        <v>369.360902255639</v>
      </c>
      <c r="AK96" s="122" t="n">
        <f aca="false">+AJ96/AJ$9</f>
        <v>0.30652357033663</v>
      </c>
    </row>
    <row r="97" customFormat="false" ht="12" hidden="false" customHeight="false" outlineLevel="0" collapsed="false">
      <c r="B97" s="100" t="s">
        <v>310</v>
      </c>
      <c r="L97" s="100" t="s">
        <v>311</v>
      </c>
      <c r="M97" s="100" t="n">
        <v>10000</v>
      </c>
      <c r="N97" s="34" t="n">
        <v>3</v>
      </c>
      <c r="O97" s="100" t="n">
        <f aca="false">+N97*M97</f>
        <v>30000</v>
      </c>
      <c r="P97" s="100" t="n">
        <f aca="false">O97/10.3</f>
        <v>2912.6213592233</v>
      </c>
      <c r="S97" s="126"/>
      <c r="U97" s="122"/>
      <c r="W97" s="126" t="n">
        <f aca="false">X97*W$7</f>
        <v>16240.6015037594</v>
      </c>
      <c r="X97" s="100" t="n">
        <f aca="false">+$O97/SM134Units</f>
        <v>225.563909774436</v>
      </c>
      <c r="Y97" s="122" t="n">
        <f aca="false">+X97/X$9</f>
        <v>0.203761436110602</v>
      </c>
      <c r="AA97" s="126" t="n">
        <f aca="false">AB97*AA$7</f>
        <v>13759.3984962406</v>
      </c>
      <c r="AB97" s="100" t="n">
        <f aca="false">+$O97/SM134Units</f>
        <v>225.563909774436</v>
      </c>
      <c r="AC97" s="122" t="n">
        <f aca="false">+AB97/AB$9</f>
        <v>0.17526333315807</v>
      </c>
      <c r="AE97" s="158"/>
      <c r="AF97" s="158"/>
      <c r="AG97" s="43"/>
      <c r="AH97" s="43"/>
      <c r="AI97" s="121" t="n">
        <f aca="false">+AA97+W97</f>
        <v>30000</v>
      </c>
      <c r="AJ97" s="103" t="n">
        <f aca="false">+AI97/AI$7</f>
        <v>225.563909774436</v>
      </c>
      <c r="AK97" s="122" t="n">
        <f aca="false">+AJ97/AJ$9</f>
        <v>0.187189966617789</v>
      </c>
    </row>
    <row r="98" customFormat="false" ht="12" hidden="false" customHeight="false" outlineLevel="0" collapsed="false">
      <c r="B98" s="100" t="s">
        <v>312</v>
      </c>
      <c r="L98" s="100" t="s">
        <v>313</v>
      </c>
      <c r="M98" s="100" t="n">
        <v>5000</v>
      </c>
      <c r="N98" s="34" t="n">
        <v>6</v>
      </c>
      <c r="O98" s="100" t="n">
        <f aca="false">+N98*M98</f>
        <v>30000</v>
      </c>
      <c r="P98" s="100" t="n">
        <f aca="false">O98/10.3</f>
        <v>2912.6213592233</v>
      </c>
      <c r="S98" s="126"/>
      <c r="U98" s="122"/>
      <c r="W98" s="126" t="n">
        <f aca="false">X98*W$7</f>
        <v>16240.6015037594</v>
      </c>
      <c r="X98" s="100" t="n">
        <f aca="false">+$O98/SM134Units</f>
        <v>225.563909774436</v>
      </c>
      <c r="Y98" s="122" t="n">
        <f aca="false">+X98/X$9</f>
        <v>0.203761436110602</v>
      </c>
      <c r="AA98" s="126" t="n">
        <f aca="false">AB98*AA$7</f>
        <v>13759.3984962406</v>
      </c>
      <c r="AB98" s="100" t="n">
        <f aca="false">+$O98/SM134Units</f>
        <v>225.563909774436</v>
      </c>
      <c r="AC98" s="122" t="n">
        <f aca="false">+AB98/AB$9</f>
        <v>0.17526333315807</v>
      </c>
      <c r="AE98" s="158"/>
      <c r="AF98" s="158"/>
      <c r="AG98" s="43"/>
      <c r="AH98" s="43"/>
      <c r="AI98" s="121" t="n">
        <f aca="false">+AA98+W98</f>
        <v>30000</v>
      </c>
      <c r="AJ98" s="103" t="n">
        <f aca="false">+AI98/AI$7</f>
        <v>225.563909774436</v>
      </c>
      <c r="AK98" s="122" t="n">
        <f aca="false">+AJ98/AJ$9</f>
        <v>0.187189966617789</v>
      </c>
    </row>
    <row r="99" customFormat="false" ht="12" hidden="false" customHeight="false" outlineLevel="0" collapsed="false">
      <c r="B99" s="100" t="s">
        <v>314</v>
      </c>
      <c r="L99" s="100" t="s">
        <v>313</v>
      </c>
      <c r="M99" s="100" t="n">
        <v>2200</v>
      </c>
      <c r="N99" s="34" t="n">
        <v>25</v>
      </c>
      <c r="O99" s="100" t="n">
        <f aca="false">+N99*M99</f>
        <v>55000</v>
      </c>
      <c r="P99" s="100" t="n">
        <f aca="false">O99/10.3</f>
        <v>5339.80582524272</v>
      </c>
      <c r="S99" s="126"/>
      <c r="U99" s="122"/>
      <c r="W99" s="126" t="n">
        <f aca="false">X99*W$7</f>
        <v>29774.4360902256</v>
      </c>
      <c r="X99" s="100" t="n">
        <f aca="false">+$O99/SM134Units</f>
        <v>413.533834586466</v>
      </c>
      <c r="Y99" s="122" t="n">
        <f aca="false">+X99/X$9</f>
        <v>0.373562632869437</v>
      </c>
      <c r="AA99" s="126" t="n">
        <f aca="false">AB99*AA$7</f>
        <v>25225.5639097744</v>
      </c>
      <c r="AB99" s="100" t="n">
        <f aca="false">+$O99/SM134Units</f>
        <v>413.533834586466</v>
      </c>
      <c r="AC99" s="122" t="n">
        <f aca="false">+AB99/AB$9</f>
        <v>0.321316110789795</v>
      </c>
      <c r="AE99" s="158"/>
      <c r="AF99" s="158"/>
      <c r="AG99" s="43"/>
      <c r="AH99" s="43"/>
      <c r="AI99" s="121" t="n">
        <f aca="false">+AA99+W99</f>
        <v>55000</v>
      </c>
      <c r="AJ99" s="103" t="n">
        <f aca="false">+AI99/AI$7</f>
        <v>413.533834586466</v>
      </c>
      <c r="AK99" s="122" t="n">
        <f aca="false">+AJ99/AJ$9</f>
        <v>0.343181605465947</v>
      </c>
    </row>
    <row r="100" customFormat="false" ht="12" hidden="false" customHeight="false" outlineLevel="0" collapsed="false">
      <c r="B100" s="100" t="s">
        <v>315</v>
      </c>
      <c r="L100" s="100" t="s">
        <v>313</v>
      </c>
      <c r="M100" s="100" t="n">
        <v>210</v>
      </c>
      <c r="N100" s="34" t="n">
        <v>17</v>
      </c>
      <c r="O100" s="100" t="n">
        <f aca="false">+N100*M100</f>
        <v>3570</v>
      </c>
      <c r="P100" s="100" t="n">
        <f aca="false">O100/10.3</f>
        <v>346.601941747573</v>
      </c>
      <c r="S100" s="126"/>
      <c r="U100" s="122"/>
      <c r="W100" s="126" t="n">
        <f aca="false">X100*W$7</f>
        <v>1932.63157894737</v>
      </c>
      <c r="X100" s="100" t="n">
        <f aca="false">+$O100/SM134Units</f>
        <v>26.8421052631579</v>
      </c>
      <c r="Y100" s="122" t="n">
        <f aca="false">+X100/X$9</f>
        <v>0.0242476108971616</v>
      </c>
      <c r="AA100" s="126" t="n">
        <f aca="false">AB100*AA$7</f>
        <v>1637.36842105263</v>
      </c>
      <c r="AB100" s="100" t="n">
        <f aca="false">+$O100/SM134Units</f>
        <v>26.8421052631579</v>
      </c>
      <c r="AC100" s="122" t="n">
        <f aca="false">+AB100/AB$9</f>
        <v>0.0208563366458103</v>
      </c>
      <c r="AE100" s="158"/>
      <c r="AF100" s="158"/>
      <c r="AG100" s="43"/>
      <c r="AH100" s="43"/>
      <c r="AI100" s="121" t="n">
        <f aca="false">+AA100+W100</f>
        <v>3570</v>
      </c>
      <c r="AJ100" s="103" t="n">
        <f aca="false">+AI100/AI$7</f>
        <v>26.8421052631579</v>
      </c>
      <c r="AK100" s="122" t="n">
        <f aca="false">+AJ100/AJ$9</f>
        <v>0.0222756060275169</v>
      </c>
    </row>
    <row r="101" customFormat="false" ht="12" hidden="false" customHeight="false" outlineLevel="0" collapsed="false">
      <c r="B101" s="100" t="s">
        <v>316</v>
      </c>
      <c r="L101" s="100" t="s">
        <v>317</v>
      </c>
      <c r="M101" s="100" t="n">
        <v>134</v>
      </c>
      <c r="N101" s="100" t="n">
        <v>600</v>
      </c>
      <c r="O101" s="100" t="n">
        <f aca="false">+N101*M101</f>
        <v>80400</v>
      </c>
      <c r="P101" s="100" t="n">
        <f aca="false">O101/10.3</f>
        <v>7805.82524271845</v>
      </c>
      <c r="S101" s="126"/>
      <c r="U101" s="122"/>
      <c r="W101" s="126" t="n">
        <f aca="false">X101*W$7</f>
        <v>43524.8120300752</v>
      </c>
      <c r="X101" s="100" t="n">
        <f aca="false">+$O101/SM134Units</f>
        <v>604.511278195489</v>
      </c>
      <c r="Y101" s="122" t="n">
        <f aca="false">+X101/X$9</f>
        <v>0.546080648776413</v>
      </c>
      <c r="AA101" s="126" t="n">
        <f aca="false">AB101*AA$7</f>
        <v>36875.1879699248</v>
      </c>
      <c r="AB101" s="100" t="n">
        <f aca="false">+$O101/SM134Units</f>
        <v>604.511278195489</v>
      </c>
      <c r="AC101" s="122" t="n">
        <f aca="false">+AB101/AB$9</f>
        <v>0.469705732863628</v>
      </c>
      <c r="AE101" s="158"/>
      <c r="AF101" s="158"/>
      <c r="AG101" s="43"/>
      <c r="AH101" s="43"/>
      <c r="AI101" s="121" t="n">
        <f aca="false">+AA101+W101</f>
        <v>80400</v>
      </c>
      <c r="AJ101" s="103" t="n">
        <f aca="false">+AI101/AI$7</f>
        <v>604.511278195489</v>
      </c>
      <c r="AK101" s="122" t="n">
        <f aca="false">+AJ101/AJ$9</f>
        <v>0.501669110535675</v>
      </c>
    </row>
    <row r="102" customFormat="false" ht="12" hidden="false" customHeight="false" outlineLevel="0" collapsed="false">
      <c r="B102" s="100" t="s">
        <v>318</v>
      </c>
      <c r="L102" s="100" t="s">
        <v>317</v>
      </c>
      <c r="M102" s="100" t="n">
        <v>2</v>
      </c>
      <c r="N102" s="100" t="n">
        <v>17500</v>
      </c>
      <c r="O102" s="100" t="n">
        <f aca="false">+N102*M102</f>
        <v>35000</v>
      </c>
      <c r="P102" s="100" t="n">
        <f aca="false">O102/10.3</f>
        <v>3398.05825242718</v>
      </c>
      <c r="S102" s="126"/>
      <c r="U102" s="122"/>
      <c r="W102" s="126" t="n">
        <f aca="false">X102*W$7</f>
        <v>18947.3684210526</v>
      </c>
      <c r="X102" s="100" t="n">
        <f aca="false">+$O102/SM134Units</f>
        <v>263.157894736842</v>
      </c>
      <c r="Y102" s="122" t="n">
        <f aca="false">+X102/X$9</f>
        <v>0.237721675462369</v>
      </c>
      <c r="AA102" s="126" t="n">
        <f aca="false">AB102*AA$7</f>
        <v>16052.6315789474</v>
      </c>
      <c r="AB102" s="100" t="n">
        <f aca="false">+$O102/SM134Units</f>
        <v>263.157894736842</v>
      </c>
      <c r="AC102" s="122" t="n">
        <f aca="false">+AB102/AB$9</f>
        <v>0.204473888684415</v>
      </c>
      <c r="AE102" s="158"/>
      <c r="AF102" s="158"/>
      <c r="AG102" s="43"/>
      <c r="AH102" s="43"/>
      <c r="AI102" s="121" t="n">
        <f aca="false">+AA102+W102</f>
        <v>35000</v>
      </c>
      <c r="AJ102" s="103" t="n">
        <f aca="false">+AI102/AI$7</f>
        <v>263.157894736842</v>
      </c>
      <c r="AK102" s="122" t="n">
        <f aca="false">+AJ102/AJ$9</f>
        <v>0.218388294387421</v>
      </c>
    </row>
    <row r="103" customFormat="false" ht="12" hidden="false" customHeight="false" outlineLevel="0" collapsed="false">
      <c r="B103" s="100" t="s">
        <v>319</v>
      </c>
      <c r="L103" s="100" t="s">
        <v>317</v>
      </c>
      <c r="M103" s="100" t="n">
        <v>9</v>
      </c>
      <c r="N103" s="100" t="n">
        <v>2000</v>
      </c>
      <c r="O103" s="100" t="n">
        <f aca="false">+N103*M103</f>
        <v>18000</v>
      </c>
      <c r="P103" s="100" t="n">
        <f aca="false">O103/10.3</f>
        <v>1747.57281553398</v>
      </c>
      <c r="S103" s="126"/>
      <c r="U103" s="122"/>
      <c r="W103" s="126" t="n">
        <f aca="false">X103*W$7</f>
        <v>9744.36090225564</v>
      </c>
      <c r="X103" s="100" t="n">
        <f aca="false">+$O103/SM134Units</f>
        <v>135.338345864662</v>
      </c>
      <c r="Y103" s="122" t="n">
        <f aca="false">+X103/X$9</f>
        <v>0.122256861666361</v>
      </c>
      <c r="AA103" s="126" t="n">
        <f aca="false">AB103*AA$7</f>
        <v>8255.63909774436</v>
      </c>
      <c r="AB103" s="100" t="n">
        <f aca="false">+$O103/SM134Units</f>
        <v>135.338345864662</v>
      </c>
      <c r="AC103" s="122" t="n">
        <f aca="false">+AB103/AB$9</f>
        <v>0.105157999894842</v>
      </c>
      <c r="AE103" s="158"/>
      <c r="AF103" s="158"/>
      <c r="AG103" s="43"/>
      <c r="AH103" s="43"/>
      <c r="AI103" s="121" t="n">
        <f aca="false">+AA103+W103</f>
        <v>18000</v>
      </c>
      <c r="AJ103" s="103" t="n">
        <f aca="false">+AI103/AI$7</f>
        <v>135.338345864662</v>
      </c>
      <c r="AK103" s="122" t="n">
        <f aca="false">+AJ103/AJ$9</f>
        <v>0.112313979970674</v>
      </c>
    </row>
    <row r="104" customFormat="false" ht="12" hidden="false" customHeight="false" outlineLevel="0" collapsed="false">
      <c r="B104" s="100" t="s">
        <v>320</v>
      </c>
      <c r="L104" s="100" t="s">
        <v>313</v>
      </c>
      <c r="M104" s="100" t="n">
        <v>1860</v>
      </c>
      <c r="N104" s="34" t="n">
        <v>25</v>
      </c>
      <c r="O104" s="100" t="n">
        <f aca="false">+N104*M104</f>
        <v>46500</v>
      </c>
      <c r="P104" s="100" t="n">
        <f aca="false">O104/10.3</f>
        <v>4514.56310679612</v>
      </c>
      <c r="S104" s="126"/>
      <c r="U104" s="122"/>
      <c r="W104" s="126" t="n">
        <f aca="false">X104*W$7</f>
        <v>25172.9323308271</v>
      </c>
      <c r="X104" s="100" t="n">
        <f aca="false">+$O104/SM134Units</f>
        <v>349.624060150376</v>
      </c>
      <c r="Y104" s="122" t="n">
        <f aca="false">+X104/X$9</f>
        <v>0.315830225971433</v>
      </c>
      <c r="AA104" s="126" t="n">
        <f aca="false">AB104*AA$7</f>
        <v>21327.0676691729</v>
      </c>
      <c r="AB104" s="100" t="n">
        <f aca="false">+$O104/SM134Units</f>
        <v>349.624060150376</v>
      </c>
      <c r="AC104" s="122" t="n">
        <f aca="false">+AB104/AB$9</f>
        <v>0.271658166395009</v>
      </c>
      <c r="AE104" s="158"/>
      <c r="AF104" s="158"/>
      <c r="AG104" s="43"/>
      <c r="AH104" s="43"/>
      <c r="AI104" s="121" t="n">
        <f aca="false">+AA104+W104</f>
        <v>46500</v>
      </c>
      <c r="AJ104" s="103" t="n">
        <f aca="false">+AI104/AI$7</f>
        <v>349.624060150376</v>
      </c>
      <c r="AK104" s="122" t="n">
        <f aca="false">+AJ104/AJ$9</f>
        <v>0.290144448257573</v>
      </c>
    </row>
    <row r="105" customFormat="false" ht="12" hidden="false" customHeight="false" outlineLevel="0" collapsed="false">
      <c r="B105" s="100" t="s">
        <v>321</v>
      </c>
      <c r="L105" s="100" t="s">
        <v>317</v>
      </c>
      <c r="M105" s="100" t="n">
        <v>12</v>
      </c>
      <c r="N105" s="100" t="n">
        <v>2000</v>
      </c>
      <c r="O105" s="100" t="n">
        <f aca="false">+N105*M105</f>
        <v>24000</v>
      </c>
      <c r="P105" s="100" t="n">
        <f aca="false">O105/10.3</f>
        <v>2330.09708737864</v>
      </c>
      <c r="S105" s="126"/>
      <c r="U105" s="122"/>
      <c r="W105" s="126" t="n">
        <f aca="false">X105*W$7</f>
        <v>12992.4812030075</v>
      </c>
      <c r="X105" s="100" t="n">
        <f aca="false">+$O105/SM134Units</f>
        <v>180.451127819549</v>
      </c>
      <c r="Y105" s="122" t="n">
        <f aca="false">+X105/X$9</f>
        <v>0.163009148888481</v>
      </c>
      <c r="AA105" s="126" t="n">
        <f aca="false">AB105*AA$7</f>
        <v>11007.5187969925</v>
      </c>
      <c r="AB105" s="100" t="n">
        <f aca="false">+$O105/SM134Units</f>
        <v>180.451127819549</v>
      </c>
      <c r="AC105" s="122" t="n">
        <f aca="false">+AB105/AB$9</f>
        <v>0.140210666526456</v>
      </c>
      <c r="AE105" s="158"/>
      <c r="AF105" s="158"/>
      <c r="AG105" s="43"/>
      <c r="AH105" s="43"/>
      <c r="AI105" s="121" t="n">
        <f aca="false">+AA105+W105</f>
        <v>24000</v>
      </c>
      <c r="AJ105" s="103" t="n">
        <f aca="false">+AI105/AI$7</f>
        <v>180.451127819549</v>
      </c>
      <c r="AK105" s="122" t="n">
        <f aca="false">+AJ105/AJ$9</f>
        <v>0.149751973294231</v>
      </c>
    </row>
    <row r="106" customFormat="false" ht="12" hidden="false" customHeight="false" outlineLevel="0" collapsed="false">
      <c r="B106" s="100" t="s">
        <v>322</v>
      </c>
      <c r="L106" s="100" t="s">
        <v>317</v>
      </c>
      <c r="M106" s="100" t="n">
        <v>2</v>
      </c>
      <c r="N106" s="100" t="n">
        <v>2000</v>
      </c>
      <c r="O106" s="100" t="n">
        <f aca="false">+N106*M106</f>
        <v>4000</v>
      </c>
      <c r="P106" s="100" t="n">
        <f aca="false">O106/10.3</f>
        <v>388.349514563107</v>
      </c>
      <c r="S106" s="126"/>
      <c r="U106" s="122"/>
      <c r="W106" s="126" t="n">
        <f aca="false">X106*W$7</f>
        <v>2165.41353383459</v>
      </c>
      <c r="X106" s="100" t="n">
        <f aca="false">+$O106/SM134Units</f>
        <v>30.0751879699248</v>
      </c>
      <c r="Y106" s="122" t="n">
        <f aca="false">+X106/X$9</f>
        <v>0.0271681914814136</v>
      </c>
      <c r="AA106" s="126" t="n">
        <f aca="false">AB106*AA$7</f>
        <v>1834.58646616541</v>
      </c>
      <c r="AB106" s="100" t="n">
        <f aca="false">+$O106/SM134Units</f>
        <v>30.0751879699248</v>
      </c>
      <c r="AC106" s="122" t="n">
        <f aca="false">+AB106/AB$9</f>
        <v>0.023368444421076</v>
      </c>
      <c r="AE106" s="126"/>
      <c r="AG106" s="122"/>
      <c r="AH106" s="122"/>
      <c r="AI106" s="121" t="n">
        <f aca="false">+AA106+W106</f>
        <v>4000</v>
      </c>
      <c r="AJ106" s="103" t="n">
        <f aca="false">+AI106/AI$7</f>
        <v>30.0751879699248</v>
      </c>
      <c r="AK106" s="122" t="n">
        <f aca="false">+AJ106/AJ$9</f>
        <v>0.0249586622157052</v>
      </c>
    </row>
    <row r="107" customFormat="false" ht="12" hidden="false" customHeight="false" outlineLevel="0" collapsed="false">
      <c r="B107" s="100" t="s">
        <v>323</v>
      </c>
      <c r="L107" s="100" t="s">
        <v>306</v>
      </c>
      <c r="M107" s="100" t="n">
        <v>1</v>
      </c>
      <c r="N107" s="100" t="n">
        <v>10000</v>
      </c>
      <c r="O107" s="100" t="n">
        <f aca="false">+N107*M107</f>
        <v>10000</v>
      </c>
      <c r="P107" s="100" t="n">
        <f aca="false">O107/10.3</f>
        <v>970.873786407767</v>
      </c>
      <c r="S107" s="126"/>
      <c r="U107" s="122"/>
      <c r="W107" s="126" t="n">
        <f aca="false">X107*W$7</f>
        <v>5413.53383458647</v>
      </c>
      <c r="X107" s="100" t="n">
        <f aca="false">+$O107/SM134Units</f>
        <v>75.187969924812</v>
      </c>
      <c r="Y107" s="122" t="n">
        <f aca="false">+X107/X$9</f>
        <v>0.0679204787035339</v>
      </c>
      <c r="AA107" s="126" t="n">
        <f aca="false">AB107*AA$7</f>
        <v>4586.46616541353</v>
      </c>
      <c r="AB107" s="100" t="n">
        <f aca="false">+$O107/SM134Units</f>
        <v>75.187969924812</v>
      </c>
      <c r="AC107" s="122" t="n">
        <f aca="false">+AB107/AB$9</f>
        <v>0.05842111105269</v>
      </c>
      <c r="AE107" s="126" t="n">
        <f aca="false">AF107*AE$7</f>
        <v>0</v>
      </c>
      <c r="AF107" s="100" t="n">
        <f aca="false">+$O107/SM134Units</f>
        <v>75.187969924812</v>
      </c>
      <c r="AG107" s="122" t="n">
        <f aca="false">+AF107/AF$9</f>
        <v>0.0485083676934271</v>
      </c>
      <c r="AH107" s="122"/>
      <c r="AI107" s="121" t="n">
        <f aca="false">+AA107+W107</f>
        <v>10000</v>
      </c>
      <c r="AJ107" s="103" t="n">
        <f aca="false">+AI107/AI$7</f>
        <v>75.187969924812</v>
      </c>
      <c r="AK107" s="122" t="n">
        <f aca="false">+AJ107/AJ$9</f>
        <v>0.0623966555392631</v>
      </c>
    </row>
    <row r="108" customFormat="false" ht="12" hidden="false" customHeight="false" outlineLevel="0" collapsed="false">
      <c r="B108" s="100" t="s">
        <v>324</v>
      </c>
      <c r="L108" s="100" t="s">
        <v>306</v>
      </c>
      <c r="M108" s="100" t="n">
        <v>1</v>
      </c>
      <c r="N108" s="100" t="n">
        <v>75000</v>
      </c>
      <c r="O108" s="100" t="n">
        <f aca="false">+N108*M108</f>
        <v>75000</v>
      </c>
      <c r="P108" s="100" t="n">
        <f aca="false">O108/10.3</f>
        <v>7281.55339805825</v>
      </c>
      <c r="S108" s="126"/>
      <c r="U108" s="122"/>
      <c r="W108" s="126" t="n">
        <f aca="false">X108*W$7</f>
        <v>40601.5037593985</v>
      </c>
      <c r="X108" s="100" t="n">
        <f aca="false">+$O108/SM134Units</f>
        <v>563.90977443609</v>
      </c>
      <c r="Y108" s="122" t="n">
        <f aca="false">+X108/X$9</f>
        <v>0.509403590276504</v>
      </c>
      <c r="AA108" s="126" t="n">
        <f aca="false">AB108*AA$7</f>
        <v>34398.4962406015</v>
      </c>
      <c r="AB108" s="100" t="n">
        <f aca="false">+$O108/SM134Units</f>
        <v>563.90977443609</v>
      </c>
      <c r="AC108" s="122" t="n">
        <f aca="false">+AB108/AB$9</f>
        <v>0.438158332895175</v>
      </c>
      <c r="AE108" s="126" t="n">
        <f aca="false">AF108*AE$7</f>
        <v>0</v>
      </c>
      <c r="AF108" s="100" t="n">
        <f aca="false">+$O108/SM134Units</f>
        <v>563.90977443609</v>
      </c>
      <c r="AG108" s="122" t="n">
        <f aca="false">+AF108/AF$9</f>
        <v>0.363812757700703</v>
      </c>
      <c r="AH108" s="122"/>
      <c r="AI108" s="121" t="n">
        <f aca="false">+AA108+W108</f>
        <v>75000</v>
      </c>
      <c r="AJ108" s="103" t="n">
        <f aca="false">+AI108/AI$7</f>
        <v>563.90977443609</v>
      </c>
      <c r="AK108" s="122" t="n">
        <f aca="false">+AJ108/AJ$9</f>
        <v>0.467974916544473</v>
      </c>
    </row>
    <row r="109" customFormat="false" ht="12" hidden="false" customHeight="false" outlineLevel="0" collapsed="false">
      <c r="B109" s="100" t="s">
        <v>325</v>
      </c>
      <c r="L109" s="159" t="s">
        <v>306</v>
      </c>
      <c r="M109" s="160" t="n">
        <v>1</v>
      </c>
      <c r="N109" s="161" t="n">
        <v>53592</v>
      </c>
      <c r="O109" s="162" t="n">
        <f aca="false">+N109*M109</f>
        <v>53592</v>
      </c>
      <c r="P109" s="100" t="n">
        <f aca="false">O109/10.3</f>
        <v>5203.1067961165</v>
      </c>
      <c r="S109" s="163"/>
      <c r="T109" s="162"/>
      <c r="U109" s="164"/>
      <c r="W109" s="163" t="n">
        <f aca="false">X109*W$7</f>
        <v>29012.2105263158</v>
      </c>
      <c r="X109" s="162" t="n">
        <f aca="false">+$O109/SM134Units</f>
        <v>402.947368421053</v>
      </c>
      <c r="Y109" s="164" t="n">
        <f aca="false">+X109/X$9</f>
        <v>0.363999429467979</v>
      </c>
      <c r="AA109" s="163" t="n">
        <f aca="false">AB109*AA$7</f>
        <v>24579.7894736842</v>
      </c>
      <c r="AB109" s="162" t="n">
        <f aca="false">+$O109/SM134Units</f>
        <v>402.947368421053</v>
      </c>
      <c r="AC109" s="164" t="n">
        <f aca="false">+AB109/AB$9</f>
        <v>0.313090418353576</v>
      </c>
      <c r="AE109" s="126"/>
      <c r="AG109" s="122"/>
      <c r="AH109" s="122"/>
      <c r="AI109" s="121" t="n">
        <f aca="false">+AA109+W109</f>
        <v>53592</v>
      </c>
      <c r="AJ109" s="165" t="n">
        <f aca="false">+AI109/AI$7</f>
        <v>402.947368421053</v>
      </c>
      <c r="AK109" s="164" t="n">
        <f aca="false">+AJ109/AJ$9</f>
        <v>0.334396156366019</v>
      </c>
    </row>
    <row r="110" customFormat="false" ht="12" hidden="false" customHeight="false" outlineLevel="0" collapsed="false">
      <c r="B110" s="166" t="s">
        <v>326</v>
      </c>
      <c r="C110" s="166"/>
      <c r="D110" s="166"/>
      <c r="E110" s="166"/>
      <c r="F110" s="166"/>
      <c r="G110" s="166"/>
      <c r="H110" s="166"/>
      <c r="I110" s="166"/>
      <c r="J110" s="166"/>
      <c r="K110" s="166"/>
      <c r="O110" s="167" t="n">
        <f aca="false">SUM(O94:O109)</f>
        <v>627312</v>
      </c>
      <c r="P110" s="166" t="n">
        <f aca="false">SUM(P94:P109)</f>
        <v>60904.0776699029</v>
      </c>
      <c r="S110" s="168"/>
      <c r="T110" s="168"/>
      <c r="U110" s="169"/>
      <c r="W110" s="168" t="n">
        <f aca="false">SUM(W94:W109)</f>
        <v>339444.763550668</v>
      </c>
      <c r="X110" s="168" t="n">
        <f aca="false">SUM(X94:X109)</f>
        <v>4714.51060487039</v>
      </c>
      <c r="Y110" s="169" t="n">
        <f aca="false">SUM(Y94:Y109)</f>
        <v>4.25881716790459</v>
      </c>
      <c r="AA110" s="168" t="n">
        <f aca="false">SUM(AA94:AA109)</f>
        <v>287585.146897094</v>
      </c>
      <c r="AB110" s="168" t="n">
        <f aca="false">SUM(AB94:AB109)</f>
        <v>4714.51060487039</v>
      </c>
      <c r="AC110" s="169" t="n">
        <f aca="false">SUM(AC94:AC109)</f>
        <v>3.66317840316269</v>
      </c>
      <c r="AE110" s="168" t="n">
        <f aca="false">SUM(AE94:AE109)</f>
        <v>0</v>
      </c>
      <c r="AF110" s="168" t="n">
        <f aca="false">SUM(AF94:AF109)</f>
        <v>639.097744360902</v>
      </c>
      <c r="AG110" s="169" t="n">
        <f aca="false">SUM(AG94:AG109)</f>
        <v>0.41232112539413</v>
      </c>
      <c r="AH110" s="170"/>
      <c r="AI110" s="168" t="n">
        <f aca="false">SUM(AI94:AI109)</f>
        <v>627029.910447761</v>
      </c>
      <c r="AJ110" s="168" t="n">
        <f aca="false">SUM(AJ94:AJ109)</f>
        <v>4714.51060487039</v>
      </c>
      <c r="AK110" s="169" t="n">
        <f aca="false">SUM(AK94:AK109)</f>
        <v>3.91245693350239</v>
      </c>
    </row>
    <row r="111" customFormat="false" ht="12" hidden="false" customHeight="false" outlineLevel="0" collapsed="false">
      <c r="B111" s="139" t="s">
        <v>327</v>
      </c>
      <c r="S111" s="126"/>
      <c r="U111" s="122"/>
      <c r="W111" s="126"/>
      <c r="Y111" s="122"/>
      <c r="AA111" s="126"/>
      <c r="AC111" s="122"/>
    </row>
    <row r="112" customFormat="false" ht="12" hidden="false" customHeight="false" outlineLevel="0" collapsed="false">
      <c r="B112" s="100" t="s">
        <v>328</v>
      </c>
      <c r="L112" s="100" t="s">
        <v>313</v>
      </c>
      <c r="M112" s="100" t="n">
        <v>670</v>
      </c>
      <c r="N112" s="34" t="n">
        <v>35</v>
      </c>
      <c r="O112" s="100" t="n">
        <f aca="false">+N112*M112</f>
        <v>23450</v>
      </c>
      <c r="P112" s="100" t="n">
        <f aca="false">O112/10.3</f>
        <v>2276.69902912621</v>
      </c>
      <c r="S112" s="126"/>
      <c r="U112" s="122"/>
      <c r="W112" s="126" t="n">
        <f aca="false">X112*W$7</f>
        <v>12694.7368421053</v>
      </c>
      <c r="X112" s="100" t="n">
        <f aca="false">+$O112/SM134Units</f>
        <v>176.315789473684</v>
      </c>
      <c r="Y112" s="122" t="n">
        <f aca="false">+X112/X$9</f>
        <v>0.159273522559787</v>
      </c>
      <c r="AA112" s="126" t="n">
        <f aca="false">AB112*AA$7</f>
        <v>10755.2631578947</v>
      </c>
      <c r="AB112" s="100" t="n">
        <f aca="false">+$O112/SM134Units</f>
        <v>176.315789473684</v>
      </c>
      <c r="AC112" s="122" t="n">
        <f aca="false">+AB112/AB$9</f>
        <v>0.136997505418558</v>
      </c>
      <c r="AE112" s="126" t="n">
        <f aca="false">AF112*AE$7</f>
        <v>0</v>
      </c>
      <c r="AF112" s="100" t="n">
        <f aca="false">+$O112/SM134Units</f>
        <v>176.315789473684</v>
      </c>
      <c r="AG112" s="122" t="n">
        <f aca="false">+AF112/AF$9</f>
        <v>0.113752122241087</v>
      </c>
      <c r="AH112" s="122"/>
      <c r="AI112" s="158" t="n">
        <f aca="false">+AA112+W112</f>
        <v>23450</v>
      </c>
      <c r="AJ112" s="103" t="n">
        <f aca="false">+AI112/AI$7</f>
        <v>176.315789473684</v>
      </c>
      <c r="AK112" s="122" t="n">
        <f aca="false">+AJ112/AJ$9</f>
        <v>0.146320157239572</v>
      </c>
    </row>
    <row r="113" customFormat="false" ht="12" hidden="false" customHeight="false" outlineLevel="0" collapsed="false">
      <c r="B113" s="100" t="s">
        <v>329</v>
      </c>
      <c r="L113" s="100" t="s">
        <v>313</v>
      </c>
      <c r="M113" s="100" t="n">
        <f aca="false">670*3</f>
        <v>2010</v>
      </c>
      <c r="N113" s="34" t="n">
        <v>25</v>
      </c>
      <c r="O113" s="100" t="n">
        <f aca="false">+N113*M113</f>
        <v>50250</v>
      </c>
      <c r="P113" s="100" t="n">
        <f aca="false">O113/10.3</f>
        <v>4878.64077669903</v>
      </c>
      <c r="S113" s="126"/>
      <c r="U113" s="122"/>
      <c r="W113" s="126" t="n">
        <f aca="false">X113*W$7</f>
        <v>27203.007518797</v>
      </c>
      <c r="X113" s="100" t="n">
        <f aca="false">+$O113/SM134Units</f>
        <v>377.81954887218</v>
      </c>
      <c r="Y113" s="122" t="n">
        <f aca="false">+X113/X$9</f>
        <v>0.341300405485258</v>
      </c>
      <c r="AA113" s="126" t="n">
        <f aca="false">AB113*AA$7</f>
        <v>23046.992481203</v>
      </c>
      <c r="AB113" s="100" t="n">
        <f aca="false">+$O113/SM134Units</f>
        <v>377.81954887218</v>
      </c>
      <c r="AC113" s="122" t="n">
        <f aca="false">+AB113/AB$9</f>
        <v>0.293566083039767</v>
      </c>
      <c r="AE113" s="126"/>
      <c r="AG113" s="122"/>
      <c r="AH113" s="122"/>
      <c r="AI113" s="121" t="n">
        <f aca="false">+AA113+W113</f>
        <v>50250</v>
      </c>
      <c r="AJ113" s="103" t="n">
        <f aca="false">+AI113/AI$7</f>
        <v>377.81954887218</v>
      </c>
      <c r="AK113" s="122" t="n">
        <f aca="false">+AJ113/AJ$9</f>
        <v>0.313543194084797</v>
      </c>
    </row>
    <row r="114" customFormat="false" ht="12" hidden="false" customHeight="false" outlineLevel="0" collapsed="false">
      <c r="B114" s="100" t="s">
        <v>330</v>
      </c>
      <c r="L114" s="100" t="s">
        <v>331</v>
      </c>
      <c r="M114" s="100" t="n">
        <f aca="false">LandscapeArea</f>
        <v>179968.684329609</v>
      </c>
      <c r="N114" s="34" t="n">
        <v>2</v>
      </c>
      <c r="O114" s="100" t="n">
        <f aca="false">+N114*M114</f>
        <v>359937.368659217</v>
      </c>
      <c r="P114" s="100" t="n">
        <f aca="false">O114/10.3</f>
        <v>34945.3755979823</v>
      </c>
      <c r="S114" s="126"/>
      <c r="U114" s="122"/>
      <c r="W114" s="126" t="n">
        <f aca="false">X114*W$7</f>
        <v>194853.31235687</v>
      </c>
      <c r="X114" s="100" t="n">
        <f aca="false">+$O114/SM134Units</f>
        <v>2706.29600495652</v>
      </c>
      <c r="Y114" s="122" t="n">
        <f aca="false">+X114/X$9</f>
        <v>2.44471183826244</v>
      </c>
      <c r="AA114" s="126" t="n">
        <f aca="false">AB114*AA$7</f>
        <v>165084.056302348</v>
      </c>
      <c r="AB114" s="100" t="n">
        <f aca="false">+$O114/SM134Units</f>
        <v>2706.29600495652</v>
      </c>
      <c r="AC114" s="122" t="n">
        <f aca="false">+AB114/AB$9</f>
        <v>2.10279409864532</v>
      </c>
      <c r="AE114" s="126" t="n">
        <f aca="false">AF114*AE$7</f>
        <v>0</v>
      </c>
      <c r="AF114" s="100" t="n">
        <f aca="false">+$O114/SM134Units</f>
        <v>2706.29600495652</v>
      </c>
      <c r="AG114" s="122" t="n">
        <f aca="false">+AF114/AF$9</f>
        <v>1.74599742255259</v>
      </c>
      <c r="AH114" s="122"/>
      <c r="AI114" s="121" t="n">
        <f aca="false">+AA114+W114</f>
        <v>359937.368659217</v>
      </c>
      <c r="AJ114" s="103" t="n">
        <f aca="false">+AI114/AI$7</f>
        <v>2706.29600495652</v>
      </c>
      <c r="AK114" s="122" t="n">
        <f aca="false">+AJ114/AJ$9</f>
        <v>2.24588880079379</v>
      </c>
    </row>
    <row r="115" customFormat="false" ht="12" hidden="false" customHeight="false" outlineLevel="0" collapsed="false">
      <c r="B115" s="100" t="s">
        <v>332</v>
      </c>
      <c r="L115" s="100" t="s">
        <v>317</v>
      </c>
      <c r="M115" s="100" t="n">
        <v>2</v>
      </c>
      <c r="N115" s="34" t="n">
        <v>4000</v>
      </c>
      <c r="O115" s="100" t="n">
        <f aca="false">+N115*M115</f>
        <v>8000</v>
      </c>
      <c r="P115" s="100" t="n">
        <f aca="false">O115/10.3</f>
        <v>776.699029126214</v>
      </c>
      <c r="S115" s="126"/>
      <c r="U115" s="122"/>
      <c r="W115" s="126" t="n">
        <f aca="false">X115*W$7</f>
        <v>4330.82706766917</v>
      </c>
      <c r="X115" s="100" t="n">
        <f aca="false">+$O115/SM134Units</f>
        <v>60.1503759398496</v>
      </c>
      <c r="Y115" s="122" t="n">
        <f aca="false">+X115/X$9</f>
        <v>0.0543363829628271</v>
      </c>
      <c r="AA115" s="126" t="n">
        <f aca="false">AB115*AA$7</f>
        <v>3669.17293233083</v>
      </c>
      <c r="AB115" s="100" t="n">
        <f aca="false">+$O115/SM134Units</f>
        <v>60.1503759398496</v>
      </c>
      <c r="AC115" s="122" t="n">
        <f aca="false">+AB115/AB$9</f>
        <v>0.046736888842152</v>
      </c>
      <c r="AE115" s="126" t="n">
        <f aca="false">AF115*AE$7</f>
        <v>0</v>
      </c>
      <c r="AF115" s="100" t="n">
        <f aca="false">+$O115/SM134Units</f>
        <v>60.1503759398496</v>
      </c>
      <c r="AG115" s="122" t="n">
        <f aca="false">+AF115/AF$9</f>
        <v>0.0388066941547417</v>
      </c>
      <c r="AH115" s="122"/>
      <c r="AI115" s="121" t="n">
        <f aca="false">+AA115+W115</f>
        <v>8000</v>
      </c>
      <c r="AJ115" s="103" t="n">
        <f aca="false">+AI115/AI$7</f>
        <v>60.1503759398496</v>
      </c>
      <c r="AK115" s="122" t="n">
        <f aca="false">+AJ115/AJ$9</f>
        <v>0.0499173244314105</v>
      </c>
    </row>
    <row r="116" customFormat="false" ht="24" hidden="false" customHeight="false" outlineLevel="0" collapsed="false">
      <c r="B116" s="171" t="s">
        <v>333</v>
      </c>
      <c r="L116" s="158" t="s">
        <v>306</v>
      </c>
      <c r="M116" s="34" t="n">
        <v>1</v>
      </c>
      <c r="N116" s="30" t="n">
        <f aca="false">+T90</f>
        <v>90910.9359247527</v>
      </c>
      <c r="O116" s="100" t="n">
        <f aca="false">+N116*M116</f>
        <v>90910.9359247527</v>
      </c>
      <c r="P116" s="100" t="n">
        <f aca="false">O116/10.3</f>
        <v>8826.30445871385</v>
      </c>
      <c r="S116" s="126"/>
      <c r="U116" s="122"/>
      <c r="W116" s="126" t="n">
        <f aca="false">X116*W$7</f>
        <v>49214.9427562571</v>
      </c>
      <c r="X116" s="100" t="n">
        <f aca="false">+$T$90/SM134Units</f>
        <v>683.540871614682</v>
      </c>
      <c r="Y116" s="122" t="n">
        <f aca="false">+X116/X$9</f>
        <v>0.61747142873955</v>
      </c>
      <c r="AA116" s="126" t="n">
        <f aca="false">AB116*AA$7</f>
        <v>41695.9931684956</v>
      </c>
      <c r="AB116" s="100" t="n">
        <f aca="false">+$T$90/SM134Units</f>
        <v>683.540871614682</v>
      </c>
      <c r="AC116" s="122" t="n">
        <f aca="false">+AB116/AB$9</f>
        <v>0.531111788356396</v>
      </c>
      <c r="AE116" s="126" t="n">
        <f aca="false">AF116*AE$7</f>
        <v>0</v>
      </c>
      <c r="AF116" s="100" t="n">
        <f aca="false">+$O116/SM134Units</f>
        <v>683.540871614682</v>
      </c>
      <c r="AG116" s="122" t="n">
        <f aca="false">+AF116/AF$9</f>
        <v>0.440994110719149</v>
      </c>
      <c r="AH116" s="122"/>
      <c r="AI116" s="121" t="n">
        <f aca="false">+AA116+W116</f>
        <v>90910.9359247527</v>
      </c>
      <c r="AJ116" s="103" t="n">
        <f aca="false">+AI116/AI$7</f>
        <v>683.540871614682</v>
      </c>
      <c r="AK116" s="122" t="n">
        <f aca="false">+AJ116/AJ$9</f>
        <v>0.567253835364881</v>
      </c>
    </row>
    <row r="117" customFormat="false" ht="12" hidden="false" customHeight="false" outlineLevel="0" collapsed="false">
      <c r="B117" s="100" t="s">
        <v>334</v>
      </c>
      <c r="L117" s="158" t="s">
        <v>306</v>
      </c>
      <c r="M117" s="34" t="n">
        <v>3</v>
      </c>
      <c r="N117" s="30" t="n">
        <v>7500</v>
      </c>
      <c r="O117" s="100" t="n">
        <f aca="false">+N117*M117</f>
        <v>22500</v>
      </c>
      <c r="P117" s="100" t="n">
        <f aca="false">O117/10.3</f>
        <v>2184.46601941748</v>
      </c>
      <c r="S117" s="126"/>
      <c r="U117" s="122"/>
      <c r="W117" s="126" t="n">
        <f aca="false">X117*W$7</f>
        <v>12180.4511278196</v>
      </c>
      <c r="X117" s="100" t="n">
        <f aca="false">+$O117/SM134Units</f>
        <v>169.172932330827</v>
      </c>
      <c r="Y117" s="122" t="n">
        <f aca="false">+X117/X$9</f>
        <v>0.152821077082951</v>
      </c>
      <c r="AA117" s="126" t="n">
        <f aca="false">AB117*AA$7</f>
        <v>10319.5488721805</v>
      </c>
      <c r="AB117" s="100" t="n">
        <f aca="false">+$O117/SM134Units</f>
        <v>169.172932330827</v>
      </c>
      <c r="AC117" s="122" t="n">
        <f aca="false">+AB117/AB$9</f>
        <v>0.131447499868553</v>
      </c>
      <c r="AE117" s="126" t="n">
        <f aca="false">AF117*AE$7</f>
        <v>0</v>
      </c>
      <c r="AF117" s="100" t="n">
        <f aca="false">+$O117/SM134Units</f>
        <v>169.172932330827</v>
      </c>
      <c r="AG117" s="122" t="n">
        <f aca="false">+AF117/AF$9</f>
        <v>0.109143827310211</v>
      </c>
      <c r="AH117" s="122"/>
      <c r="AI117" s="121" t="n">
        <f aca="false">+AA117+W117</f>
        <v>22500</v>
      </c>
      <c r="AJ117" s="103" t="n">
        <f aca="false">+AI117/AI$7</f>
        <v>169.172932330827</v>
      </c>
      <c r="AK117" s="122" t="n">
        <f aca="false">+AJ117/AJ$9</f>
        <v>0.140392474963342</v>
      </c>
    </row>
    <row r="118" customFormat="false" ht="12" hidden="false" customHeight="false" outlineLevel="0" collapsed="false">
      <c r="B118" s="100" t="s">
        <v>335</v>
      </c>
      <c r="L118" s="158" t="s">
        <v>317</v>
      </c>
      <c r="M118" s="34" t="n">
        <v>134</v>
      </c>
      <c r="N118" s="30" t="n">
        <v>200</v>
      </c>
      <c r="O118" s="100" t="n">
        <f aca="false">+N118*M118</f>
        <v>26800</v>
      </c>
      <c r="P118" s="100" t="n">
        <f aca="false">O118/10.3</f>
        <v>2601.94174757282</v>
      </c>
      <c r="S118" s="126"/>
      <c r="U118" s="122"/>
      <c r="W118" s="126" t="n">
        <f aca="false">X118*W$7</f>
        <v>14508.2706766917</v>
      </c>
      <c r="X118" s="100" t="n">
        <f aca="false">+$O118/SM134Units</f>
        <v>201.503759398496</v>
      </c>
      <c r="Y118" s="122" t="n">
        <f aca="false">+X118/X$9</f>
        <v>0.182026882925471</v>
      </c>
      <c r="AA118" s="126" t="n">
        <f aca="false">AB118*AA$7</f>
        <v>12291.7293233083</v>
      </c>
      <c r="AB118" s="100" t="n">
        <f aca="false">+$O118/SM134Units</f>
        <v>201.503759398496</v>
      </c>
      <c r="AC118" s="122" t="n">
        <f aca="false">+AB118/AB$9</f>
        <v>0.156568577621209</v>
      </c>
      <c r="AE118" s="126" t="n">
        <f aca="false">AF118*AE$7</f>
        <v>0</v>
      </c>
      <c r="AF118" s="100" t="n">
        <f aca="false">+$O118/SM134Units</f>
        <v>201.503759398496</v>
      </c>
      <c r="AG118" s="122" t="n">
        <f aca="false">+AF118/AF$9</f>
        <v>0.130002425418385</v>
      </c>
      <c r="AH118" s="122"/>
      <c r="AI118" s="121" t="n">
        <f aca="false">+AA118+W118</f>
        <v>26800</v>
      </c>
      <c r="AJ118" s="103" t="n">
        <f aca="false">+AI118/AI$7</f>
        <v>201.503759398496</v>
      </c>
      <c r="AK118" s="122" t="n">
        <f aca="false">+AJ118/AJ$9</f>
        <v>0.167223036845225</v>
      </c>
    </row>
    <row r="119" customFormat="false" ht="12" hidden="false" customHeight="false" outlineLevel="0" collapsed="false">
      <c r="B119" s="100" t="s">
        <v>336</v>
      </c>
      <c r="L119" s="100" t="s">
        <v>306</v>
      </c>
      <c r="M119" s="34" t="n">
        <v>1</v>
      </c>
      <c r="N119" s="30" t="n">
        <v>100000</v>
      </c>
      <c r="O119" s="100" t="n">
        <f aca="false">+N119*M119</f>
        <v>100000</v>
      </c>
      <c r="P119" s="100" t="n">
        <f aca="false">O119/10.3</f>
        <v>9708.73786407767</v>
      </c>
      <c r="S119" s="126"/>
      <c r="U119" s="122"/>
      <c r="W119" s="126" t="n">
        <f aca="false">X119*W$7</f>
        <v>54135.3383458647</v>
      </c>
      <c r="X119" s="100" t="n">
        <f aca="false">+$O119/SM134Units</f>
        <v>751.87969924812</v>
      </c>
      <c r="Y119" s="122" t="n">
        <f aca="false">+X119/X$9</f>
        <v>0.679204787035339</v>
      </c>
      <c r="AA119" s="126" t="n">
        <f aca="false">AB119*AA$7</f>
        <v>45864.6616541353</v>
      </c>
      <c r="AB119" s="100" t="n">
        <f aca="false">+$O119/SM134Units</f>
        <v>751.87969924812</v>
      </c>
      <c r="AC119" s="122" t="n">
        <f aca="false">+AB119/AB$9</f>
        <v>0.5842111105269</v>
      </c>
      <c r="AE119" s="158" t="n">
        <f aca="false">AF119*AE$7</f>
        <v>0</v>
      </c>
      <c r="AF119" s="158" t="n">
        <f aca="false">+$O119/SM134Units</f>
        <v>751.87969924812</v>
      </c>
      <c r="AG119" s="43" t="n">
        <f aca="false">+AF119/AF$9</f>
        <v>0.485083676934271</v>
      </c>
      <c r="AH119" s="43"/>
      <c r="AI119" s="121" t="n">
        <f aca="false">+AA119+W119</f>
        <v>100000</v>
      </c>
      <c r="AJ119" s="103" t="n">
        <f aca="false">+AI119/AI$7</f>
        <v>751.87969924812</v>
      </c>
      <c r="AK119" s="122" t="n">
        <f aca="false">+AJ119/AJ$9</f>
        <v>0.623966555392631</v>
      </c>
    </row>
    <row r="120" customFormat="false" ht="12" hidden="false" customHeight="false" outlineLevel="0" collapsed="false">
      <c r="B120" s="100" t="s">
        <v>337</v>
      </c>
      <c r="L120" s="100" t="s">
        <v>306</v>
      </c>
      <c r="M120" s="34" t="n">
        <v>1</v>
      </c>
      <c r="N120" s="30" t="n">
        <v>30000</v>
      </c>
      <c r="O120" s="100" t="n">
        <f aca="false">+N120*M120</f>
        <v>30000</v>
      </c>
      <c r="P120" s="100" t="n">
        <f aca="false">O120/10.3</f>
        <v>2912.6213592233</v>
      </c>
      <c r="S120" s="126"/>
      <c r="U120" s="122"/>
      <c r="W120" s="126" t="n">
        <f aca="false">X120*W$7</f>
        <v>16240.6015037594</v>
      </c>
      <c r="X120" s="100" t="n">
        <f aca="false">+$O120/SM134Units</f>
        <v>225.563909774436</v>
      </c>
      <c r="Y120" s="122" t="n">
        <f aca="false">+X120/X$9</f>
        <v>0.203761436110602</v>
      </c>
      <c r="AA120" s="126" t="n">
        <f aca="false">AB120*AA$7</f>
        <v>13759.3984962406</v>
      </c>
      <c r="AB120" s="100" t="n">
        <f aca="false">+$O120/SM134Units</f>
        <v>225.563909774436</v>
      </c>
      <c r="AC120" s="122" t="n">
        <f aca="false">+AB120/AB$9</f>
        <v>0.17526333315807</v>
      </c>
      <c r="AE120" s="158" t="n">
        <f aca="false">AF120*AE$7</f>
        <v>0</v>
      </c>
      <c r="AF120" s="158" t="n">
        <f aca="false">+$O120/SM134Units</f>
        <v>225.563909774436</v>
      </c>
      <c r="AG120" s="43" t="n">
        <f aca="false">+AF120/AF$9</f>
        <v>0.145525103080281</v>
      </c>
      <c r="AH120" s="43"/>
      <c r="AI120" s="121" t="n">
        <f aca="false">+AA120+W120</f>
        <v>30000</v>
      </c>
      <c r="AJ120" s="103" t="n">
        <f aca="false">+AI120/AI$7</f>
        <v>225.563909774436</v>
      </c>
      <c r="AK120" s="122" t="n">
        <f aca="false">+AJ120/AJ$9</f>
        <v>0.187189966617789</v>
      </c>
    </row>
    <row r="121" customFormat="false" ht="12" hidden="false" customHeight="false" outlineLevel="0" collapsed="false">
      <c r="B121" s="100" t="s">
        <v>338</v>
      </c>
      <c r="L121" s="100" t="s">
        <v>306</v>
      </c>
      <c r="M121" s="34" t="n">
        <v>1</v>
      </c>
      <c r="N121" s="30" t="n">
        <v>20000</v>
      </c>
      <c r="O121" s="100" t="n">
        <f aca="false">+N121*M121</f>
        <v>20000</v>
      </c>
      <c r="P121" s="100" t="n">
        <f aca="false">O121/10.3</f>
        <v>1941.74757281553</v>
      </c>
      <c r="S121" s="126"/>
      <c r="U121" s="122"/>
      <c r="W121" s="126" t="n">
        <f aca="false">X121*W$7</f>
        <v>10827.0676691729</v>
      </c>
      <c r="X121" s="100" t="n">
        <f aca="false">+$O121/SM134Units</f>
        <v>150.375939849624</v>
      </c>
      <c r="Y121" s="122" t="n">
        <f aca="false">+X121/X$9</f>
        <v>0.135840957407068</v>
      </c>
      <c r="AA121" s="126" t="n">
        <f aca="false">AB121*AA$7</f>
        <v>9172.93233082707</v>
      </c>
      <c r="AB121" s="100" t="n">
        <f aca="false">+$O121/SM134Units</f>
        <v>150.375939849624</v>
      </c>
      <c r="AC121" s="122" t="n">
        <f aca="false">+AB121/AB$9</f>
        <v>0.11684222210538</v>
      </c>
      <c r="AE121" s="126" t="n">
        <f aca="false">AF121*AE$7</f>
        <v>0</v>
      </c>
      <c r="AF121" s="100" t="n">
        <f aca="false">+$O121/SM134Units</f>
        <v>150.375939849624</v>
      </c>
      <c r="AG121" s="122" t="n">
        <f aca="false">+AF121/AF$9</f>
        <v>0.0970167353868542</v>
      </c>
      <c r="AH121" s="122"/>
      <c r="AI121" s="121" t="n">
        <f aca="false">+AA121+W121</f>
        <v>20000</v>
      </c>
      <c r="AJ121" s="103" t="n">
        <f aca="false">+AI121/AI$7</f>
        <v>150.375939849624</v>
      </c>
      <c r="AK121" s="122" t="n">
        <f aca="false">+AJ121/AJ$9</f>
        <v>0.124793311078526</v>
      </c>
    </row>
    <row r="122" customFormat="false" ht="12" hidden="false" customHeight="false" outlineLevel="0" collapsed="false">
      <c r="B122" s="100" t="s">
        <v>339</v>
      </c>
      <c r="L122" s="100" t="s">
        <v>306</v>
      </c>
      <c r="M122" s="34" t="n">
        <v>1</v>
      </c>
      <c r="N122" s="30" t="n">
        <v>25000</v>
      </c>
      <c r="O122" s="100" t="n">
        <f aca="false">+N122*M122</f>
        <v>25000</v>
      </c>
      <c r="P122" s="100" t="n">
        <f aca="false">O122/10.3</f>
        <v>2427.18446601942</v>
      </c>
      <c r="S122" s="163"/>
      <c r="T122" s="162"/>
      <c r="U122" s="164"/>
      <c r="W122" s="163" t="n">
        <f aca="false">X122*W$7</f>
        <v>13533.8345864662</v>
      </c>
      <c r="X122" s="162" t="n">
        <f aca="false">+$O122/SM134Units</f>
        <v>187.96992481203</v>
      </c>
      <c r="Y122" s="164" t="n">
        <f aca="false">+X122/X$9</f>
        <v>0.169801196758835</v>
      </c>
      <c r="AA122" s="163" t="n">
        <f aca="false">AB122*AA$7</f>
        <v>11466.1654135338</v>
      </c>
      <c r="AB122" s="162" t="n">
        <f aca="false">+$O122/SM134Units</f>
        <v>187.96992481203</v>
      </c>
      <c r="AC122" s="164" t="n">
        <f aca="false">+AB122/AB$9</f>
        <v>0.146052777631725</v>
      </c>
      <c r="AE122" s="126" t="n">
        <f aca="false">AF122*AE$7</f>
        <v>0</v>
      </c>
      <c r="AF122" s="100" t="n">
        <f aca="false">+$O122/SM134Units</f>
        <v>187.96992481203</v>
      </c>
      <c r="AG122" s="122" t="n">
        <f aca="false">+AF122/AF$9</f>
        <v>0.121270919233568</v>
      </c>
      <c r="AH122" s="122"/>
      <c r="AI122" s="121" t="n">
        <f aca="false">+AA122+W122</f>
        <v>25000</v>
      </c>
      <c r="AJ122" s="103" t="n">
        <f aca="false">+AI122/AI$7</f>
        <v>187.96992481203</v>
      </c>
      <c r="AK122" s="122" t="n">
        <f aca="false">+AJ122/AJ$9</f>
        <v>0.155991638848158</v>
      </c>
    </row>
    <row r="123" customFormat="false" ht="12" hidden="false" customHeight="false" outlineLevel="0" collapsed="false">
      <c r="B123" s="166" t="s">
        <v>340</v>
      </c>
      <c r="C123" s="166"/>
      <c r="D123" s="166"/>
      <c r="E123" s="166"/>
      <c r="F123" s="166"/>
      <c r="G123" s="166"/>
      <c r="H123" s="166"/>
      <c r="I123" s="166"/>
      <c r="J123" s="166"/>
      <c r="K123" s="166"/>
      <c r="L123" s="172"/>
      <c r="M123" s="166"/>
      <c r="N123" s="166"/>
      <c r="O123" s="166" t="n">
        <f aca="false">SUM(O112:O122)</f>
        <v>756848.30458397</v>
      </c>
      <c r="P123" s="166" t="n">
        <f aca="false">SUM(P119:P121)</f>
        <v>14563.1067961165</v>
      </c>
      <c r="S123" s="168"/>
      <c r="T123" s="168"/>
      <c r="U123" s="170"/>
      <c r="W123" s="168" t="n">
        <f aca="false">SUM(W112:W122)</f>
        <v>409722.390451472</v>
      </c>
      <c r="X123" s="168" t="n">
        <f aca="false">SUM(X112:X122)</f>
        <v>5690.58875627045</v>
      </c>
      <c r="Y123" s="170" t="n">
        <f aca="false">SUM(Y112:Y122)</f>
        <v>5.14054991533013</v>
      </c>
      <c r="AA123" s="168" t="n">
        <f aca="false">SUM(AA112:AA122)</f>
        <v>347125.914132498</v>
      </c>
      <c r="AB123" s="168" t="n">
        <f aca="false">SUM(AB112:AB122)</f>
        <v>5690.58875627045</v>
      </c>
      <c r="AC123" s="170" t="n">
        <f aca="false">SUM(AC112:AC122)</f>
        <v>4.42159188521403</v>
      </c>
      <c r="AE123" s="168" t="n">
        <f aca="false">SUM(AE119:AE122)</f>
        <v>0</v>
      </c>
      <c r="AF123" s="168" t="n">
        <f aca="false">SUM(AF119:AF122)</f>
        <v>1315.78947368421</v>
      </c>
      <c r="AG123" s="170" t="n">
        <f aca="false">SUM(AG119:AG122)</f>
        <v>0.848896434634975</v>
      </c>
      <c r="AH123" s="170"/>
      <c r="AI123" s="168" t="n">
        <f aca="false">SUM(AI112:AI122)</f>
        <v>756848.30458397</v>
      </c>
      <c r="AJ123" s="168" t="n">
        <f aca="false">SUM(AJ112:AJ122)</f>
        <v>5690.58875627045</v>
      </c>
      <c r="AK123" s="170" t="n">
        <f aca="false">SUM(AK112:AK122)</f>
        <v>4.72248029566013</v>
      </c>
    </row>
    <row r="124" customFormat="false" ht="12" hidden="false" customHeight="false" outlineLevel="0" collapsed="false">
      <c r="B124" s="173" t="s">
        <v>341</v>
      </c>
      <c r="C124" s="166"/>
      <c r="D124" s="166"/>
      <c r="E124" s="166"/>
      <c r="F124" s="166"/>
      <c r="G124" s="166"/>
      <c r="H124" s="166"/>
      <c r="I124" s="166"/>
      <c r="J124" s="166"/>
      <c r="K124" s="166"/>
      <c r="L124" s="172"/>
      <c r="M124" s="172"/>
      <c r="N124" s="172"/>
      <c r="O124" s="166" t="n">
        <f aca="false">+O123+O110</f>
        <v>1384160.30458397</v>
      </c>
      <c r="P124" s="166" t="n">
        <f aca="false">+P123+P110</f>
        <v>75467.1844660194</v>
      </c>
      <c r="S124" s="168"/>
      <c r="T124" s="168"/>
      <c r="U124" s="170"/>
      <c r="W124" s="168" t="n">
        <f aca="false">+W123+W110</f>
        <v>749167.15400214</v>
      </c>
      <c r="X124" s="168" t="n">
        <f aca="false">+X123+X110</f>
        <v>10405.0993611408</v>
      </c>
      <c r="Y124" s="170" t="n">
        <f aca="false">+Y123+Y110</f>
        <v>9.39936708323472</v>
      </c>
      <c r="AA124" s="168" t="n">
        <f aca="false">+AA123+AA110</f>
        <v>634711.061029591</v>
      </c>
      <c r="AB124" s="168" t="n">
        <f aca="false">+AB123+AB110</f>
        <v>10405.0993611408</v>
      </c>
      <c r="AC124" s="170" t="n">
        <f aca="false">+AC123+AC110</f>
        <v>8.08477028837672</v>
      </c>
      <c r="AE124" s="168" t="n">
        <f aca="false">+AE123+AE110</f>
        <v>0</v>
      </c>
      <c r="AF124" s="168" t="n">
        <f aca="false">+AF123+AF110</f>
        <v>1954.88721804511</v>
      </c>
      <c r="AG124" s="170" t="n">
        <f aca="false">+AG123+AG110</f>
        <v>1.26121756002911</v>
      </c>
      <c r="AH124" s="170"/>
      <c r="AI124" s="168" t="n">
        <f aca="false">+AI123+AI110</f>
        <v>1383878.21503173</v>
      </c>
      <c r="AJ124" s="168" t="n">
        <f aca="false">+AJ123+AJ110</f>
        <v>10405.0993611408</v>
      </c>
      <c r="AK124" s="170" t="n">
        <f aca="false">+AK123+AK110</f>
        <v>8.63493722916252</v>
      </c>
    </row>
    <row r="125" customFormat="false" ht="12" hidden="false" customHeight="false" outlineLevel="0" collapsed="false">
      <c r="B125" s="173" t="s">
        <v>342</v>
      </c>
      <c r="C125" s="173"/>
      <c r="D125" s="174"/>
      <c r="E125" s="175"/>
      <c r="F125" s="175"/>
      <c r="G125" s="175"/>
      <c r="H125" s="175"/>
      <c r="I125" s="175"/>
      <c r="J125" s="175"/>
      <c r="K125" s="175"/>
      <c r="O125" s="176" t="n">
        <f aca="false">+O124+O92</f>
        <v>2505830.30458397</v>
      </c>
      <c r="P125" s="176" t="n">
        <f aca="false">+P124+P92</f>
        <v>184367.184466019</v>
      </c>
      <c r="Q125" s="177"/>
      <c r="R125" s="177"/>
      <c r="S125" s="176"/>
      <c r="T125" s="176"/>
      <c r="U125" s="178"/>
      <c r="V125" s="179"/>
      <c r="W125" s="176" t="n">
        <f aca="false">+W124+W92</f>
        <v>1356387.0036262</v>
      </c>
      <c r="X125" s="176" t="n">
        <f aca="false">+X124+X92</f>
        <v>18838.7083836972</v>
      </c>
      <c r="Y125" s="178" t="n">
        <f aca="false">+Y124+Y92</f>
        <v>17.017803417974</v>
      </c>
      <c r="Z125" s="179"/>
      <c r="AA125" s="176" t="n">
        <f aca="false">+AA124+AA92</f>
        <v>1149161.21140553</v>
      </c>
      <c r="AB125" s="176" t="n">
        <f aca="false">+AB124+AB92</f>
        <v>18838.7083836972</v>
      </c>
      <c r="AC125" s="178" t="n">
        <f aca="false">+AC124+AC92</f>
        <v>14.6376910518238</v>
      </c>
      <c r="AD125" s="179"/>
      <c r="AE125" s="176" t="n">
        <f aca="false">+AE124+AE92</f>
        <v>0</v>
      </c>
      <c r="AF125" s="176" t="n">
        <f aca="false">+AF124+AF92</f>
        <v>10388.4962406015</v>
      </c>
      <c r="AG125" s="178" t="n">
        <f aca="false">+AG124+AG92</f>
        <v>6.70225563909775</v>
      </c>
      <c r="AH125" s="178"/>
      <c r="AI125" s="180" t="n">
        <f aca="false">+AI124+AI92</f>
        <v>2505548.21503173</v>
      </c>
      <c r="AJ125" s="176" t="n">
        <f aca="false">+AJ124+AJ92</f>
        <v>18838.7083836972</v>
      </c>
      <c r="AK125" s="178" t="n">
        <f aca="false">+AK124+AK92</f>
        <v>15.633782891035</v>
      </c>
    </row>
    <row r="126" customFormat="false" ht="12" hidden="false" customHeight="false" outlineLevel="0" collapsed="false">
      <c r="B126" s="44" t="s">
        <v>246</v>
      </c>
      <c r="O126" s="0"/>
      <c r="P126" s="0"/>
      <c r="Q126" s="0"/>
      <c r="S126" s="126"/>
      <c r="U126" s="140"/>
      <c r="W126" s="126" t="n">
        <f aca="false">X126*W$7</f>
        <v>1233201.67762619</v>
      </c>
      <c r="X126" s="100" t="n">
        <f aca="false">(X124+X90)*Const_Profit</f>
        <v>17127.8010781415</v>
      </c>
      <c r="Y126" s="140" t="n">
        <f aca="false">0.15*(Y124+Y90)</f>
        <v>9.28336101796289</v>
      </c>
      <c r="AA126" s="126" t="n">
        <f aca="false">AB126*AA$7</f>
        <v>1176941.01347538</v>
      </c>
      <c r="AB126" s="100" t="n">
        <f aca="false">(AB124+AB90)*Const_Profit</f>
        <v>19294.1149750062</v>
      </c>
      <c r="AC126" s="140" t="n">
        <f aca="false">0.15*(AC124+AC90)</f>
        <v>8.99492539627327</v>
      </c>
      <c r="AE126" s="126" t="n">
        <f aca="false">AF126*AE$7</f>
        <v>0</v>
      </c>
      <c r="AF126" s="100" t="n">
        <f aca="false">(AF124+AF90)*Const_Profit</f>
        <v>20338.5075990342</v>
      </c>
      <c r="AG126" s="140" t="n">
        <f aca="false">0.15*(AG124+AG90)</f>
        <v>7.87297068349711</v>
      </c>
      <c r="AI126" s="126" t="n">
        <f aca="false">AJ126*AI$7</f>
        <v>2432870.42508276</v>
      </c>
      <c r="AJ126" s="100" t="n">
        <f aca="false">(AJ124+AJ90)*Const_Profit</f>
        <v>18292.2588352087</v>
      </c>
      <c r="AK126" s="100" t="n">
        <f aca="false">0.15*(AK124+AK90)</f>
        <v>9.10817867313295</v>
      </c>
    </row>
    <row r="127" customFormat="false" ht="12" hidden="false" customHeight="false" outlineLevel="0" collapsed="false">
      <c r="B127" s="173" t="s">
        <v>343</v>
      </c>
      <c r="C127" s="173"/>
      <c r="D127" s="174"/>
      <c r="E127" s="175"/>
      <c r="F127" s="175"/>
      <c r="G127" s="175"/>
      <c r="H127" s="175"/>
      <c r="I127" s="175"/>
      <c r="J127" s="175"/>
      <c r="K127" s="175"/>
      <c r="O127" s="0"/>
      <c r="P127" s="0"/>
      <c r="Q127" s="0"/>
      <c r="R127" s="177"/>
      <c r="S127" s="176"/>
      <c r="T127" s="176"/>
      <c r="U127" s="178"/>
      <c r="V127" s="179"/>
      <c r="W127" s="176" t="n">
        <f aca="false">+W126+W125+W90</f>
        <v>6773228.23775502</v>
      </c>
      <c r="X127" s="176" t="n">
        <f aca="false">+X126+X125+X90</f>
        <v>94072.6144132641</v>
      </c>
      <c r="Y127" s="178" t="n">
        <f aca="false">+Y126+Y125+Y90</f>
        <v>78.7908708057882</v>
      </c>
      <c r="Z127" s="179"/>
      <c r="AA127" s="176" t="n">
        <f aca="false">+AA126+AA125+AA90</f>
        <v>6399155.21775282</v>
      </c>
      <c r="AB127" s="176" t="n">
        <f aca="false">+AB126+AB125+AB90</f>
        <v>104904.183897587</v>
      </c>
      <c r="AC127" s="178" t="n">
        <f aca="false">+AC126+AC125+AC90</f>
        <v>75.5140154682088</v>
      </c>
      <c r="AD127" s="179"/>
      <c r="AE127" s="176" t="n">
        <f aca="false">+AE126+AE125+AE90</f>
        <v>0</v>
      </c>
      <c r="AF127" s="176" t="n">
        <f aca="false">+AF126+AF125+AF90</f>
        <v>110126.147017727</v>
      </c>
      <c r="AG127" s="178" t="n">
        <f aca="false">+AG126+AG125+AG90</f>
        <v>65.8004799858798</v>
      </c>
      <c r="AH127" s="178"/>
      <c r="AI127" s="180" t="n">
        <f aca="false">+AI126+AI125+AI90</f>
        <v>13286022.1254138</v>
      </c>
      <c r="AJ127" s="176" t="n">
        <f aca="false">+AJ126+AJ125+AJ90</f>
        <v>99894.9031985998</v>
      </c>
      <c r="AK127" s="178" t="n">
        <f aca="false">+AK126+AK125+AK90</f>
        <v>76.8282154892252</v>
      </c>
    </row>
    <row r="128" customFormat="false" ht="12" hidden="false" customHeight="false" outlineLevel="0" collapsed="false">
      <c r="B128" s="44"/>
      <c r="U128" s="122"/>
    </row>
    <row r="129" customFormat="false" ht="12" hidden="false" customHeight="false" outlineLevel="0" collapsed="false">
      <c r="B129" s="139" t="s">
        <v>344</v>
      </c>
    </row>
    <row r="130" customFormat="false" ht="12" hidden="false" customHeight="false" outlineLevel="0" collapsed="false">
      <c r="B130" s="100" t="s">
        <v>345</v>
      </c>
      <c r="O130" s="100" t="n">
        <v>4000</v>
      </c>
      <c r="S130" s="158"/>
      <c r="T130" s="158"/>
      <c r="U130" s="43"/>
      <c r="W130" s="158" t="n">
        <f aca="false">X130*W$7</f>
        <v>2165.41353383459</v>
      </c>
      <c r="X130" s="158" t="n">
        <f aca="false">+$O130/SM134Units</f>
        <v>30.0751879699248</v>
      </c>
      <c r="Y130" s="43" t="n">
        <f aca="false">+X130/X$9</f>
        <v>0.0271681914814136</v>
      </c>
      <c r="AA130" s="158" t="n">
        <f aca="false">AB130*AA$7</f>
        <v>1834.58646616541</v>
      </c>
      <c r="AB130" s="158" t="n">
        <f aca="false">+$O130/SM134Units</f>
        <v>30.0751879699248</v>
      </c>
      <c r="AC130" s="43" t="n">
        <f aca="false">+AB130/AB$9</f>
        <v>0.023368444421076</v>
      </c>
      <c r="AE130" s="158" t="n">
        <f aca="false">AF130*AE$7</f>
        <v>0</v>
      </c>
      <c r="AF130" s="158" t="n">
        <f aca="false">+$O130/SM134Units</f>
        <v>30.0751879699248</v>
      </c>
      <c r="AG130" s="43" t="n">
        <f aca="false">+AF130/AF$9</f>
        <v>0.0194033470773708</v>
      </c>
      <c r="AH130" s="43"/>
      <c r="AI130" s="158" t="n">
        <f aca="false">+AA130+W130</f>
        <v>4000</v>
      </c>
      <c r="AJ130" s="158" t="n">
        <f aca="false">+AI130/AI$7</f>
        <v>30.0751879699248</v>
      </c>
      <c r="AK130" s="43" t="n">
        <f aca="false">+AJ130/AJ$9</f>
        <v>0.0249586622157052</v>
      </c>
    </row>
    <row r="131" customFormat="false" ht="12" hidden="false" customHeight="false" outlineLevel="0" collapsed="false">
      <c r="B131" s="100" t="s">
        <v>346</v>
      </c>
      <c r="O131" s="100" t="n">
        <f aca="false">0.0075*0.75*13000000</f>
        <v>73125</v>
      </c>
      <c r="S131" s="126"/>
      <c r="U131" s="122"/>
      <c r="W131" s="126" t="n">
        <f aca="false">X131*W$7</f>
        <v>39586.4661654135</v>
      </c>
      <c r="X131" s="100" t="n">
        <f aca="false">+$O131/SM134Units</f>
        <v>549.812030075188</v>
      </c>
      <c r="Y131" s="122" t="n">
        <f aca="false">+X131/X$9</f>
        <v>0.496668500519592</v>
      </c>
      <c r="AA131" s="126" t="n">
        <f aca="false">AB131*AA$7</f>
        <v>33538.5338345865</v>
      </c>
      <c r="AB131" s="100" t="n">
        <f aca="false">+$O131/SM134Units</f>
        <v>549.812030075188</v>
      </c>
      <c r="AC131" s="122" t="n">
        <f aca="false">+AB131/AB$9</f>
        <v>0.427204374572796</v>
      </c>
      <c r="AE131" s="126" t="n">
        <f aca="false">AF131*AE$7</f>
        <v>0</v>
      </c>
      <c r="AF131" s="100" t="n">
        <f aca="false">+$O131/SM134Units</f>
        <v>549.812030075188</v>
      </c>
      <c r="AG131" s="122" t="n">
        <f aca="false">+AF131/AF$9</f>
        <v>0.354717438758186</v>
      </c>
      <c r="AH131" s="122"/>
      <c r="AI131" s="121" t="n">
        <f aca="false">+AA131+W131</f>
        <v>73125</v>
      </c>
      <c r="AJ131" s="103" t="n">
        <f aca="false">+AI131/AI$7</f>
        <v>549.812030075188</v>
      </c>
      <c r="AK131" s="122" t="n">
        <f aca="false">+AJ131/AJ$9</f>
        <v>0.456275543630861</v>
      </c>
    </row>
    <row r="132" customFormat="false" ht="12" hidden="false" customHeight="false" outlineLevel="0" collapsed="false">
      <c r="B132" s="100" t="s">
        <v>347</v>
      </c>
      <c r="O132" s="100" t="n">
        <f aca="false">0.0025*0.75*13000000</f>
        <v>24375</v>
      </c>
      <c r="S132" s="126"/>
      <c r="U132" s="122"/>
      <c r="W132" s="126" t="n">
        <f aca="false">X132*W$7</f>
        <v>13195.4887218045</v>
      </c>
      <c r="X132" s="100" t="n">
        <f aca="false">+$O132/SM134Units</f>
        <v>183.270676691729</v>
      </c>
      <c r="Y132" s="122" t="n">
        <f aca="false">+X132/X$9</f>
        <v>0.165556166839864</v>
      </c>
      <c r="AA132" s="126" t="n">
        <f aca="false">AB132*AA$7</f>
        <v>11179.5112781955</v>
      </c>
      <c r="AB132" s="100" t="n">
        <f aca="false">+$O132/SM134Units</f>
        <v>183.270676691729</v>
      </c>
      <c r="AC132" s="122" t="n">
        <f aca="false">+AB132/AB$9</f>
        <v>0.142401458190932</v>
      </c>
      <c r="AE132" s="126" t="n">
        <f aca="false">AF132*AE$7</f>
        <v>0</v>
      </c>
      <c r="AF132" s="100" t="n">
        <f aca="false">+$O132/SM134Units</f>
        <v>183.270676691729</v>
      </c>
      <c r="AG132" s="122" t="n">
        <f aca="false">+AF132/AF$9</f>
        <v>0.118239146252729</v>
      </c>
      <c r="AH132" s="122"/>
      <c r="AI132" s="121" t="n">
        <f aca="false">+AA132+W132</f>
        <v>24375</v>
      </c>
      <c r="AJ132" s="103" t="n">
        <f aca="false">+AI132/AI$7</f>
        <v>183.270676691729</v>
      </c>
      <c r="AK132" s="122" t="n">
        <f aca="false">+AJ132/AJ$9</f>
        <v>0.152091847876954</v>
      </c>
    </row>
    <row r="133" customFormat="false" ht="12" hidden="false" customHeight="false" outlineLevel="0" collapsed="false">
      <c r="B133" s="100" t="s">
        <v>348</v>
      </c>
      <c r="O133" s="100" t="n">
        <f aca="false">13000000*0.75*0.105*0.75</f>
        <v>767812.5</v>
      </c>
      <c r="S133" s="126"/>
      <c r="U133" s="122"/>
      <c r="W133" s="126" t="n">
        <f aca="false">X133*W$7</f>
        <v>415657.894736842</v>
      </c>
      <c r="X133" s="100" t="n">
        <f aca="false">+$O133/SM134Units</f>
        <v>5773.02631578947</v>
      </c>
      <c r="Y133" s="122" t="n">
        <f aca="false">+X133/X$9</f>
        <v>5.21501925545571</v>
      </c>
      <c r="AA133" s="126" t="n">
        <f aca="false">AB133*AA$7</f>
        <v>352154.605263158</v>
      </c>
      <c r="AB133" s="100" t="n">
        <f aca="false">+$O133/SM134Units</f>
        <v>5773.02631578947</v>
      </c>
      <c r="AC133" s="122" t="n">
        <f aca="false">+AB133/AB$9</f>
        <v>4.48564593301435</v>
      </c>
      <c r="AE133" s="126" t="n">
        <f aca="false">AF133*AE$7</f>
        <v>0</v>
      </c>
      <c r="AF133" s="100" t="n">
        <f aca="false">+$O133/SM134Units</f>
        <v>5773.02631578947</v>
      </c>
      <c r="AG133" s="122" t="n">
        <f aca="false">+AF133/AF$9</f>
        <v>3.72453310696095</v>
      </c>
      <c r="AH133" s="122"/>
      <c r="AI133" s="121" t="n">
        <f aca="false">+AA133+W133</f>
        <v>767812.5</v>
      </c>
      <c r="AJ133" s="103" t="n">
        <f aca="false">+AI133/AI$7</f>
        <v>5773.02631578947</v>
      </c>
      <c r="AK133" s="122" t="n">
        <f aca="false">+AJ133/AJ$9</f>
        <v>4.79089320812404</v>
      </c>
    </row>
    <row r="134" customFormat="false" ht="12" hidden="false" customHeight="false" outlineLevel="0" collapsed="false">
      <c r="B134" s="172" t="s">
        <v>349</v>
      </c>
      <c r="O134" s="172" t="n">
        <f aca="false">SUM(O130:O133)</f>
        <v>869312.5</v>
      </c>
      <c r="P134" s="172"/>
      <c r="S134" s="181"/>
      <c r="T134" s="181"/>
      <c r="U134" s="182"/>
      <c r="W134" s="181" t="n">
        <f aca="false">SUM(W130:W133)</f>
        <v>470605.263157895</v>
      </c>
      <c r="X134" s="181" t="n">
        <f aca="false">SUM(X130:X133)</f>
        <v>6536.18421052632</v>
      </c>
      <c r="Y134" s="182" t="n">
        <f aca="false">SUM(Y130:Y133)</f>
        <v>5.90441211429658</v>
      </c>
      <c r="AA134" s="181" t="n">
        <f aca="false">SUM(AA130:AA133)</f>
        <v>398707.236842105</v>
      </c>
      <c r="AB134" s="181" t="n">
        <f aca="false">SUM(AB130:AB133)</f>
        <v>6536.18421052632</v>
      </c>
      <c r="AC134" s="182" t="n">
        <f aca="false">SUM(AC130:AC133)</f>
        <v>5.07862021019916</v>
      </c>
      <c r="AE134" s="181" t="n">
        <f aca="false">SUM(AE130:AE133)</f>
        <v>0</v>
      </c>
      <c r="AF134" s="181" t="n">
        <f aca="false">SUM(AF130:AF133)</f>
        <v>6536.18421052632</v>
      </c>
      <c r="AG134" s="182" t="n">
        <f aca="false">SUM(AG130:AG133)</f>
        <v>4.21689303904924</v>
      </c>
      <c r="AH134" s="182"/>
      <c r="AI134" s="181" t="n">
        <f aca="false">SUM(AI130:AI133)</f>
        <v>869312.5</v>
      </c>
      <c r="AJ134" s="181" t="n">
        <f aca="false">SUM(AJ130:AJ133)</f>
        <v>6536.18421052632</v>
      </c>
      <c r="AK134" s="182" t="n">
        <f aca="false">SUM(AK130:AK133)</f>
        <v>5.42421926184756</v>
      </c>
    </row>
    <row r="135" customFormat="false" ht="12" hidden="false" customHeight="false" outlineLevel="0" collapsed="false">
      <c r="B135" s="166"/>
      <c r="O135" s="166"/>
      <c r="P135" s="166"/>
      <c r="S135" s="168"/>
      <c r="T135" s="168"/>
      <c r="U135" s="183"/>
      <c r="W135" s="168"/>
      <c r="X135" s="168"/>
      <c r="Y135" s="183"/>
      <c r="AA135" s="168"/>
      <c r="AB135" s="168"/>
      <c r="AC135" s="183"/>
      <c r="AE135" s="168"/>
      <c r="AF135" s="168"/>
      <c r="AG135" s="183"/>
      <c r="AH135" s="183"/>
      <c r="AI135" s="168"/>
      <c r="AJ135" s="168"/>
      <c r="AK135" s="183"/>
    </row>
    <row r="136" customFormat="false" ht="12.75" hidden="false" customHeight="false" outlineLevel="0" collapsed="false">
      <c r="B136" s="135" t="s">
        <v>350</v>
      </c>
      <c r="O136" s="135" t="n">
        <f aca="false">+O134+O127+L90</f>
        <v>1579083.1</v>
      </c>
      <c r="P136" s="135"/>
      <c r="S136" s="137"/>
      <c r="T136" s="137"/>
      <c r="U136" s="138"/>
      <c r="W136" s="137" t="n">
        <f aca="false">+W134+W127</f>
        <v>7243833.50091291</v>
      </c>
      <c r="X136" s="137" t="n">
        <f aca="false">+X134+X127</f>
        <v>100608.79862379</v>
      </c>
      <c r="Y136" s="138" t="n">
        <f aca="false">+Y134+Y127</f>
        <v>84.6952829200847</v>
      </c>
      <c r="AA136" s="137" t="n">
        <f aca="false">+AA134+AA127</f>
        <v>6797862.45459492</v>
      </c>
      <c r="AB136" s="137" t="n">
        <f aca="false">+AB134+AB127</f>
        <v>111440.368108114</v>
      </c>
      <c r="AC136" s="138" t="n">
        <f aca="false">+AC134+AC127</f>
        <v>80.5926356784079</v>
      </c>
      <c r="AE136" s="137" t="n">
        <f aca="false">+AE134+AE127</f>
        <v>0</v>
      </c>
      <c r="AF136" s="137" t="n">
        <f aca="false">+AF134+AF127</f>
        <v>116662.331228254</v>
      </c>
      <c r="AG136" s="138" t="n">
        <f aca="false">+AG134+AG127</f>
        <v>70.0173730249291</v>
      </c>
      <c r="AH136" s="138"/>
      <c r="AI136" s="137" t="n">
        <f aca="false">+AI134+AI127</f>
        <v>14155334.6254138</v>
      </c>
      <c r="AJ136" s="137" t="n">
        <f aca="false">+AJ134+AJ127</f>
        <v>106431.087409126</v>
      </c>
      <c r="AK136" s="138" t="n">
        <f aca="false">+AK134+AK127</f>
        <v>82.2524347510727</v>
      </c>
    </row>
    <row r="137" customFormat="false" ht="13.5" hidden="false" customHeight="false" outlineLevel="0" collapsed="false">
      <c r="B137" s="184" t="s">
        <v>351</v>
      </c>
      <c r="O137" s="184"/>
      <c r="P137" s="184"/>
      <c r="S137" s="87"/>
      <c r="T137" s="87"/>
      <c r="U137" s="88"/>
      <c r="W137" s="87"/>
      <c r="X137" s="35" t="n">
        <f aca="false">X136/Proforma!K41</f>
        <v>0.824322600475139</v>
      </c>
      <c r="Y137" s="88"/>
      <c r="AA137" s="87"/>
      <c r="AB137" s="35" t="n">
        <f aca="false">AB136/Proforma!O41</f>
        <v>0.673868397317116</v>
      </c>
      <c r="AC137" s="88"/>
      <c r="AE137" s="87"/>
      <c r="AF137" s="87"/>
      <c r="AG137" s="88"/>
      <c r="AH137" s="88"/>
      <c r="AI137" s="35" t="n">
        <f aca="false">AI136/Proforma!V41</f>
        <v>0.749934072221906</v>
      </c>
      <c r="AJ137" s="87"/>
      <c r="AK137" s="88"/>
    </row>
    <row r="138" customFormat="false" ht="12" hidden="false" customHeight="false" outlineLevel="0" collapsed="false">
      <c r="B138" s="184" t="s">
        <v>352</v>
      </c>
      <c r="L138" s="184"/>
      <c r="M138" s="184"/>
      <c r="N138" s="184"/>
      <c r="O138" s="184"/>
      <c r="S138" s="87"/>
      <c r="T138" s="87"/>
      <c r="U138" s="88"/>
      <c r="W138" s="87"/>
      <c r="X138" s="87" t="n">
        <f aca="false">+Proforma!K$15</f>
        <v>1150</v>
      </c>
      <c r="Y138" s="88"/>
      <c r="AA138" s="87"/>
      <c r="AB138" s="87" t="n">
        <f aca="false">+Proforma!O$15</f>
        <v>1500</v>
      </c>
      <c r="AC138" s="88"/>
      <c r="AE138" s="87"/>
      <c r="AF138" s="87" t="n">
        <f aca="false">+Proforma!S$14</f>
        <v>0</v>
      </c>
      <c r="AG138" s="43" t="n">
        <f aca="false">+AF138/AF$9</f>
        <v>0</v>
      </c>
      <c r="AH138" s="88"/>
      <c r="AI138" s="87" t="n">
        <f aca="false">AF138*AE$7+AB138*AA$7+X138*W$7</f>
        <v>174300</v>
      </c>
      <c r="AJ138" s="87"/>
      <c r="AK138" s="88"/>
    </row>
    <row r="139" customFormat="false" ht="12" hidden="false" customHeight="false" outlineLevel="0" collapsed="false">
      <c r="B139" s="184" t="s">
        <v>353</v>
      </c>
      <c r="L139" s="184"/>
      <c r="M139" s="184"/>
      <c r="N139" s="184"/>
      <c r="O139" s="184"/>
      <c r="S139" s="87"/>
      <c r="T139" s="87"/>
      <c r="U139" s="88"/>
      <c r="W139" s="87"/>
      <c r="X139" s="87" t="n">
        <f aca="false">+X138/2</f>
        <v>575</v>
      </c>
      <c r="Y139" s="88"/>
      <c r="AA139" s="87"/>
      <c r="AB139" s="87" t="n">
        <f aca="false">+AB138/3</f>
        <v>500</v>
      </c>
      <c r="AC139" s="88"/>
      <c r="AE139" s="87"/>
      <c r="AF139" s="87" t="n">
        <f aca="false">+AF138/4</f>
        <v>0</v>
      </c>
      <c r="AG139" s="88"/>
      <c r="AH139" s="88"/>
      <c r="AI139" s="87" t="n">
        <f aca="false">AI138/(4*AE$7+3*AA$7+2*W$7)</f>
        <v>533.02752293578</v>
      </c>
      <c r="AJ139" s="87"/>
      <c r="AK139" s="88"/>
    </row>
    <row r="140" customFormat="false" ht="12.75" hidden="false" customHeight="false" outlineLevel="0" collapsed="false">
      <c r="B140" s="184" t="s">
        <v>354</v>
      </c>
      <c r="L140" s="184"/>
      <c r="M140" s="184"/>
      <c r="N140" s="184"/>
      <c r="O140" s="184"/>
      <c r="S140" s="87"/>
      <c r="T140" s="185"/>
      <c r="U140" s="185"/>
      <c r="V140" s="185"/>
      <c r="W140" s="185"/>
      <c r="X140" s="185" t="n">
        <f aca="false">(X138*12)/X136</f>
        <v>0.137164941722471</v>
      </c>
      <c r="Y140" s="185"/>
      <c r="Z140" s="185"/>
      <c r="AA140" s="185"/>
      <c r="AB140" s="185" t="n">
        <f aca="false">(AB138*12)/AB136</f>
        <v>0.161521361653592</v>
      </c>
      <c r="AC140" s="88"/>
      <c r="AE140" s="87"/>
      <c r="AF140" s="185" t="n">
        <f aca="false">(AF138*12)/AF136</f>
        <v>0</v>
      </c>
      <c r="AG140" s="88"/>
      <c r="AH140" s="88"/>
      <c r="AI140" s="185" t="n">
        <f aca="false">(AI138*12)/AI136</f>
        <v>0.147760547902898</v>
      </c>
      <c r="AJ140" s="87"/>
      <c r="AK140" s="88"/>
    </row>
    <row r="141" customFormat="false" ht="12" hidden="false" customHeight="false" outlineLevel="0" collapsed="false">
      <c r="T141" s="140"/>
      <c r="AJ141" s="140"/>
    </row>
    <row r="142" customFormat="false" ht="12" hidden="false" customHeight="false" outlineLevel="0" collapsed="false">
      <c r="B142" s="100" t="s">
        <v>355</v>
      </c>
      <c r="L142" s="100" t="s">
        <v>356</v>
      </c>
      <c r="O142" s="101" t="n">
        <v>0.75</v>
      </c>
      <c r="U142" s="34"/>
      <c r="W142" s="100" t="n">
        <f aca="false">W$7*X142</f>
        <v>5432875.12568468</v>
      </c>
      <c r="X142" s="100" t="n">
        <f aca="false">X$136*LTC</f>
        <v>75456.5989678428</v>
      </c>
      <c r="Y142" s="34" t="n">
        <f aca="false">+X142/X$9</f>
        <v>68.163142699045</v>
      </c>
      <c r="AA142" s="100" t="n">
        <f aca="false">AA$7*AB142</f>
        <v>5098396.84094619</v>
      </c>
      <c r="AB142" s="100" t="n">
        <f aca="false">AB$136*LTC</f>
        <v>83580.2760810851</v>
      </c>
      <c r="AC142" s="34" t="n">
        <f aca="false">+AB142/AB$9</f>
        <v>64.9419394569426</v>
      </c>
      <c r="AE142" s="100" t="n">
        <f aca="false">AE$7*AF142</f>
        <v>0</v>
      </c>
      <c r="AF142" s="100" t="n">
        <f aca="false">AF$136*LTC</f>
        <v>87496.7484211903</v>
      </c>
      <c r="AG142" s="34" t="n">
        <f aca="false">+AF142/AF$9</f>
        <v>56.4495151104454</v>
      </c>
      <c r="AI142" s="100" t="n">
        <f aca="false">+AA142+W142</f>
        <v>10531271.9666309</v>
      </c>
      <c r="AJ142" s="100" t="n">
        <f aca="false">AJ$136*LTC</f>
        <v>79823.3155568446</v>
      </c>
      <c r="AK142" s="34" t="n">
        <f aca="false">+AJ142/AJ$9</f>
        <v>66.243415399871</v>
      </c>
    </row>
    <row r="143" customFormat="false" ht="12.75" hidden="false" customHeight="false" outlineLevel="0" collapsed="false">
      <c r="B143" s="100" t="s">
        <v>357</v>
      </c>
      <c r="L143" s="100" t="s">
        <v>358</v>
      </c>
      <c r="O143" s="35" t="n">
        <v>0.7</v>
      </c>
      <c r="U143" s="34"/>
      <c r="W143" s="100" t="n">
        <f aca="false">W$7*X143</f>
        <v>6151333.77116714</v>
      </c>
      <c r="X143" s="100" t="n">
        <f aca="false">(Proforma!K$41*LTV)</f>
        <v>85435.1912662102</v>
      </c>
      <c r="Y143" s="34" t="n">
        <f aca="false">+X143/X$9</f>
        <v>77.1772278827554</v>
      </c>
      <c r="AA143" s="100" t="n">
        <f aca="false">AA$7*AB143</f>
        <v>7061473.33390549</v>
      </c>
      <c r="AB143" s="100" t="n">
        <f aca="false">(Proforma!O$41*LTV)</f>
        <v>115761.857932877</v>
      </c>
      <c r="AC143" s="34" t="n">
        <f aca="false">+AB143/AB$9</f>
        <v>89.9470535608989</v>
      </c>
      <c r="AE143" s="100" t="n">
        <f aca="false">AE$7*AF143</f>
        <v>0</v>
      </c>
      <c r="AF143" s="100" t="n">
        <f aca="false">AF$136*LTV</f>
        <v>81663.6318597776</v>
      </c>
      <c r="AG143" s="34" t="n">
        <f aca="false">+AF143/AF$9</f>
        <v>52.6862141030823</v>
      </c>
      <c r="AI143" s="100" t="n">
        <f aca="false">+AA143+W143</f>
        <v>13212807.1050726</v>
      </c>
      <c r="AJ143" s="100" t="n">
        <f aca="false">AJ$136*LTV</f>
        <v>74501.7611863883</v>
      </c>
      <c r="AK143" s="34" t="n">
        <f aca="false">+AJ143/AJ$9</f>
        <v>61.8271877065463</v>
      </c>
    </row>
    <row r="144" customFormat="false" ht="12.75" hidden="false" customHeight="false" outlineLevel="0" collapsed="false">
      <c r="O144" s="35"/>
      <c r="U144" s="34"/>
      <c r="Y144" s="34"/>
      <c r="AC144" s="34"/>
      <c r="AG144" s="34"/>
      <c r="AK144" s="34"/>
    </row>
    <row r="145" customFormat="false" ht="12" hidden="false" customHeight="false" outlineLevel="0" collapsed="false">
      <c r="B145" s="139" t="s">
        <v>359</v>
      </c>
      <c r="AC145" s="34"/>
      <c r="AG145" s="34"/>
      <c r="AK145" s="34"/>
    </row>
    <row r="146" customFormat="false" ht="12" hidden="false" customHeight="false" outlineLevel="0" collapsed="false">
      <c r="B146" s="100" t="s">
        <v>360</v>
      </c>
      <c r="U146" s="34"/>
      <c r="W146" s="100" t="n">
        <f aca="false">W$7*X146</f>
        <v>1810958.37522823</v>
      </c>
      <c r="X146" s="100" t="n">
        <f aca="false">+X$136-X$142</f>
        <v>25152.1996559476</v>
      </c>
      <c r="Y146" s="34" t="n">
        <f aca="false">+X146/X$9</f>
        <v>22.7210475663483</v>
      </c>
      <c r="AA146" s="100" t="n">
        <f aca="false">AA$7*AB146</f>
        <v>1699465.61364873</v>
      </c>
      <c r="AB146" s="100" t="n">
        <f aca="false">+AB$136-AB$142</f>
        <v>27860.0920270284</v>
      </c>
      <c r="AC146" s="34" t="n">
        <f aca="false">+AB146/AB$9</f>
        <v>21.6473131523142</v>
      </c>
      <c r="AE146" s="100" t="n">
        <f aca="false">+AE136-AE142</f>
        <v>0</v>
      </c>
      <c r="AF146" s="100" t="n">
        <f aca="false">+AF$136-AF$142</f>
        <v>29165.5828070634</v>
      </c>
      <c r="AG146" s="34" t="n">
        <f aca="false">+AF146/AF$9</f>
        <v>18.8165050368151</v>
      </c>
      <c r="AI146" s="100" t="n">
        <f aca="false">AI$7*AJ146</f>
        <v>3538833.65635344</v>
      </c>
      <c r="AJ146" s="100" t="n">
        <f aca="false">+AJ$136-AJ$142</f>
        <v>26607.7718522815</v>
      </c>
      <c r="AK146" s="34" t="n">
        <f aca="false">+AJ146/AJ$9</f>
        <v>22.0811384666237</v>
      </c>
    </row>
    <row r="147" customFormat="false" ht="12" hidden="false" customHeight="false" outlineLevel="0" collapsed="false">
      <c r="B147" s="100" t="s">
        <v>361</v>
      </c>
      <c r="U147" s="140"/>
      <c r="W147" s="100" t="n">
        <f aca="false">W$7*X147</f>
        <v>-1233201.67762619</v>
      </c>
      <c r="X147" s="100" t="n">
        <f aca="false">-X$126</f>
        <v>-17127.8010781415</v>
      </c>
      <c r="Y147" s="140" t="n">
        <f aca="false">+X147/X$9</f>
        <v>-15.4722683632715</v>
      </c>
      <c r="AA147" s="100" t="n">
        <f aca="false">AA$7*AB147</f>
        <v>-1176941.01347538</v>
      </c>
      <c r="AB147" s="100" t="n">
        <f aca="false">-AB$126</f>
        <v>-19294.1149750062</v>
      </c>
      <c r="AC147" s="140" t="n">
        <f aca="false">+AB147/AB$9</f>
        <v>-14.9915423271221</v>
      </c>
      <c r="AE147" s="100" t="n">
        <f aca="false">-AE126</f>
        <v>-0</v>
      </c>
      <c r="AF147" s="100" t="n">
        <f aca="false">-AF$126</f>
        <v>-20338.5075990342</v>
      </c>
      <c r="AG147" s="140" t="n">
        <f aca="false">+AF147/AF$9</f>
        <v>-13.1216178058285</v>
      </c>
      <c r="AI147" s="100" t="n">
        <f aca="false">AI$7*AJ147</f>
        <v>-2432870.42508276</v>
      </c>
      <c r="AJ147" s="100" t="n">
        <f aca="false">-AJ$126</f>
        <v>-18292.2588352087</v>
      </c>
      <c r="AK147" s="140" t="n">
        <f aca="false">+AJ147/AJ$9</f>
        <v>-15.1802977885549</v>
      </c>
    </row>
    <row r="148" customFormat="false" ht="12" hidden="false" customHeight="false" outlineLevel="0" collapsed="false">
      <c r="B148" s="100" t="s">
        <v>362</v>
      </c>
      <c r="U148" s="34"/>
      <c r="W148" s="100" t="n">
        <f aca="false">+W147+W146</f>
        <v>577756.697602036</v>
      </c>
      <c r="X148" s="100" t="n">
        <f aca="false">+X147+X146</f>
        <v>8024.39857780606</v>
      </c>
      <c r="Y148" s="34" t="n">
        <f aca="false">+X148/X$9</f>
        <v>7.24877920307683</v>
      </c>
      <c r="AA148" s="100" t="n">
        <f aca="false">+AA147+AA146</f>
        <v>522524.600173356</v>
      </c>
      <c r="AB148" s="100" t="n">
        <f aca="false">+AB147+AB146</f>
        <v>8565.97705202223</v>
      </c>
      <c r="AC148" s="34" t="n">
        <f aca="false">+AB148/AB$9</f>
        <v>6.6557708251921</v>
      </c>
      <c r="AE148" s="100" t="e">
        <f aca="false">AE$7*AF148</f>
        <v>#REF!</v>
      </c>
      <c r="AF148" s="100" t="e">
        <f aca="false">+AF147+AF146+#REF!</f>
        <v>#REF!</v>
      </c>
      <c r="AG148" s="34" t="e">
        <f aca="false">+AF148/AF$9</f>
        <v>#REF!</v>
      </c>
      <c r="AI148" s="100" t="n">
        <f aca="false">+AI147+AI146</f>
        <v>1105963.23127069</v>
      </c>
      <c r="AJ148" s="100" t="n">
        <f aca="false">+AJ147+AJ146</f>
        <v>8315.51301707284</v>
      </c>
      <c r="AK148" s="34" t="n">
        <f aca="false">+AJ148/AJ$9</f>
        <v>6.90084067806875</v>
      </c>
    </row>
    <row r="150" customFormat="false" ht="12" hidden="false" customHeight="false" outlineLevel="0" collapsed="false">
      <c r="B150" s="186" t="s">
        <v>363</v>
      </c>
    </row>
    <row r="151" customFormat="false" ht="12" hidden="true" customHeight="false" outlineLevel="0" collapsed="false">
      <c r="B151" s="187" t="s">
        <v>364</v>
      </c>
    </row>
    <row r="152" customFormat="false" ht="12" hidden="true" customHeight="false" outlineLevel="0" collapsed="false">
      <c r="B152" s="100" t="s">
        <v>300</v>
      </c>
      <c r="S152" s="100" t="n">
        <f aca="false">S$7*T152</f>
        <v>0</v>
      </c>
      <c r="T152" s="100" t="n">
        <f aca="false">+T$136-T$143</f>
        <v>0</v>
      </c>
      <c r="U152" s="34" t="n">
        <f aca="false">+T152/T$9</f>
        <v>0</v>
      </c>
      <c r="W152" s="100" t="n">
        <f aca="false">W$7*X152</f>
        <v>1092499.72974577</v>
      </c>
      <c r="X152" s="100" t="n">
        <f aca="false">+X$136-X$143</f>
        <v>15173.6073575802</v>
      </c>
      <c r="Y152" s="34" t="n">
        <f aca="false">+X152/X$9</f>
        <v>13.7069623826379</v>
      </c>
      <c r="AA152" s="100" t="n">
        <f aca="false">AA$7*AB152</f>
        <v>-263610.879310566</v>
      </c>
      <c r="AB152" s="100" t="n">
        <f aca="false">+AB$136-AB$143</f>
        <v>-4321.48982476338</v>
      </c>
      <c r="AC152" s="34" t="n">
        <f aca="false">+AB152/AB$9</f>
        <v>-3.3578009516421</v>
      </c>
      <c r="AE152" s="100" t="e">
        <f aca="false">+AE143-#REF!</f>
        <v>#REF!</v>
      </c>
      <c r="AF152" s="100" t="n">
        <f aca="false">+AF$136-AF$143</f>
        <v>34998.6993684761</v>
      </c>
      <c r="AG152" s="34" t="n">
        <f aca="false">+AF152/AF$9</f>
        <v>22.5798060441781</v>
      </c>
      <c r="AI152" s="100" t="n">
        <f aca="false">AI$7*AJ152</f>
        <v>4246600.38762413</v>
      </c>
      <c r="AJ152" s="100" t="n">
        <f aca="false">+AJ$136-AJ$143</f>
        <v>31929.3262227378</v>
      </c>
      <c r="AK152" s="34" t="n">
        <f aca="false">+AJ152/AJ$9</f>
        <v>26.4973661599484</v>
      </c>
    </row>
    <row r="153" customFormat="false" ht="12" hidden="true" customHeight="false" outlineLevel="0" collapsed="false">
      <c r="B153" s="100" t="s">
        <v>365</v>
      </c>
      <c r="S153" s="100" t="n">
        <f aca="false">S$7*T153</f>
        <v>-0</v>
      </c>
      <c r="T153" s="100" t="n">
        <f aca="false">-T$126</f>
        <v>-0</v>
      </c>
      <c r="U153" s="140" t="n">
        <f aca="false">+T153/T$9</f>
        <v>-0</v>
      </c>
      <c r="W153" s="100" t="n">
        <f aca="false">W$7*X153</f>
        <v>-1233201.67762619</v>
      </c>
      <c r="X153" s="100" t="n">
        <f aca="false">-X$126</f>
        <v>-17127.8010781415</v>
      </c>
      <c r="Y153" s="140" t="n">
        <f aca="false">+X153/X$9</f>
        <v>-15.4722683632715</v>
      </c>
      <c r="AA153" s="100" t="n">
        <f aca="false">AA$7*AB153</f>
        <v>-1176941.01347538</v>
      </c>
      <c r="AB153" s="100" t="n">
        <f aca="false">-AB$126</f>
        <v>-19294.1149750062</v>
      </c>
      <c r="AC153" s="140" t="n">
        <f aca="false">+AB153/AB$9</f>
        <v>-14.9915423271221</v>
      </c>
      <c r="AE153" s="100" t="n">
        <f aca="false">-AE132</f>
        <v>-0</v>
      </c>
      <c r="AF153" s="100" t="n">
        <f aca="false">-AF$126</f>
        <v>-20338.5075990342</v>
      </c>
      <c r="AG153" s="140" t="n">
        <f aca="false">+AF153/AF$9</f>
        <v>-13.1216178058285</v>
      </c>
      <c r="AI153" s="100" t="n">
        <f aca="false">AI$7*AJ153</f>
        <v>-2432870.42508276</v>
      </c>
      <c r="AJ153" s="100" t="n">
        <f aca="false">-AJ$126</f>
        <v>-18292.2588352087</v>
      </c>
      <c r="AK153" s="140" t="n">
        <f aca="false">+AJ153/AJ$9</f>
        <v>-15.1802977885549</v>
      </c>
    </row>
    <row r="154" customFormat="false" ht="12" hidden="true" customHeight="false" outlineLevel="0" collapsed="false">
      <c r="B154" s="100" t="s">
        <v>366</v>
      </c>
      <c r="S154" s="100" t="n">
        <f aca="false">S$7*T154</f>
        <v>-1955.21804511278</v>
      </c>
      <c r="T154" s="100" t="n">
        <f aca="false">X154</f>
        <v>-1955.21804511278</v>
      </c>
      <c r="U154" s="140" t="n">
        <f aca="false">+T154/T$9</f>
        <v>-0.960323204868753</v>
      </c>
      <c r="W154" s="100" t="n">
        <f aca="false">W$7*X154</f>
        <v>-140775.69924812</v>
      </c>
      <c r="X154" s="100" t="n">
        <f aca="false">AB154</f>
        <v>-1955.21804511278</v>
      </c>
      <c r="Y154" s="140" t="n">
        <f aca="false">+X154/X$9</f>
        <v>-1.76623129639818</v>
      </c>
      <c r="AA154" s="100" t="n">
        <f aca="false">AA$7*AB154</f>
        <v>-119268.30075188</v>
      </c>
      <c r="AB154" s="100" t="n">
        <f aca="false">AF154</f>
        <v>-1955.21804511278</v>
      </c>
      <c r="AC154" s="140" t="n">
        <f aca="false">+AB154/AB$9</f>
        <v>-1.51920594025857</v>
      </c>
      <c r="AE154" s="100" t="n">
        <f aca="false">AE$7*AF154</f>
        <v>-0</v>
      </c>
      <c r="AF154" s="100" t="n">
        <f aca="false">AJ154</f>
        <v>-1955.21804511278</v>
      </c>
      <c r="AG154" s="140" t="n">
        <f aca="false">+AF154/AF$9</f>
        <v>-1.26143099684696</v>
      </c>
      <c r="AI154" s="100" t="n">
        <f aca="false">(13095297-13355341)</f>
        <v>-260044</v>
      </c>
      <c r="AJ154" s="100" t="n">
        <f aca="false">AI154/SM134Units</f>
        <v>-1955.21804511278</v>
      </c>
      <c r="AK154" s="140" t="n">
        <f aca="false">+AJ154/AJ$9</f>
        <v>-1.62258758930521</v>
      </c>
    </row>
    <row r="155" customFormat="false" ht="12" hidden="true" customHeight="false" outlineLevel="0" collapsed="false">
      <c r="B155" s="100" t="s">
        <v>362</v>
      </c>
      <c r="S155" s="100" t="n">
        <f aca="false">S$7*T155</f>
        <v>-1955.21804511278</v>
      </c>
      <c r="T155" s="100" t="n">
        <f aca="false">+T153+T152+T154</f>
        <v>-1955.21804511278</v>
      </c>
      <c r="U155" s="34" t="n">
        <f aca="false">+T155/T$9</f>
        <v>-0.960323204868753</v>
      </c>
      <c r="W155" s="100" t="n">
        <f aca="false">W$7*X155</f>
        <v>-281477.647128537</v>
      </c>
      <c r="X155" s="100" t="n">
        <f aca="false">+X153+X152+X154</f>
        <v>-3909.41176567412</v>
      </c>
      <c r="Y155" s="34" t="n">
        <f aca="false">+X155/X$9</f>
        <v>-3.53153727703173</v>
      </c>
      <c r="AA155" s="100" t="n">
        <f aca="false">AA$7*AB155</f>
        <v>-1559820.19353782</v>
      </c>
      <c r="AB155" s="100" t="n">
        <f aca="false">+AB153+AB152+AB154</f>
        <v>-25570.8228448823</v>
      </c>
      <c r="AC155" s="34" t="n">
        <f aca="false">+AB155/AB$9</f>
        <v>-19.8685492190228</v>
      </c>
      <c r="AE155" s="100" t="n">
        <f aca="false">AE$7*AF155</f>
        <v>0</v>
      </c>
      <c r="AF155" s="100" t="n">
        <f aca="false">+AF153+AF152+AF154</f>
        <v>12704.9737243291</v>
      </c>
      <c r="AG155" s="34" t="n">
        <f aca="false">+AF155/AF$9</f>
        <v>8.19675724150267</v>
      </c>
      <c r="AI155" s="100" t="n">
        <f aca="false">AI$7*AJ155</f>
        <v>1553685.96254138</v>
      </c>
      <c r="AJ155" s="100" t="n">
        <f aca="false">+AJ153+AJ152+AJ154</f>
        <v>11681.8493424164</v>
      </c>
      <c r="AK155" s="34" t="n">
        <f aca="false">+AJ155/AJ$9</f>
        <v>9.69448078208828</v>
      </c>
    </row>
    <row r="156" customFormat="false" ht="12.75" hidden="false" customHeight="false" outlineLevel="0" collapsed="false">
      <c r="B156" s="100" t="s">
        <v>367</v>
      </c>
      <c r="W156" s="188" t="n">
        <f aca="false">+W92</f>
        <v>607219.84962406</v>
      </c>
      <c r="X156" s="188" t="n">
        <f aca="false">+W156/W$7</f>
        <v>8433.60902255639</v>
      </c>
      <c r="Y156" s="189" t="n">
        <f aca="false">+X156/X$9</f>
        <v>7.61843633473929</v>
      </c>
      <c r="Z156" s="190"/>
      <c r="AA156" s="188" t="n">
        <f aca="false">+AA92</f>
        <v>514450.15037594</v>
      </c>
      <c r="AB156" s="188" t="n">
        <f aca="false">+AA156/AA$7</f>
        <v>8433.60902255639</v>
      </c>
      <c r="AC156" s="189" t="n">
        <f aca="false">+AB156/AB$9</f>
        <v>6.55292076344708</v>
      </c>
      <c r="AD156" s="190"/>
      <c r="AE156" s="190"/>
      <c r="AF156" s="190"/>
      <c r="AG156" s="190"/>
      <c r="AH156" s="190"/>
      <c r="AI156" s="188" t="n">
        <f aca="false">+AA156+W156</f>
        <v>1121670</v>
      </c>
      <c r="AJ156" s="188" t="n">
        <f aca="false">+AI156/AI$7</f>
        <v>8433.60902255639</v>
      </c>
      <c r="AK156" s="189" t="n">
        <f aca="false">+AJ156/AJ$9</f>
        <v>6.99884566187253</v>
      </c>
      <c r="AL156" s="35" t="n">
        <f aca="false">+AI156/AI$169</f>
        <v>0.0798813764059623</v>
      </c>
    </row>
    <row r="157" customFormat="false" ht="12.75" hidden="false" customHeight="false" outlineLevel="0" collapsed="false">
      <c r="B157" s="100" t="s">
        <v>368</v>
      </c>
      <c r="W157" s="100" t="n">
        <f aca="false">+W110</f>
        <v>339444.763550668</v>
      </c>
      <c r="X157" s="100" t="n">
        <f aca="false">+W157/W$7</f>
        <v>4714.51060487039</v>
      </c>
      <c r="Y157" s="34" t="n">
        <f aca="false">+X157/X$9</f>
        <v>4.25881716790459</v>
      </c>
      <c r="AA157" s="100" t="n">
        <f aca="false">+AA110</f>
        <v>287585.146897094</v>
      </c>
      <c r="AB157" s="100" t="n">
        <f aca="false">+AA157/AA$7</f>
        <v>4714.51060487039</v>
      </c>
      <c r="AC157" s="34" t="n">
        <f aca="false">+AB157/AB$9</f>
        <v>3.66317840316269</v>
      </c>
      <c r="AI157" s="100" t="n">
        <f aca="false">+AA157+W157</f>
        <v>627029.910447761</v>
      </c>
      <c r="AJ157" s="100" t="n">
        <f aca="false">+AI157/AI$7</f>
        <v>4714.51060487039</v>
      </c>
      <c r="AK157" s="34" t="n">
        <f aca="false">+AJ157/AJ$9</f>
        <v>3.91245693350239</v>
      </c>
      <c r="AL157" s="35" t="n">
        <f aca="false">+AI157/AI$169</f>
        <v>0.0446548559685776</v>
      </c>
    </row>
    <row r="158" customFormat="false" ht="12.75" hidden="false" customHeight="false" outlineLevel="0" collapsed="false">
      <c r="Y158" s="34"/>
      <c r="AC158" s="191"/>
      <c r="AK158" s="34"/>
      <c r="AL158" s="35"/>
    </row>
    <row r="159" customFormat="false" ht="12.75" hidden="false" customHeight="false" outlineLevel="0" collapsed="false">
      <c r="B159" s="192" t="s">
        <v>369</v>
      </c>
      <c r="W159" s="193" t="n">
        <f aca="false">+W157+W156</f>
        <v>946664.613174728</v>
      </c>
      <c r="X159" s="193" t="n">
        <f aca="false">+W159/W$7</f>
        <v>13148.1196274268</v>
      </c>
      <c r="Y159" s="191" t="n">
        <f aca="false">+X159/X$9</f>
        <v>11.8772535026439</v>
      </c>
      <c r="Z159" s="110"/>
      <c r="AA159" s="193" t="n">
        <f aca="false">+AA157+AA156</f>
        <v>802035.297273034</v>
      </c>
      <c r="AB159" s="193" t="n">
        <f aca="false">+AA159/AA$7</f>
        <v>13148.1196274268</v>
      </c>
      <c r="AC159" s="191" t="n">
        <f aca="false">+AB159/AB$9</f>
        <v>10.2160991666098</v>
      </c>
      <c r="AD159" s="110"/>
      <c r="AE159" s="110"/>
      <c r="AF159" s="110"/>
      <c r="AG159" s="110"/>
      <c r="AH159" s="110"/>
      <c r="AI159" s="193" t="n">
        <f aca="false">+AA159+W159</f>
        <v>1748699.91044776</v>
      </c>
      <c r="AJ159" s="193" t="n">
        <f aca="false">+AI159/AI$7</f>
        <v>13148.1196274268</v>
      </c>
      <c r="AK159" s="191" t="n">
        <f aca="false">+AJ159/AJ$9</f>
        <v>10.9113025953749</v>
      </c>
      <c r="AL159" s="194" t="n">
        <f aca="false">+AI159/AI$169</f>
        <v>0.12453623237454</v>
      </c>
    </row>
    <row r="160" customFormat="false" ht="12" hidden="false" customHeight="false" outlineLevel="0" collapsed="false">
      <c r="AA160" s="193"/>
      <c r="AB160" s="193"/>
      <c r="AK160" s="34"/>
    </row>
    <row r="161" customFormat="false" ht="12.75" hidden="false" customHeight="false" outlineLevel="0" collapsed="false">
      <c r="B161" s="100" t="s">
        <v>370</v>
      </c>
      <c r="W161" s="100" t="n">
        <f aca="false">+W123</f>
        <v>409722.390451472</v>
      </c>
      <c r="X161" s="100" t="n">
        <f aca="false">+W161/W$7</f>
        <v>5690.58875627045</v>
      </c>
      <c r="Y161" s="34" t="n">
        <f aca="false">+X161/X$9</f>
        <v>5.14054991533013</v>
      </c>
      <c r="AA161" s="100" t="n">
        <f aca="false">+AA123</f>
        <v>347125.914132498</v>
      </c>
      <c r="AB161" s="100" t="n">
        <f aca="false">+AA161/AA$7</f>
        <v>5690.58875627045</v>
      </c>
      <c r="AC161" s="34" t="n">
        <f aca="false">+AB161/AB$9</f>
        <v>4.42159188521403</v>
      </c>
      <c r="AI161" s="100" t="n">
        <f aca="false">+AA161+W161</f>
        <v>756848.30458397</v>
      </c>
      <c r="AJ161" s="100" t="n">
        <f aca="false">+AI161/AI$7</f>
        <v>5690.58875627045</v>
      </c>
      <c r="AK161" s="34" t="n">
        <f aca="false">+AJ161/AJ$9</f>
        <v>4.72248029566013</v>
      </c>
      <c r="AL161" s="35" t="n">
        <f aca="false">+AI161/AI$169</f>
        <v>0.053900063566545</v>
      </c>
    </row>
    <row r="162" customFormat="false" ht="12.75" hidden="false" customHeight="false" outlineLevel="0" collapsed="false">
      <c r="B162" s="100" t="s">
        <v>371</v>
      </c>
      <c r="W162" s="100" t="n">
        <f aca="false">+W90</f>
        <v>4183639.55650262</v>
      </c>
      <c r="X162" s="100" t="n">
        <f aca="false">+W162/W$7</f>
        <v>58106.1049514253</v>
      </c>
      <c r="Y162" s="34" t="n">
        <f aca="false">+X162/X$9</f>
        <v>52.4897063698512</v>
      </c>
      <c r="AA162" s="100" t="n">
        <f aca="false">+AA90</f>
        <v>4073052.99287191</v>
      </c>
      <c r="AB162" s="100" t="n">
        <f aca="false">+AA162/AA$7</f>
        <v>66771.3605388838</v>
      </c>
      <c r="AC162" s="34" t="n">
        <f aca="false">+AB162/AB$9</f>
        <v>51.8813990201117</v>
      </c>
      <c r="AI162" s="100" t="n">
        <f aca="false">+AA162+W162</f>
        <v>8256692.54937454</v>
      </c>
      <c r="AJ162" s="100" t="n">
        <f aca="false">+AI162/AI$7</f>
        <v>62080.3951080792</v>
      </c>
      <c r="AK162" s="34" t="n">
        <f aca="false">+AJ162/AJ$9</f>
        <v>51.5190000896923</v>
      </c>
      <c r="AL162" s="35" t="n">
        <f aca="false">+AI162/AI$169</f>
        <v>0.588012486207968</v>
      </c>
    </row>
    <row r="163" customFormat="false" ht="12.75" hidden="false" customHeight="false" outlineLevel="0" collapsed="false">
      <c r="B163" s="100" t="s">
        <v>372</v>
      </c>
      <c r="W163" s="100" t="n">
        <f aca="false">+W126</f>
        <v>1233201.67762619</v>
      </c>
      <c r="X163" s="100" t="n">
        <f aca="false">+W163/W$7</f>
        <v>17127.8010781415</v>
      </c>
      <c r="Y163" s="34" t="n">
        <f aca="false">+X163/X$9</f>
        <v>15.4722683632715</v>
      </c>
      <c r="AA163" s="100" t="n">
        <f aca="false">+AA126</f>
        <v>1176941.01347538</v>
      </c>
      <c r="AB163" s="100" t="n">
        <f aca="false">+AA163/AA$7</f>
        <v>19294.1149750062</v>
      </c>
      <c r="AC163" s="34" t="n">
        <f aca="false">+AB163/AB$9</f>
        <v>14.9915423271221</v>
      </c>
      <c r="AI163" s="100" t="n">
        <f aca="false">+AA163+W163</f>
        <v>2410142.69110157</v>
      </c>
      <c r="AJ163" s="100" t="n">
        <f aca="false">+AI163/AI$7</f>
        <v>18121.373617305</v>
      </c>
      <c r="AK163" s="34" t="n">
        <f aca="false">+AJ163/AJ$9</f>
        <v>15.0384843297137</v>
      </c>
      <c r="AL163" s="35" t="n">
        <f aca="false">+AI163/AI$169</f>
        <v>0.171641851435773</v>
      </c>
    </row>
    <row r="164" customFormat="false" ht="12.75" hidden="false" customHeight="false" outlineLevel="0" collapsed="false">
      <c r="Y164" s="34"/>
      <c r="AC164" s="34"/>
      <c r="AK164" s="34"/>
      <c r="AL164" s="35"/>
    </row>
    <row r="165" customFormat="false" ht="12.75" hidden="false" customHeight="false" outlineLevel="0" collapsed="false">
      <c r="B165" s="192" t="s">
        <v>343</v>
      </c>
      <c r="W165" s="193" t="n">
        <f aca="false">SUM(W159:W163)</f>
        <v>6773228.23775502</v>
      </c>
      <c r="X165" s="193" t="n">
        <f aca="false">+W165/W$7</f>
        <v>94072.6144132641</v>
      </c>
      <c r="Y165" s="191" t="n">
        <f aca="false">+X165/X$9</f>
        <v>84.9797781510967</v>
      </c>
      <c r="Z165" s="110"/>
      <c r="AA165" s="193" t="n">
        <f aca="false">SUM(AA159:AA163)</f>
        <v>6399155.21775282</v>
      </c>
      <c r="AB165" s="193" t="n">
        <f aca="false">+AA165/AA$7</f>
        <v>104904.183897587</v>
      </c>
      <c r="AC165" s="191" t="n">
        <f aca="false">+AB165/AB$9</f>
        <v>81.5106323990576</v>
      </c>
      <c r="AD165" s="110"/>
      <c r="AE165" s="110"/>
      <c r="AF165" s="110"/>
      <c r="AG165" s="110"/>
      <c r="AH165" s="110"/>
      <c r="AI165" s="193" t="n">
        <f aca="false">+AA165+W165</f>
        <v>13172383.4555078</v>
      </c>
      <c r="AJ165" s="193" t="n">
        <f aca="false">+AI165/AI$7</f>
        <v>99040.4771090815</v>
      </c>
      <c r="AK165" s="191" t="n">
        <f aca="false">+AJ165/AJ$9</f>
        <v>82.1912673104411</v>
      </c>
      <c r="AL165" s="194" t="n">
        <f aca="false">+AI165/AI$169</f>
        <v>0.938090633584826</v>
      </c>
    </row>
    <row r="166" customFormat="false" ht="12" hidden="false" customHeight="false" outlineLevel="0" collapsed="false">
      <c r="AK166" s="34"/>
    </row>
    <row r="167" customFormat="false" ht="12.75" hidden="false" customHeight="false" outlineLevel="0" collapsed="false">
      <c r="B167" s="100" t="s">
        <v>373</v>
      </c>
      <c r="W167" s="100" t="n">
        <f aca="false">+W134</f>
        <v>470605.263157895</v>
      </c>
      <c r="X167" s="100" t="n">
        <f aca="false">+W167/W$7</f>
        <v>6536.18421052632</v>
      </c>
      <c r="Y167" s="34" t="n">
        <f aca="false">+X167/X$9</f>
        <v>5.90441211429658</v>
      </c>
      <c r="AA167" s="100" t="n">
        <f aca="false">+AA134</f>
        <v>398707.236842105</v>
      </c>
      <c r="AB167" s="100" t="n">
        <f aca="false">+AA167/AA$7</f>
        <v>6536.18421052632</v>
      </c>
      <c r="AC167" s="34" t="n">
        <f aca="false">+AB167/AB$9</f>
        <v>5.07862021019916</v>
      </c>
      <c r="AI167" s="100" t="n">
        <f aca="false">+AA167+W167</f>
        <v>869312.5</v>
      </c>
      <c r="AJ167" s="100" t="n">
        <f aca="false">+AI167/AI$7</f>
        <v>6536.18421052632</v>
      </c>
      <c r="AK167" s="34" t="n">
        <f aca="false">+AJ167/AJ$9</f>
        <v>5.42421926184757</v>
      </c>
      <c r="AL167" s="35" t="n">
        <f aca="false">+AI167/AI$169</f>
        <v>0.0619093664151739</v>
      </c>
    </row>
    <row r="168" customFormat="false" ht="12" hidden="false" customHeight="false" outlineLevel="0" collapsed="false">
      <c r="Y168" s="34"/>
      <c r="AC168" s="34"/>
      <c r="AK168" s="34"/>
    </row>
    <row r="169" customFormat="false" ht="12.75" hidden="false" customHeight="false" outlineLevel="0" collapsed="false">
      <c r="B169" s="192" t="s">
        <v>350</v>
      </c>
      <c r="W169" s="193" t="n">
        <f aca="false">+W167+W165</f>
        <v>7243833.50091291</v>
      </c>
      <c r="X169" s="193" t="n">
        <f aca="false">+W169/W$7</f>
        <v>100608.79862379</v>
      </c>
      <c r="Y169" s="191" t="n">
        <f aca="false">+X169/X$9</f>
        <v>90.8841902653933</v>
      </c>
      <c r="Z169" s="110"/>
      <c r="AA169" s="193" t="n">
        <f aca="false">+AA167+AA165</f>
        <v>6797862.45459492</v>
      </c>
      <c r="AB169" s="193" t="n">
        <f aca="false">+AA169/AA$7</f>
        <v>111440.368108114</v>
      </c>
      <c r="AC169" s="191" t="n">
        <f aca="false">+AB169/AB$9</f>
        <v>86.5892526092568</v>
      </c>
      <c r="AD169" s="110"/>
      <c r="AE169" s="110"/>
      <c r="AF169" s="110"/>
      <c r="AG169" s="110"/>
      <c r="AH169" s="110"/>
      <c r="AI169" s="193" t="n">
        <f aca="false">+AA169+W169</f>
        <v>14041695.9555078</v>
      </c>
      <c r="AJ169" s="193" t="n">
        <f aca="false">+AI169/AI$7</f>
        <v>105576.661319608</v>
      </c>
      <c r="AK169" s="191" t="n">
        <f aca="false">+AJ169/AJ$9</f>
        <v>87.6154865722886</v>
      </c>
      <c r="AL169" s="194" t="n">
        <f aca="false">+AI169/AI$169</f>
        <v>1</v>
      </c>
    </row>
    <row r="170" customFormat="false" ht="12" hidden="false" customHeight="false" outlineLevel="0" collapsed="false">
      <c r="AK170" s="34"/>
    </row>
    <row r="171" customFormat="false" ht="12" hidden="false" customHeight="false" outlineLevel="0" collapsed="false">
      <c r="AK171" s="34"/>
    </row>
  </sheetData>
  <mergeCells count="5">
    <mergeCell ref="S5:U5"/>
    <mergeCell ref="W5:Y5"/>
    <mergeCell ref="AA5:AC5"/>
    <mergeCell ref="AE5:AG5"/>
    <mergeCell ref="AI5:AK5"/>
  </mergeCells>
  <printOptions headings="false" gridLines="false" gridLinesSet="true" horizontalCentered="true" verticalCentered="false"/>
  <pageMargins left="0.7" right="0.7" top="2.15" bottom="0.984027777777778" header="1.32013888888889" footer="0.5"/>
  <pageSetup paperSize="5" scale="100" fitToWidth="1" fitToHeight="4" pageOrder="downThenOver" orientation="landscape" blackAndWhite="false" draft="false" cellComments="none" horizontalDpi="300" verticalDpi="300" copies="1"/>
  <headerFooter differentFirst="false" differentOddEven="false">
    <oddHeader>&amp;C&amp;"Arial,Bold"&amp;11&amp;UProject Construction Cost Summary</oddHeader>
    <oddFooter>&amp;L&amp;8 F:\My Documents\CREEKSIDE\SM134\ &amp;F
 &amp;A&amp;C&amp;8 &amp;R&amp;8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O5" activePane="bottomRight" state="frozen"/>
      <selection pane="topLeft" activeCell="A1" activeCellId="0" sqref="A1"/>
      <selection pane="topRight" activeCell="O1" activeCellId="0" sqref="O1"/>
      <selection pane="bottomLeft" activeCell="A5" activeCellId="0" sqref="A5"/>
      <selection pane="bottomRight" activeCell="W9" activeCellId="0" sqref="W9"/>
    </sheetView>
  </sheetViews>
  <sheetFormatPr defaultColWidth="9.1328125" defaultRowHeight="12.75" customHeight="true" zeroHeight="false" outlineLevelRow="0" outlineLevelCol="0"/>
  <cols>
    <col collapsed="false" customWidth="true" hidden="false" outlineLevel="0" max="1" min="1" style="195" width="15.7"/>
    <col collapsed="false" customWidth="false" hidden="false" outlineLevel="0" max="3" min="2" style="195" width="9.13"/>
    <col collapsed="false" customWidth="true" hidden="false" outlineLevel="0" max="4" min="4" style="195" width="0.85"/>
    <col collapsed="false" customWidth="false" hidden="false" outlineLevel="0" max="8" min="5" style="195" width="9.13"/>
    <col collapsed="false" customWidth="true" hidden="false" outlineLevel="0" max="9" min="9" style="195" width="0.85"/>
    <col collapsed="false" customWidth="false" hidden="false" outlineLevel="0" max="13" min="10" style="195" width="9.13"/>
    <col collapsed="false" customWidth="true" hidden="false" outlineLevel="0" max="14" min="14" style="195" width="0.85"/>
    <col collapsed="false" customWidth="false" hidden="false" outlineLevel="0" max="15" min="15" style="195" width="9.13"/>
    <col collapsed="false" customWidth="true" hidden="false" outlineLevel="0" max="16" min="16" style="195" width="9.99"/>
    <col collapsed="false" customWidth="true" hidden="false" outlineLevel="0" max="18" min="17" style="195" width="9.28"/>
    <col collapsed="false" customWidth="true" hidden="false" outlineLevel="0" max="19" min="19" style="195" width="0.85"/>
    <col collapsed="false" customWidth="false" hidden="false" outlineLevel="0" max="20" min="20" style="195" width="9.13"/>
    <col collapsed="false" customWidth="true" hidden="false" outlineLevel="0" max="21" min="21" style="195" width="9.99"/>
    <col collapsed="false" customWidth="true" hidden="false" outlineLevel="0" max="23" min="22" style="195" width="9.28"/>
    <col collapsed="false" customWidth="true" hidden="false" outlineLevel="0" max="24" min="24" style="195" width="0.85"/>
    <col collapsed="false" customWidth="true" hidden="false" outlineLevel="0" max="25" min="25" style="195" width="7.42"/>
    <col collapsed="false" customWidth="true" hidden="false" outlineLevel="0" max="26" min="26" style="195" width="9.99"/>
    <col collapsed="false" customWidth="true" hidden="false" outlineLevel="0" max="28" min="27" style="195" width="9.28"/>
    <col collapsed="false" customWidth="true" hidden="false" outlineLevel="0" max="29" min="29" style="195" width="0.85"/>
    <col collapsed="false" customWidth="false" hidden="false" outlineLevel="0" max="30" min="30" style="195" width="9.13"/>
    <col collapsed="false" customWidth="true" hidden="false" outlineLevel="0" max="31" min="31" style="195" width="9.99"/>
    <col collapsed="false" customWidth="true" hidden="false" outlineLevel="0" max="33" min="32" style="195" width="9.28"/>
    <col collapsed="false" customWidth="true" hidden="false" outlineLevel="0" max="34" min="34" style="195" width="0.85"/>
    <col collapsed="false" customWidth="false" hidden="false" outlineLevel="0" max="35" min="35" style="195" width="9.13"/>
    <col collapsed="false" customWidth="true" hidden="false" outlineLevel="0" max="36" min="36" style="195" width="9.99"/>
    <col collapsed="false" customWidth="true" hidden="false" outlineLevel="0" max="38" min="37" style="195" width="9.28"/>
    <col collapsed="false" customWidth="true" hidden="false" outlineLevel="0" max="39" min="39" style="195" width="0.85"/>
    <col collapsed="false" customWidth="false" hidden="false" outlineLevel="0" max="40" min="40" style="195" width="9.13"/>
    <col collapsed="false" customWidth="true" hidden="false" outlineLevel="0" max="41" min="41" style="195" width="9.99"/>
    <col collapsed="false" customWidth="true" hidden="false" outlineLevel="0" max="43" min="42" style="195" width="9.28"/>
    <col collapsed="false" customWidth="true" hidden="false" outlineLevel="0" max="44" min="44" style="195" width="0.85"/>
    <col collapsed="false" customWidth="false" hidden="false" outlineLevel="0" max="45" min="45" style="195" width="9.13"/>
    <col collapsed="false" customWidth="true" hidden="false" outlineLevel="0" max="46" min="46" style="195" width="9.99"/>
    <col collapsed="false" customWidth="true" hidden="false" outlineLevel="0" max="48" min="47" style="195" width="9.28"/>
    <col collapsed="false" customWidth="true" hidden="false" outlineLevel="0" max="49" min="49" style="195" width="0.85"/>
    <col collapsed="false" customWidth="false" hidden="false" outlineLevel="0" max="257" min="50" style="195" width="9.13"/>
  </cols>
  <sheetData>
    <row r="1" customFormat="false" ht="12.75" hidden="false" customHeight="false" outlineLevel="0" collapsed="false">
      <c r="E1" s="196" t="s">
        <v>5</v>
      </c>
      <c r="F1" s="196"/>
      <c r="G1" s="196"/>
      <c r="H1" s="196"/>
      <c r="I1" s="196"/>
      <c r="J1" s="196"/>
      <c r="K1" s="196"/>
      <c r="L1" s="196"/>
      <c r="M1" s="196"/>
      <c r="O1" s="197"/>
      <c r="P1" s="196" t="s">
        <v>374</v>
      </c>
      <c r="Q1" s="196"/>
      <c r="R1" s="196"/>
      <c r="S1" s="196"/>
      <c r="T1" s="196"/>
      <c r="U1" s="196"/>
      <c r="V1" s="196"/>
      <c r="W1" s="196"/>
      <c r="Y1" s="196" t="s">
        <v>375</v>
      </c>
      <c r="Z1" s="196"/>
      <c r="AA1" s="196"/>
      <c r="AB1" s="196"/>
      <c r="AC1" s="196"/>
      <c r="AD1" s="196"/>
      <c r="AE1" s="196"/>
      <c r="AF1" s="196"/>
      <c r="AG1" s="196"/>
      <c r="AI1" s="198"/>
      <c r="AJ1" s="197"/>
      <c r="AK1" s="197"/>
      <c r="AL1" s="197"/>
      <c r="AM1" s="197"/>
      <c r="AN1" s="197"/>
      <c r="AO1" s="197"/>
      <c r="AP1" s="197"/>
      <c r="AQ1" s="197"/>
      <c r="AR1" s="197"/>
      <c r="AS1" s="197"/>
      <c r="AT1" s="197"/>
      <c r="AU1" s="197"/>
      <c r="AV1" s="197"/>
    </row>
    <row r="2" customFormat="false" ht="12.75" hidden="false" customHeight="false" outlineLevel="0" collapsed="false">
      <c r="E2" s="199" t="s">
        <v>376</v>
      </c>
      <c r="F2" s="199"/>
      <c r="G2" s="199"/>
      <c r="H2" s="199"/>
      <c r="I2" s="196"/>
      <c r="J2" s="199" t="s">
        <v>377</v>
      </c>
      <c r="K2" s="199"/>
      <c r="L2" s="199"/>
      <c r="M2" s="199"/>
      <c r="O2" s="199" t="s">
        <v>378</v>
      </c>
      <c r="P2" s="199"/>
      <c r="Q2" s="199"/>
      <c r="R2" s="199"/>
      <c r="S2" s="196"/>
      <c r="T2" s="199" t="s">
        <v>379</v>
      </c>
      <c r="U2" s="199"/>
      <c r="V2" s="199"/>
      <c r="W2" s="199"/>
      <c r="X2" s="196"/>
      <c r="Y2" s="199" t="s">
        <v>379</v>
      </c>
      <c r="Z2" s="199"/>
      <c r="AA2" s="199"/>
      <c r="AB2" s="199"/>
      <c r="AD2" s="199" t="s">
        <v>380</v>
      </c>
      <c r="AE2" s="199"/>
      <c r="AF2" s="199"/>
      <c r="AG2" s="199"/>
      <c r="AI2" s="199" t="s">
        <v>381</v>
      </c>
      <c r="AJ2" s="199"/>
      <c r="AK2" s="199"/>
      <c r="AL2" s="199"/>
      <c r="AN2" s="199" t="s">
        <v>382</v>
      </c>
      <c r="AO2" s="199"/>
      <c r="AP2" s="199"/>
      <c r="AQ2" s="199"/>
      <c r="AS2" s="199" t="s">
        <v>383</v>
      </c>
      <c r="AT2" s="199"/>
      <c r="AU2" s="199"/>
      <c r="AV2" s="199"/>
    </row>
    <row r="3" customFormat="false" ht="12.75" hidden="false" customHeight="false" outlineLevel="0" collapsed="false">
      <c r="B3" s="195" t="s">
        <v>384</v>
      </c>
      <c r="C3" s="195" t="s">
        <v>385</v>
      </c>
      <c r="E3" s="195" t="s">
        <v>386</v>
      </c>
      <c r="F3" s="195" t="s">
        <v>270</v>
      </c>
      <c r="G3" s="195" t="s">
        <v>387</v>
      </c>
      <c r="H3" s="195" t="s">
        <v>388</v>
      </c>
      <c r="J3" s="195" t="s">
        <v>386</v>
      </c>
      <c r="K3" s="195" t="s">
        <v>270</v>
      </c>
      <c r="L3" s="195" t="s">
        <v>387</v>
      </c>
      <c r="M3" s="195" t="s">
        <v>388</v>
      </c>
      <c r="O3" s="195" t="s">
        <v>386</v>
      </c>
      <c r="P3" s="195" t="s">
        <v>270</v>
      </c>
      <c r="Q3" s="195" t="s">
        <v>387</v>
      </c>
      <c r="R3" s="195" t="s">
        <v>388</v>
      </c>
      <c r="T3" s="195" t="s">
        <v>386</v>
      </c>
      <c r="U3" s="195" t="s">
        <v>270</v>
      </c>
      <c r="V3" s="195" t="s">
        <v>387</v>
      </c>
      <c r="W3" s="195" t="s">
        <v>388</v>
      </c>
      <c r="Y3" s="195" t="s">
        <v>386</v>
      </c>
      <c r="Z3" s="195" t="s">
        <v>270</v>
      </c>
      <c r="AA3" s="195" t="s">
        <v>387</v>
      </c>
      <c r="AB3" s="195" t="s">
        <v>388</v>
      </c>
      <c r="AD3" s="195" t="s">
        <v>386</v>
      </c>
      <c r="AE3" s="195" t="s">
        <v>270</v>
      </c>
      <c r="AF3" s="195" t="s">
        <v>387</v>
      </c>
      <c r="AG3" s="195" t="s">
        <v>388</v>
      </c>
      <c r="AI3" s="195" t="s">
        <v>386</v>
      </c>
      <c r="AJ3" s="195" t="s">
        <v>270</v>
      </c>
      <c r="AK3" s="195" t="s">
        <v>387</v>
      </c>
      <c r="AL3" s="195" t="s">
        <v>388</v>
      </c>
      <c r="AN3" s="195" t="s">
        <v>386</v>
      </c>
      <c r="AO3" s="195" t="s">
        <v>270</v>
      </c>
      <c r="AP3" s="195" t="s">
        <v>387</v>
      </c>
      <c r="AQ3" s="195" t="s">
        <v>388</v>
      </c>
      <c r="AS3" s="195" t="s">
        <v>386</v>
      </c>
      <c r="AT3" s="195" t="s">
        <v>270</v>
      </c>
      <c r="AU3" s="195" t="s">
        <v>387</v>
      </c>
      <c r="AV3" s="195" t="s">
        <v>388</v>
      </c>
    </row>
    <row r="5" customFormat="false" ht="12.75" hidden="false" customHeight="false" outlineLevel="0" collapsed="false">
      <c r="A5" s="200" t="s">
        <v>389</v>
      </c>
      <c r="B5" s="201" t="n">
        <v>173</v>
      </c>
      <c r="C5" s="201" t="n">
        <v>1</v>
      </c>
      <c r="D5" s="201"/>
      <c r="E5" s="201" t="n">
        <v>477</v>
      </c>
      <c r="F5" s="202" t="n">
        <v>650</v>
      </c>
      <c r="G5" s="203" t="n">
        <v>1.36</v>
      </c>
      <c r="H5" s="202" t="n">
        <v>650</v>
      </c>
      <c r="I5" s="204"/>
      <c r="J5" s="204"/>
      <c r="K5" s="202"/>
      <c r="L5" s="204"/>
      <c r="M5" s="202"/>
      <c r="N5" s="201"/>
      <c r="O5" s="201"/>
      <c r="P5" s="202"/>
      <c r="Q5" s="205"/>
      <c r="R5" s="202"/>
      <c r="S5" s="204"/>
      <c r="T5" s="201" t="n">
        <v>800</v>
      </c>
      <c r="U5" s="202" t="n">
        <v>1000</v>
      </c>
      <c r="V5" s="203" t="n">
        <v>1.25</v>
      </c>
      <c r="W5" s="202" t="n">
        <v>500</v>
      </c>
      <c r="X5" s="204"/>
      <c r="Y5" s="201"/>
      <c r="Z5" s="202"/>
      <c r="AA5" s="201"/>
      <c r="AB5" s="202"/>
      <c r="AC5" s="201"/>
      <c r="AD5" s="201" t="n">
        <v>944</v>
      </c>
      <c r="AE5" s="202" t="n">
        <v>1374</v>
      </c>
      <c r="AF5" s="203" t="n">
        <v>1.46</v>
      </c>
      <c r="AG5" s="202" t="n">
        <v>458</v>
      </c>
      <c r="AH5" s="201"/>
      <c r="AI5" s="201" t="n">
        <v>1100</v>
      </c>
      <c r="AJ5" s="202" t="n">
        <v>1600</v>
      </c>
      <c r="AK5" s="203" t="n">
        <v>1.45</v>
      </c>
      <c r="AL5" s="202" t="n">
        <v>400</v>
      </c>
      <c r="AM5" s="201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1"/>
      <c r="AY5" s="201"/>
      <c r="AZ5" s="201"/>
      <c r="BA5" s="201"/>
      <c r="BB5" s="207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  <c r="FS5" s="206"/>
      <c r="FT5" s="206"/>
      <c r="FU5" s="206"/>
      <c r="FV5" s="206"/>
      <c r="FW5" s="206"/>
      <c r="FX5" s="206"/>
      <c r="FY5" s="206"/>
      <c r="FZ5" s="206"/>
      <c r="GA5" s="206"/>
      <c r="GB5" s="206"/>
      <c r="GC5" s="206"/>
      <c r="GD5" s="206"/>
      <c r="GE5" s="206"/>
      <c r="GF5" s="206"/>
      <c r="GG5" s="206"/>
      <c r="GH5" s="206"/>
      <c r="GI5" s="206"/>
      <c r="GJ5" s="206"/>
      <c r="GK5" s="206"/>
      <c r="GL5" s="206"/>
      <c r="GM5" s="206"/>
      <c r="GN5" s="206"/>
      <c r="GO5" s="206"/>
      <c r="GP5" s="206"/>
      <c r="GQ5" s="206"/>
      <c r="GR5" s="206"/>
      <c r="GS5" s="206"/>
      <c r="GT5" s="206"/>
      <c r="GU5" s="206"/>
      <c r="GV5" s="206"/>
      <c r="GW5" s="206"/>
      <c r="GX5" s="206"/>
      <c r="GY5" s="206"/>
      <c r="GZ5" s="206"/>
      <c r="HA5" s="206"/>
      <c r="HB5" s="206"/>
      <c r="HC5" s="206"/>
      <c r="HD5" s="206"/>
      <c r="HE5" s="206"/>
      <c r="HF5" s="206"/>
      <c r="HG5" s="206"/>
      <c r="HH5" s="206"/>
      <c r="HI5" s="206"/>
      <c r="HJ5" s="206"/>
      <c r="HK5" s="206"/>
      <c r="HL5" s="206"/>
      <c r="HM5" s="206"/>
      <c r="HN5" s="206"/>
      <c r="HO5" s="206"/>
      <c r="HP5" s="206"/>
      <c r="HQ5" s="206"/>
      <c r="HR5" s="206"/>
      <c r="HS5" s="206"/>
      <c r="HT5" s="206"/>
      <c r="HU5" s="206"/>
      <c r="HV5" s="206"/>
      <c r="HW5" s="206"/>
      <c r="HX5" s="206"/>
      <c r="HY5" s="206"/>
      <c r="HZ5" s="206"/>
      <c r="IA5" s="206"/>
      <c r="IB5" s="206"/>
      <c r="IC5" s="206"/>
      <c r="ID5" s="206"/>
      <c r="IE5" s="206"/>
      <c r="IF5" s="206"/>
      <c r="IG5" s="206"/>
      <c r="IH5" s="206"/>
      <c r="II5" s="206"/>
      <c r="IJ5" s="206"/>
      <c r="IK5" s="206"/>
      <c r="IL5" s="206"/>
      <c r="IM5" s="206"/>
      <c r="IN5" s="206"/>
      <c r="IO5" s="206"/>
      <c r="IP5" s="206"/>
      <c r="IQ5" s="206"/>
      <c r="IR5" s="206"/>
      <c r="IS5" s="206"/>
      <c r="IT5" s="206"/>
      <c r="IU5" s="206"/>
      <c r="IV5" s="206"/>
      <c r="IW5" s="206"/>
    </row>
    <row r="6" customFormat="false" ht="12.75" hidden="false" customHeight="false" outlineLevel="0" collapsed="false">
      <c r="A6" s="208" t="s">
        <v>390</v>
      </c>
      <c r="B6" s="209" t="n">
        <v>152</v>
      </c>
      <c r="C6" s="209" t="n">
        <v>3</v>
      </c>
      <c r="D6" s="209"/>
      <c r="E6" s="209" t="n">
        <v>689</v>
      </c>
      <c r="F6" s="210" t="n">
        <v>705</v>
      </c>
      <c r="G6" s="211" t="n">
        <v>1.02</v>
      </c>
      <c r="H6" s="210" t="n">
        <v>705</v>
      </c>
      <c r="I6" s="209"/>
      <c r="J6" s="209" t="n">
        <v>806</v>
      </c>
      <c r="K6" s="210" t="n">
        <v>755</v>
      </c>
      <c r="L6" s="211" t="n">
        <v>0.94</v>
      </c>
      <c r="M6" s="210" t="n">
        <v>755</v>
      </c>
      <c r="N6" s="209"/>
      <c r="O6" s="209" t="n">
        <v>988</v>
      </c>
      <c r="P6" s="210" t="n">
        <v>910</v>
      </c>
      <c r="Q6" s="211" t="n">
        <v>0.92</v>
      </c>
      <c r="R6" s="210" t="n">
        <v>455</v>
      </c>
      <c r="S6" s="209"/>
      <c r="T6" s="209" t="n">
        <v>1105</v>
      </c>
      <c r="U6" s="210" t="n">
        <v>1025</v>
      </c>
      <c r="V6" s="211" t="n">
        <v>0.93</v>
      </c>
      <c r="W6" s="210" t="n">
        <v>512.5</v>
      </c>
      <c r="X6" s="212"/>
      <c r="Y6" s="209" t="n">
        <v>1250</v>
      </c>
      <c r="Z6" s="210" t="n">
        <v>1210</v>
      </c>
      <c r="AA6" s="211" t="n">
        <v>0.97</v>
      </c>
      <c r="AB6" s="210" t="n">
        <v>403.33</v>
      </c>
      <c r="AC6" s="209"/>
      <c r="AD6" s="209" t="n">
        <v>1250</v>
      </c>
      <c r="AE6" s="210" t="n">
        <v>1210</v>
      </c>
      <c r="AF6" s="211" t="n">
        <v>0.97</v>
      </c>
      <c r="AG6" s="210" t="n">
        <v>403.33</v>
      </c>
      <c r="AH6" s="209"/>
      <c r="AI6" s="209" t="n">
        <v>1350</v>
      </c>
      <c r="AJ6" s="210" t="n">
        <v>1624</v>
      </c>
      <c r="AK6" s="211" t="n">
        <v>1.2</v>
      </c>
      <c r="AL6" s="210" t="n">
        <v>406</v>
      </c>
      <c r="AM6" s="204"/>
      <c r="AN6" s="209"/>
      <c r="AO6" s="210"/>
      <c r="AP6" s="209"/>
      <c r="AQ6" s="210"/>
      <c r="AR6" s="209"/>
      <c r="AS6" s="209"/>
      <c r="AT6" s="210"/>
      <c r="AU6" s="209"/>
      <c r="AV6" s="210"/>
      <c r="AW6" s="209"/>
      <c r="AX6" s="209"/>
      <c r="AY6" s="209"/>
      <c r="AZ6" s="209"/>
      <c r="BA6" s="209"/>
      <c r="BB6" s="213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  <c r="FS6" s="206"/>
      <c r="FT6" s="206"/>
      <c r="FU6" s="206"/>
      <c r="FV6" s="206"/>
      <c r="FW6" s="206"/>
      <c r="FX6" s="206"/>
      <c r="FY6" s="206"/>
      <c r="FZ6" s="206"/>
      <c r="GA6" s="206"/>
      <c r="GB6" s="206"/>
      <c r="GC6" s="206"/>
      <c r="GD6" s="206"/>
      <c r="GE6" s="206"/>
      <c r="GF6" s="206"/>
      <c r="GG6" s="206"/>
      <c r="GH6" s="206"/>
      <c r="GI6" s="206"/>
      <c r="GJ6" s="206"/>
      <c r="GK6" s="206"/>
      <c r="GL6" s="206"/>
      <c r="GM6" s="206"/>
      <c r="GN6" s="206"/>
      <c r="GO6" s="206"/>
      <c r="GP6" s="206"/>
      <c r="GQ6" s="206"/>
      <c r="GR6" s="206"/>
      <c r="GS6" s="206"/>
      <c r="GT6" s="206"/>
      <c r="GU6" s="206"/>
      <c r="GV6" s="206"/>
      <c r="GW6" s="206"/>
      <c r="GX6" s="206"/>
      <c r="GY6" s="206"/>
      <c r="GZ6" s="206"/>
      <c r="HA6" s="206"/>
      <c r="HB6" s="206"/>
      <c r="HC6" s="206"/>
      <c r="HD6" s="206"/>
      <c r="HE6" s="206"/>
      <c r="HF6" s="206"/>
      <c r="HG6" s="206"/>
      <c r="HH6" s="206"/>
      <c r="HI6" s="206"/>
      <c r="HJ6" s="206"/>
      <c r="HK6" s="206"/>
      <c r="HL6" s="206"/>
      <c r="HM6" s="206"/>
      <c r="HN6" s="206"/>
      <c r="HO6" s="206"/>
      <c r="HP6" s="206"/>
      <c r="HQ6" s="206"/>
      <c r="HR6" s="206"/>
      <c r="HS6" s="206"/>
      <c r="HT6" s="206"/>
      <c r="HU6" s="206"/>
      <c r="HV6" s="206"/>
      <c r="HW6" s="206"/>
      <c r="HX6" s="206"/>
      <c r="HY6" s="206"/>
      <c r="HZ6" s="206"/>
      <c r="IA6" s="206"/>
      <c r="IB6" s="206"/>
      <c r="IC6" s="206"/>
      <c r="ID6" s="206"/>
      <c r="IE6" s="206"/>
      <c r="IF6" s="206"/>
      <c r="IG6" s="206"/>
      <c r="IH6" s="206"/>
      <c r="II6" s="206"/>
      <c r="IJ6" s="206"/>
      <c r="IK6" s="206"/>
      <c r="IL6" s="206"/>
      <c r="IM6" s="206"/>
      <c r="IN6" s="206"/>
      <c r="IO6" s="206"/>
      <c r="IP6" s="206"/>
      <c r="IQ6" s="206"/>
      <c r="IR6" s="206"/>
      <c r="IS6" s="206"/>
      <c r="IT6" s="206"/>
      <c r="IU6" s="206"/>
      <c r="IV6" s="206"/>
      <c r="IW6" s="206"/>
    </row>
    <row r="7" customFormat="false" ht="12.75" hidden="false" customHeight="false" outlineLevel="0" collapsed="false">
      <c r="A7" s="208" t="s">
        <v>391</v>
      </c>
      <c r="B7" s="209" t="n">
        <v>258</v>
      </c>
      <c r="C7" s="209" t="n">
        <v>3</v>
      </c>
      <c r="D7" s="209"/>
      <c r="E7" s="209" t="n">
        <v>501</v>
      </c>
      <c r="F7" s="210" t="n">
        <v>600</v>
      </c>
      <c r="G7" s="211" t="n">
        <v>1.2</v>
      </c>
      <c r="H7" s="210" t="n">
        <v>600</v>
      </c>
      <c r="I7" s="209"/>
      <c r="J7" s="209" t="n">
        <v>755</v>
      </c>
      <c r="K7" s="210" t="n">
        <v>725</v>
      </c>
      <c r="L7" s="211" t="n">
        <v>0.96</v>
      </c>
      <c r="M7" s="210" t="n">
        <v>725</v>
      </c>
      <c r="N7" s="209"/>
      <c r="O7" s="209" t="n">
        <v>886</v>
      </c>
      <c r="P7" s="210" t="n">
        <v>810</v>
      </c>
      <c r="Q7" s="211" t="n">
        <v>0.91</v>
      </c>
      <c r="R7" s="210" t="n">
        <v>405</v>
      </c>
      <c r="S7" s="209"/>
      <c r="T7" s="209" t="n">
        <v>933</v>
      </c>
      <c r="U7" s="210" t="n">
        <v>900</v>
      </c>
      <c r="V7" s="211" t="n">
        <v>0.96</v>
      </c>
      <c r="W7" s="210" t="n">
        <v>450</v>
      </c>
      <c r="X7" s="209"/>
      <c r="Y7" s="209"/>
      <c r="Z7" s="210"/>
      <c r="AA7" s="209"/>
      <c r="AB7" s="210"/>
      <c r="AC7" s="209"/>
      <c r="AD7" s="209"/>
      <c r="AE7" s="210"/>
      <c r="AF7" s="209"/>
      <c r="AG7" s="210"/>
      <c r="AH7" s="209"/>
      <c r="AI7" s="209" t="n">
        <v>1556</v>
      </c>
      <c r="AJ7" s="210" t="n">
        <v>1880</v>
      </c>
      <c r="AK7" s="211" t="n">
        <v>1.21</v>
      </c>
      <c r="AL7" s="210" t="n">
        <v>470</v>
      </c>
      <c r="AM7" s="201"/>
      <c r="AN7" s="209"/>
      <c r="AO7" s="210"/>
      <c r="AP7" s="209"/>
      <c r="AQ7" s="210"/>
      <c r="AR7" s="209"/>
      <c r="AS7" s="209"/>
      <c r="AT7" s="210"/>
      <c r="AU7" s="209"/>
      <c r="AV7" s="210"/>
      <c r="AW7" s="209"/>
      <c r="AX7" s="209"/>
      <c r="AY7" s="209"/>
      <c r="AZ7" s="209"/>
      <c r="BA7" s="209"/>
      <c r="BB7" s="213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  <c r="FS7" s="206"/>
      <c r="FT7" s="206"/>
      <c r="FU7" s="206"/>
      <c r="FV7" s="206"/>
      <c r="FW7" s="206"/>
      <c r="FX7" s="206"/>
      <c r="FY7" s="206"/>
      <c r="FZ7" s="206"/>
      <c r="GA7" s="206"/>
      <c r="GB7" s="206"/>
      <c r="GC7" s="206"/>
      <c r="GD7" s="206"/>
      <c r="GE7" s="206"/>
      <c r="GF7" s="206"/>
      <c r="GG7" s="206"/>
      <c r="GH7" s="206"/>
      <c r="GI7" s="206"/>
      <c r="GJ7" s="206"/>
      <c r="GK7" s="206"/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6"/>
      <c r="IL7" s="206"/>
      <c r="IM7" s="206"/>
      <c r="IN7" s="206"/>
      <c r="IO7" s="206"/>
      <c r="IP7" s="206"/>
      <c r="IQ7" s="206"/>
      <c r="IR7" s="206"/>
      <c r="IS7" s="206"/>
      <c r="IT7" s="206"/>
      <c r="IU7" s="206"/>
      <c r="IV7" s="206"/>
      <c r="IW7" s="206"/>
    </row>
    <row r="8" customFormat="false" ht="12.75" hidden="false" customHeight="false" outlineLevel="0" collapsed="false">
      <c r="A8" s="208" t="s">
        <v>392</v>
      </c>
      <c r="B8" s="209" t="n">
        <v>192</v>
      </c>
      <c r="C8" s="209" t="n">
        <v>3</v>
      </c>
      <c r="D8" s="209"/>
      <c r="E8" s="209"/>
      <c r="F8" s="210"/>
      <c r="G8" s="212"/>
      <c r="H8" s="210"/>
      <c r="I8" s="209"/>
      <c r="J8" s="209"/>
      <c r="K8" s="210"/>
      <c r="L8" s="209"/>
      <c r="M8" s="210"/>
      <c r="N8" s="209"/>
      <c r="O8" s="209"/>
      <c r="P8" s="210"/>
      <c r="Q8" s="212"/>
      <c r="R8" s="210"/>
      <c r="S8" s="209"/>
      <c r="T8" s="209" t="n">
        <v>1058</v>
      </c>
      <c r="U8" s="210" t="n">
        <v>1064</v>
      </c>
      <c r="V8" s="211" t="n">
        <v>1.01</v>
      </c>
      <c r="W8" s="210" t="n">
        <v>532</v>
      </c>
      <c r="X8" s="209"/>
      <c r="Y8" s="209"/>
      <c r="Z8" s="210"/>
      <c r="AA8" s="209"/>
      <c r="AB8" s="210"/>
      <c r="AC8" s="209"/>
      <c r="AD8" s="209" t="n">
        <v>1000</v>
      </c>
      <c r="AE8" s="210" t="n">
        <v>1281</v>
      </c>
      <c r="AF8" s="211" t="n">
        <v>1.28</v>
      </c>
      <c r="AG8" s="210" t="n">
        <v>427</v>
      </c>
      <c r="AH8" s="209"/>
      <c r="AI8" s="209"/>
      <c r="AJ8" s="210"/>
      <c r="AK8" s="209"/>
      <c r="AL8" s="210"/>
      <c r="AM8" s="209"/>
      <c r="AN8" s="209"/>
      <c r="AO8" s="210"/>
      <c r="AP8" s="209"/>
      <c r="AQ8" s="210"/>
      <c r="AR8" s="209"/>
      <c r="AS8" s="209"/>
      <c r="AT8" s="210"/>
      <c r="AU8" s="209"/>
      <c r="AV8" s="210"/>
      <c r="AW8" s="209"/>
      <c r="AX8" s="209"/>
      <c r="AY8" s="209"/>
      <c r="AZ8" s="209"/>
      <c r="BA8" s="209"/>
      <c r="BB8" s="213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  <c r="FS8" s="206"/>
      <c r="FT8" s="206"/>
      <c r="FU8" s="206"/>
      <c r="FV8" s="206"/>
      <c r="FW8" s="206"/>
      <c r="FX8" s="206"/>
      <c r="FY8" s="206"/>
      <c r="FZ8" s="206"/>
      <c r="GA8" s="206"/>
      <c r="GB8" s="206"/>
      <c r="GC8" s="206"/>
      <c r="GD8" s="206"/>
      <c r="GE8" s="206"/>
      <c r="GF8" s="206"/>
      <c r="GG8" s="206"/>
      <c r="GH8" s="206"/>
      <c r="GI8" s="206"/>
      <c r="GJ8" s="206"/>
      <c r="GK8" s="206"/>
      <c r="GL8" s="206"/>
      <c r="GM8" s="206"/>
      <c r="GN8" s="206"/>
      <c r="GO8" s="206"/>
      <c r="GP8" s="206"/>
      <c r="GQ8" s="206"/>
      <c r="GR8" s="206"/>
      <c r="GS8" s="206"/>
      <c r="GT8" s="206"/>
      <c r="GU8" s="206"/>
      <c r="GV8" s="206"/>
      <c r="GW8" s="206"/>
      <c r="GX8" s="206"/>
      <c r="GY8" s="206"/>
      <c r="GZ8" s="206"/>
      <c r="HA8" s="206"/>
      <c r="HB8" s="206"/>
      <c r="HC8" s="206"/>
      <c r="HD8" s="206"/>
      <c r="HE8" s="206"/>
      <c r="HF8" s="206"/>
      <c r="HG8" s="206"/>
      <c r="HH8" s="206"/>
      <c r="HI8" s="206"/>
      <c r="HJ8" s="206"/>
      <c r="HK8" s="206"/>
      <c r="HL8" s="206"/>
      <c r="HM8" s="206"/>
      <c r="HN8" s="206"/>
      <c r="HO8" s="206"/>
      <c r="HP8" s="206"/>
      <c r="HQ8" s="206"/>
      <c r="HR8" s="206"/>
      <c r="HS8" s="206"/>
      <c r="HT8" s="206"/>
      <c r="HU8" s="206"/>
      <c r="HV8" s="206"/>
      <c r="HW8" s="206"/>
      <c r="HX8" s="206"/>
      <c r="HY8" s="206"/>
      <c r="HZ8" s="206"/>
      <c r="IA8" s="206"/>
      <c r="IB8" s="206"/>
      <c r="IC8" s="206"/>
      <c r="ID8" s="206"/>
      <c r="IE8" s="206"/>
      <c r="IF8" s="206"/>
      <c r="IG8" s="206"/>
      <c r="IH8" s="206"/>
      <c r="II8" s="206"/>
      <c r="IJ8" s="206"/>
      <c r="IK8" s="206"/>
      <c r="IL8" s="206"/>
      <c r="IM8" s="206"/>
      <c r="IN8" s="206"/>
      <c r="IO8" s="206"/>
      <c r="IP8" s="206"/>
      <c r="IQ8" s="206"/>
      <c r="IR8" s="206"/>
      <c r="IS8" s="206"/>
      <c r="IT8" s="206"/>
      <c r="IU8" s="206"/>
      <c r="IV8" s="206"/>
      <c r="IW8" s="206"/>
    </row>
    <row r="9" customFormat="false" ht="12.75" hidden="false" customHeight="false" outlineLevel="0" collapsed="false">
      <c r="A9" s="208" t="s">
        <v>392</v>
      </c>
      <c r="B9" s="209"/>
      <c r="C9" s="209"/>
      <c r="D9" s="209"/>
      <c r="E9" s="209"/>
      <c r="F9" s="210"/>
      <c r="G9" s="212"/>
      <c r="H9" s="210"/>
      <c r="I9" s="209"/>
      <c r="J9" s="209"/>
      <c r="K9" s="210"/>
      <c r="L9" s="209"/>
      <c r="M9" s="210"/>
      <c r="N9" s="209"/>
      <c r="O9" s="209"/>
      <c r="P9" s="210"/>
      <c r="Q9" s="212"/>
      <c r="R9" s="210"/>
      <c r="S9" s="209"/>
      <c r="T9" s="209" t="n">
        <v>1058</v>
      </c>
      <c r="U9" s="210" t="n">
        <v>976</v>
      </c>
      <c r="V9" s="211" t="n">
        <v>0.92</v>
      </c>
      <c r="W9" s="210" t="n">
        <v>488</v>
      </c>
      <c r="X9" s="209"/>
      <c r="Y9" s="209"/>
      <c r="Z9" s="210"/>
      <c r="AA9" s="209"/>
      <c r="AB9" s="210"/>
      <c r="AC9" s="209"/>
      <c r="AD9" s="209"/>
      <c r="AE9" s="210"/>
      <c r="AF9" s="209"/>
      <c r="AG9" s="210"/>
      <c r="AH9" s="209"/>
      <c r="AI9" s="209"/>
      <c r="AJ9" s="210"/>
      <c r="AK9" s="209"/>
      <c r="AL9" s="210"/>
      <c r="AM9" s="209"/>
      <c r="AN9" s="209"/>
      <c r="AO9" s="210"/>
      <c r="AP9" s="209"/>
      <c r="AQ9" s="210"/>
      <c r="AR9" s="209"/>
      <c r="AS9" s="209"/>
      <c r="AT9" s="210"/>
      <c r="AU9" s="209"/>
      <c r="AV9" s="210"/>
      <c r="AW9" s="209"/>
      <c r="AX9" s="209"/>
      <c r="AY9" s="209"/>
      <c r="AZ9" s="209"/>
      <c r="BA9" s="209"/>
      <c r="BB9" s="213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  <c r="FS9" s="206"/>
      <c r="FT9" s="206"/>
      <c r="FU9" s="206"/>
      <c r="FV9" s="206"/>
      <c r="FW9" s="206"/>
      <c r="FX9" s="206"/>
      <c r="FY9" s="206"/>
      <c r="FZ9" s="206"/>
      <c r="GA9" s="206"/>
      <c r="GB9" s="206"/>
      <c r="GC9" s="206"/>
      <c r="GD9" s="206"/>
      <c r="GE9" s="206"/>
      <c r="GF9" s="206"/>
      <c r="GG9" s="206"/>
      <c r="GH9" s="206"/>
      <c r="GI9" s="206"/>
      <c r="GJ9" s="206"/>
      <c r="GK9" s="206"/>
      <c r="GL9" s="206"/>
      <c r="GM9" s="206"/>
      <c r="GN9" s="206"/>
      <c r="GO9" s="206"/>
      <c r="GP9" s="206"/>
      <c r="GQ9" s="206"/>
      <c r="GR9" s="206"/>
      <c r="GS9" s="206"/>
      <c r="GT9" s="206"/>
      <c r="GU9" s="206"/>
      <c r="GV9" s="206"/>
      <c r="GW9" s="206"/>
      <c r="GX9" s="206"/>
      <c r="GY9" s="206"/>
      <c r="GZ9" s="206"/>
      <c r="HA9" s="206"/>
      <c r="HB9" s="206"/>
      <c r="HC9" s="206"/>
      <c r="HD9" s="206"/>
      <c r="HE9" s="206"/>
      <c r="HF9" s="206"/>
      <c r="HG9" s="206"/>
      <c r="HH9" s="206"/>
      <c r="HI9" s="206"/>
      <c r="HJ9" s="206"/>
      <c r="HK9" s="206"/>
      <c r="HL9" s="206"/>
      <c r="HM9" s="206"/>
      <c r="HN9" s="206"/>
      <c r="HO9" s="206"/>
      <c r="HP9" s="206"/>
      <c r="HQ9" s="206"/>
      <c r="HR9" s="206"/>
      <c r="HS9" s="206"/>
      <c r="HT9" s="206"/>
      <c r="HU9" s="206"/>
      <c r="HV9" s="206"/>
      <c r="HW9" s="206"/>
      <c r="HX9" s="206"/>
      <c r="HY9" s="206"/>
      <c r="HZ9" s="206"/>
      <c r="IA9" s="206"/>
      <c r="IB9" s="206"/>
      <c r="IC9" s="206"/>
      <c r="ID9" s="206"/>
      <c r="IE9" s="206"/>
      <c r="IF9" s="206"/>
      <c r="IG9" s="206"/>
      <c r="IH9" s="206"/>
      <c r="II9" s="206"/>
      <c r="IJ9" s="206"/>
      <c r="IK9" s="206"/>
      <c r="IL9" s="206"/>
      <c r="IM9" s="206"/>
      <c r="IN9" s="206"/>
      <c r="IO9" s="206"/>
      <c r="IP9" s="206"/>
      <c r="IQ9" s="206"/>
      <c r="IR9" s="206"/>
      <c r="IS9" s="206"/>
      <c r="IT9" s="206"/>
      <c r="IU9" s="206"/>
      <c r="IV9" s="206"/>
      <c r="IW9" s="206"/>
    </row>
    <row r="10" customFormat="false" ht="12.75" hidden="false" customHeight="false" outlineLevel="0" collapsed="false">
      <c r="A10" s="214"/>
      <c r="B10" s="215"/>
      <c r="C10" s="215"/>
      <c r="D10" s="215"/>
      <c r="E10" s="215"/>
      <c r="F10" s="216"/>
      <c r="G10" s="217"/>
      <c r="H10" s="216"/>
      <c r="I10" s="215"/>
      <c r="J10" s="215"/>
      <c r="K10" s="216"/>
      <c r="L10" s="215"/>
      <c r="M10" s="216"/>
      <c r="N10" s="215"/>
      <c r="O10" s="215"/>
      <c r="P10" s="216"/>
      <c r="Q10" s="217"/>
      <c r="R10" s="216"/>
      <c r="S10" s="215"/>
      <c r="T10" s="218" t="n">
        <v>990.8</v>
      </c>
      <c r="U10" s="216" t="n">
        <v>993</v>
      </c>
      <c r="V10" s="219" t="n">
        <v>1.01</v>
      </c>
      <c r="W10" s="216" t="n">
        <v>496.5</v>
      </c>
      <c r="X10" s="215"/>
      <c r="Y10" s="220" t="n">
        <f aca="false">AVERAGE(Y5:Y9)</f>
        <v>1250</v>
      </c>
      <c r="Z10" s="220" t="n">
        <f aca="false">AVERAGE(Z5:Z9)</f>
        <v>1210</v>
      </c>
      <c r="AA10" s="218" t="n">
        <f aca="false">AVERAGE(AA5:AA9)</f>
        <v>0.97</v>
      </c>
      <c r="AB10" s="220" t="n">
        <f aca="false">AVERAGE(AB5:AB9)</f>
        <v>403.33</v>
      </c>
      <c r="AC10" s="215"/>
      <c r="AD10" s="220" t="n">
        <f aca="false">AVERAGE(AD5:AD9)</f>
        <v>1064.66666666667</v>
      </c>
      <c r="AE10" s="220" t="n">
        <f aca="false">AVERAGE(AE5:AE9)</f>
        <v>1288.33333333333</v>
      </c>
      <c r="AF10" s="218" t="n">
        <f aca="false">AVERAGE(AF5:AF9)</f>
        <v>1.23666666666667</v>
      </c>
      <c r="AG10" s="220" t="n">
        <f aca="false">AVERAGE(AG5:AG9)</f>
        <v>429.443333333333</v>
      </c>
      <c r="AH10" s="215"/>
      <c r="AI10" s="220" t="n">
        <f aca="false">AVERAGE(AI5:AI9)</f>
        <v>1335.33333333333</v>
      </c>
      <c r="AJ10" s="220" t="n">
        <f aca="false">AVERAGE(AJ5:AJ9)</f>
        <v>1701.33333333333</v>
      </c>
      <c r="AK10" s="218" t="n">
        <f aca="false">AVERAGE(AK5:AK9)</f>
        <v>1.28666666666667</v>
      </c>
      <c r="AL10" s="220" t="n">
        <f aca="false">AVERAGE(AL5:AL9)</f>
        <v>425.333333333333</v>
      </c>
      <c r="AM10" s="215"/>
      <c r="AN10" s="215"/>
      <c r="AO10" s="216"/>
      <c r="AP10" s="215"/>
      <c r="AQ10" s="216"/>
      <c r="AR10" s="215"/>
      <c r="AS10" s="215"/>
      <c r="AT10" s="216"/>
      <c r="AU10" s="215"/>
      <c r="AV10" s="216"/>
      <c r="AW10" s="215"/>
      <c r="AX10" s="215"/>
      <c r="AY10" s="215"/>
      <c r="AZ10" s="215"/>
      <c r="BA10" s="215"/>
      <c r="BB10" s="221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  <c r="CM10" s="222"/>
      <c r="CN10" s="222"/>
      <c r="CO10" s="222"/>
      <c r="CP10" s="222"/>
      <c r="CQ10" s="222"/>
      <c r="CR10" s="222"/>
      <c r="CS10" s="222"/>
      <c r="CT10" s="222"/>
      <c r="CU10" s="222"/>
      <c r="CV10" s="222"/>
      <c r="CW10" s="222"/>
      <c r="CX10" s="222"/>
      <c r="CY10" s="222"/>
      <c r="CZ10" s="222"/>
      <c r="DA10" s="222"/>
      <c r="DB10" s="222"/>
      <c r="DC10" s="222"/>
      <c r="DD10" s="222"/>
      <c r="DE10" s="222"/>
      <c r="DF10" s="222"/>
      <c r="DG10" s="222"/>
      <c r="DH10" s="222"/>
      <c r="DI10" s="222"/>
      <c r="DJ10" s="222"/>
      <c r="DK10" s="222"/>
      <c r="DL10" s="222"/>
      <c r="DM10" s="222"/>
      <c r="DN10" s="222"/>
      <c r="DO10" s="222"/>
      <c r="DP10" s="222"/>
      <c r="DQ10" s="222"/>
      <c r="DR10" s="222"/>
      <c r="DS10" s="222"/>
      <c r="DT10" s="222"/>
      <c r="DU10" s="222"/>
      <c r="DV10" s="222"/>
      <c r="DW10" s="222"/>
      <c r="DX10" s="222"/>
      <c r="DY10" s="222"/>
      <c r="DZ10" s="222"/>
      <c r="EA10" s="222"/>
      <c r="EB10" s="222"/>
      <c r="EC10" s="222"/>
      <c r="ED10" s="222"/>
      <c r="EE10" s="222"/>
      <c r="EF10" s="222"/>
      <c r="EG10" s="222"/>
      <c r="EH10" s="222"/>
      <c r="EI10" s="222"/>
      <c r="EJ10" s="222"/>
      <c r="EK10" s="222"/>
      <c r="EL10" s="222"/>
      <c r="EM10" s="222"/>
      <c r="EN10" s="222"/>
      <c r="EO10" s="222"/>
      <c r="EP10" s="222"/>
      <c r="EQ10" s="222"/>
      <c r="ER10" s="222"/>
      <c r="ES10" s="222"/>
      <c r="ET10" s="222"/>
      <c r="EU10" s="222"/>
      <c r="EV10" s="222"/>
      <c r="EW10" s="222"/>
      <c r="EX10" s="222"/>
      <c r="EY10" s="222"/>
      <c r="EZ10" s="222"/>
      <c r="FA10" s="222"/>
      <c r="FB10" s="222"/>
      <c r="FC10" s="222"/>
      <c r="FD10" s="222"/>
      <c r="FE10" s="222"/>
      <c r="FF10" s="222"/>
      <c r="FG10" s="222"/>
      <c r="FH10" s="222"/>
      <c r="FI10" s="222"/>
      <c r="FJ10" s="222"/>
      <c r="FK10" s="222"/>
      <c r="FL10" s="222"/>
      <c r="FM10" s="222"/>
      <c r="FN10" s="222"/>
      <c r="FO10" s="222"/>
      <c r="FP10" s="222"/>
      <c r="FQ10" s="222"/>
      <c r="FR10" s="222"/>
      <c r="FS10" s="222"/>
      <c r="FT10" s="222"/>
      <c r="FU10" s="222"/>
      <c r="FV10" s="222"/>
      <c r="FW10" s="222"/>
      <c r="FX10" s="222"/>
      <c r="FY10" s="222"/>
      <c r="FZ10" s="222"/>
      <c r="GA10" s="222"/>
      <c r="GB10" s="222"/>
      <c r="GC10" s="222"/>
      <c r="GD10" s="222"/>
      <c r="GE10" s="222"/>
      <c r="GF10" s="222"/>
      <c r="GG10" s="222"/>
      <c r="GH10" s="222"/>
      <c r="GI10" s="222"/>
      <c r="GJ10" s="222"/>
      <c r="GK10" s="222"/>
      <c r="GL10" s="222"/>
      <c r="GM10" s="222"/>
      <c r="GN10" s="222"/>
      <c r="GO10" s="222"/>
      <c r="GP10" s="222"/>
      <c r="GQ10" s="222"/>
      <c r="GR10" s="222"/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  <c r="HF10" s="222"/>
      <c r="HG10" s="222"/>
      <c r="HH10" s="222"/>
      <c r="HI10" s="222"/>
      <c r="HJ10" s="222"/>
      <c r="HK10" s="222"/>
      <c r="HL10" s="222"/>
      <c r="HM10" s="222"/>
      <c r="HN10" s="222"/>
      <c r="HO10" s="222"/>
      <c r="HP10" s="222"/>
      <c r="HQ10" s="222"/>
      <c r="HR10" s="222"/>
      <c r="HS10" s="222"/>
      <c r="HT10" s="222"/>
      <c r="HU10" s="222"/>
      <c r="HV10" s="222"/>
      <c r="HW10" s="222"/>
      <c r="HX10" s="222"/>
      <c r="HY10" s="222"/>
      <c r="HZ10" s="222"/>
      <c r="IA10" s="222"/>
      <c r="IB10" s="222"/>
      <c r="IC10" s="222"/>
      <c r="ID10" s="222"/>
      <c r="IE10" s="222"/>
      <c r="IF10" s="222"/>
      <c r="IG10" s="222"/>
      <c r="IH10" s="222"/>
      <c r="II10" s="222"/>
      <c r="IJ10" s="222"/>
      <c r="IK10" s="222"/>
      <c r="IL10" s="222"/>
      <c r="IM10" s="222"/>
      <c r="IN10" s="222"/>
      <c r="IO10" s="222"/>
      <c r="IP10" s="222"/>
      <c r="IQ10" s="222"/>
      <c r="IR10" s="222"/>
      <c r="IS10" s="222"/>
      <c r="IT10" s="222"/>
      <c r="IU10" s="222"/>
      <c r="IV10" s="222"/>
      <c r="IW10" s="222"/>
    </row>
    <row r="11" customFormat="false" ht="12.75" hidden="false" customHeight="false" outlineLevel="0" collapsed="false">
      <c r="F11" s="223"/>
      <c r="G11" s="224"/>
      <c r="H11" s="223"/>
      <c r="K11" s="225"/>
      <c r="M11" s="225"/>
      <c r="P11" s="225"/>
      <c r="Q11" s="224"/>
      <c r="R11" s="223"/>
      <c r="U11" s="225"/>
      <c r="V11" s="224"/>
      <c r="W11" s="223"/>
      <c r="Z11" s="225"/>
      <c r="AB11" s="225"/>
      <c r="AE11" s="225"/>
      <c r="AG11" s="225"/>
      <c r="AJ11" s="225"/>
      <c r="AL11" s="225"/>
      <c r="AO11" s="225"/>
      <c r="AQ11" s="225"/>
      <c r="AT11" s="225"/>
      <c r="AV11" s="225"/>
    </row>
    <row r="12" customFormat="false" ht="12.75" hidden="false" customHeight="false" outlineLevel="0" collapsed="false">
      <c r="A12" s="226" t="s">
        <v>393</v>
      </c>
      <c r="B12" s="227" t="n">
        <v>134</v>
      </c>
      <c r="C12" s="227" t="n">
        <v>0</v>
      </c>
      <c r="D12" s="227"/>
      <c r="E12" s="227" t="n">
        <v>0</v>
      </c>
      <c r="F12" s="228" t="n">
        <v>0</v>
      </c>
      <c r="G12" s="229"/>
      <c r="H12" s="228"/>
      <c r="I12" s="227"/>
      <c r="J12" s="227" t="n">
        <v>0</v>
      </c>
      <c r="K12" s="230" t="n">
        <v>0</v>
      </c>
      <c r="L12" s="227" t="n">
        <v>0</v>
      </c>
      <c r="M12" s="230" t="n">
        <v>0</v>
      </c>
      <c r="N12" s="227"/>
      <c r="O12" s="227"/>
      <c r="P12" s="230"/>
      <c r="Q12" s="229"/>
      <c r="R12" s="228"/>
      <c r="S12" s="227"/>
      <c r="T12" s="227" t="n">
        <v>1107</v>
      </c>
      <c r="U12" s="230" t="n">
        <v>1150</v>
      </c>
      <c r="V12" s="229" t="n">
        <f aca="false">+U12/T12</f>
        <v>1.03884372177055</v>
      </c>
      <c r="W12" s="228" t="n">
        <f aca="false">+U12/2</f>
        <v>575</v>
      </c>
      <c r="X12" s="227"/>
      <c r="Y12" s="227"/>
      <c r="Z12" s="230"/>
      <c r="AA12" s="227"/>
      <c r="AB12" s="230"/>
      <c r="AC12" s="227"/>
      <c r="AD12" s="227" t="n">
        <f aca="false">1298</f>
        <v>1298</v>
      </c>
      <c r="AE12" s="230" t="n">
        <f aca="false">475*3</f>
        <v>1425</v>
      </c>
      <c r="AF12" s="229" t="n">
        <f aca="false">+AE12/AD12</f>
        <v>1.09784283513097</v>
      </c>
      <c r="AG12" s="228" t="n">
        <f aca="false">+AE12/3</f>
        <v>475</v>
      </c>
      <c r="AH12" s="227"/>
      <c r="AI12" s="227"/>
      <c r="AJ12" s="230"/>
      <c r="AK12" s="227"/>
      <c r="AL12" s="230"/>
      <c r="AM12" s="227"/>
      <c r="AN12" s="227"/>
      <c r="AO12" s="230"/>
      <c r="AP12" s="227"/>
      <c r="AQ12" s="230"/>
      <c r="AR12" s="227"/>
      <c r="AS12" s="227"/>
      <c r="AT12" s="230"/>
      <c r="AU12" s="227"/>
      <c r="AV12" s="231"/>
    </row>
    <row r="13" customFormat="false" ht="12.75" hidden="false" customHeight="false" outlineLevel="0" collapsed="false">
      <c r="A13" s="232"/>
      <c r="B13" s="233"/>
      <c r="C13" s="233"/>
      <c r="D13" s="233"/>
      <c r="E13" s="233"/>
      <c r="F13" s="234"/>
      <c r="G13" s="235"/>
      <c r="H13" s="234"/>
      <c r="I13" s="233"/>
      <c r="J13" s="233"/>
      <c r="K13" s="236"/>
      <c r="L13" s="233"/>
      <c r="M13" s="236"/>
      <c r="N13" s="233"/>
      <c r="O13" s="233"/>
      <c r="P13" s="236"/>
      <c r="Q13" s="235"/>
      <c r="R13" s="234"/>
      <c r="S13" s="233"/>
      <c r="T13" s="233" t="n">
        <v>1198</v>
      </c>
      <c r="U13" s="236" t="n">
        <v>1200</v>
      </c>
      <c r="V13" s="235" t="n">
        <f aca="false">+U13/T13</f>
        <v>1.0016694490818</v>
      </c>
      <c r="W13" s="234" t="n">
        <f aca="false">+U13/2</f>
        <v>600</v>
      </c>
      <c r="X13" s="233"/>
      <c r="Y13" s="233"/>
      <c r="Z13" s="236"/>
      <c r="AA13" s="233"/>
      <c r="AB13" s="236"/>
      <c r="AC13" s="233"/>
      <c r="AD13" s="233"/>
      <c r="AE13" s="236"/>
      <c r="AF13" s="233"/>
      <c r="AG13" s="236"/>
      <c r="AH13" s="233"/>
      <c r="AI13" s="233"/>
      <c r="AJ13" s="236"/>
      <c r="AK13" s="233"/>
      <c r="AL13" s="236"/>
      <c r="AM13" s="233"/>
      <c r="AN13" s="233"/>
      <c r="AO13" s="236"/>
      <c r="AP13" s="233"/>
      <c r="AQ13" s="236"/>
      <c r="AR13" s="233"/>
      <c r="AS13" s="233"/>
      <c r="AT13" s="236"/>
      <c r="AU13" s="233"/>
      <c r="AV13" s="237"/>
    </row>
    <row r="14" customFormat="false" ht="12.75" hidden="false" customHeight="false" outlineLevel="0" collapsed="false">
      <c r="F14" s="223"/>
      <c r="G14" s="224"/>
      <c r="H14" s="223"/>
      <c r="K14" s="225"/>
      <c r="M14" s="225"/>
      <c r="P14" s="225"/>
      <c r="Q14" s="224"/>
      <c r="R14" s="223"/>
      <c r="T14" s="227" t="n">
        <f aca="false">1107-150</f>
        <v>957</v>
      </c>
      <c r="U14" s="225" t="n">
        <f aca="false">W14*2</f>
        <v>1200</v>
      </c>
      <c r="V14" s="238" t="n">
        <f aca="false">+U14/U14</f>
        <v>1</v>
      </c>
      <c r="W14" s="234" t="n">
        <v>600</v>
      </c>
      <c r="Z14" s="225"/>
      <c r="AB14" s="225"/>
      <c r="AE14" s="225"/>
      <c r="AG14" s="225"/>
      <c r="AJ14" s="225"/>
      <c r="AL14" s="225"/>
      <c r="AO14" s="225"/>
      <c r="AQ14" s="225"/>
      <c r="AT14" s="225"/>
      <c r="AV14" s="225"/>
    </row>
    <row r="15" customFormat="false" ht="12.75" hidden="false" customHeight="false" outlineLevel="0" collapsed="false">
      <c r="F15" s="223"/>
      <c r="G15" s="224"/>
      <c r="H15" s="223"/>
      <c r="K15" s="225"/>
      <c r="M15" s="225"/>
      <c r="P15" s="225"/>
      <c r="Q15" s="224"/>
      <c r="R15" s="223"/>
      <c r="T15" s="233" t="n">
        <v>1198</v>
      </c>
      <c r="U15" s="225" t="n">
        <f aca="false">V15*T15</f>
        <v>1497.5</v>
      </c>
      <c r="V15" s="195" t="n">
        <v>1.25</v>
      </c>
      <c r="W15" s="234" t="n">
        <f aca="false">+U15/2</f>
        <v>748.75</v>
      </c>
      <c r="Z15" s="225"/>
      <c r="AB15" s="225"/>
      <c r="AE15" s="225"/>
      <c r="AG15" s="225"/>
      <c r="AJ15" s="225"/>
      <c r="AL15" s="225"/>
      <c r="AO15" s="225"/>
      <c r="AQ15" s="225"/>
      <c r="AT15" s="225"/>
      <c r="AV15" s="225"/>
    </row>
    <row r="16" customFormat="false" ht="12.75" hidden="false" customHeight="false" outlineLevel="0" collapsed="false">
      <c r="F16" s="223"/>
      <c r="G16" s="224"/>
      <c r="H16" s="223"/>
      <c r="K16" s="225"/>
      <c r="M16" s="225"/>
      <c r="P16" s="225"/>
      <c r="Q16" s="224"/>
      <c r="R16" s="223"/>
      <c r="U16" s="225"/>
      <c r="W16" s="225"/>
      <c r="Z16" s="225"/>
      <c r="AB16" s="225"/>
      <c r="AE16" s="225"/>
      <c r="AG16" s="225"/>
      <c r="AJ16" s="225"/>
      <c r="AL16" s="225"/>
      <c r="AO16" s="225"/>
      <c r="AQ16" s="225"/>
      <c r="AT16" s="225"/>
      <c r="AV16" s="225"/>
    </row>
    <row r="17" customFormat="false" ht="12.75" hidden="false" customHeight="false" outlineLevel="0" collapsed="false">
      <c r="F17" s="223"/>
      <c r="G17" s="224"/>
      <c r="H17" s="223"/>
      <c r="K17" s="225"/>
      <c r="M17" s="225"/>
      <c r="P17" s="225"/>
      <c r="Q17" s="224"/>
      <c r="R17" s="223"/>
      <c r="U17" s="225"/>
      <c r="W17" s="225"/>
      <c r="Z17" s="225"/>
      <c r="AB17" s="225"/>
      <c r="AE17" s="225"/>
      <c r="AG17" s="225"/>
      <c r="AJ17" s="225"/>
      <c r="AL17" s="225"/>
      <c r="AO17" s="225"/>
      <c r="AQ17" s="225"/>
      <c r="AT17" s="225"/>
      <c r="AV17" s="225"/>
    </row>
    <row r="18" customFormat="false" ht="12.75" hidden="false" customHeight="false" outlineLevel="0" collapsed="false">
      <c r="F18" s="223"/>
      <c r="G18" s="224"/>
      <c r="H18" s="223"/>
      <c r="K18" s="225"/>
      <c r="M18" s="225"/>
      <c r="P18" s="225"/>
      <c r="Q18" s="224"/>
      <c r="R18" s="223"/>
      <c r="U18" s="225"/>
      <c r="W18" s="225"/>
      <c r="Z18" s="225"/>
      <c r="AB18" s="225"/>
      <c r="AE18" s="225"/>
      <c r="AG18" s="225"/>
      <c r="AJ18" s="225"/>
      <c r="AL18" s="225"/>
      <c r="AO18" s="225"/>
      <c r="AQ18" s="225"/>
      <c r="AT18" s="225"/>
      <c r="AV18" s="225"/>
    </row>
    <row r="19" customFormat="false" ht="12.75" hidden="false" customHeight="false" outlineLevel="0" collapsed="false">
      <c r="F19" s="223"/>
      <c r="G19" s="224"/>
      <c r="H19" s="223"/>
      <c r="K19" s="225"/>
      <c r="M19" s="225"/>
      <c r="P19" s="225"/>
      <c r="Q19" s="224"/>
      <c r="R19" s="223"/>
      <c r="U19" s="225"/>
      <c r="W19" s="225"/>
      <c r="Z19" s="225"/>
      <c r="AB19" s="225"/>
      <c r="AE19" s="225"/>
      <c r="AG19" s="225"/>
      <c r="AJ19" s="225"/>
      <c r="AL19" s="225"/>
      <c r="AO19" s="225"/>
      <c r="AQ19" s="225"/>
      <c r="AT19" s="225"/>
      <c r="AV19" s="225"/>
    </row>
    <row r="20" customFormat="false" ht="12.75" hidden="false" customHeight="false" outlineLevel="0" collapsed="false">
      <c r="F20" s="223"/>
      <c r="G20" s="224"/>
      <c r="H20" s="223"/>
      <c r="K20" s="225"/>
      <c r="M20" s="225"/>
      <c r="P20" s="225"/>
      <c r="Q20" s="224"/>
      <c r="R20" s="223"/>
      <c r="U20" s="225"/>
      <c r="W20" s="225"/>
      <c r="Z20" s="225"/>
      <c r="AB20" s="225"/>
      <c r="AE20" s="225"/>
      <c r="AG20" s="225"/>
      <c r="AJ20" s="225"/>
      <c r="AL20" s="225"/>
      <c r="AO20" s="225"/>
      <c r="AQ20" s="225"/>
      <c r="AT20" s="225"/>
      <c r="AV20" s="225"/>
    </row>
    <row r="21" customFormat="false" ht="12.75" hidden="false" customHeight="false" outlineLevel="0" collapsed="false">
      <c r="F21" s="223"/>
      <c r="G21" s="224"/>
      <c r="H21" s="223"/>
      <c r="K21" s="225"/>
      <c r="M21" s="225"/>
      <c r="P21" s="225"/>
      <c r="Q21" s="224"/>
      <c r="R21" s="223"/>
      <c r="U21" s="225"/>
      <c r="W21" s="225"/>
      <c r="Z21" s="225"/>
      <c r="AB21" s="225"/>
      <c r="AE21" s="225"/>
      <c r="AG21" s="225"/>
      <c r="AJ21" s="225"/>
      <c r="AL21" s="225"/>
      <c r="AO21" s="225"/>
      <c r="AQ21" s="225"/>
      <c r="AT21" s="225"/>
      <c r="AV21" s="225"/>
    </row>
    <row r="22" customFormat="false" ht="12.75" hidden="false" customHeight="false" outlineLevel="0" collapsed="false">
      <c r="F22" s="223"/>
      <c r="G22" s="224"/>
      <c r="H22" s="223"/>
      <c r="K22" s="225"/>
      <c r="M22" s="225"/>
      <c r="P22" s="225"/>
      <c r="Q22" s="224"/>
      <c r="R22" s="223"/>
      <c r="U22" s="225"/>
      <c r="W22" s="225"/>
      <c r="Z22" s="225"/>
      <c r="AB22" s="225"/>
      <c r="AE22" s="225"/>
      <c r="AG22" s="225"/>
      <c r="AJ22" s="225"/>
      <c r="AL22" s="225"/>
      <c r="AO22" s="225"/>
      <c r="AQ22" s="225"/>
      <c r="AT22" s="225"/>
      <c r="AV22" s="225"/>
    </row>
    <row r="23" customFormat="false" ht="12.75" hidden="false" customHeight="false" outlineLevel="0" collapsed="false">
      <c r="F23" s="223"/>
      <c r="G23" s="224"/>
      <c r="H23" s="223"/>
      <c r="K23" s="225"/>
      <c r="M23" s="225"/>
      <c r="P23" s="225"/>
      <c r="Q23" s="224"/>
      <c r="R23" s="223"/>
      <c r="U23" s="225"/>
      <c r="W23" s="225"/>
      <c r="Z23" s="225"/>
      <c r="AB23" s="225"/>
      <c r="AE23" s="225"/>
      <c r="AG23" s="225"/>
      <c r="AJ23" s="225"/>
      <c r="AL23" s="225"/>
      <c r="AO23" s="225"/>
      <c r="AQ23" s="225"/>
      <c r="AT23" s="225"/>
      <c r="AV23" s="225"/>
    </row>
    <row r="24" customFormat="false" ht="12.75" hidden="false" customHeight="false" outlineLevel="0" collapsed="false">
      <c r="F24" s="223"/>
      <c r="G24" s="224"/>
      <c r="H24" s="223"/>
      <c r="K24" s="225"/>
      <c r="M24" s="225"/>
      <c r="P24" s="225"/>
      <c r="Q24" s="224"/>
      <c r="R24" s="223"/>
      <c r="U24" s="225"/>
      <c r="W24" s="225"/>
      <c r="Z24" s="225"/>
      <c r="AB24" s="225"/>
      <c r="AE24" s="225"/>
      <c r="AG24" s="225"/>
      <c r="AJ24" s="225"/>
      <c r="AL24" s="225"/>
      <c r="AO24" s="225"/>
      <c r="AQ24" s="225"/>
      <c r="AT24" s="225"/>
      <c r="AV24" s="225"/>
    </row>
    <row r="25" customFormat="false" ht="12.75" hidden="false" customHeight="false" outlineLevel="0" collapsed="false">
      <c r="F25" s="223"/>
      <c r="G25" s="224"/>
      <c r="H25" s="223"/>
      <c r="K25" s="225"/>
      <c r="M25" s="225"/>
      <c r="P25" s="225"/>
      <c r="Q25" s="224"/>
      <c r="R25" s="223"/>
      <c r="U25" s="225"/>
      <c r="W25" s="225"/>
      <c r="Z25" s="225"/>
      <c r="AB25" s="225"/>
      <c r="AE25" s="225"/>
      <c r="AG25" s="225"/>
      <c r="AJ25" s="225"/>
      <c r="AL25" s="225"/>
      <c r="AO25" s="225"/>
      <c r="AQ25" s="225"/>
      <c r="AT25" s="225"/>
      <c r="AV25" s="225"/>
    </row>
    <row r="26" customFormat="false" ht="12.75" hidden="false" customHeight="false" outlineLevel="0" collapsed="false">
      <c r="F26" s="223"/>
      <c r="G26" s="224"/>
      <c r="H26" s="223"/>
      <c r="K26" s="225"/>
      <c r="M26" s="225"/>
      <c r="P26" s="225"/>
      <c r="Q26" s="224"/>
      <c r="R26" s="223"/>
      <c r="U26" s="225"/>
      <c r="W26" s="225"/>
      <c r="Z26" s="225"/>
      <c r="AB26" s="225"/>
      <c r="AE26" s="225"/>
      <c r="AG26" s="225"/>
      <c r="AJ26" s="225"/>
      <c r="AL26" s="225"/>
      <c r="AO26" s="225"/>
      <c r="AQ26" s="225"/>
      <c r="AT26" s="225"/>
      <c r="AV26" s="225"/>
    </row>
    <row r="27" customFormat="false" ht="12.75" hidden="false" customHeight="false" outlineLevel="0" collapsed="false">
      <c r="F27" s="223"/>
      <c r="G27" s="224"/>
      <c r="H27" s="223"/>
      <c r="K27" s="225"/>
      <c r="M27" s="225"/>
      <c r="P27" s="225"/>
      <c r="Q27" s="224"/>
      <c r="R27" s="223"/>
      <c r="U27" s="225"/>
      <c r="W27" s="225"/>
      <c r="Z27" s="225"/>
      <c r="AB27" s="225"/>
      <c r="AE27" s="225"/>
      <c r="AG27" s="225"/>
      <c r="AJ27" s="225"/>
      <c r="AL27" s="225"/>
      <c r="AO27" s="225"/>
      <c r="AQ27" s="225"/>
      <c r="AT27" s="225"/>
      <c r="AV27" s="225"/>
    </row>
    <row r="28" customFormat="false" ht="12.75" hidden="false" customHeight="false" outlineLevel="0" collapsed="false">
      <c r="F28" s="223"/>
      <c r="G28" s="224"/>
      <c r="H28" s="223"/>
      <c r="K28" s="225"/>
      <c r="M28" s="225"/>
      <c r="P28" s="225"/>
      <c r="Q28" s="224"/>
      <c r="R28" s="223"/>
      <c r="U28" s="225"/>
      <c r="W28" s="225"/>
      <c r="Z28" s="225"/>
      <c r="AB28" s="225"/>
      <c r="AE28" s="225"/>
      <c r="AG28" s="225"/>
      <c r="AJ28" s="225"/>
      <c r="AL28" s="225"/>
      <c r="AO28" s="225"/>
      <c r="AQ28" s="225"/>
      <c r="AT28" s="225"/>
      <c r="AV28" s="225"/>
    </row>
    <row r="29" customFormat="false" ht="12.75" hidden="false" customHeight="false" outlineLevel="0" collapsed="false">
      <c r="F29" s="223"/>
      <c r="G29" s="224"/>
      <c r="H29" s="223"/>
      <c r="K29" s="225"/>
      <c r="M29" s="225"/>
      <c r="P29" s="225"/>
      <c r="Q29" s="224"/>
      <c r="R29" s="223"/>
      <c r="U29" s="225"/>
      <c r="W29" s="225"/>
      <c r="Z29" s="225"/>
      <c r="AB29" s="225"/>
      <c r="AE29" s="225"/>
      <c r="AG29" s="225"/>
      <c r="AJ29" s="225"/>
      <c r="AL29" s="225"/>
      <c r="AO29" s="225"/>
      <c r="AQ29" s="225"/>
      <c r="AT29" s="225"/>
      <c r="AV29" s="225"/>
    </row>
    <row r="30" customFormat="false" ht="12.75" hidden="false" customHeight="false" outlineLevel="0" collapsed="false">
      <c r="F30" s="223"/>
      <c r="G30" s="224"/>
      <c r="H30" s="223"/>
      <c r="K30" s="225"/>
      <c r="M30" s="225"/>
      <c r="P30" s="225"/>
      <c r="Q30" s="224"/>
      <c r="R30" s="223"/>
      <c r="U30" s="225"/>
      <c r="W30" s="225"/>
      <c r="Z30" s="225"/>
      <c r="AB30" s="225"/>
      <c r="AE30" s="225"/>
      <c r="AG30" s="225"/>
      <c r="AJ30" s="225"/>
      <c r="AL30" s="225"/>
      <c r="AO30" s="225"/>
      <c r="AQ30" s="225"/>
      <c r="AT30" s="225"/>
      <c r="AV30" s="225"/>
    </row>
    <row r="31" customFormat="false" ht="12.75" hidden="false" customHeight="false" outlineLevel="0" collapsed="false">
      <c r="F31" s="223"/>
      <c r="G31" s="224"/>
      <c r="H31" s="223"/>
      <c r="K31" s="225"/>
      <c r="M31" s="225"/>
      <c r="P31" s="225"/>
      <c r="Q31" s="224"/>
      <c r="R31" s="223"/>
      <c r="U31" s="225"/>
      <c r="W31" s="225"/>
      <c r="Z31" s="225"/>
      <c r="AB31" s="225"/>
      <c r="AE31" s="225"/>
      <c r="AG31" s="225"/>
      <c r="AJ31" s="225"/>
      <c r="AL31" s="225"/>
      <c r="AO31" s="225"/>
      <c r="AQ31" s="225"/>
      <c r="AT31" s="225"/>
      <c r="AV31" s="225"/>
    </row>
    <row r="32" customFormat="false" ht="12.75" hidden="false" customHeight="false" outlineLevel="0" collapsed="false">
      <c r="F32" s="223"/>
      <c r="G32" s="224"/>
      <c r="H32" s="223"/>
      <c r="K32" s="225"/>
      <c r="M32" s="225"/>
      <c r="P32" s="225"/>
      <c r="Q32" s="224"/>
      <c r="R32" s="223"/>
      <c r="U32" s="225"/>
      <c r="W32" s="225"/>
      <c r="Z32" s="225"/>
      <c r="AB32" s="225"/>
      <c r="AE32" s="225"/>
      <c r="AG32" s="225"/>
      <c r="AJ32" s="225"/>
      <c r="AL32" s="225"/>
      <c r="AO32" s="225"/>
      <c r="AQ32" s="225"/>
      <c r="AT32" s="225"/>
      <c r="AV32" s="225"/>
    </row>
    <row r="33" customFormat="false" ht="12.75" hidden="false" customHeight="false" outlineLevel="0" collapsed="false">
      <c r="F33" s="223"/>
      <c r="G33" s="224"/>
      <c r="H33" s="223"/>
      <c r="K33" s="225"/>
      <c r="M33" s="225"/>
      <c r="P33" s="225"/>
      <c r="Q33" s="224"/>
      <c r="R33" s="223"/>
      <c r="U33" s="225"/>
      <c r="W33" s="225"/>
      <c r="Z33" s="225"/>
      <c r="AB33" s="225"/>
      <c r="AE33" s="225"/>
      <c r="AG33" s="225"/>
      <c r="AJ33" s="225"/>
      <c r="AL33" s="225"/>
      <c r="AO33" s="225"/>
      <c r="AQ33" s="225"/>
      <c r="AT33" s="225"/>
      <c r="AV33" s="225"/>
    </row>
    <row r="34" customFormat="false" ht="12.75" hidden="false" customHeight="false" outlineLevel="0" collapsed="false">
      <c r="F34" s="223"/>
      <c r="G34" s="224"/>
      <c r="H34" s="223"/>
      <c r="K34" s="225"/>
      <c r="M34" s="225"/>
      <c r="P34" s="225"/>
      <c r="Q34" s="224"/>
      <c r="R34" s="223"/>
      <c r="U34" s="225"/>
      <c r="W34" s="225"/>
      <c r="Z34" s="225"/>
      <c r="AB34" s="225"/>
      <c r="AE34" s="225"/>
      <c r="AG34" s="225"/>
      <c r="AJ34" s="225"/>
      <c r="AL34" s="225"/>
      <c r="AO34" s="225"/>
      <c r="AQ34" s="225"/>
      <c r="AT34" s="225"/>
      <c r="AV34" s="225"/>
    </row>
    <row r="35" customFormat="false" ht="12.75" hidden="false" customHeight="false" outlineLevel="0" collapsed="false">
      <c r="F35" s="223"/>
      <c r="G35" s="224"/>
      <c r="H35" s="223"/>
      <c r="K35" s="225"/>
      <c r="M35" s="225"/>
      <c r="P35" s="225"/>
      <c r="Q35" s="224"/>
      <c r="R35" s="223"/>
      <c r="U35" s="225"/>
      <c r="W35" s="225"/>
      <c r="Z35" s="225"/>
      <c r="AB35" s="225"/>
      <c r="AE35" s="225"/>
      <c r="AG35" s="225"/>
      <c r="AJ35" s="225"/>
      <c r="AL35" s="225"/>
      <c r="AO35" s="225"/>
      <c r="AQ35" s="225"/>
      <c r="AT35" s="225"/>
      <c r="AV35" s="225"/>
    </row>
    <row r="36" customFormat="false" ht="12.75" hidden="false" customHeight="false" outlineLevel="0" collapsed="false">
      <c r="F36" s="225"/>
      <c r="H36" s="225"/>
      <c r="K36" s="225"/>
      <c r="M36" s="225"/>
      <c r="P36" s="225"/>
      <c r="Q36" s="224"/>
      <c r="R36" s="223"/>
      <c r="U36" s="225"/>
      <c r="W36" s="225"/>
      <c r="Z36" s="225"/>
      <c r="AB36" s="225"/>
      <c r="AE36" s="225"/>
      <c r="AG36" s="225"/>
      <c r="AJ36" s="225"/>
      <c r="AL36" s="225"/>
      <c r="AO36" s="225"/>
      <c r="AQ36" s="225"/>
      <c r="AT36" s="225"/>
      <c r="AV36" s="225"/>
    </row>
    <row r="37" customFormat="false" ht="12.75" hidden="false" customHeight="false" outlineLevel="0" collapsed="false">
      <c r="F37" s="225"/>
      <c r="H37" s="225"/>
      <c r="K37" s="225"/>
      <c r="M37" s="225"/>
      <c r="P37" s="225"/>
      <c r="Q37" s="224"/>
      <c r="R37" s="223"/>
      <c r="U37" s="225"/>
      <c r="W37" s="225"/>
      <c r="Z37" s="225"/>
      <c r="AB37" s="225"/>
      <c r="AE37" s="225"/>
      <c r="AG37" s="225"/>
      <c r="AJ37" s="225"/>
      <c r="AL37" s="225"/>
      <c r="AO37" s="225"/>
      <c r="AQ37" s="225"/>
      <c r="AT37" s="225"/>
      <c r="AV37" s="225"/>
    </row>
    <row r="38" customFormat="false" ht="12.75" hidden="false" customHeight="false" outlineLevel="0" collapsed="false">
      <c r="F38" s="225"/>
      <c r="H38" s="225"/>
      <c r="K38" s="225"/>
      <c r="M38" s="225"/>
      <c r="P38" s="225"/>
      <c r="R38" s="225"/>
      <c r="U38" s="225"/>
      <c r="W38" s="225"/>
      <c r="Z38" s="225"/>
      <c r="AB38" s="225"/>
      <c r="AE38" s="225"/>
      <c r="AG38" s="225"/>
      <c r="AJ38" s="225"/>
      <c r="AL38" s="225"/>
      <c r="AO38" s="225"/>
      <c r="AQ38" s="225"/>
      <c r="AT38" s="225"/>
      <c r="AV38" s="225"/>
    </row>
    <row r="39" customFormat="false" ht="12.75" hidden="false" customHeight="false" outlineLevel="0" collapsed="false">
      <c r="F39" s="225"/>
      <c r="H39" s="225"/>
      <c r="K39" s="225"/>
      <c r="M39" s="225"/>
      <c r="P39" s="225"/>
      <c r="R39" s="225"/>
      <c r="U39" s="225"/>
      <c r="W39" s="225"/>
      <c r="Z39" s="225"/>
      <c r="AB39" s="225"/>
      <c r="AE39" s="225"/>
      <c r="AG39" s="225"/>
      <c r="AJ39" s="225"/>
      <c r="AL39" s="225"/>
      <c r="AO39" s="225"/>
      <c r="AQ39" s="225"/>
      <c r="AT39" s="225"/>
      <c r="AV39" s="225"/>
    </row>
    <row r="40" customFormat="false" ht="12.75" hidden="false" customHeight="false" outlineLevel="0" collapsed="false">
      <c r="F40" s="225"/>
      <c r="H40" s="225"/>
      <c r="K40" s="225"/>
      <c r="M40" s="225"/>
      <c r="P40" s="225"/>
      <c r="R40" s="225"/>
      <c r="U40" s="225"/>
      <c r="W40" s="225"/>
      <c r="Z40" s="225"/>
      <c r="AB40" s="225"/>
      <c r="AE40" s="225"/>
      <c r="AG40" s="225"/>
      <c r="AJ40" s="225"/>
      <c r="AL40" s="225"/>
      <c r="AO40" s="225"/>
      <c r="AQ40" s="225"/>
      <c r="AT40" s="225"/>
      <c r="AV40" s="225"/>
    </row>
    <row r="41" customFormat="false" ht="12.75" hidden="false" customHeight="false" outlineLevel="0" collapsed="false">
      <c r="F41" s="225"/>
      <c r="H41" s="225"/>
      <c r="K41" s="225"/>
      <c r="M41" s="225"/>
      <c r="P41" s="225"/>
      <c r="R41" s="225"/>
      <c r="U41" s="225"/>
      <c r="W41" s="225"/>
      <c r="Z41" s="225"/>
      <c r="AB41" s="225"/>
      <c r="AE41" s="225"/>
      <c r="AG41" s="225"/>
      <c r="AJ41" s="225"/>
      <c r="AL41" s="225"/>
      <c r="AO41" s="225"/>
      <c r="AQ41" s="225"/>
      <c r="AT41" s="225"/>
      <c r="AV41" s="225"/>
    </row>
    <row r="42" customFormat="false" ht="12.75" hidden="false" customHeight="false" outlineLevel="0" collapsed="false">
      <c r="F42" s="225"/>
      <c r="H42" s="225"/>
      <c r="K42" s="225"/>
      <c r="M42" s="225"/>
      <c r="P42" s="225"/>
      <c r="R42" s="225"/>
      <c r="U42" s="225"/>
      <c r="W42" s="225"/>
      <c r="Z42" s="225"/>
      <c r="AB42" s="225"/>
      <c r="AE42" s="225"/>
      <c r="AG42" s="225"/>
      <c r="AJ42" s="225"/>
      <c r="AL42" s="225"/>
      <c r="AO42" s="225"/>
      <c r="AQ42" s="225"/>
      <c r="AT42" s="225"/>
      <c r="AV42" s="225"/>
    </row>
    <row r="43" customFormat="false" ht="12.75" hidden="false" customHeight="false" outlineLevel="0" collapsed="false">
      <c r="F43" s="225"/>
      <c r="H43" s="225"/>
      <c r="K43" s="225"/>
      <c r="M43" s="225"/>
      <c r="P43" s="225"/>
      <c r="R43" s="225"/>
      <c r="U43" s="225"/>
      <c r="W43" s="225"/>
      <c r="Z43" s="225"/>
      <c r="AB43" s="225"/>
      <c r="AE43" s="225"/>
      <c r="AG43" s="225"/>
      <c r="AJ43" s="225"/>
      <c r="AL43" s="225"/>
      <c r="AO43" s="225"/>
      <c r="AQ43" s="225"/>
      <c r="AT43" s="225"/>
      <c r="AV43" s="225"/>
    </row>
    <row r="44" customFormat="false" ht="12.75" hidden="false" customHeight="false" outlineLevel="0" collapsed="false">
      <c r="F44" s="225"/>
      <c r="H44" s="225"/>
      <c r="K44" s="225"/>
      <c r="M44" s="225"/>
      <c r="P44" s="225"/>
      <c r="R44" s="225"/>
      <c r="U44" s="225"/>
      <c r="W44" s="225"/>
      <c r="Z44" s="225"/>
      <c r="AB44" s="225"/>
      <c r="AE44" s="225"/>
      <c r="AG44" s="225"/>
      <c r="AJ44" s="225"/>
      <c r="AL44" s="225"/>
      <c r="AO44" s="225"/>
      <c r="AQ44" s="225"/>
      <c r="AT44" s="225"/>
      <c r="AV44" s="225"/>
    </row>
    <row r="45" customFormat="false" ht="12.75" hidden="false" customHeight="false" outlineLevel="0" collapsed="false">
      <c r="F45" s="225"/>
      <c r="H45" s="225"/>
      <c r="K45" s="225"/>
      <c r="M45" s="225"/>
      <c r="P45" s="225"/>
      <c r="R45" s="225"/>
      <c r="U45" s="225"/>
      <c r="W45" s="225"/>
      <c r="Z45" s="225"/>
      <c r="AB45" s="225"/>
      <c r="AE45" s="225"/>
      <c r="AG45" s="225"/>
      <c r="AJ45" s="225"/>
      <c r="AL45" s="225"/>
      <c r="AO45" s="225"/>
      <c r="AQ45" s="225"/>
      <c r="AT45" s="225"/>
      <c r="AV45" s="225"/>
    </row>
    <row r="46" customFormat="false" ht="12.75" hidden="false" customHeight="false" outlineLevel="0" collapsed="false">
      <c r="F46" s="225"/>
      <c r="H46" s="225"/>
      <c r="K46" s="225"/>
      <c r="M46" s="225"/>
      <c r="P46" s="225"/>
      <c r="R46" s="225"/>
      <c r="U46" s="225"/>
      <c r="W46" s="225"/>
      <c r="Z46" s="225"/>
      <c r="AB46" s="225"/>
      <c r="AE46" s="225"/>
      <c r="AG46" s="225"/>
      <c r="AJ46" s="225"/>
      <c r="AL46" s="225"/>
      <c r="AO46" s="225"/>
      <c r="AQ46" s="225"/>
      <c r="AT46" s="225"/>
      <c r="AV46" s="225"/>
    </row>
    <row r="47" customFormat="false" ht="12.75" hidden="false" customHeight="false" outlineLevel="0" collapsed="false">
      <c r="F47" s="225"/>
      <c r="H47" s="225"/>
      <c r="K47" s="225"/>
      <c r="M47" s="225"/>
      <c r="P47" s="225"/>
      <c r="R47" s="225"/>
      <c r="U47" s="225"/>
      <c r="W47" s="225"/>
      <c r="Z47" s="225"/>
      <c r="AB47" s="225"/>
      <c r="AE47" s="225"/>
      <c r="AG47" s="225"/>
      <c r="AJ47" s="225"/>
      <c r="AL47" s="225"/>
      <c r="AO47" s="225"/>
      <c r="AQ47" s="225"/>
      <c r="AT47" s="225"/>
      <c r="AV47" s="225"/>
    </row>
    <row r="48" customFormat="false" ht="12.75" hidden="false" customHeight="false" outlineLevel="0" collapsed="false">
      <c r="F48" s="225"/>
      <c r="H48" s="225"/>
      <c r="K48" s="225"/>
      <c r="M48" s="225"/>
      <c r="P48" s="225"/>
      <c r="R48" s="225"/>
      <c r="U48" s="225"/>
      <c r="W48" s="225"/>
      <c r="Z48" s="225"/>
      <c r="AB48" s="225"/>
      <c r="AE48" s="225"/>
      <c r="AG48" s="225"/>
      <c r="AJ48" s="225"/>
      <c r="AL48" s="225"/>
      <c r="AO48" s="225"/>
      <c r="AQ48" s="225"/>
      <c r="AT48" s="225"/>
      <c r="AV48" s="225"/>
    </row>
    <row r="49" customFormat="false" ht="12.75" hidden="false" customHeight="false" outlineLevel="0" collapsed="false">
      <c r="F49" s="225"/>
      <c r="H49" s="225"/>
      <c r="K49" s="225"/>
      <c r="M49" s="225"/>
      <c r="P49" s="225"/>
      <c r="R49" s="225"/>
      <c r="U49" s="225"/>
      <c r="W49" s="225"/>
      <c r="Z49" s="225"/>
      <c r="AB49" s="225"/>
      <c r="AE49" s="225"/>
      <c r="AG49" s="225"/>
      <c r="AJ49" s="225"/>
      <c r="AL49" s="225"/>
      <c r="AO49" s="225"/>
      <c r="AQ49" s="225"/>
      <c r="AT49" s="225"/>
      <c r="AV49" s="225"/>
    </row>
    <row r="50" customFormat="false" ht="12.75" hidden="false" customHeight="false" outlineLevel="0" collapsed="false">
      <c r="F50" s="225"/>
      <c r="H50" s="225"/>
      <c r="K50" s="225"/>
      <c r="M50" s="225"/>
      <c r="P50" s="225"/>
      <c r="R50" s="225"/>
      <c r="U50" s="225"/>
      <c r="W50" s="225"/>
      <c r="Z50" s="225"/>
      <c r="AB50" s="225"/>
      <c r="AE50" s="225"/>
      <c r="AG50" s="225"/>
      <c r="AJ50" s="225"/>
      <c r="AL50" s="225"/>
      <c r="AO50" s="225"/>
      <c r="AQ50" s="225"/>
      <c r="AT50" s="225"/>
      <c r="AV50" s="225"/>
    </row>
    <row r="51" customFormat="false" ht="12.75" hidden="false" customHeight="false" outlineLevel="0" collapsed="false">
      <c r="F51" s="225"/>
      <c r="H51" s="225"/>
      <c r="K51" s="225"/>
      <c r="M51" s="225"/>
      <c r="P51" s="225"/>
      <c r="R51" s="225"/>
      <c r="U51" s="225"/>
      <c r="W51" s="225"/>
      <c r="Z51" s="225"/>
      <c r="AB51" s="225"/>
      <c r="AE51" s="225"/>
      <c r="AG51" s="225"/>
      <c r="AJ51" s="225"/>
      <c r="AL51" s="225"/>
      <c r="AO51" s="225"/>
      <c r="AQ51" s="225"/>
      <c r="AT51" s="225"/>
      <c r="AV51" s="225"/>
    </row>
    <row r="52" customFormat="false" ht="12.75" hidden="false" customHeight="false" outlineLevel="0" collapsed="false">
      <c r="F52" s="225"/>
      <c r="H52" s="225"/>
      <c r="K52" s="225"/>
      <c r="M52" s="225"/>
      <c r="P52" s="225"/>
      <c r="R52" s="225"/>
      <c r="U52" s="225"/>
      <c r="W52" s="225"/>
      <c r="Z52" s="225"/>
      <c r="AB52" s="225"/>
      <c r="AE52" s="225"/>
      <c r="AG52" s="225"/>
      <c r="AJ52" s="225"/>
      <c r="AL52" s="225"/>
      <c r="AO52" s="225"/>
      <c r="AQ52" s="225"/>
      <c r="AT52" s="225"/>
      <c r="AV52" s="225"/>
    </row>
    <row r="53" customFormat="false" ht="12.75" hidden="false" customHeight="false" outlineLevel="0" collapsed="false">
      <c r="F53" s="225"/>
      <c r="H53" s="225"/>
      <c r="K53" s="225"/>
      <c r="M53" s="225"/>
      <c r="P53" s="225"/>
      <c r="R53" s="225"/>
      <c r="U53" s="225"/>
      <c r="W53" s="225"/>
      <c r="Z53" s="225"/>
      <c r="AB53" s="225"/>
      <c r="AE53" s="225"/>
      <c r="AG53" s="225"/>
      <c r="AJ53" s="225"/>
      <c r="AL53" s="225"/>
      <c r="AO53" s="225"/>
      <c r="AQ53" s="225"/>
      <c r="AT53" s="225"/>
      <c r="AV53" s="225"/>
    </row>
    <row r="54" customFormat="false" ht="12.75" hidden="false" customHeight="false" outlineLevel="0" collapsed="false">
      <c r="F54" s="225"/>
      <c r="H54" s="225"/>
      <c r="K54" s="225"/>
      <c r="M54" s="225"/>
      <c r="P54" s="225"/>
      <c r="R54" s="225"/>
      <c r="U54" s="225"/>
      <c r="W54" s="225"/>
      <c r="Z54" s="225"/>
      <c r="AB54" s="225"/>
      <c r="AE54" s="225"/>
      <c r="AG54" s="225"/>
      <c r="AJ54" s="225"/>
      <c r="AL54" s="225"/>
      <c r="AO54" s="225"/>
      <c r="AQ54" s="225"/>
      <c r="AT54" s="225"/>
      <c r="AV54" s="225"/>
    </row>
    <row r="55" customFormat="false" ht="12.75" hidden="false" customHeight="false" outlineLevel="0" collapsed="false">
      <c r="F55" s="225"/>
      <c r="H55" s="225"/>
      <c r="K55" s="225"/>
      <c r="M55" s="225"/>
      <c r="P55" s="225"/>
      <c r="R55" s="225"/>
      <c r="U55" s="225"/>
      <c r="W55" s="225"/>
      <c r="Z55" s="225"/>
      <c r="AB55" s="225"/>
      <c r="AE55" s="225"/>
      <c r="AG55" s="225"/>
      <c r="AJ55" s="225"/>
      <c r="AL55" s="225"/>
      <c r="AO55" s="225"/>
      <c r="AQ55" s="225"/>
      <c r="AT55" s="225"/>
      <c r="AV55" s="225"/>
    </row>
    <row r="56" customFormat="false" ht="12.75" hidden="false" customHeight="false" outlineLevel="0" collapsed="false">
      <c r="F56" s="225"/>
      <c r="H56" s="225"/>
      <c r="K56" s="225"/>
      <c r="M56" s="225"/>
      <c r="P56" s="225"/>
      <c r="R56" s="225"/>
      <c r="U56" s="225"/>
      <c r="W56" s="225"/>
      <c r="Z56" s="225"/>
      <c r="AB56" s="225"/>
      <c r="AE56" s="225"/>
      <c r="AG56" s="225"/>
      <c r="AJ56" s="225"/>
      <c r="AL56" s="225"/>
      <c r="AO56" s="225"/>
      <c r="AQ56" s="225"/>
      <c r="AT56" s="225"/>
      <c r="AV56" s="225"/>
    </row>
  </sheetData>
  <mergeCells count="12">
    <mergeCell ref="E1:M1"/>
    <mergeCell ref="P1:W1"/>
    <mergeCell ref="Y1:AG1"/>
    <mergeCell ref="E2:H2"/>
    <mergeCell ref="J2:M2"/>
    <mergeCell ref="O2:R2"/>
    <mergeCell ref="T2:W2"/>
    <mergeCell ref="Y2:AB2"/>
    <mergeCell ref="AD2:AG2"/>
    <mergeCell ref="AI2:AL2"/>
    <mergeCell ref="AN2:AQ2"/>
    <mergeCell ref="AS2:AV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AS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1" min="1" style="0" width="23.42"/>
    <col collapsed="false" customWidth="true" hidden="false" outlineLevel="0" max="2" min="2" style="0" width="16.13"/>
    <col collapsed="false" customWidth="true" hidden="false" outlineLevel="0" max="4" min="3" style="0" width="9.7"/>
  </cols>
  <sheetData>
    <row r="5" customFormat="false" ht="12" hidden="false" customHeight="false" outlineLevel="0" collapsed="false">
      <c r="B5" s="239" t="s">
        <v>394</v>
      </c>
      <c r="C5" s="240" t="n">
        <v>36861</v>
      </c>
      <c r="D5" s="240" t="n">
        <v>36892</v>
      </c>
      <c r="E5" s="240" t="n">
        <v>36923</v>
      </c>
      <c r="F5" s="240" t="n">
        <v>36951</v>
      </c>
      <c r="G5" s="240" t="n">
        <v>36982</v>
      </c>
      <c r="H5" s="240" t="n">
        <v>37012</v>
      </c>
      <c r="I5" s="240" t="n">
        <v>37043</v>
      </c>
      <c r="J5" s="240" t="n">
        <v>37073</v>
      </c>
      <c r="K5" s="240" t="n">
        <v>37104</v>
      </c>
      <c r="L5" s="240" t="n">
        <v>37135</v>
      </c>
      <c r="M5" s="240" t="n">
        <v>37165</v>
      </c>
      <c r="N5" s="240" t="n">
        <v>37196</v>
      </c>
      <c r="O5" s="240" t="n">
        <v>37226</v>
      </c>
      <c r="P5" s="241" t="n">
        <v>37257</v>
      </c>
      <c r="Q5" s="240" t="n">
        <v>37288</v>
      </c>
      <c r="R5" s="240" t="n">
        <v>37316</v>
      </c>
      <c r="S5" s="240" t="n">
        <v>37347</v>
      </c>
      <c r="T5" s="242" t="n">
        <v>37377</v>
      </c>
      <c r="U5" s="240" t="n">
        <v>37408</v>
      </c>
      <c r="V5" s="240" t="n">
        <v>37438</v>
      </c>
      <c r="W5" s="242" t="n">
        <v>37469</v>
      </c>
      <c r="X5" s="240" t="n">
        <v>37500</v>
      </c>
      <c r="Y5" s="240" t="n">
        <v>37530</v>
      </c>
      <c r="Z5" s="240" t="n">
        <v>37561</v>
      </c>
      <c r="AA5" s="240" t="n">
        <v>37591</v>
      </c>
      <c r="AB5" s="240" t="n">
        <v>37622</v>
      </c>
      <c r="AC5" s="240" t="n">
        <v>37653</v>
      </c>
      <c r="AD5" s="240" t="n">
        <v>37681</v>
      </c>
      <c r="AE5" s="240" t="n">
        <v>37712</v>
      </c>
      <c r="AF5" s="240" t="n">
        <v>37742</v>
      </c>
      <c r="AG5" s="240" t="n">
        <v>37773</v>
      </c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</row>
    <row r="6" customFormat="false" ht="12" hidden="false" customHeight="false" outlineLevel="0" collapsed="false">
      <c r="C6" s="0" t="n">
        <v>0</v>
      </c>
      <c r="D6" s="0" t="n">
        <v>1</v>
      </c>
      <c r="E6" s="0" t="n">
        <v>2</v>
      </c>
      <c r="F6" s="0" t="n">
        <v>3</v>
      </c>
      <c r="G6" s="0" t="n">
        <v>4</v>
      </c>
      <c r="H6" s="0" t="n">
        <v>5</v>
      </c>
      <c r="I6" s="0" t="n">
        <v>6</v>
      </c>
      <c r="J6" s="0" t="n">
        <v>7</v>
      </c>
      <c r="K6" s="0" t="n">
        <v>8</v>
      </c>
      <c r="L6" s="0" t="n">
        <v>9</v>
      </c>
      <c r="M6" s="0" t="n">
        <v>10</v>
      </c>
      <c r="N6" s="0" t="n">
        <v>11</v>
      </c>
      <c r="O6" s="0" t="n">
        <v>12</v>
      </c>
      <c r="P6" s="243" t="n">
        <v>13</v>
      </c>
      <c r="Q6" s="0" t="n">
        <v>14</v>
      </c>
      <c r="R6" s="0" t="n">
        <v>15</v>
      </c>
      <c r="S6" s="0" t="n">
        <v>16</v>
      </c>
      <c r="T6" s="244" t="n">
        <v>17</v>
      </c>
      <c r="U6" s="0" t="n">
        <v>18</v>
      </c>
      <c r="V6" s="0" t="n">
        <v>19</v>
      </c>
      <c r="W6" s="244" t="n">
        <v>20</v>
      </c>
      <c r="X6" s="0" t="n">
        <v>21</v>
      </c>
      <c r="Y6" s="0" t="n">
        <v>22</v>
      </c>
      <c r="Z6" s="0" t="n">
        <v>23</v>
      </c>
      <c r="AA6" s="0" t="n">
        <v>24</v>
      </c>
      <c r="AB6" s="0" t="n">
        <v>25</v>
      </c>
      <c r="AC6" s="0" t="n">
        <v>26</v>
      </c>
      <c r="AD6" s="0" t="n">
        <v>27</v>
      </c>
      <c r="AE6" s="0" t="n">
        <v>28</v>
      </c>
      <c r="AF6" s="0" t="n">
        <v>29</v>
      </c>
      <c r="AG6" s="0" t="n">
        <v>30</v>
      </c>
    </row>
    <row r="7" customFormat="false" ht="12" hidden="false" customHeight="false" outlineLevel="0" collapsed="false">
      <c r="A7" s="0" t="s">
        <v>395</v>
      </c>
      <c r="B7" s="0" t="n">
        <v>10</v>
      </c>
      <c r="C7" s="0" t="s">
        <v>109</v>
      </c>
    </row>
    <row r="8" customFormat="false" ht="12" hidden="false" customHeight="false" outlineLevel="0" collapsed="false">
      <c r="A8" s="0" t="s">
        <v>396</v>
      </c>
      <c r="B8" s="0" t="n">
        <v>10</v>
      </c>
      <c r="C8" s="0" t="s">
        <v>109</v>
      </c>
      <c r="D8" s="0" t="s">
        <v>109</v>
      </c>
    </row>
    <row r="9" customFormat="false" ht="12" hidden="false" customHeight="false" outlineLevel="0" collapsed="false">
      <c r="A9" s="0" t="s">
        <v>397</v>
      </c>
      <c r="B9" s="0" t="n">
        <v>1</v>
      </c>
      <c r="D9" s="0" t="s">
        <v>109</v>
      </c>
    </row>
    <row r="10" customFormat="false" ht="12" hidden="false" customHeight="false" outlineLevel="0" collapsed="false">
      <c r="A10" s="0" t="s">
        <v>398</v>
      </c>
      <c r="D10" s="0" t="s">
        <v>266</v>
      </c>
    </row>
    <row r="11" customFormat="false" ht="12" hidden="false" customHeight="false" outlineLevel="0" collapsed="false">
      <c r="A11" s="0" t="s">
        <v>399</v>
      </c>
      <c r="D11" s="0" t="s">
        <v>266</v>
      </c>
      <c r="E11" s="0" t="s">
        <v>266</v>
      </c>
    </row>
    <row r="12" customFormat="false" ht="12" hidden="false" customHeight="false" outlineLevel="0" collapsed="false">
      <c r="A12" s="0" t="s">
        <v>400</v>
      </c>
      <c r="D12" s="0" t="s">
        <v>266</v>
      </c>
      <c r="E12" s="0" t="s">
        <v>266</v>
      </c>
      <c r="F12" s="0" t="s">
        <v>266</v>
      </c>
    </row>
    <row r="13" customFormat="false" ht="12" hidden="false" customHeight="false" outlineLevel="0" collapsed="false">
      <c r="A13" s="0" t="s">
        <v>401</v>
      </c>
      <c r="F13" s="0" t="s">
        <v>266</v>
      </c>
    </row>
    <row r="14" customFormat="false" ht="12" hidden="false" customHeight="false" outlineLevel="0" collapsed="false">
      <c r="A14" s="0" t="s">
        <v>402</v>
      </c>
      <c r="F14" s="0" t="s">
        <v>266</v>
      </c>
      <c r="G14" s="0" t="s">
        <v>266</v>
      </c>
    </row>
    <row r="15" customFormat="false" ht="12" hidden="false" customHeight="false" outlineLevel="0" collapsed="false">
      <c r="A15" s="0" t="s">
        <v>403</v>
      </c>
      <c r="G15" s="0" t="s">
        <v>266</v>
      </c>
      <c r="H15" s="0" t="s">
        <v>266</v>
      </c>
    </row>
    <row r="16" customFormat="false" ht="12" hidden="false" customHeight="false" outlineLevel="0" collapsed="false">
      <c r="A16" s="0" t="s">
        <v>404</v>
      </c>
      <c r="B16" s="0" t="s">
        <v>405</v>
      </c>
      <c r="H16" s="0" t="s">
        <v>406</v>
      </c>
      <c r="I16" s="0" t="s">
        <v>407</v>
      </c>
      <c r="J16" s="0" t="s">
        <v>408</v>
      </c>
      <c r="K16" s="0" t="s">
        <v>409</v>
      </c>
      <c r="L16" s="0" t="s">
        <v>410</v>
      </c>
      <c r="M16" s="0" t="s">
        <v>411</v>
      </c>
    </row>
    <row r="17" customFormat="false" ht="12" hidden="false" customHeight="false" outlineLevel="0" collapsed="false">
      <c r="A17" s="187" t="s">
        <v>412</v>
      </c>
    </row>
    <row r="18" customFormat="false" ht="12" hidden="false" customHeight="false" outlineLevel="0" collapsed="false">
      <c r="A18" s="0" t="s">
        <v>413</v>
      </c>
      <c r="B18" s="0" t="n">
        <f aca="false">6*22</f>
        <v>132</v>
      </c>
      <c r="C18" s="0" t="s">
        <v>414</v>
      </c>
      <c r="H18" s="32" t="n">
        <f aca="false">ROUND(0.25*22,0)</f>
        <v>6</v>
      </c>
      <c r="I18" s="32" t="n">
        <f aca="false">ROUND(IF(SUM($H18:H18)+22&gt;$B18,$B18-SUM($H18:H18),22),0)</f>
        <v>22</v>
      </c>
      <c r="J18" s="32" t="n">
        <f aca="false">ROUND(IF(SUM($H18:I18)+22&gt;$B18,$B18-SUM($H18:I18),22),0)</f>
        <v>22</v>
      </c>
      <c r="K18" s="32" t="n">
        <f aca="false">ROUND(IF(SUM($H18:J18)+22&gt;$B18,$B18-SUM($H18:J18),22),0)</f>
        <v>22</v>
      </c>
      <c r="L18" s="32" t="n">
        <f aca="false">ROUND(IF(SUM($H18:K18)+22&gt;$B18,$B18-SUM($H18:K18),22),0)</f>
        <v>22</v>
      </c>
      <c r="M18" s="32" t="n">
        <f aca="false">ROUND(IF(SUM($H18:L18)+22&gt;$B18,$B18-SUM($H18:L18),22),0)</f>
        <v>22</v>
      </c>
      <c r="N18" s="32" t="n">
        <f aca="false">ROUND(IF(SUM($H18:M18)+22&gt;$B18,$B18-SUM($H18:M18),22),0)</f>
        <v>16</v>
      </c>
    </row>
    <row r="19" customFormat="false" ht="12" hidden="false" customHeight="false" outlineLevel="0" collapsed="false">
      <c r="A19" s="0" t="s">
        <v>415</v>
      </c>
      <c r="B19" s="0" t="n">
        <f aca="false">5*22</f>
        <v>110</v>
      </c>
      <c r="C19" s="0" t="s">
        <v>414</v>
      </c>
      <c r="I19" s="32" t="n">
        <f aca="false">ROUND(0.5*22,0)</f>
        <v>11</v>
      </c>
      <c r="J19" s="32" t="n">
        <f aca="false">ROUND(IF(SUM($H19:I19)+22&gt;$B19,$B19-SUM($H19:I19),22),0)</f>
        <v>22</v>
      </c>
      <c r="K19" s="32" t="n">
        <f aca="false">ROUND(IF(SUM($H19:J19)+22&gt;$B19,$B19-SUM($H19:J19),22),0)</f>
        <v>22</v>
      </c>
      <c r="L19" s="32" t="n">
        <f aca="false">ROUND(IF(SUM($H19:K19)+22&gt;$B19,$B19-SUM($H19:K19),22),0)</f>
        <v>22</v>
      </c>
      <c r="M19" s="32" t="n">
        <f aca="false">ROUND(IF(SUM($H19:L19)+22&gt;$B19,$B19-SUM($H19:L19),22),0)</f>
        <v>22</v>
      </c>
      <c r="N19" s="32" t="n">
        <f aca="false">ROUND(IF(SUM($H19:M19)+22&gt;$B19,$B19-SUM($H19:M19),22),0)</f>
        <v>11</v>
      </c>
      <c r="O19" s="32" t="n">
        <f aca="false">ROUND(IF(SUM($H19:N19)+22&gt;$B19,$B19-SUM($H19:N19),22),0)</f>
        <v>0</v>
      </c>
    </row>
    <row r="20" customFormat="false" ht="12" hidden="false" customHeight="false" outlineLevel="0" collapsed="false">
      <c r="A20" s="0" t="s">
        <v>416</v>
      </c>
      <c r="B20" s="0" t="n">
        <f aca="false">5*22</f>
        <v>110</v>
      </c>
      <c r="C20" s="0" t="s">
        <v>414</v>
      </c>
      <c r="I20" s="32"/>
      <c r="J20" s="32" t="n">
        <f aca="false">ROUND(0.75*22,0)</f>
        <v>17</v>
      </c>
      <c r="K20" s="32" t="n">
        <f aca="false">ROUND(IF(SUM($H20:J20)+22&gt;$B20,$B20-SUM($H20:J20),22),0)</f>
        <v>22</v>
      </c>
      <c r="L20" s="32" t="n">
        <f aca="false">ROUND(IF(SUM($H20:K20)+22&gt;$B20,$B20-SUM($H20:K20),22),0)</f>
        <v>22</v>
      </c>
      <c r="M20" s="32" t="n">
        <f aca="false">ROUND(IF(SUM($H20:L20)+22&gt;$B20,$B20-SUM($H20:L20),22),0)</f>
        <v>22</v>
      </c>
      <c r="N20" s="32" t="n">
        <f aca="false">ROUND(IF(SUM($H20:M20)+22&gt;$B20,$B20-SUM($H20:M20),22),0)</f>
        <v>22</v>
      </c>
      <c r="O20" s="32" t="n">
        <f aca="false">ROUND(IF(SUM($H20:N20)+22&gt;$B20,$B20-SUM($H20:N20),22),0)</f>
        <v>5</v>
      </c>
      <c r="P20" s="32" t="n">
        <f aca="false">ROUND(IF(SUM($H20:O20)+22&gt;$B20,$B20-SUM($H20:O20),22),0)</f>
        <v>0</v>
      </c>
    </row>
    <row r="21" customFormat="false" ht="12" hidden="false" customHeight="false" outlineLevel="0" collapsed="false">
      <c r="A21" s="0" t="s">
        <v>417</v>
      </c>
      <c r="B21" s="0" t="n">
        <f aca="false">5*22</f>
        <v>110</v>
      </c>
      <c r="C21" s="0" t="s">
        <v>414</v>
      </c>
      <c r="K21" s="32" t="n">
        <f aca="false">ROUND(1*22,0)</f>
        <v>22</v>
      </c>
      <c r="L21" s="32" t="n">
        <f aca="false">ROUND(IF(SUM($H21:K21)+22&gt;$B21,$B21-SUM($H21:K21),22),0)</f>
        <v>22</v>
      </c>
      <c r="M21" s="32" t="n">
        <f aca="false">ROUND(IF(SUM($H21:L21)+22&gt;$B21,$B21-SUM($H21:L21),22),0)</f>
        <v>22</v>
      </c>
      <c r="N21" s="32" t="n">
        <f aca="false">ROUND(IF(SUM($H21:M21)+22&gt;$B21,$B21-SUM($H21:M21),22),0)</f>
        <v>22</v>
      </c>
      <c r="O21" s="32" t="n">
        <f aca="false">ROUND(IF(SUM($H21:N21)+22&gt;$B21,$B21-SUM($H21:N21),22),0)</f>
        <v>22</v>
      </c>
      <c r="P21" s="32" t="n">
        <f aca="false">ROUND(IF(SUM($H21:O21)+22&gt;$B21,$B21-SUM($H21:O21),22),0)</f>
        <v>0</v>
      </c>
      <c r="Q21" s="32" t="n">
        <f aca="false">ROUND(IF(SUM($H21:P21)+22&gt;$B21,$B21-SUM($H21:P21),22),0)</f>
        <v>0</v>
      </c>
    </row>
    <row r="22" customFormat="false" ht="12" hidden="false" customHeight="false" outlineLevel="0" collapsed="false">
      <c r="A22" s="0" t="s">
        <v>418</v>
      </c>
      <c r="B22" s="0" t="n">
        <f aca="false">5*22</f>
        <v>110</v>
      </c>
      <c r="C22" s="0" t="s">
        <v>414</v>
      </c>
      <c r="K22" s="32" t="n">
        <f aca="false">ROUND(0.25*22,0)</f>
        <v>6</v>
      </c>
      <c r="L22" s="32" t="n">
        <f aca="false">ROUND(IF(SUM($H22:K22)+22&gt;$B22,$B22-SUM($H22:K22),22),0)</f>
        <v>22</v>
      </c>
      <c r="M22" s="32" t="n">
        <f aca="false">ROUND(IF(SUM($H22:L22)+22&gt;$B22,$B22-SUM($H22:L22),22),0)</f>
        <v>22</v>
      </c>
      <c r="N22" s="32" t="n">
        <f aca="false">ROUND(IF(SUM($H22:M22)+22&gt;$B22,$B22-SUM($H22:M22),22),0)</f>
        <v>22</v>
      </c>
      <c r="O22" s="32" t="n">
        <f aca="false">ROUND(IF(SUM($H22:N22)+22&gt;$B22,$B22-SUM($H22:N22),22),0)</f>
        <v>22</v>
      </c>
      <c r="P22" s="32" t="n">
        <f aca="false">ROUND(IF(SUM($H22:O22)+22&gt;$B22,$B22-SUM($H22:O22),22),0)</f>
        <v>16</v>
      </c>
      <c r="Q22" s="32" t="n">
        <f aca="false">ROUND(IF(SUM($H22:P22)+22&gt;$B22,$B22-SUM($H22:P22),22),0)</f>
        <v>0</v>
      </c>
    </row>
    <row r="23" customFormat="false" ht="12" hidden="false" customHeight="false" outlineLevel="0" collapsed="false">
      <c r="A23" s="0" t="s">
        <v>419</v>
      </c>
      <c r="B23" s="0" t="n">
        <f aca="false">5*22</f>
        <v>110</v>
      </c>
      <c r="C23" s="0" t="s">
        <v>414</v>
      </c>
      <c r="L23" s="32" t="n">
        <f aca="false">ROUND(0.5*22,0)</f>
        <v>11</v>
      </c>
      <c r="M23" s="32" t="n">
        <f aca="false">ROUND(IF(SUM($H23:L23)+22&gt;$B23,$B23-SUM($H23:L23),22),0)</f>
        <v>22</v>
      </c>
      <c r="N23" s="32" t="n">
        <f aca="false">ROUND(IF(SUM($H23:M23)+22&gt;$B23,$B23-SUM($H23:M23),22),0)</f>
        <v>22</v>
      </c>
      <c r="O23" s="32" t="n">
        <f aca="false">ROUND(IF(SUM($H23:N23)+22&gt;$B23,$B23-SUM($H23:N23),22),0)</f>
        <v>22</v>
      </c>
      <c r="P23" s="32" t="n">
        <f aca="false">ROUND(IF(SUM($H23:O23)+22&gt;$B23,$B23-SUM($H23:O23),22),0)</f>
        <v>22</v>
      </c>
      <c r="Q23" s="32" t="n">
        <f aca="false">ROUND(IF(SUM($H23:P23)+22&gt;$B23,$B23-SUM($H23:P23),22),0)</f>
        <v>11</v>
      </c>
      <c r="R23" s="32" t="n">
        <f aca="false">ROUND(IF(SUM($H23:Q23)+22&gt;$B23,$B23-SUM($H23:Q23),22),0)</f>
        <v>0</v>
      </c>
    </row>
    <row r="24" customFormat="false" ht="12" hidden="false" customHeight="false" outlineLevel="0" collapsed="false">
      <c r="A24" s="0" t="s">
        <v>420</v>
      </c>
      <c r="B24" s="0" t="n">
        <f aca="false">5*22</f>
        <v>110</v>
      </c>
      <c r="C24" s="0" t="s">
        <v>414</v>
      </c>
      <c r="L24" s="32"/>
      <c r="M24" s="32" t="n">
        <f aca="false">ROUND(0.75*22,0)</f>
        <v>17</v>
      </c>
      <c r="N24" s="32" t="n">
        <f aca="false">ROUND(IF(SUM($H24:M24)+22&gt;$B24,$B24-SUM($H24:M24),22),0)</f>
        <v>22</v>
      </c>
      <c r="O24" s="32" t="n">
        <f aca="false">ROUND(IF(SUM($H24:N24)+22&gt;$B24,$B24-SUM($H24:N24),22),0)</f>
        <v>22</v>
      </c>
      <c r="P24" s="32" t="n">
        <f aca="false">ROUND(IF(SUM($H24:O24)+22&gt;$B24,$B24-SUM($H24:O24),22),0)</f>
        <v>22</v>
      </c>
      <c r="Q24" s="32" t="n">
        <f aca="false">ROUND(IF(SUM($H24:P24)+22&gt;$B24,$B24-SUM($H24:P24),22),0)</f>
        <v>22</v>
      </c>
      <c r="R24" s="32" t="n">
        <f aca="false">ROUND(IF(SUM($H24:Q24)+22&gt;$B24,$B24-SUM($H24:Q24),22),0)</f>
        <v>5</v>
      </c>
      <c r="S24" s="0" t="s">
        <v>266</v>
      </c>
    </row>
    <row r="25" customFormat="false" ht="12" hidden="false" customHeight="false" outlineLevel="0" collapsed="false">
      <c r="A25" s="0" t="s">
        <v>421</v>
      </c>
      <c r="B25" s="0" t="n">
        <f aca="false">5*22</f>
        <v>110</v>
      </c>
      <c r="C25" s="0" t="s">
        <v>414</v>
      </c>
      <c r="N25" s="32" t="n">
        <f aca="false">ROUND(1*22,0)</f>
        <v>22</v>
      </c>
      <c r="O25" s="32" t="n">
        <f aca="false">ROUND(IF(SUM($H25:N25)+22&gt;$B25,$B25-SUM($H25:N25),22),0)</f>
        <v>22</v>
      </c>
      <c r="P25" s="32" t="n">
        <f aca="false">ROUND(IF(SUM($H25:O25)+22&gt;$B25,$B25-SUM($H25:O25),22),0)</f>
        <v>22</v>
      </c>
      <c r="Q25" s="32" t="n">
        <f aca="false">ROUND(IF(SUM($H25:P25)+22&gt;$B25,$B25-SUM($H25:P25),22),0)</f>
        <v>22</v>
      </c>
      <c r="R25" s="32" t="n">
        <f aca="false">ROUND(IF(SUM($H25:Q25)+22&gt;$B25,$B25-SUM($H25:Q25),22),0)</f>
        <v>22</v>
      </c>
      <c r="S25" s="0" t="s">
        <v>266</v>
      </c>
    </row>
    <row r="27" customFormat="false" ht="12" hidden="false" customHeight="false" outlineLevel="0" collapsed="false">
      <c r="A27" s="187" t="s">
        <v>422</v>
      </c>
    </row>
    <row r="28" customFormat="false" ht="12" hidden="false" customHeight="false" outlineLevel="0" collapsed="false">
      <c r="A28" s="0" t="s">
        <v>423</v>
      </c>
      <c r="B28" s="0" t="n">
        <v>17</v>
      </c>
      <c r="C28" s="0" t="s">
        <v>424</v>
      </c>
      <c r="N28" s="245"/>
      <c r="P28" s="243" t="n">
        <v>17</v>
      </c>
    </row>
    <row r="29" customFormat="false" ht="12" hidden="false" customHeight="false" outlineLevel="0" collapsed="false">
      <c r="A29" s="0" t="s">
        <v>425</v>
      </c>
      <c r="B29" s="0" t="n">
        <v>17</v>
      </c>
      <c r="C29" s="0" t="s">
        <v>424</v>
      </c>
      <c r="N29" s="245"/>
      <c r="P29" s="243" t="n">
        <v>17</v>
      </c>
    </row>
    <row r="30" customFormat="false" ht="12" hidden="false" customHeight="false" outlineLevel="0" collapsed="false">
      <c r="A30" s="0" t="s">
        <v>426</v>
      </c>
      <c r="B30" s="0" t="n">
        <v>17</v>
      </c>
      <c r="C30" s="0" t="s">
        <v>424</v>
      </c>
      <c r="O30" s="245"/>
      <c r="T30" s="244" t="n">
        <v>17</v>
      </c>
    </row>
    <row r="31" customFormat="false" ht="12" hidden="false" customHeight="false" outlineLevel="0" collapsed="false">
      <c r="A31" s="0" t="s">
        <v>427</v>
      </c>
      <c r="B31" s="0" t="n">
        <v>17</v>
      </c>
      <c r="C31" s="0" t="s">
        <v>424</v>
      </c>
      <c r="O31" s="245"/>
      <c r="T31" s="244" t="n">
        <v>17</v>
      </c>
    </row>
    <row r="32" customFormat="false" ht="12" hidden="false" customHeight="false" outlineLevel="0" collapsed="false">
      <c r="A32" s="0" t="s">
        <v>428</v>
      </c>
      <c r="B32" s="0" t="n">
        <v>17</v>
      </c>
      <c r="C32" s="0" t="s">
        <v>424</v>
      </c>
      <c r="P32" s="245"/>
      <c r="T32" s="244" t="n">
        <v>17</v>
      </c>
    </row>
    <row r="33" customFormat="false" ht="12" hidden="false" customHeight="false" outlineLevel="0" collapsed="false">
      <c r="A33" s="0" t="s">
        <v>429</v>
      </c>
      <c r="B33" s="0" t="n">
        <v>16</v>
      </c>
      <c r="C33" s="0" t="s">
        <v>424</v>
      </c>
      <c r="Q33" s="245"/>
      <c r="T33" s="244" t="n">
        <v>17</v>
      </c>
    </row>
    <row r="34" customFormat="false" ht="12" hidden="false" customHeight="false" outlineLevel="0" collapsed="false">
      <c r="A34" s="0" t="s">
        <v>430</v>
      </c>
      <c r="B34" s="0" t="n">
        <v>16</v>
      </c>
      <c r="C34" s="0" t="s">
        <v>424</v>
      </c>
      <c r="R34" s="245"/>
      <c r="T34" s="244" t="n">
        <v>17</v>
      </c>
    </row>
    <row r="35" customFormat="false" ht="12" hidden="false" customHeight="false" outlineLevel="0" collapsed="false">
      <c r="A35" s="0" t="s">
        <v>431</v>
      </c>
      <c r="B35" s="0" t="n">
        <v>16</v>
      </c>
      <c r="C35" s="0" t="s">
        <v>424</v>
      </c>
      <c r="R35" s="245"/>
      <c r="T35" s="244" t="n">
        <v>17</v>
      </c>
    </row>
    <row r="36" customFormat="false" ht="12" hidden="false" customHeight="false" outlineLevel="0" collapsed="false">
      <c r="B36" s="0" t="n">
        <f aca="false">SUM(B28:B35)</f>
        <v>133</v>
      </c>
      <c r="C36" s="0" t="s">
        <v>424</v>
      </c>
    </row>
    <row r="37" customFormat="false" ht="12" hidden="false" customHeight="false" outlineLevel="0" collapsed="false">
      <c r="A37" s="0" t="s">
        <v>432</v>
      </c>
      <c r="AF37" s="246"/>
    </row>
    <row r="38" customFormat="false" ht="12" hidden="false" customHeight="false" outlineLevel="0" collapsed="false">
      <c r="A38" s="0" t="s">
        <v>433</v>
      </c>
      <c r="AD38" s="247"/>
      <c r="AE38" s="247"/>
    </row>
    <row r="39" customFormat="false" ht="12" hidden="false" customHeight="false" outlineLevel="0" collapsed="false">
      <c r="A39" s="0" t="s">
        <v>434</v>
      </c>
      <c r="AF39" s="248"/>
    </row>
  </sheetData>
  <printOptions headings="false" gridLines="true" gridLinesSet="true" horizontalCentered="true" verticalCentered="false"/>
  <pageMargins left="0.25" right="0.25" top="0.984027777777778" bottom="0.984027777777778" header="0.511811023622047" footer="0.5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 F:\My Documents\CREEKSIDE\SM134\ &amp;F
 &amp;A&amp;C&amp;8 &amp;R&amp;8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64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pane xSplit="4650" ySplit="1110" topLeftCell="M1" activePane="bottomRight" state="split"/>
      <selection pane="topLeft" activeCell="L1" activeCellId="0" sqref="L1"/>
      <selection pane="topRight" activeCell="M1" activeCellId="0" sqref="M1"/>
      <selection pane="bottomLeft" activeCell="L1" activeCellId="0" sqref="L1"/>
      <selection pane="bottomRight" activeCell="Z9" activeCellId="0" sqref="Z9"/>
    </sheetView>
  </sheetViews>
  <sheetFormatPr defaultColWidth="7.5625" defaultRowHeight="12" customHeight="true" zeroHeight="false" outlineLevelRow="0" outlineLevelCol="0"/>
  <cols>
    <col collapsed="false" customWidth="true" hidden="false" outlineLevel="0" max="1" min="1" style="99" width="8.42"/>
    <col collapsed="false" customWidth="true" hidden="false" outlineLevel="0" max="2" min="2" style="100" width="24.85"/>
    <col collapsed="false" customWidth="true" hidden="true" outlineLevel="0" max="3" min="3" style="100" width="5.85"/>
    <col collapsed="false" customWidth="true" hidden="true" outlineLevel="0" max="4" min="4" style="100" width="5.42"/>
    <col collapsed="false" customWidth="false" hidden="true" outlineLevel="0" max="11" min="5" style="100" width="7.56"/>
    <col collapsed="false" customWidth="true" hidden="false" outlineLevel="0" max="12" min="12" style="100" width="11.42"/>
    <col collapsed="false" customWidth="true" hidden="false" outlineLevel="0" max="14" min="13" style="100" width="9.85"/>
    <col collapsed="false" customWidth="true" hidden="false" outlineLevel="0" max="15" min="15" style="100" width="0.99"/>
    <col collapsed="false" customWidth="true" hidden="false" outlineLevel="0" max="16" min="16" style="100" width="11.99"/>
    <col collapsed="false" customWidth="true" hidden="false" outlineLevel="0" max="17" min="17" style="100" width="10.99"/>
    <col collapsed="false" customWidth="true" hidden="false" outlineLevel="0" max="18" min="18" style="100" width="12.42"/>
    <col collapsed="false" customWidth="true" hidden="false" outlineLevel="0" max="19" min="19" style="100" width="0.99"/>
    <col collapsed="false" customWidth="true" hidden="false" outlineLevel="0" max="20" min="20" style="100" width="13.56"/>
    <col collapsed="false" customWidth="true" hidden="false" outlineLevel="0" max="22" min="21" style="100" width="11.42"/>
    <col collapsed="false" customWidth="true" hidden="false" outlineLevel="0" max="23" min="23" style="100" width="0.99"/>
    <col collapsed="false" customWidth="true" hidden="false" outlineLevel="0" max="26" min="24" style="100" width="11.42"/>
    <col collapsed="false" customWidth="true" hidden="false" outlineLevel="0" max="27" min="27" style="100" width="0.99"/>
    <col collapsed="false" customWidth="true" hidden="false" outlineLevel="0" max="28" min="28" style="100" width="11.99"/>
    <col collapsed="false" customWidth="true" hidden="false" outlineLevel="0" max="29" min="29" style="100" width="8.56"/>
    <col collapsed="false" customWidth="false" hidden="false" outlineLevel="0" max="30" min="30" style="100" width="7.56"/>
    <col collapsed="false" customWidth="true" hidden="false" outlineLevel="0" max="31" min="31" style="100" width="0.99"/>
    <col collapsed="false" customWidth="true" hidden="false" outlineLevel="0" max="32" min="32" style="100" width="11.42"/>
    <col collapsed="false" customWidth="true" hidden="false" outlineLevel="0" max="33" min="33" style="100" width="3.56"/>
    <col collapsed="false" customWidth="true" hidden="false" outlineLevel="0" max="34" min="34" style="100" width="23.99"/>
    <col collapsed="false" customWidth="true" hidden="false" outlineLevel="0" max="35" min="35" style="100" width="7.7"/>
    <col collapsed="false" customWidth="true" hidden="false" outlineLevel="0" max="36" min="36" style="100" width="13.7"/>
    <col collapsed="false" customWidth="true" hidden="false" outlineLevel="0" max="37" min="37" style="100" width="9.56"/>
    <col collapsed="false" customWidth="true" hidden="false" outlineLevel="0" max="38" min="38" style="100" width="9.42"/>
    <col collapsed="false" customWidth="false" hidden="false" outlineLevel="0" max="39" min="39" style="100" width="7.56"/>
    <col collapsed="false" customWidth="true" hidden="false" outlineLevel="0" max="40" min="40" style="100" width="11.42"/>
    <col collapsed="false" customWidth="true" hidden="false" outlineLevel="0" max="41" min="41" style="100" width="18.99"/>
    <col collapsed="false" customWidth="true" hidden="false" outlineLevel="0" max="42" min="42" style="100" width="16.28"/>
    <col collapsed="false" customWidth="true" hidden="false" outlineLevel="0" max="43" min="43" style="100" width="19.99"/>
    <col collapsed="false" customWidth="false" hidden="false" outlineLevel="0" max="257" min="44" style="100" width="7.56"/>
  </cols>
  <sheetData>
    <row r="1" customFormat="false" ht="12" hidden="false" customHeight="false" outlineLevel="0" collapsed="false">
      <c r="B1" s="100" t="s">
        <v>60</v>
      </c>
      <c r="P1" s="101" t="n">
        <v>1.125</v>
      </c>
    </row>
    <row r="2" customFormat="false" ht="12" hidden="false" customHeight="false" outlineLevel="0" collapsed="false">
      <c r="B2" s="100" t="s">
        <v>64</v>
      </c>
      <c r="L2" s="103" t="n">
        <v>14</v>
      </c>
      <c r="P2" s="100" t="s">
        <v>61</v>
      </c>
      <c r="Q2" s="100" t="n">
        <v>133</v>
      </c>
    </row>
    <row r="3" customFormat="false" ht="12.75" hidden="false" customHeight="false" outlineLevel="0" collapsed="false">
      <c r="A3" s="99" t="s">
        <v>68</v>
      </c>
      <c r="B3" s="100" t="s">
        <v>69</v>
      </c>
      <c r="L3" s="100" t="s">
        <v>70</v>
      </c>
    </row>
    <row r="4" customFormat="false" ht="12.75" hidden="false" customHeight="false" outlineLevel="0" collapsed="false">
      <c r="B4" s="104" t="s">
        <v>73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6"/>
    </row>
    <row r="5" customFormat="false" ht="12" hidden="false" customHeight="false" outlineLevel="0" collapsed="false">
      <c r="E5" s="107" t="s">
        <v>75</v>
      </c>
      <c r="F5" s="107" t="s">
        <v>76</v>
      </c>
      <c r="G5" s="107" t="s">
        <v>77</v>
      </c>
      <c r="H5" s="107" t="s">
        <v>78</v>
      </c>
      <c r="I5" s="107" t="s">
        <v>79</v>
      </c>
      <c r="J5" s="107" t="s">
        <v>80</v>
      </c>
      <c r="K5" s="107" t="s">
        <v>81</v>
      </c>
      <c r="P5" s="108" t="s">
        <v>435</v>
      </c>
      <c r="Q5" s="108"/>
      <c r="R5" s="108"/>
      <c r="T5" s="108" t="s">
        <v>83</v>
      </c>
      <c r="U5" s="108"/>
      <c r="V5" s="108"/>
      <c r="W5" s="109"/>
      <c r="X5" s="108" t="s">
        <v>436</v>
      </c>
      <c r="Y5" s="108"/>
      <c r="Z5" s="108"/>
      <c r="AA5" s="109"/>
      <c r="AB5" s="108" t="s">
        <v>86</v>
      </c>
      <c r="AC5" s="108"/>
      <c r="AD5" s="108"/>
      <c r="AE5" s="109"/>
      <c r="AF5" s="109"/>
    </row>
    <row r="6" customFormat="false" ht="22.9" hidden="false" customHeight="true" outlineLevel="0" collapsed="false">
      <c r="B6" s="110" t="s">
        <v>87</v>
      </c>
      <c r="C6" s="111" t="s">
        <v>88</v>
      </c>
      <c r="D6" s="112" t="s">
        <v>89</v>
      </c>
      <c r="E6" s="107" t="s">
        <v>90</v>
      </c>
      <c r="F6" s="107" t="s">
        <v>91</v>
      </c>
      <c r="G6" s="107" t="s">
        <v>92</v>
      </c>
      <c r="H6" s="107" t="s">
        <v>93</v>
      </c>
      <c r="I6" s="107" t="s">
        <v>94</v>
      </c>
      <c r="J6" s="107" t="s">
        <v>95</v>
      </c>
      <c r="K6" s="107" t="s">
        <v>96</v>
      </c>
      <c r="L6" s="113" t="s">
        <v>97</v>
      </c>
      <c r="M6" s="113" t="s">
        <v>11</v>
      </c>
      <c r="N6" s="113" t="s">
        <v>12</v>
      </c>
      <c r="O6" s="113"/>
      <c r="P6" s="113" t="s">
        <v>97</v>
      </c>
      <c r="Q6" s="113" t="s">
        <v>11</v>
      </c>
      <c r="R6" s="113" t="s">
        <v>12</v>
      </c>
      <c r="T6" s="113" t="s">
        <v>97</v>
      </c>
      <c r="U6" s="113" t="s">
        <v>11</v>
      </c>
      <c r="V6" s="113" t="s">
        <v>12</v>
      </c>
      <c r="W6" s="113"/>
      <c r="X6" s="113" t="s">
        <v>97</v>
      </c>
      <c r="Y6" s="113" t="s">
        <v>11</v>
      </c>
      <c r="Z6" s="113" t="s">
        <v>12</v>
      </c>
      <c r="AA6" s="113"/>
      <c r="AB6" s="113" t="s">
        <v>97</v>
      </c>
      <c r="AC6" s="113" t="s">
        <v>11</v>
      </c>
      <c r="AD6" s="113" t="s">
        <v>12</v>
      </c>
      <c r="AE6" s="113"/>
      <c r="AF6" s="249"/>
      <c r="AH6" s="114" t="s">
        <v>87</v>
      </c>
      <c r="AI6" s="113" t="s">
        <v>101</v>
      </c>
      <c r="AJ6" s="113" t="s">
        <v>102</v>
      </c>
      <c r="AK6" s="113" t="s">
        <v>11</v>
      </c>
      <c r="AL6" s="113" t="s">
        <v>103</v>
      </c>
    </row>
    <row r="7" customFormat="false" ht="22.9" hidden="false" customHeight="true" outlineLevel="0" collapsed="false">
      <c r="B7" s="110" t="s">
        <v>437</v>
      </c>
      <c r="C7" s="111"/>
      <c r="D7" s="112"/>
      <c r="E7" s="107"/>
      <c r="F7" s="107"/>
      <c r="G7" s="107"/>
      <c r="H7" s="107"/>
      <c r="I7" s="107"/>
      <c r="J7" s="107"/>
      <c r="K7" s="107"/>
      <c r="L7" s="115" t="n">
        <f aca="false">TRUnits</f>
        <v>14</v>
      </c>
      <c r="M7" s="113"/>
      <c r="N7" s="113"/>
      <c r="O7" s="113"/>
      <c r="P7" s="115" t="n">
        <v>1</v>
      </c>
      <c r="Q7" s="113"/>
      <c r="R7" s="113"/>
      <c r="T7" s="115" t="n">
        <v>72</v>
      </c>
      <c r="U7" s="113"/>
      <c r="V7" s="113"/>
      <c r="W7" s="113"/>
      <c r="X7" s="115" t="n">
        <v>61</v>
      </c>
      <c r="Y7" s="113"/>
      <c r="Z7" s="113"/>
      <c r="AA7" s="113"/>
      <c r="AB7" s="115" t="n">
        <f aca="false">ROUND(X7+T7,0)</f>
        <v>133</v>
      </c>
      <c r="AC7" s="113"/>
      <c r="AD7" s="113"/>
      <c r="AE7" s="113"/>
      <c r="AF7" s="249"/>
      <c r="AH7" s="114"/>
      <c r="AI7" s="113"/>
      <c r="AJ7" s="113"/>
      <c r="AK7" s="115" t="n">
        <f aca="false">+AB7</f>
        <v>133</v>
      </c>
      <c r="AL7" s="116" t="n">
        <f aca="false">AB7*AC8</f>
        <v>159467</v>
      </c>
    </row>
    <row r="8" customFormat="false" ht="22.9" hidden="false" customHeight="true" outlineLevel="0" collapsed="false">
      <c r="B8" s="110" t="s">
        <v>106</v>
      </c>
      <c r="C8" s="111"/>
      <c r="D8" s="112"/>
      <c r="E8" s="107"/>
      <c r="F8" s="107"/>
      <c r="G8" s="107"/>
      <c r="H8" s="107"/>
      <c r="I8" s="107"/>
      <c r="J8" s="107"/>
      <c r="K8" s="107"/>
      <c r="L8" s="115"/>
      <c r="M8" s="113"/>
      <c r="N8" s="113"/>
      <c r="O8" s="113"/>
      <c r="P8" s="115"/>
      <c r="Q8" s="115" t="n">
        <v>1198</v>
      </c>
      <c r="R8" s="115" t="n">
        <f aca="false">+Q8+280+67</f>
        <v>1545</v>
      </c>
      <c r="T8" s="115"/>
      <c r="U8" s="115" t="n">
        <v>1107</v>
      </c>
      <c r="V8" s="115" t="n">
        <f aca="false">+U8</f>
        <v>1107</v>
      </c>
      <c r="W8" s="113"/>
      <c r="X8" s="115"/>
      <c r="Y8" s="115" t="n">
        <v>1287</v>
      </c>
      <c r="Z8" s="115" t="n">
        <f aca="false">+Y8+295+13</f>
        <v>1595</v>
      </c>
      <c r="AA8" s="113"/>
      <c r="AB8" s="113"/>
      <c r="AC8" s="115" t="n">
        <f aca="false">ROUND((Y8*$X7+U8*$T7+Q8*$P7)/$AB$7,0)</f>
        <v>1199</v>
      </c>
      <c r="AD8" s="115" t="n">
        <f aca="false">ROUND((Z8*$X7+V8*$T7+R8*$P7)/$AB$7,0)</f>
        <v>1342</v>
      </c>
      <c r="AE8" s="113"/>
      <c r="AF8" s="249"/>
      <c r="AH8" s="114"/>
      <c r="AI8" s="113"/>
      <c r="AJ8" s="113"/>
      <c r="AK8" s="113"/>
      <c r="AL8" s="113"/>
    </row>
    <row r="9" customFormat="false" ht="12" hidden="false" customHeight="false" outlineLevel="0" collapsed="false">
      <c r="A9" s="99" t="s">
        <v>107</v>
      </c>
      <c r="B9" s="100" t="s">
        <v>108</v>
      </c>
      <c r="C9" s="118"/>
      <c r="D9" s="119" t="n">
        <f aca="false">L9/$L$88</f>
        <v>0.0237164028413085</v>
      </c>
      <c r="E9" s="120" t="s">
        <v>109</v>
      </c>
      <c r="F9" s="120" t="s">
        <v>109</v>
      </c>
      <c r="G9" s="120" t="s">
        <v>109</v>
      </c>
      <c r="H9" s="120" t="s">
        <v>109</v>
      </c>
      <c r="I9" s="120" t="s">
        <v>109</v>
      </c>
      <c r="J9" s="120" t="s">
        <v>109</v>
      </c>
      <c r="K9" s="120" t="s">
        <v>109</v>
      </c>
      <c r="L9" s="121" t="n">
        <f aca="false">M9*TRUnits</f>
        <v>16673.3</v>
      </c>
      <c r="M9" s="121" t="n">
        <f aca="false">2381.9/2</f>
        <v>1190.95</v>
      </c>
      <c r="N9" s="122" t="n">
        <f aca="false">M9/1376</f>
        <v>0.865515988372093</v>
      </c>
      <c r="O9" s="122"/>
      <c r="P9" s="123" t="n">
        <f aca="false">Q9*P$7</f>
        <v>1166.49917332849</v>
      </c>
      <c r="Q9" s="123" t="n">
        <f aca="false">Q$8*$N9*CMF</f>
        <v>1166.49917332849</v>
      </c>
      <c r="R9" s="43" t="n">
        <f aca="false">+Q9/Q$8</f>
        <v>0.973705486918605</v>
      </c>
      <c r="S9" s="121"/>
      <c r="T9" s="123" t="n">
        <f aca="false">U9*T$7</f>
        <v>77608.2221293605</v>
      </c>
      <c r="U9" s="123" t="n">
        <f aca="false">U$8*$N9*CMF</f>
        <v>1077.8919740189</v>
      </c>
      <c r="V9" s="43" t="n">
        <f aca="false">+U9/U$8</f>
        <v>0.973705486918605</v>
      </c>
      <c r="W9" s="121"/>
      <c r="X9" s="123" t="n">
        <f aca="false">Y9*X$7</f>
        <v>76442.6966615189</v>
      </c>
      <c r="Y9" s="123" t="n">
        <f aca="false">Y$8*$N9*CMF</f>
        <v>1253.15896166424</v>
      </c>
      <c r="Z9" s="43" t="n">
        <f aca="false">+Y9/Y$8</f>
        <v>0.973705486918605</v>
      </c>
      <c r="AA9" s="121"/>
      <c r="AB9" s="123" t="n">
        <f aca="false">+X9+T9</f>
        <v>154050.918790879</v>
      </c>
      <c r="AC9" s="123" t="n">
        <f aca="false">AB9/AB$7</f>
        <v>1158.27758489383</v>
      </c>
      <c r="AD9" s="43" t="n">
        <f aca="false">+AC9/AC$8</f>
        <v>0.966036351037389</v>
      </c>
      <c r="AE9" s="121"/>
      <c r="AF9" s="250"/>
      <c r="AG9" s="124" t="s">
        <v>110</v>
      </c>
      <c r="AH9" s="100" t="s">
        <v>111</v>
      </c>
      <c r="AI9" s="119" t="n">
        <f aca="false">AJ9/$AJ$48</f>
        <v>0.0117034511869344</v>
      </c>
      <c r="AJ9" s="125" t="n">
        <f aca="false">+AB9</f>
        <v>154050.918790879</v>
      </c>
      <c r="AK9" s="125" t="n">
        <f aca="false">+AJ9/AK$7</f>
        <v>1158.27758489383</v>
      </c>
      <c r="AL9" s="43" t="n">
        <f aca="false">+AJ9/AL$7</f>
        <v>0.966036351037389</v>
      </c>
    </row>
    <row r="10" customFormat="false" ht="12" hidden="false" customHeight="false" outlineLevel="0" collapsed="false">
      <c r="A10" s="99" t="s">
        <v>112</v>
      </c>
      <c r="B10" s="100" t="s">
        <v>438</v>
      </c>
      <c r="C10" s="118"/>
      <c r="D10" s="119"/>
      <c r="E10" s="120"/>
      <c r="F10" s="120"/>
      <c r="G10" s="120"/>
      <c r="H10" s="120"/>
      <c r="I10" s="120"/>
      <c r="J10" s="120"/>
      <c r="K10" s="120"/>
      <c r="L10" s="121"/>
      <c r="M10" s="121"/>
      <c r="N10" s="122"/>
      <c r="O10" s="122"/>
      <c r="P10" s="251" t="n">
        <f aca="false">Q10*P$7</f>
        <v>969.263059701493</v>
      </c>
      <c r="Q10" s="251" t="n">
        <f aca="false">((68000+9450+28000+8000+2000)/134)*CMF</f>
        <v>969.263059701493</v>
      </c>
      <c r="R10" s="252" t="n">
        <f aca="false">+Q10/Q$8</f>
        <v>0.809067662522114</v>
      </c>
      <c r="S10" s="121"/>
      <c r="T10" s="251" t="n">
        <f aca="false">U10*T$7</f>
        <v>69786.9402985075</v>
      </c>
      <c r="U10" s="251" t="n">
        <f aca="false">((68000+9450+28000+8000+2000)/134)*CMF</f>
        <v>969.263059701493</v>
      </c>
      <c r="V10" s="252" t="n">
        <f aca="false">+U10/U$8</f>
        <v>0.875576386360878</v>
      </c>
      <c r="W10" s="121"/>
      <c r="X10" s="251" t="n">
        <f aca="false">Y10*X$7</f>
        <v>59125.046641791</v>
      </c>
      <c r="Y10" s="251" t="n">
        <f aca="false">((68000+9450+28000+8000+2000)/134)*CMF</f>
        <v>969.263059701493</v>
      </c>
      <c r="Z10" s="252" t="n">
        <f aca="false">+Y10/Y$8</f>
        <v>0.75311815050621</v>
      </c>
      <c r="AA10" s="121"/>
      <c r="AB10" s="251" t="n">
        <f aca="false">+X10+T10</f>
        <v>128911.986940298</v>
      </c>
      <c r="AC10" s="253" t="n">
        <f aca="false">+AB10/AB$7</f>
        <v>969.263059701493</v>
      </c>
      <c r="AD10" s="252" t="n">
        <f aca="false">+AC10/AC$8</f>
        <v>0.808392877148868</v>
      </c>
      <c r="AE10" s="121"/>
      <c r="AF10" s="250"/>
      <c r="AG10" s="124" t="s">
        <v>114</v>
      </c>
      <c r="AH10" s="100" t="s">
        <v>115</v>
      </c>
      <c r="AI10" s="119" t="n">
        <f aca="false">AJ10/$AJ$48</f>
        <v>0.00979361342605526</v>
      </c>
      <c r="AJ10" s="125" t="n">
        <f aca="false">+AB10</f>
        <v>128911.986940298</v>
      </c>
      <c r="AK10" s="125" t="n">
        <f aca="false">+AJ10/AK$7</f>
        <v>969.263059701493</v>
      </c>
      <c r="AL10" s="122" t="n">
        <f aca="false">+AJ10/AL$7</f>
        <v>0.808392877148868</v>
      </c>
    </row>
    <row r="11" customFormat="false" ht="12" hidden="false" customHeight="false" outlineLevel="0" collapsed="false">
      <c r="A11" s="99" t="s">
        <v>116</v>
      </c>
      <c r="B11" s="100" t="s">
        <v>117</v>
      </c>
      <c r="C11" s="118"/>
      <c r="D11" s="119" t="n">
        <f aca="false">L11/$L$88</f>
        <v>0.00261867162654357</v>
      </c>
      <c r="E11" s="120" t="s">
        <v>109</v>
      </c>
      <c r="F11" s="120" t="s">
        <v>109</v>
      </c>
      <c r="G11" s="120" t="s">
        <v>109</v>
      </c>
      <c r="H11" s="120" t="s">
        <v>109</v>
      </c>
      <c r="I11" s="120" t="s">
        <v>109</v>
      </c>
      <c r="J11" s="120" t="s">
        <v>109</v>
      </c>
      <c r="K11" s="120" t="s">
        <v>109</v>
      </c>
      <c r="L11" s="121" t="n">
        <f aca="false">M11*TRUnits</f>
        <v>1841</v>
      </c>
      <c r="M11" s="121" t="n">
        <f aca="false">263/2</f>
        <v>131.5</v>
      </c>
      <c r="N11" s="122" t="n">
        <f aca="false">M11/1376</f>
        <v>0.0955668604651163</v>
      </c>
      <c r="O11" s="122"/>
      <c r="P11" s="251" t="n">
        <f aca="false">Q11*P$7</f>
        <v>128.80023619186</v>
      </c>
      <c r="Q11" s="251" t="n">
        <f aca="false">Q$8*$N11*CMF</f>
        <v>128.80023619186</v>
      </c>
      <c r="R11" s="252" t="n">
        <f aca="false">+Q11/Q$8</f>
        <v>0.107512718023256</v>
      </c>
      <c r="S11" s="121"/>
      <c r="T11" s="251" t="n">
        <f aca="false">U11*T$7</f>
        <v>8569.19367732558</v>
      </c>
      <c r="U11" s="251" t="n">
        <f aca="false">U$8*$N11*CMF</f>
        <v>119.016578851744</v>
      </c>
      <c r="V11" s="252" t="n">
        <f aca="false">+U11/U$8</f>
        <v>0.107512718023256</v>
      </c>
      <c r="W11" s="121"/>
      <c r="X11" s="251" t="n">
        <f aca="false">Y11*X$7</f>
        <v>8440.50095385174</v>
      </c>
      <c r="Y11" s="251" t="n">
        <f aca="false">Y$8*$N11*CMF</f>
        <v>138.36886809593</v>
      </c>
      <c r="Z11" s="252" t="n">
        <f aca="false">+Y11/Y$8</f>
        <v>0.107512718023256</v>
      </c>
      <c r="AA11" s="121"/>
      <c r="AB11" s="251" t="n">
        <f aca="false">+X11+T11</f>
        <v>17009.6946311773</v>
      </c>
      <c r="AC11" s="253" t="n">
        <f aca="false">+AB11/AB$7</f>
        <v>127.89244083592</v>
      </c>
      <c r="AD11" s="252" t="n">
        <f aca="false">+AC11/AC$8</f>
        <v>0.106665922298515</v>
      </c>
      <c r="AE11" s="121"/>
      <c r="AF11" s="250"/>
      <c r="AG11" s="124" t="s">
        <v>118</v>
      </c>
      <c r="AH11" s="100" t="s">
        <v>119</v>
      </c>
      <c r="AI11" s="119" t="n">
        <f aca="false">AJ11/$AJ$48</f>
        <v>0</v>
      </c>
      <c r="AJ11" s="125" t="n">
        <v>0</v>
      </c>
      <c r="AK11" s="125" t="n">
        <f aca="false">+AJ11/AK$7</f>
        <v>0</v>
      </c>
      <c r="AL11" s="122" t="n">
        <f aca="false">+AJ11/AL$7</f>
        <v>0</v>
      </c>
    </row>
    <row r="12" customFormat="false" ht="12" hidden="false" customHeight="false" outlineLevel="0" collapsed="false">
      <c r="A12" s="99" t="s">
        <v>120</v>
      </c>
      <c r="B12" s="100" t="s">
        <v>121</v>
      </c>
      <c r="C12" s="118"/>
      <c r="D12" s="119" t="n">
        <f aca="false">L12/$L$88</f>
        <v>0.00174246210891683</v>
      </c>
      <c r="E12" s="120"/>
      <c r="F12" s="120"/>
      <c r="G12" s="120"/>
      <c r="H12" s="120"/>
      <c r="I12" s="120"/>
      <c r="J12" s="120"/>
      <c r="K12" s="120"/>
      <c r="L12" s="121" t="n">
        <f aca="false">M12*TRUnits</f>
        <v>1225</v>
      </c>
      <c r="M12" s="121" t="n">
        <f aca="false">175/2</f>
        <v>87.5</v>
      </c>
      <c r="N12" s="122" t="n">
        <f aca="false">M12/1376</f>
        <v>0.0635901162790698</v>
      </c>
      <c r="O12" s="122"/>
      <c r="P12" s="251" t="n">
        <f aca="false">Q12*P$7</f>
        <v>98.4375</v>
      </c>
      <c r="Q12" s="251" t="n">
        <f aca="false">+$M12*CMF</f>
        <v>98.4375</v>
      </c>
      <c r="R12" s="252" t="n">
        <f aca="false">+Q12/Q$8</f>
        <v>0.0821681969949917</v>
      </c>
      <c r="S12" s="121"/>
      <c r="T12" s="251" t="n">
        <f aca="false">U12*T$7</f>
        <v>7087.5</v>
      </c>
      <c r="U12" s="251" t="n">
        <f aca="false">+$M12*CMF</f>
        <v>98.4375</v>
      </c>
      <c r="V12" s="252" t="n">
        <f aca="false">+U12/U$8</f>
        <v>0.0889227642276423</v>
      </c>
      <c r="W12" s="121"/>
      <c r="X12" s="251" t="n">
        <f aca="false">Y12*X$7</f>
        <v>6004.6875</v>
      </c>
      <c r="Y12" s="251" t="n">
        <f aca="false">+$M12*CMF</f>
        <v>98.4375</v>
      </c>
      <c r="Z12" s="252" t="n">
        <f aca="false">+Y12/Y$8</f>
        <v>0.076486013986014</v>
      </c>
      <c r="AA12" s="121"/>
      <c r="AB12" s="251" t="n">
        <f aca="false">+X12+T12</f>
        <v>13092.1875</v>
      </c>
      <c r="AC12" s="253" t="n">
        <f aca="false">+AB12/AB$7</f>
        <v>98.4375</v>
      </c>
      <c r="AD12" s="252" t="n">
        <f aca="false">+AC12/AC$8</f>
        <v>0.0820996663886572</v>
      </c>
      <c r="AE12" s="121"/>
      <c r="AF12" s="250"/>
      <c r="AG12" s="124" t="s">
        <v>122</v>
      </c>
      <c r="AH12" s="100" t="s">
        <v>123</v>
      </c>
      <c r="AI12" s="119" t="n">
        <f aca="false">AJ12/$AJ$48</f>
        <v>0.0157898642824541</v>
      </c>
      <c r="AJ12" s="125" t="n">
        <f aca="false">AB12+AB13</f>
        <v>207839.8125</v>
      </c>
      <c r="AK12" s="125" t="n">
        <f aca="false">+AJ12/AK$7</f>
        <v>1562.70535714286</v>
      </c>
      <c r="AL12" s="122" t="n">
        <f aca="false">+AJ12/AL$7</f>
        <v>1.30334058143691</v>
      </c>
    </row>
    <row r="13" customFormat="false" ht="12" hidden="false" customHeight="false" outlineLevel="0" collapsed="false">
      <c r="A13" s="99" t="s">
        <v>120</v>
      </c>
      <c r="B13" s="100" t="s">
        <v>124</v>
      </c>
      <c r="C13" s="118"/>
      <c r="D13" s="119" t="n">
        <f aca="false">L13/$L$88</f>
        <v>0.0259193016723938</v>
      </c>
      <c r="E13" s="120" t="s">
        <v>109</v>
      </c>
      <c r="F13" s="120" t="s">
        <v>109</v>
      </c>
      <c r="G13" s="120" t="s">
        <v>109</v>
      </c>
      <c r="H13" s="120" t="s">
        <v>109</v>
      </c>
      <c r="I13" s="120" t="s">
        <v>109</v>
      </c>
      <c r="J13" s="120" t="s">
        <v>109</v>
      </c>
      <c r="K13" s="120" t="s">
        <v>109</v>
      </c>
      <c r="L13" s="121" t="n">
        <f aca="false">M13*TRUnits</f>
        <v>18222</v>
      </c>
      <c r="M13" s="121" t="n">
        <f aca="false">(6797+11425)/14</f>
        <v>1301.57142857143</v>
      </c>
      <c r="N13" s="122" t="n">
        <f aca="false">M13/1376</f>
        <v>0.945909468438538</v>
      </c>
      <c r="O13" s="122"/>
      <c r="P13" s="251" t="n">
        <f aca="false">Q13*P$7</f>
        <v>1464.26785714286</v>
      </c>
      <c r="Q13" s="251" t="n">
        <f aca="false">+$M13*CMF</f>
        <v>1464.26785714286</v>
      </c>
      <c r="R13" s="252" t="n">
        <f aca="false">+Q13/Q$8</f>
        <v>1.2222603148104</v>
      </c>
      <c r="S13" s="121"/>
      <c r="T13" s="251" t="n">
        <f aca="false">U13*T$7</f>
        <v>105427.285714286</v>
      </c>
      <c r="U13" s="251" t="n">
        <f aca="false">+$M13*CMF</f>
        <v>1464.26785714286</v>
      </c>
      <c r="V13" s="252" t="n">
        <f aca="false">+U13/U$8</f>
        <v>1.32273519163763</v>
      </c>
      <c r="W13" s="121"/>
      <c r="X13" s="251" t="n">
        <f aca="false">Y13*X$7</f>
        <v>89320.3392857143</v>
      </c>
      <c r="Y13" s="251" t="n">
        <f aca="false">+$M13*CMF</f>
        <v>1464.26785714286</v>
      </c>
      <c r="Z13" s="252" t="n">
        <f aca="false">+Y13/Y$8</f>
        <v>1.13773726273726</v>
      </c>
      <c r="AA13" s="121"/>
      <c r="AB13" s="251" t="n">
        <f aca="false">+X13+T13</f>
        <v>194747.625</v>
      </c>
      <c r="AC13" s="253" t="n">
        <f aca="false">+AB13/AB$7</f>
        <v>1464.26785714286</v>
      </c>
      <c r="AD13" s="252" t="n">
        <f aca="false">+AC13/AC$8</f>
        <v>1.22124091504825</v>
      </c>
      <c r="AE13" s="121"/>
      <c r="AF13" s="250"/>
      <c r="AG13" s="124" t="s">
        <v>125</v>
      </c>
      <c r="AH13" s="100" t="s">
        <v>126</v>
      </c>
      <c r="AI13" s="119" t="n">
        <f aca="false">AJ13/$AJ$48</f>
        <v>0.0969054508207382</v>
      </c>
      <c r="AJ13" s="125" t="n">
        <f aca="false">+AB15</f>
        <v>1275553.125</v>
      </c>
      <c r="AK13" s="125" t="n">
        <f aca="false">+AJ13/AK$7</f>
        <v>9590.625</v>
      </c>
      <c r="AL13" s="122" t="n">
        <f aca="false">+AJ13/AL$7</f>
        <v>7.99885321100917</v>
      </c>
    </row>
    <row r="14" customFormat="false" ht="12" hidden="false" customHeight="false" outlineLevel="0" collapsed="false">
      <c r="B14" s="110" t="s">
        <v>127</v>
      </c>
      <c r="C14" s="118"/>
      <c r="E14" s="120"/>
      <c r="F14" s="120"/>
      <c r="G14" s="120"/>
      <c r="H14" s="120"/>
      <c r="I14" s="120"/>
      <c r="J14" s="120"/>
      <c r="K14" s="120"/>
      <c r="L14" s="121"/>
      <c r="M14" s="121"/>
      <c r="N14" s="122"/>
      <c r="O14" s="122"/>
      <c r="P14" s="251"/>
      <c r="Q14" s="251"/>
      <c r="R14" s="252"/>
      <c r="S14" s="121"/>
      <c r="T14" s="251"/>
      <c r="U14" s="251"/>
      <c r="V14" s="252"/>
      <c r="W14" s="121"/>
      <c r="X14" s="251"/>
      <c r="Y14" s="251"/>
      <c r="Z14" s="252"/>
      <c r="AA14" s="121"/>
      <c r="AB14" s="251"/>
      <c r="AC14" s="253"/>
      <c r="AD14" s="252"/>
      <c r="AE14" s="121"/>
      <c r="AF14" s="250"/>
      <c r="AG14" s="124" t="s">
        <v>128</v>
      </c>
      <c r="AH14" s="100" t="s">
        <v>129</v>
      </c>
      <c r="AI14" s="119" t="n">
        <f aca="false">AJ14/$AJ$48</f>
        <v>0.0495324819979764</v>
      </c>
      <c r="AJ14" s="125" t="n">
        <f aca="false">+AB19+AB20</f>
        <v>651989.25</v>
      </c>
      <c r="AK14" s="125" t="n">
        <f aca="false">+AJ14/AK$7</f>
        <v>4902.17481203008</v>
      </c>
      <c r="AL14" s="122" t="n">
        <f aca="false">+AJ14/AL$7</f>
        <v>4.08855280402842</v>
      </c>
    </row>
    <row r="15" customFormat="false" ht="12" hidden="false" customHeight="false" outlineLevel="0" collapsed="false">
      <c r="A15" s="99" t="s">
        <v>130</v>
      </c>
      <c r="B15" s="100" t="s">
        <v>131</v>
      </c>
      <c r="C15" s="118"/>
      <c r="D15" s="119" t="n">
        <f aca="false">L15/$L$88</f>
        <v>0.0028875086376336</v>
      </c>
      <c r="E15" s="120" t="s">
        <v>109</v>
      </c>
      <c r="F15" s="120" t="s">
        <v>109</v>
      </c>
      <c r="G15" s="120" t="s">
        <v>109</v>
      </c>
      <c r="H15" s="120" t="s">
        <v>109</v>
      </c>
      <c r="I15" s="120" t="s">
        <v>109</v>
      </c>
      <c r="J15" s="120" t="s">
        <v>109</v>
      </c>
      <c r="K15" s="120" t="s">
        <v>109</v>
      </c>
      <c r="L15" s="121" t="n">
        <f aca="false">M15*TRUnits</f>
        <v>2030</v>
      </c>
      <c r="M15" s="121" t="n">
        <f aca="false">290/2</f>
        <v>145</v>
      </c>
      <c r="N15" s="122" t="n">
        <f aca="false">M15/1376</f>
        <v>0.105377906976744</v>
      </c>
      <c r="O15" s="122"/>
      <c r="P15" s="251" t="n">
        <f aca="false">Q15*P$7</f>
        <v>9559.6875</v>
      </c>
      <c r="Q15" s="251" t="n">
        <f aca="false">5.5*R8*CMF</f>
        <v>9559.6875</v>
      </c>
      <c r="R15" s="252" t="n">
        <f aca="false">+Q15/Q$8</f>
        <v>7.97970575959933</v>
      </c>
      <c r="S15" s="121"/>
      <c r="T15" s="251" t="n">
        <f aca="false">U15*T$7</f>
        <v>690525</v>
      </c>
      <c r="U15" s="251" t="n">
        <f aca="false">5.5*1550*CMF</f>
        <v>9590.625</v>
      </c>
      <c r="V15" s="252" t="n">
        <f aca="false">+U15/U$8</f>
        <v>8.66361788617886</v>
      </c>
      <c r="W15" s="121"/>
      <c r="X15" s="251" t="n">
        <f aca="false">Y15*X$7</f>
        <v>585028.125</v>
      </c>
      <c r="Y15" s="251" t="n">
        <f aca="false">5.5*1550*CMF</f>
        <v>9590.625</v>
      </c>
      <c r="Z15" s="252" t="n">
        <f aca="false">+Y15/Y$8</f>
        <v>7.45192307692308</v>
      </c>
      <c r="AA15" s="121"/>
      <c r="AB15" s="251" t="n">
        <f aca="false">+X15+T15</f>
        <v>1275553.125</v>
      </c>
      <c r="AC15" s="253" t="n">
        <f aca="false">+AB15/AB$7</f>
        <v>9590.625</v>
      </c>
      <c r="AD15" s="252" t="n">
        <f aca="false">+AC15/AC$8</f>
        <v>7.99885321100917</v>
      </c>
      <c r="AE15" s="121"/>
      <c r="AF15" s="250"/>
      <c r="AG15" s="124" t="s">
        <v>132</v>
      </c>
      <c r="AH15" s="100" t="s">
        <v>133</v>
      </c>
      <c r="AI15" s="119" t="n">
        <f aca="false">AJ15/$AJ$48</f>
        <v>0.16274097863682</v>
      </c>
      <c r="AJ15" s="125" t="n">
        <f aca="false">SUM(AB23:AB25)+SUM(AB28:AB32)+AB35</f>
        <v>2142137.12549315</v>
      </c>
      <c r="AK15" s="125" t="n">
        <f aca="false">+AJ15/AK$7</f>
        <v>16106.2941766402</v>
      </c>
      <c r="AL15" s="122" t="n">
        <f aca="false">+AJ15/AL$7</f>
        <v>13.4331060689243</v>
      </c>
    </row>
    <row r="16" customFormat="false" ht="12" hidden="false" customHeight="false" outlineLevel="0" collapsed="false">
      <c r="A16" s="99" t="s">
        <v>130</v>
      </c>
      <c r="B16" s="100" t="s">
        <v>134</v>
      </c>
      <c r="C16" s="118"/>
      <c r="D16" s="119" t="n">
        <f aca="false">L16/$L$88</f>
        <v>0.025937793107019</v>
      </c>
      <c r="E16" s="120" t="s">
        <v>109</v>
      </c>
      <c r="F16" s="120" t="s">
        <v>109</v>
      </c>
      <c r="G16" s="120" t="s">
        <v>109</v>
      </c>
      <c r="H16" s="120" t="s">
        <v>109</v>
      </c>
      <c r="I16" s="120" t="s">
        <v>109</v>
      </c>
      <c r="J16" s="120" t="s">
        <v>109</v>
      </c>
      <c r="K16" s="120" t="s">
        <v>109</v>
      </c>
      <c r="L16" s="121" t="n">
        <f aca="false">M16*TRUnits</f>
        <v>18235</v>
      </c>
      <c r="M16" s="121" t="n">
        <f aca="false">2605/2</f>
        <v>1302.5</v>
      </c>
      <c r="N16" s="122" t="n">
        <f aca="false">M16/1376</f>
        <v>0.946584302325581</v>
      </c>
      <c r="O16" s="122"/>
      <c r="P16" s="251"/>
      <c r="Q16" s="251"/>
      <c r="R16" s="252" t="n">
        <f aca="false">+Q16/Q$8</f>
        <v>0</v>
      </c>
      <c r="S16" s="121"/>
      <c r="T16" s="251"/>
      <c r="U16" s="251"/>
      <c r="V16" s="252" t="n">
        <f aca="false">+U16/U$8</f>
        <v>0</v>
      </c>
      <c r="W16" s="121"/>
      <c r="X16" s="251"/>
      <c r="Y16" s="251"/>
      <c r="Z16" s="252" t="n">
        <f aca="false">+Y16/Y$8</f>
        <v>0</v>
      </c>
      <c r="AA16" s="121"/>
      <c r="AB16" s="251" t="n">
        <f aca="false">+X16+T16</f>
        <v>0</v>
      </c>
      <c r="AC16" s="253" t="n">
        <f aca="false">+AB16/AB$7</f>
        <v>0</v>
      </c>
      <c r="AD16" s="252" t="n">
        <f aca="false">+AC16/AC$8</f>
        <v>0</v>
      </c>
      <c r="AE16" s="121"/>
      <c r="AF16" s="250"/>
      <c r="AG16" s="124" t="s">
        <v>135</v>
      </c>
      <c r="AH16" s="100" t="s">
        <v>136</v>
      </c>
      <c r="AI16" s="119" t="n">
        <f aca="false">AJ16/$AJ$48</f>
        <v>0.00807819341888192</v>
      </c>
      <c r="AJ16" s="125" t="n">
        <f aca="false">AB40+AB41</f>
        <v>106332.14925</v>
      </c>
      <c r="AK16" s="125" t="n">
        <f aca="false">+AJ16/AK$7</f>
        <v>799.489843984962</v>
      </c>
      <c r="AL16" s="122" t="n">
        <f aca="false">+AJ16/AL$7</f>
        <v>0.666797200988292</v>
      </c>
    </row>
    <row r="17" customFormat="false" ht="12" hidden="false" customHeight="false" outlineLevel="0" collapsed="false">
      <c r="A17" s="99" t="s">
        <v>130</v>
      </c>
      <c r="B17" s="100" t="s">
        <v>137</v>
      </c>
      <c r="C17" s="118"/>
      <c r="D17" s="119" t="n">
        <f aca="false">L17/$L$88</f>
        <v>0.0749557414624335</v>
      </c>
      <c r="E17" s="120" t="s">
        <v>109</v>
      </c>
      <c r="F17" s="120" t="s">
        <v>109</v>
      </c>
      <c r="G17" s="120" t="s">
        <v>109</v>
      </c>
      <c r="H17" s="120" t="s">
        <v>109</v>
      </c>
      <c r="I17" s="120" t="s">
        <v>109</v>
      </c>
      <c r="J17" s="120" t="s">
        <v>109</v>
      </c>
      <c r="K17" s="120" t="s">
        <v>109</v>
      </c>
      <c r="L17" s="121" t="n">
        <f aca="false">M17*TRUnits</f>
        <v>52696</v>
      </c>
      <c r="M17" s="121" t="n">
        <f aca="false">7528/2</f>
        <v>3764</v>
      </c>
      <c r="N17" s="122" t="n">
        <f aca="false">M17/1376</f>
        <v>2.73546511627907</v>
      </c>
      <c r="O17" s="122"/>
      <c r="P17" s="251"/>
      <c r="Q17" s="251"/>
      <c r="R17" s="252" t="n">
        <f aca="false">+Q17/Q$8</f>
        <v>0</v>
      </c>
      <c r="S17" s="121"/>
      <c r="T17" s="251"/>
      <c r="U17" s="251"/>
      <c r="V17" s="252" t="n">
        <f aca="false">+U17/U$8</f>
        <v>0</v>
      </c>
      <c r="W17" s="121"/>
      <c r="X17" s="251"/>
      <c r="Y17" s="251"/>
      <c r="Z17" s="252" t="n">
        <f aca="false">+Y17/Y$8</f>
        <v>0</v>
      </c>
      <c r="AA17" s="121"/>
      <c r="AB17" s="251" t="n">
        <f aca="false">+X17+T17</f>
        <v>0</v>
      </c>
      <c r="AC17" s="253" t="n">
        <f aca="false">+AB17/AB$7</f>
        <v>0</v>
      </c>
      <c r="AD17" s="252" t="n">
        <f aca="false">+AC17/AC$8</f>
        <v>0</v>
      </c>
      <c r="AE17" s="121"/>
      <c r="AF17" s="250"/>
      <c r="AG17" s="124" t="s">
        <v>138</v>
      </c>
      <c r="AH17" s="100" t="s">
        <v>139</v>
      </c>
      <c r="AI17" s="119" t="n">
        <f aca="false">AJ17/$AJ$48</f>
        <v>0.0166763983913914</v>
      </c>
      <c r="AJ17" s="125" t="n">
        <f aca="false">AB26+AB33</f>
        <v>219509.139080669</v>
      </c>
      <c r="AK17" s="125" t="n">
        <f aca="false">+AJ17/AK$7</f>
        <v>1650.44465474187</v>
      </c>
      <c r="AL17" s="122" t="n">
        <f aca="false">+AJ17/AL$7</f>
        <v>1.3765176436546</v>
      </c>
    </row>
    <row r="18" customFormat="false" ht="12" hidden="false" customHeight="false" outlineLevel="0" collapsed="false">
      <c r="B18" s="110" t="s">
        <v>140</v>
      </c>
      <c r="C18" s="118"/>
      <c r="E18" s="120"/>
      <c r="F18" s="120"/>
      <c r="G18" s="120"/>
      <c r="H18" s="120"/>
      <c r="I18" s="120"/>
      <c r="J18" s="120"/>
      <c r="K18" s="120"/>
      <c r="L18" s="121" t="n">
        <f aca="false">M18*TRUnits</f>
        <v>0</v>
      </c>
      <c r="M18" s="121"/>
      <c r="N18" s="122" t="n">
        <f aca="false">M18/1376</f>
        <v>0</v>
      </c>
      <c r="O18" s="122"/>
      <c r="P18" s="251"/>
      <c r="Q18" s="251"/>
      <c r="R18" s="252"/>
      <c r="S18" s="121"/>
      <c r="T18" s="251"/>
      <c r="U18" s="251"/>
      <c r="V18" s="252"/>
      <c r="W18" s="121"/>
      <c r="X18" s="251"/>
      <c r="Y18" s="251"/>
      <c r="Z18" s="252"/>
      <c r="AA18" s="121"/>
      <c r="AB18" s="251"/>
      <c r="AC18" s="253"/>
      <c r="AD18" s="252"/>
      <c r="AE18" s="121"/>
      <c r="AF18" s="250"/>
      <c r="AG18" s="124" t="s">
        <v>141</v>
      </c>
      <c r="AH18" s="100" t="s">
        <v>142</v>
      </c>
      <c r="AI18" s="119" t="n">
        <f aca="false">AJ18/$AJ$48</f>
        <v>0.00681605159786905</v>
      </c>
      <c r="AJ18" s="125" t="n">
        <f aca="false">+AB34</f>
        <v>89718.75</v>
      </c>
      <c r="AK18" s="125" t="n">
        <f aca="false">+AJ18/AK$7</f>
        <v>674.577067669173</v>
      </c>
      <c r="AL18" s="122" t="n">
        <f aca="false">+AJ18/AL$7</f>
        <v>0.562616403393806</v>
      </c>
    </row>
    <row r="19" customFormat="false" ht="12" hidden="false" customHeight="false" outlineLevel="0" collapsed="false">
      <c r="A19" s="99" t="s">
        <v>143</v>
      </c>
      <c r="B19" s="100" t="s">
        <v>144</v>
      </c>
      <c r="C19" s="118" t="n">
        <v>0.333</v>
      </c>
      <c r="D19" s="119" t="n">
        <f aca="false">L19/$L$88</f>
        <v>0.0454334548742142</v>
      </c>
      <c r="E19" s="120" t="s">
        <v>109</v>
      </c>
      <c r="F19" s="120" t="s">
        <v>109</v>
      </c>
      <c r="G19" s="120" t="s">
        <v>109</v>
      </c>
      <c r="H19" s="120" t="s">
        <v>109</v>
      </c>
      <c r="I19" s="120" t="s">
        <v>109</v>
      </c>
      <c r="J19" s="120" t="s">
        <v>109</v>
      </c>
      <c r="K19" s="120" t="s">
        <v>109</v>
      </c>
      <c r="L19" s="121" t="n">
        <f aca="false">M19*TRUnits</f>
        <v>31941</v>
      </c>
      <c r="M19" s="121" t="n">
        <f aca="false">4563/2</f>
        <v>2281.5</v>
      </c>
      <c r="N19" s="122" t="n">
        <f aca="false">M19/1376</f>
        <v>1.65806686046512</v>
      </c>
      <c r="O19" s="122"/>
      <c r="P19" s="251" t="n">
        <f aca="false">Q19*P$7</f>
        <v>2283.1875</v>
      </c>
      <c r="Q19" s="251" t="n">
        <f aca="false">(13500+300-1500)/2*0.33*CMF</f>
        <v>2283.1875</v>
      </c>
      <c r="R19" s="252" t="n">
        <f aca="false">+Q19/Q$8</f>
        <v>1.90583263772955</v>
      </c>
      <c r="S19" s="121"/>
      <c r="T19" s="251" t="n">
        <f aca="false">U19*T$7</f>
        <v>169735.5</v>
      </c>
      <c r="U19" s="251" t="n">
        <f aca="false">(13500+300-1100)/2*0.33*CMF</f>
        <v>2357.4375</v>
      </c>
      <c r="V19" s="252" t="n">
        <f aca="false">+U19/U$8</f>
        <v>2.12957317073171</v>
      </c>
      <c r="W19" s="121"/>
      <c r="X19" s="251" t="n">
        <f aca="false">Y19*X$7</f>
        <v>156259.125</v>
      </c>
      <c r="Y19" s="251" t="n">
        <f aca="false">(13500+300)/2*0.33*CMF</f>
        <v>2561.625</v>
      </c>
      <c r="Z19" s="252" t="n">
        <f aca="false">+Y19/Y$8</f>
        <v>1.99038461538462</v>
      </c>
      <c r="AA19" s="121"/>
      <c r="AB19" s="251" t="n">
        <f aca="false">+X19+T19</f>
        <v>325994.625</v>
      </c>
      <c r="AC19" s="253" t="n">
        <f aca="false">+AB19/AB$7</f>
        <v>2451.08740601504</v>
      </c>
      <c r="AD19" s="252" t="n">
        <f aca="false">+AC19/AC$8</f>
        <v>2.04427640201421</v>
      </c>
      <c r="AE19" s="121"/>
      <c r="AF19" s="250"/>
      <c r="AG19" s="124" t="s">
        <v>145</v>
      </c>
      <c r="AH19" s="100" t="s">
        <v>146</v>
      </c>
      <c r="AI19" s="119" t="n">
        <f aca="false">AJ19/$AJ$48</f>
        <v>0.0111781986860388</v>
      </c>
      <c r="AJ19" s="125" t="n">
        <f aca="false">+AB62</f>
        <v>147137.092341933</v>
      </c>
      <c r="AK19" s="125" t="n">
        <f aca="false">+AJ19/AK$7</f>
        <v>1106.29392738296</v>
      </c>
      <c r="AL19" s="122" t="n">
        <f aca="false">+AJ19/AL$7</f>
        <v>0.922680506574609</v>
      </c>
    </row>
    <row r="20" customFormat="false" ht="12.75" hidden="false" customHeight="false" outlineLevel="0" collapsed="false">
      <c r="A20" s="99" t="s">
        <v>147</v>
      </c>
      <c r="B20" s="100" t="s">
        <v>148</v>
      </c>
      <c r="C20" s="118" t="n">
        <v>0.333</v>
      </c>
      <c r="D20" s="119" t="n">
        <f aca="false">L20/$L$88</f>
        <v>0.0454334548742142</v>
      </c>
      <c r="E20" s="120" t="s">
        <v>109</v>
      </c>
      <c r="F20" s="120" t="s">
        <v>109</v>
      </c>
      <c r="G20" s="120" t="s">
        <v>109</v>
      </c>
      <c r="H20" s="120" t="s">
        <v>109</v>
      </c>
      <c r="I20" s="120" t="s">
        <v>109</v>
      </c>
      <c r="J20" s="120" t="s">
        <v>109</v>
      </c>
      <c r="K20" s="120" t="s">
        <v>109</v>
      </c>
      <c r="L20" s="121" t="n">
        <f aca="false">M20*TRUnits</f>
        <v>31941</v>
      </c>
      <c r="M20" s="121" t="n">
        <f aca="false">4563/2</f>
        <v>2281.5</v>
      </c>
      <c r="N20" s="122" t="n">
        <f aca="false">M20/1376</f>
        <v>1.65806686046512</v>
      </c>
      <c r="O20" s="122"/>
      <c r="P20" s="251" t="n">
        <f aca="false">Q20*P$7</f>
        <v>2283.1875</v>
      </c>
      <c r="Q20" s="251" t="n">
        <f aca="false">(13500+300-1500)/2*0.33*CMF</f>
        <v>2283.1875</v>
      </c>
      <c r="R20" s="252" t="n">
        <f aca="false">+Q20/Q$8</f>
        <v>1.90583263772955</v>
      </c>
      <c r="S20" s="121"/>
      <c r="T20" s="251" t="n">
        <f aca="false">U20*T$7</f>
        <v>169735.5</v>
      </c>
      <c r="U20" s="251" t="n">
        <f aca="false">(13500+300-1100)/2*0.33*CMF</f>
        <v>2357.4375</v>
      </c>
      <c r="V20" s="252" t="n">
        <f aca="false">+U20/U$8</f>
        <v>2.12957317073171</v>
      </c>
      <c r="W20" s="121"/>
      <c r="X20" s="251" t="n">
        <f aca="false">Y20*X$7</f>
        <v>156259.125</v>
      </c>
      <c r="Y20" s="251" t="n">
        <f aca="false">(13500+300)/2*0.33*CMF</f>
        <v>2561.625</v>
      </c>
      <c r="Z20" s="252" t="n">
        <f aca="false">+Y20/Y$8</f>
        <v>1.99038461538462</v>
      </c>
      <c r="AA20" s="121"/>
      <c r="AB20" s="251" t="n">
        <f aca="false">+X20+T20</f>
        <v>325994.625</v>
      </c>
      <c r="AC20" s="253" t="n">
        <f aca="false">+AB20/AB$7</f>
        <v>2451.08740601504</v>
      </c>
      <c r="AD20" s="252" t="n">
        <f aca="false">+AC20/AC$8</f>
        <v>2.04427640201421</v>
      </c>
      <c r="AE20" s="121"/>
      <c r="AF20" s="250"/>
      <c r="AG20" s="124" t="s">
        <v>149</v>
      </c>
      <c r="AH20" s="128" t="s">
        <v>150</v>
      </c>
      <c r="AI20" s="119" t="n">
        <f aca="false">AJ20/$AJ$48</f>
        <v>0.0176786464522332</v>
      </c>
      <c r="AJ20" s="125" t="n">
        <f aca="false">AB43+AB44</f>
        <v>232701.5925</v>
      </c>
      <c r="AK20" s="125" t="n">
        <f aca="false">+AJ20/AK$7</f>
        <v>1749.63603383459</v>
      </c>
      <c r="AL20" s="122" t="n">
        <f aca="false">+AJ20/AL$7</f>
        <v>1.45924606658431</v>
      </c>
    </row>
    <row r="21" customFormat="false" ht="12.75" hidden="false" customHeight="false" outlineLevel="0" collapsed="false">
      <c r="A21" s="99" t="s">
        <v>147</v>
      </c>
      <c r="B21" s="100" t="s">
        <v>151</v>
      </c>
      <c r="C21" s="118" t="n">
        <v>0.333</v>
      </c>
      <c r="D21" s="119" t="n">
        <f aca="false">L21/$L$88</f>
        <v>0.0454334548742142</v>
      </c>
      <c r="E21" s="120" t="s">
        <v>109</v>
      </c>
      <c r="F21" s="120" t="s">
        <v>109</v>
      </c>
      <c r="G21" s="129"/>
      <c r="H21" s="120" t="s">
        <v>109</v>
      </c>
      <c r="I21" s="120" t="s">
        <v>109</v>
      </c>
      <c r="J21" s="129"/>
      <c r="K21" s="130" t="s">
        <v>109</v>
      </c>
      <c r="L21" s="121" t="n">
        <f aca="false">M21*TRUnits</f>
        <v>31941</v>
      </c>
      <c r="M21" s="121" t="n">
        <f aca="false">4563/2</f>
        <v>2281.5</v>
      </c>
      <c r="N21" s="122" t="n">
        <f aca="false">M21/1376</f>
        <v>1.65806686046512</v>
      </c>
      <c r="O21" s="122"/>
      <c r="P21" s="251" t="n">
        <f aca="false">Q21*P$7</f>
        <v>2283.1875</v>
      </c>
      <c r="Q21" s="251" t="n">
        <f aca="false">(13500+300-1500)/2*0.33*CMF</f>
        <v>2283.1875</v>
      </c>
      <c r="R21" s="252" t="n">
        <f aca="false">+Q21/Q$8</f>
        <v>1.90583263772955</v>
      </c>
      <c r="S21" s="121"/>
      <c r="T21" s="251" t="n">
        <f aca="false">U21*T$7</f>
        <v>169735.5</v>
      </c>
      <c r="U21" s="251" t="n">
        <f aca="false">(13500+300-1100)/2*0.33*CMF</f>
        <v>2357.4375</v>
      </c>
      <c r="V21" s="252" t="n">
        <f aca="false">+U21/U$8</f>
        <v>2.12957317073171</v>
      </c>
      <c r="W21" s="121"/>
      <c r="X21" s="251" t="n">
        <f aca="false">Y21*X$7</f>
        <v>156259.125</v>
      </c>
      <c r="Y21" s="251" t="n">
        <f aca="false">(13500+300)/2*0.33*CMF</f>
        <v>2561.625</v>
      </c>
      <c r="Z21" s="252" t="n">
        <f aca="false">+Y21/Y$8</f>
        <v>1.99038461538462</v>
      </c>
      <c r="AA21" s="121"/>
      <c r="AB21" s="251" t="n">
        <f aca="false">+X21+T21</f>
        <v>325994.625</v>
      </c>
      <c r="AC21" s="253" t="n">
        <f aca="false">+AB21/AB$7</f>
        <v>2451.08740601504</v>
      </c>
      <c r="AD21" s="252" t="n">
        <f aca="false">+AC21/AC$8</f>
        <v>2.04427640201421</v>
      </c>
      <c r="AE21" s="121"/>
      <c r="AF21" s="250"/>
      <c r="AG21" s="124" t="s">
        <v>152</v>
      </c>
      <c r="AH21" s="100" t="s">
        <v>153</v>
      </c>
      <c r="AI21" s="119" t="n">
        <f aca="false">AJ21/$AJ$48</f>
        <v>0.0135219352896609</v>
      </c>
      <c r="AJ21" s="125" t="n">
        <f aca="false">AB50</f>
        <v>177987.375</v>
      </c>
      <c r="AK21" s="125" t="n">
        <f aca="false">+AJ21/AK$7</f>
        <v>1338.25093984962</v>
      </c>
      <c r="AL21" s="122" t="n">
        <f aca="false">+AJ21/AL$7</f>
        <v>1.11613923256849</v>
      </c>
    </row>
    <row r="22" customFormat="false" ht="12" hidden="false" customHeight="false" outlineLevel="0" collapsed="false">
      <c r="B22" s="110" t="s">
        <v>154</v>
      </c>
      <c r="C22" s="118"/>
      <c r="E22" s="120"/>
      <c r="F22" s="120"/>
      <c r="G22" s="120"/>
      <c r="H22" s="120"/>
      <c r="I22" s="120"/>
      <c r="J22" s="120"/>
      <c r="K22" s="120"/>
      <c r="L22" s="121"/>
      <c r="M22" s="121"/>
      <c r="N22" s="122" t="n">
        <f aca="false">M22/1376</f>
        <v>0</v>
      </c>
      <c r="O22" s="122"/>
      <c r="P22" s="251"/>
      <c r="Q22" s="251"/>
      <c r="R22" s="252"/>
      <c r="S22" s="121"/>
      <c r="T22" s="251"/>
      <c r="U22" s="251"/>
      <c r="V22" s="252"/>
      <c r="W22" s="121"/>
      <c r="X22" s="251"/>
      <c r="Y22" s="251"/>
      <c r="Z22" s="252"/>
      <c r="AA22" s="121"/>
      <c r="AB22" s="251"/>
      <c r="AC22" s="253"/>
      <c r="AD22" s="252"/>
      <c r="AE22" s="121"/>
      <c r="AF22" s="250"/>
      <c r="AG22" s="124" t="s">
        <v>155</v>
      </c>
      <c r="AH22" s="100" t="s">
        <v>156</v>
      </c>
      <c r="AI22" s="119" t="n">
        <f aca="false">AJ22/$AJ$48</f>
        <v>0.0135219352896609</v>
      </c>
      <c r="AJ22" s="125" t="n">
        <f aca="false">AB51</f>
        <v>177987.375</v>
      </c>
      <c r="AK22" s="125" t="n">
        <f aca="false">+AJ22/AK$7</f>
        <v>1338.25093984962</v>
      </c>
      <c r="AL22" s="122" t="n">
        <f aca="false">+AJ22/AL$7</f>
        <v>1.11613923256849</v>
      </c>
    </row>
    <row r="23" customFormat="false" ht="12" hidden="false" customHeight="false" outlineLevel="0" collapsed="false">
      <c r="A23" s="99" t="s">
        <v>157</v>
      </c>
      <c r="B23" s="100" t="s">
        <v>158</v>
      </c>
      <c r="C23" s="118" t="n">
        <v>0.15</v>
      </c>
      <c r="D23" s="119" t="n">
        <f aca="false">L23/$L$88</f>
        <v>0.0144873278198513</v>
      </c>
      <c r="E23" s="120" t="s">
        <v>109</v>
      </c>
      <c r="F23" s="120" t="s">
        <v>109</v>
      </c>
      <c r="G23" s="120" t="s">
        <v>109</v>
      </c>
      <c r="H23" s="120" t="s">
        <v>109</v>
      </c>
      <c r="I23" s="120" t="s">
        <v>109</v>
      </c>
      <c r="J23" s="120" t="s">
        <v>109</v>
      </c>
      <c r="K23" s="120" t="s">
        <v>109</v>
      </c>
      <c r="L23" s="121" t="n">
        <f aca="false">M23*TRUnits</f>
        <v>10185</v>
      </c>
      <c r="M23" s="121" t="n">
        <f aca="false">1455/2</f>
        <v>727.5</v>
      </c>
      <c r="N23" s="122" t="n">
        <f aca="false">M23/1376</f>
        <v>0.528706395348837</v>
      </c>
      <c r="O23" s="122"/>
      <c r="P23" s="251" t="n">
        <f aca="false">Q23*P$7</f>
        <v>712.564044331395</v>
      </c>
      <c r="Q23" s="251" t="n">
        <f aca="false">Q$8*$N23*CMF</f>
        <v>712.564044331395</v>
      </c>
      <c r="R23" s="252" t="n">
        <f aca="false">+Q23/Q$8</f>
        <v>0.594794694767442</v>
      </c>
      <c r="S23" s="121"/>
      <c r="T23" s="251" t="n">
        <f aca="false">U23*T$7</f>
        <v>47407.5163517442</v>
      </c>
      <c r="U23" s="251" t="n">
        <f aca="false">U$8*$N23*CMF</f>
        <v>658.437727107558</v>
      </c>
      <c r="V23" s="252" t="n">
        <f aca="false">+U23/U$8</f>
        <v>0.594794694767442</v>
      </c>
      <c r="W23" s="121"/>
      <c r="X23" s="251" t="n">
        <f aca="false">Y23*X$7</f>
        <v>46695.5471021076</v>
      </c>
      <c r="Y23" s="251" t="n">
        <f aca="false">Y$8*$N23*CMF</f>
        <v>765.500772165698</v>
      </c>
      <c r="Z23" s="252" t="n">
        <f aca="false">+Y23/Y$8</f>
        <v>0.594794694767442</v>
      </c>
      <c r="AA23" s="121"/>
      <c r="AB23" s="251" t="n">
        <f aca="false">+X23+T23</f>
        <v>94103.0634538518</v>
      </c>
      <c r="AC23" s="253" t="n">
        <f aca="false">+AB23/AB$7</f>
        <v>707.541830480088</v>
      </c>
      <c r="AD23" s="252" t="n">
        <f aca="false">+AC23/AC$8</f>
        <v>0.590109950358706</v>
      </c>
      <c r="AE23" s="121"/>
      <c r="AF23" s="250"/>
      <c r="AG23" s="124" t="s">
        <v>159</v>
      </c>
      <c r="AH23" s="100" t="s">
        <v>160</v>
      </c>
      <c r="AI23" s="119" t="n">
        <f aca="false">AJ23/$AJ$48</f>
        <v>0.0114936449962118</v>
      </c>
      <c r="AJ23" s="131" t="n">
        <f aca="false">AB52</f>
        <v>151289.26875</v>
      </c>
      <c r="AK23" s="125" t="n">
        <f aca="false">+AJ23/AK$7</f>
        <v>1137.51329887218</v>
      </c>
      <c r="AL23" s="122" t="n">
        <f aca="false">+AJ23/AL$7</f>
        <v>0.94871834768322</v>
      </c>
    </row>
    <row r="24" customFormat="false" ht="12" hidden="false" customHeight="false" outlineLevel="0" collapsed="false">
      <c r="A24" s="99" t="s">
        <v>157</v>
      </c>
      <c r="B24" s="100" t="s">
        <v>161</v>
      </c>
      <c r="C24" s="118" t="n">
        <v>0.25</v>
      </c>
      <c r="D24" s="119" t="n">
        <f aca="false">L24/$L$88</f>
        <v>0.0241455463664189</v>
      </c>
      <c r="E24" s="120" t="s">
        <v>109</v>
      </c>
      <c r="F24" s="120" t="s">
        <v>109</v>
      </c>
      <c r="G24" s="120" t="s">
        <v>109</v>
      </c>
      <c r="H24" s="120" t="s">
        <v>109</v>
      </c>
      <c r="I24" s="120" t="s">
        <v>109</v>
      </c>
      <c r="J24" s="120" t="s">
        <v>109</v>
      </c>
      <c r="K24" s="120" t="s">
        <v>109</v>
      </c>
      <c r="L24" s="121" t="n">
        <f aca="false">M24*TRUnits</f>
        <v>16975</v>
      </c>
      <c r="M24" s="121" t="n">
        <f aca="false">2425/2</f>
        <v>1212.5</v>
      </c>
      <c r="N24" s="122" t="n">
        <f aca="false">M24/1376</f>
        <v>0.881177325581395</v>
      </c>
      <c r="O24" s="122"/>
      <c r="P24" s="251" t="n">
        <f aca="false">Q24*P$7</f>
        <v>1187.60674055233</v>
      </c>
      <c r="Q24" s="251" t="n">
        <f aca="false">Q$8*$N24*CMF</f>
        <v>1187.60674055233</v>
      </c>
      <c r="R24" s="252" t="n">
        <f aca="false">+Q24/Q$8</f>
        <v>0.99132449127907</v>
      </c>
      <c r="S24" s="121"/>
      <c r="T24" s="251" t="n">
        <f aca="false">U24*T$7</f>
        <v>79012.527252907</v>
      </c>
      <c r="U24" s="251" t="n">
        <f aca="false">U$8*$N24*CMF</f>
        <v>1097.39621184593</v>
      </c>
      <c r="V24" s="252" t="n">
        <f aca="false">+U24/U$8</f>
        <v>0.99132449127907</v>
      </c>
      <c r="W24" s="121"/>
      <c r="X24" s="251" t="n">
        <f aca="false">Y24*X$7</f>
        <v>77825.9118368459</v>
      </c>
      <c r="Y24" s="251" t="n">
        <f aca="false">Y$8*$N24*CMF</f>
        <v>1275.83462027616</v>
      </c>
      <c r="Z24" s="252" t="n">
        <f aca="false">+Y24/Y$8</f>
        <v>0.99132449127907</v>
      </c>
      <c r="AA24" s="121"/>
      <c r="AB24" s="251" t="n">
        <f aca="false">+X24+T24</f>
        <v>156838.439089753</v>
      </c>
      <c r="AC24" s="253" t="n">
        <f aca="false">+AB24/AB$7</f>
        <v>1179.23638413348</v>
      </c>
      <c r="AD24" s="252" t="n">
        <f aca="false">+AC24/AC$8</f>
        <v>0.983516583931176</v>
      </c>
      <c r="AE24" s="121"/>
      <c r="AF24" s="250"/>
      <c r="AG24" s="124" t="s">
        <v>162</v>
      </c>
      <c r="AH24" s="100" t="s">
        <v>163</v>
      </c>
      <c r="AI24" s="100" t="s">
        <v>164</v>
      </c>
      <c r="AJ24" s="125"/>
      <c r="AK24" s="125" t="n">
        <f aca="false">+AJ24/AK$7</f>
        <v>0</v>
      </c>
      <c r="AL24" s="122" t="n">
        <f aca="false">+AJ24/AL$7</f>
        <v>0</v>
      </c>
    </row>
    <row r="25" customFormat="false" ht="12" hidden="false" customHeight="false" outlineLevel="0" collapsed="false">
      <c r="A25" s="99" t="s">
        <v>157</v>
      </c>
      <c r="B25" s="100" t="s">
        <v>165</v>
      </c>
      <c r="C25" s="118" t="n">
        <v>0.25</v>
      </c>
      <c r="D25" s="119" t="n">
        <f aca="false">L25/$L$88</f>
        <v>0.0241455463664189</v>
      </c>
      <c r="E25" s="120" t="s">
        <v>109</v>
      </c>
      <c r="F25" s="120" t="s">
        <v>109</v>
      </c>
      <c r="G25" s="120" t="s">
        <v>109</v>
      </c>
      <c r="H25" s="120" t="s">
        <v>109</v>
      </c>
      <c r="I25" s="120" t="s">
        <v>109</v>
      </c>
      <c r="J25" s="120" t="s">
        <v>109</v>
      </c>
      <c r="K25" s="120" t="s">
        <v>109</v>
      </c>
      <c r="L25" s="121" t="n">
        <f aca="false">M25*TRUnits</f>
        <v>16975</v>
      </c>
      <c r="M25" s="121" t="n">
        <f aca="false">2425/2</f>
        <v>1212.5</v>
      </c>
      <c r="N25" s="122" t="n">
        <f aca="false">M25/1376</f>
        <v>0.881177325581395</v>
      </c>
      <c r="O25" s="122"/>
      <c r="P25" s="251" t="n">
        <f aca="false">Q25*P$7</f>
        <v>1187.60674055233</v>
      </c>
      <c r="Q25" s="251" t="n">
        <f aca="false">Q$8*$N25*CMF</f>
        <v>1187.60674055233</v>
      </c>
      <c r="R25" s="252" t="n">
        <f aca="false">+Q25/Q$8</f>
        <v>0.99132449127907</v>
      </c>
      <c r="S25" s="121"/>
      <c r="T25" s="251" t="n">
        <f aca="false">U25*T$7</f>
        <v>79012.527252907</v>
      </c>
      <c r="U25" s="251" t="n">
        <f aca="false">U$8*$N25*CMF</f>
        <v>1097.39621184593</v>
      </c>
      <c r="V25" s="252" t="n">
        <f aca="false">+U25/U$8</f>
        <v>0.99132449127907</v>
      </c>
      <c r="W25" s="121"/>
      <c r="X25" s="251" t="n">
        <f aca="false">Y25*X$7</f>
        <v>77825.9118368459</v>
      </c>
      <c r="Y25" s="251" t="n">
        <f aca="false">Y$8*$N25*CMF</f>
        <v>1275.83462027616</v>
      </c>
      <c r="Z25" s="252" t="n">
        <f aca="false">+Y25/Y$8</f>
        <v>0.99132449127907</v>
      </c>
      <c r="AA25" s="121"/>
      <c r="AB25" s="251" t="n">
        <f aca="false">+X25+T25</f>
        <v>156838.439089753</v>
      </c>
      <c r="AC25" s="253" t="n">
        <f aca="false">+AB25/AB$7</f>
        <v>1179.23638413348</v>
      </c>
      <c r="AD25" s="252" t="n">
        <f aca="false">+AC25/AC$8</f>
        <v>0.983516583931176</v>
      </c>
      <c r="AE25" s="121"/>
      <c r="AF25" s="250"/>
      <c r="AG25" s="124" t="s">
        <v>166</v>
      </c>
      <c r="AH25" s="100" t="s">
        <v>167</v>
      </c>
      <c r="AI25" s="119" t="n">
        <f aca="false">AJ25/$AJ$48</f>
        <v>0.0247662409989882</v>
      </c>
      <c r="AJ25" s="125" t="n">
        <f aca="false">+AB21</f>
        <v>325994.625</v>
      </c>
      <c r="AK25" s="125" t="n">
        <f aca="false">+AJ25/AK$7</f>
        <v>2451.08740601504</v>
      </c>
      <c r="AL25" s="122" t="n">
        <f aca="false">+AJ25/AL$7</f>
        <v>2.04427640201421</v>
      </c>
    </row>
    <row r="26" customFormat="false" ht="12" hidden="false" customHeight="false" outlineLevel="0" collapsed="false">
      <c r="A26" s="99" t="s">
        <v>168</v>
      </c>
      <c r="B26" s="100" t="s">
        <v>169</v>
      </c>
      <c r="C26" s="118" t="n">
        <v>0.35</v>
      </c>
      <c r="D26" s="119" t="n">
        <f aca="false">L26/$L$88</f>
        <v>0.0337938079866498</v>
      </c>
      <c r="E26" s="120" t="s">
        <v>109</v>
      </c>
      <c r="F26" s="120" t="s">
        <v>109</v>
      </c>
      <c r="G26" s="120" t="s">
        <v>109</v>
      </c>
      <c r="H26" s="120" t="s">
        <v>109</v>
      </c>
      <c r="I26" s="120" t="s">
        <v>109</v>
      </c>
      <c r="J26" s="120" t="s">
        <v>109</v>
      </c>
      <c r="K26" s="120" t="s">
        <v>109</v>
      </c>
      <c r="L26" s="121" t="n">
        <f aca="false">M26*TRUnits</f>
        <v>23758</v>
      </c>
      <c r="M26" s="121" t="n">
        <f aca="false">3394/2</f>
        <v>1697</v>
      </c>
      <c r="N26" s="122" t="n">
        <f aca="false">M26/1376</f>
        <v>1.23328488372093</v>
      </c>
      <c r="O26" s="122"/>
      <c r="P26" s="251" t="n">
        <f aca="false">Q26*P$7</f>
        <v>1662.15970203488</v>
      </c>
      <c r="Q26" s="251" t="n">
        <f aca="false">Q$8*$N26*CMF</f>
        <v>1662.15970203488</v>
      </c>
      <c r="R26" s="252" t="n">
        <f aca="false">+Q26/Q$8</f>
        <v>1.38744549418605</v>
      </c>
      <c r="S26" s="121"/>
      <c r="T26" s="251" t="n">
        <f aca="false">U26*T$7</f>
        <v>110584.955668605</v>
      </c>
      <c r="U26" s="251" t="n">
        <f aca="false">U$8*$N26*CMF</f>
        <v>1535.90216206395</v>
      </c>
      <c r="V26" s="252" t="n">
        <f aca="false">+U26/U$8</f>
        <v>1.38744549418605</v>
      </c>
      <c r="W26" s="121"/>
      <c r="X26" s="251" t="n">
        <f aca="false">Y26*X$7</f>
        <v>108924.183412064</v>
      </c>
      <c r="Y26" s="251" t="n">
        <f aca="false">Y$8*$N26*CMF</f>
        <v>1785.64235101744</v>
      </c>
      <c r="Z26" s="252" t="n">
        <f aca="false">+Y26/Y$8</f>
        <v>1.38744549418605</v>
      </c>
      <c r="AA26" s="121"/>
      <c r="AB26" s="251" t="n">
        <f aca="false">+X26+T26</f>
        <v>219509.139080669</v>
      </c>
      <c r="AC26" s="253" t="n">
        <f aca="false">+AB26/AB$7</f>
        <v>1650.44465474187</v>
      </c>
      <c r="AD26" s="252" t="n">
        <f aca="false">+AC26/AC$8</f>
        <v>1.3765176436546</v>
      </c>
      <c r="AE26" s="121"/>
      <c r="AF26" s="250"/>
      <c r="AG26" s="124" t="s">
        <v>170</v>
      </c>
      <c r="AH26" s="100" t="s">
        <v>171</v>
      </c>
      <c r="AI26" s="119" t="n">
        <f aca="false">AJ26/$AJ$48</f>
        <v>0.00468897342680992</v>
      </c>
      <c r="AJ26" s="100" t="n">
        <f aca="false">+AB37+AB38</f>
        <v>61720.3125</v>
      </c>
      <c r="AK26" s="125" t="n">
        <f aca="false">+AJ26/AK$7</f>
        <v>464.0625</v>
      </c>
      <c r="AL26" s="122" t="n">
        <f aca="false">+AJ26/AL$7</f>
        <v>0.38704128440367</v>
      </c>
    </row>
    <row r="27" customFormat="false" ht="12" hidden="false" customHeight="false" outlineLevel="0" collapsed="false">
      <c r="B27" s="110" t="s">
        <v>172</v>
      </c>
      <c r="C27" s="118"/>
      <c r="E27" s="132"/>
      <c r="F27" s="132"/>
      <c r="G27" s="132"/>
      <c r="H27" s="132"/>
      <c r="I27" s="132"/>
      <c r="J27" s="132"/>
      <c r="K27" s="132"/>
      <c r="L27" s="121"/>
      <c r="M27" s="121"/>
      <c r="N27" s="122"/>
      <c r="O27" s="122"/>
      <c r="P27" s="251"/>
      <c r="Q27" s="251"/>
      <c r="R27" s="252"/>
      <c r="S27" s="121"/>
      <c r="T27" s="251"/>
      <c r="U27" s="251"/>
      <c r="V27" s="252"/>
      <c r="W27" s="121"/>
      <c r="X27" s="251"/>
      <c r="Y27" s="251"/>
      <c r="Z27" s="252"/>
      <c r="AA27" s="121"/>
      <c r="AB27" s="251"/>
      <c r="AC27" s="253"/>
      <c r="AD27" s="252"/>
      <c r="AE27" s="121"/>
      <c r="AF27" s="250"/>
      <c r="AG27" s="124" t="s">
        <v>173</v>
      </c>
      <c r="AH27" s="100" t="s">
        <v>174</v>
      </c>
      <c r="AI27" s="119" t="n">
        <f aca="false">AJ27/$AJ$48</f>
        <v>0</v>
      </c>
      <c r="AJ27" s="125" t="n">
        <v>0</v>
      </c>
      <c r="AK27" s="125" t="n">
        <f aca="false">+AJ27/AK$7</f>
        <v>0</v>
      </c>
      <c r="AL27" s="122" t="n">
        <f aca="false">+AJ27/AL$7</f>
        <v>0</v>
      </c>
    </row>
    <row r="28" customFormat="false" ht="12" hidden="false" customHeight="false" outlineLevel="0" collapsed="false">
      <c r="A28" s="99" t="s">
        <v>157</v>
      </c>
      <c r="B28" s="100" t="s">
        <v>175</v>
      </c>
      <c r="C28" s="118"/>
      <c r="D28" s="119" t="n">
        <f aca="false">L28/$L$88</f>
        <v>0.0649092027887359</v>
      </c>
      <c r="E28" s="120" t="s">
        <v>109</v>
      </c>
      <c r="F28" s="120" t="s">
        <v>109</v>
      </c>
      <c r="G28" s="120" t="s">
        <v>109</v>
      </c>
      <c r="H28" s="120" t="s">
        <v>109</v>
      </c>
      <c r="I28" s="120" t="s">
        <v>109</v>
      </c>
      <c r="J28" s="120" t="s">
        <v>109</v>
      </c>
      <c r="K28" s="120" t="s">
        <v>109</v>
      </c>
      <c r="L28" s="121" t="n">
        <f aca="false">M28*TRUnits</f>
        <v>45633</v>
      </c>
      <c r="M28" s="254" t="n">
        <f aca="false">(2975+(24808/7))/2</f>
        <v>3259.5</v>
      </c>
      <c r="N28" s="122" t="n">
        <f aca="false">M28/1376</f>
        <v>2.3688226744186</v>
      </c>
      <c r="O28" s="122"/>
      <c r="P28" s="251" t="n">
        <f aca="false">Q28*P$7</f>
        <v>3192.58075944767</v>
      </c>
      <c r="Q28" s="251" t="n">
        <f aca="false">Q$8*$N28*CMF</f>
        <v>3192.58075944767</v>
      </c>
      <c r="R28" s="252" t="n">
        <f aca="false">+Q28/Q$8</f>
        <v>2.66492550872093</v>
      </c>
      <c r="S28" s="121"/>
      <c r="T28" s="251" t="n">
        <f aca="false">U28*T$7</f>
        <v>212405.222747093</v>
      </c>
      <c r="U28" s="251" t="n">
        <f aca="false">U$8*$N28*CMF</f>
        <v>2950.07253815407</v>
      </c>
      <c r="V28" s="252" t="n">
        <f aca="false">+U28/U$8</f>
        <v>2.66492550872093</v>
      </c>
      <c r="W28" s="121"/>
      <c r="X28" s="251" t="n">
        <f aca="false">Y28*X$7</f>
        <v>209215.306913154</v>
      </c>
      <c r="Y28" s="251" t="n">
        <f aca="false">Y$8*$N28*CMF</f>
        <v>3429.75912972384</v>
      </c>
      <c r="Z28" s="252" t="n">
        <f aca="false">+Y28/Y$8</f>
        <v>2.66492550872093</v>
      </c>
      <c r="AA28" s="121"/>
      <c r="AB28" s="251" t="n">
        <f aca="false">+X28+T28</f>
        <v>421620.529660247</v>
      </c>
      <c r="AC28" s="253" t="n">
        <f aca="false">+AB28/AB$7</f>
        <v>3170.0791703778</v>
      </c>
      <c r="AD28" s="252" t="n">
        <f aca="false">+AC28/AC$8</f>
        <v>2.64393592191643</v>
      </c>
      <c r="AE28" s="121"/>
      <c r="AF28" s="250"/>
      <c r="AG28" s="124" t="s">
        <v>176</v>
      </c>
      <c r="AH28" s="100" t="s">
        <v>177</v>
      </c>
      <c r="AI28" s="119" t="n">
        <f aca="false">AJ28/$AJ$48</f>
        <v>0.0485895414532911</v>
      </c>
      <c r="AJ28" s="125" t="n">
        <f aca="false">+AB54+AB55</f>
        <v>639577.453261265</v>
      </c>
      <c r="AK28" s="125" t="n">
        <f aca="false">+AJ28/AK$7</f>
        <v>4808.85303203958</v>
      </c>
      <c r="AL28" s="122" t="n">
        <f aca="false">+AJ28/AL$7</f>
        <v>4.01071979319398</v>
      </c>
    </row>
    <row r="29" customFormat="false" ht="12" hidden="false" customHeight="false" outlineLevel="0" collapsed="false">
      <c r="A29" s="99" t="s">
        <v>157</v>
      </c>
      <c r="B29" s="100" t="s">
        <v>178</v>
      </c>
      <c r="C29" s="118"/>
      <c r="D29" s="119" t="n">
        <f aca="false">L29/$L$88</f>
        <v>0.0582266827987839</v>
      </c>
      <c r="E29" s="120" t="s">
        <v>109</v>
      </c>
      <c r="F29" s="120" t="s">
        <v>109</v>
      </c>
      <c r="G29" s="120" t="s">
        <v>109</v>
      </c>
      <c r="H29" s="120" t="s">
        <v>109</v>
      </c>
      <c r="I29" s="120" t="s">
        <v>109</v>
      </c>
      <c r="J29" s="120" t="s">
        <v>109</v>
      </c>
      <c r="K29" s="120" t="s">
        <v>109</v>
      </c>
      <c r="L29" s="121" t="n">
        <f aca="false">M29*TRUnits</f>
        <v>40935</v>
      </c>
      <c r="M29" s="254" t="n">
        <f aca="false">(2465+(23680/7))/2</f>
        <v>2923.92857142857</v>
      </c>
      <c r="N29" s="122" t="n">
        <f aca="false">M29/1376</f>
        <v>2.124948089701</v>
      </c>
      <c r="O29" s="122"/>
      <c r="P29" s="251" t="n">
        <f aca="false">Q29*P$7</f>
        <v>2863.89878789452</v>
      </c>
      <c r="Q29" s="251" t="n">
        <f aca="false">Q$8*$N29*CMF</f>
        <v>2863.89878789452</v>
      </c>
      <c r="R29" s="252" t="n">
        <f aca="false">+Q29/Q$8</f>
        <v>2.39056660091362</v>
      </c>
      <c r="S29" s="121"/>
      <c r="T29" s="251" t="n">
        <f aca="false">U29*T$7</f>
        <v>190537.720359219</v>
      </c>
      <c r="U29" s="251" t="n">
        <f aca="false">U$8*$N29*CMF</f>
        <v>2646.35722721138</v>
      </c>
      <c r="V29" s="252" t="n">
        <f aca="false">+U29/U$8</f>
        <v>2.39056660091362</v>
      </c>
      <c r="W29" s="121"/>
      <c r="X29" s="251" t="n">
        <f aca="false">Y29*X$7</f>
        <v>187676.212137926</v>
      </c>
      <c r="Y29" s="251" t="n">
        <f aca="false">Y$8*$N29*CMF</f>
        <v>3076.65921537583</v>
      </c>
      <c r="Z29" s="252" t="n">
        <f aca="false">+Y29/Y$8</f>
        <v>2.39056660091362</v>
      </c>
      <c r="AA29" s="121"/>
      <c r="AB29" s="251" t="n">
        <f aca="false">+X29+T29</f>
        <v>378213.932497145</v>
      </c>
      <c r="AC29" s="253" t="n">
        <f aca="false">+AB29/AB$7</f>
        <v>2843.71377817402</v>
      </c>
      <c r="AD29" s="252" t="n">
        <f aca="false">+AC29/AC$8</f>
        <v>2.37173793008676</v>
      </c>
      <c r="AE29" s="121"/>
      <c r="AF29" s="250"/>
      <c r="AG29" s="124" t="s">
        <v>179</v>
      </c>
      <c r="AH29" s="100" t="s">
        <v>180</v>
      </c>
      <c r="AI29" s="119" t="n">
        <f aca="false">AJ29/$AJ$48</f>
        <v>0.0251538141490195</v>
      </c>
      <c r="AJ29" s="125" t="n">
        <f aca="false">+AB56+SUM(AB58:AB60)+AB72</f>
        <v>331096.197083939</v>
      </c>
      <c r="AK29" s="125" t="n">
        <f aca="false">+AJ29/AK$7</f>
        <v>2489.44509085668</v>
      </c>
      <c r="AL29" s="122" t="n">
        <f aca="false">+AJ29/AL$7</f>
        <v>2.07626779887964</v>
      </c>
    </row>
    <row r="30" customFormat="false" ht="12" hidden="false" customHeight="false" outlineLevel="0" collapsed="false">
      <c r="A30" s="99" t="s">
        <v>157</v>
      </c>
      <c r="B30" s="100" t="s">
        <v>181</v>
      </c>
      <c r="C30" s="118"/>
      <c r="D30" s="119" t="n">
        <f aca="false">L30/$L$88</f>
        <v>0.131939230887182</v>
      </c>
      <c r="E30" s="120" t="s">
        <v>109</v>
      </c>
      <c r="F30" s="120" t="s">
        <v>109</v>
      </c>
      <c r="G30" s="120" t="s">
        <v>109</v>
      </c>
      <c r="H30" s="120" t="s">
        <v>109</v>
      </c>
      <c r="I30" s="120" t="s">
        <v>109</v>
      </c>
      <c r="J30" s="120" t="s">
        <v>109</v>
      </c>
      <c r="K30" s="120" t="s">
        <v>109</v>
      </c>
      <c r="L30" s="121" t="n">
        <f aca="false">M30*TRUnits</f>
        <v>92757</v>
      </c>
      <c r="M30" s="254" t="n">
        <f aca="false">13251/2</f>
        <v>6625.5</v>
      </c>
      <c r="N30" s="122" t="n">
        <f aca="false">M30/1376</f>
        <v>4.81504360465116</v>
      </c>
      <c r="O30" s="122"/>
      <c r="P30" s="251" t="n">
        <f aca="false">Q30*P$7</f>
        <v>6489.47501816861</v>
      </c>
      <c r="Q30" s="251" t="n">
        <f aca="false">Q$8*$N30*CMF</f>
        <v>6489.47501816861</v>
      </c>
      <c r="R30" s="252" t="n">
        <f aca="false">+Q30/Q$8</f>
        <v>5.41692405523256</v>
      </c>
      <c r="S30" s="121"/>
      <c r="T30" s="251" t="n">
        <f aca="false">U30*T$7</f>
        <v>431750.514898256</v>
      </c>
      <c r="U30" s="251" t="n">
        <f aca="false">U$8*$N30*CMF</f>
        <v>5996.53492914244</v>
      </c>
      <c r="V30" s="252" t="n">
        <f aca="false">+U30/U$8</f>
        <v>5.41692405523256</v>
      </c>
      <c r="W30" s="121"/>
      <c r="X30" s="251" t="n">
        <f aca="false">Y30*X$7</f>
        <v>425266.456804142</v>
      </c>
      <c r="Y30" s="251" t="n">
        <f aca="false">Y$8*$N30*CMF</f>
        <v>6971.5812590843</v>
      </c>
      <c r="Z30" s="252" t="n">
        <f aca="false">+Y30/Y$8</f>
        <v>5.41692405523256</v>
      </c>
      <c r="AA30" s="121"/>
      <c r="AB30" s="251" t="n">
        <f aca="false">+X30+T30</f>
        <v>857016.971702398</v>
      </c>
      <c r="AC30" s="253" t="n">
        <f aca="false">+AB30/AB$7</f>
        <v>6443.73662934134</v>
      </c>
      <c r="AD30" s="252" t="n">
        <f aca="false">+AC30/AC$8</f>
        <v>5.37425907367918</v>
      </c>
      <c r="AE30" s="121"/>
      <c r="AF30" s="250"/>
      <c r="AG30" s="124" t="s">
        <v>182</v>
      </c>
      <c r="AH30" s="100" t="s">
        <v>183</v>
      </c>
      <c r="AI30" s="119" t="n">
        <f aca="false">AJ30/$AJ$48</f>
        <v>0.0193242541226106</v>
      </c>
      <c r="AJ30" s="125" t="n">
        <f aca="false">AB66+AB67</f>
        <v>254362.5</v>
      </c>
      <c r="AK30" s="125" t="n">
        <f aca="false">+AJ30/AK$7</f>
        <v>1912.5</v>
      </c>
      <c r="AL30" s="122" t="n">
        <f aca="false">+AJ30/AL$7</f>
        <v>1.59507923269391</v>
      </c>
    </row>
    <row r="31" customFormat="false" ht="12" hidden="false" customHeight="false" outlineLevel="0" collapsed="false">
      <c r="A31" s="99" t="s">
        <v>157</v>
      </c>
      <c r="B31" s="100" t="s">
        <v>184</v>
      </c>
      <c r="C31" s="118"/>
      <c r="D31" s="119" t="n">
        <f aca="false">L31/$L$88</f>
        <v>0</v>
      </c>
      <c r="E31" s="120" t="s">
        <v>109</v>
      </c>
      <c r="F31" s="120" t="s">
        <v>109</v>
      </c>
      <c r="G31" s="120" t="s">
        <v>109</v>
      </c>
      <c r="H31" s="120" t="s">
        <v>109</v>
      </c>
      <c r="I31" s="120" t="s">
        <v>109</v>
      </c>
      <c r="J31" s="120" t="s">
        <v>109</v>
      </c>
      <c r="K31" s="120" t="s">
        <v>109</v>
      </c>
      <c r="L31" s="121" t="n">
        <f aca="false">M31*TRUnits</f>
        <v>0</v>
      </c>
      <c r="M31" s="121"/>
      <c r="N31" s="122" t="n">
        <f aca="false">M31/1376</f>
        <v>0</v>
      </c>
      <c r="O31" s="122"/>
      <c r="P31" s="251" t="n">
        <f aca="false">Q31*P$7</f>
        <v>0</v>
      </c>
      <c r="Q31" s="251" t="n">
        <f aca="false">Q$8*$N31*CMF</f>
        <v>0</v>
      </c>
      <c r="R31" s="252" t="n">
        <f aca="false">+Q31/Q$8</f>
        <v>0</v>
      </c>
      <c r="S31" s="121"/>
      <c r="T31" s="251" t="n">
        <f aca="false">U31*T$7</f>
        <v>0</v>
      </c>
      <c r="U31" s="251" t="n">
        <f aca="false">U$8*$N31*CMF</f>
        <v>0</v>
      </c>
      <c r="V31" s="252" t="n">
        <f aca="false">+U31/U$8</f>
        <v>0</v>
      </c>
      <c r="W31" s="121"/>
      <c r="X31" s="251" t="n">
        <f aca="false">Y31*X$7</f>
        <v>0</v>
      </c>
      <c r="Y31" s="251" t="n">
        <f aca="false">Y$8*$N31*CMF</f>
        <v>0</v>
      </c>
      <c r="Z31" s="252" t="n">
        <f aca="false">+Y31/Y$8</f>
        <v>0</v>
      </c>
      <c r="AA31" s="121"/>
      <c r="AB31" s="251" t="n">
        <f aca="false">+X31+T31</f>
        <v>0</v>
      </c>
      <c r="AC31" s="253" t="n">
        <f aca="false">+AB31/AB$7</f>
        <v>0</v>
      </c>
      <c r="AD31" s="252" t="n">
        <f aca="false">+AC31/AC$8</f>
        <v>0</v>
      </c>
      <c r="AE31" s="121"/>
      <c r="AF31" s="250"/>
      <c r="AG31" s="124" t="s">
        <v>185</v>
      </c>
      <c r="AH31" s="100" t="s">
        <v>186</v>
      </c>
      <c r="AI31" s="119" t="n">
        <f aca="false">AJ31/$AJ$48</f>
        <v>0</v>
      </c>
      <c r="AJ31" s="125" t="n">
        <v>0</v>
      </c>
      <c r="AK31" s="125" t="n">
        <f aca="false">+AJ31/AK$7</f>
        <v>0</v>
      </c>
      <c r="AL31" s="122" t="n">
        <f aca="false">+AJ31/AL$7</f>
        <v>0</v>
      </c>
    </row>
    <row r="32" customFormat="false" ht="12" hidden="false" customHeight="false" outlineLevel="0" collapsed="false">
      <c r="A32" s="99" t="s">
        <v>157</v>
      </c>
      <c r="B32" s="100" t="s">
        <v>187</v>
      </c>
      <c r="C32" s="118"/>
      <c r="D32" s="119" t="n">
        <f aca="false">L32/$L$88</f>
        <v>0</v>
      </c>
      <c r="E32" s="120" t="s">
        <v>109</v>
      </c>
      <c r="F32" s="120" t="s">
        <v>109</v>
      </c>
      <c r="G32" s="120" t="s">
        <v>109</v>
      </c>
      <c r="H32" s="120" t="s">
        <v>109</v>
      </c>
      <c r="I32" s="120" t="s">
        <v>109</v>
      </c>
      <c r="J32" s="120" t="s">
        <v>109</v>
      </c>
      <c r="K32" s="120" t="s">
        <v>109</v>
      </c>
      <c r="L32" s="121" t="n">
        <f aca="false">M32*TRUnits</f>
        <v>0</v>
      </c>
      <c r="M32" s="121"/>
      <c r="N32" s="122" t="n">
        <f aca="false">M32/1376</f>
        <v>0</v>
      </c>
      <c r="O32" s="122"/>
      <c r="P32" s="251" t="n">
        <f aca="false">Q32*P$7</f>
        <v>0</v>
      </c>
      <c r="Q32" s="251" t="n">
        <f aca="false">Q$8*$N32*CMF</f>
        <v>0</v>
      </c>
      <c r="R32" s="252" t="n">
        <f aca="false">+Q32/Q$8</f>
        <v>0</v>
      </c>
      <c r="S32" s="121"/>
      <c r="T32" s="251" t="n">
        <f aca="false">U32*T$7</f>
        <v>0</v>
      </c>
      <c r="U32" s="251" t="n">
        <f aca="false">U$8*$N32*CMF</f>
        <v>0</v>
      </c>
      <c r="V32" s="252" t="n">
        <f aca="false">+U32/U$8</f>
        <v>0</v>
      </c>
      <c r="W32" s="121"/>
      <c r="X32" s="251" t="n">
        <f aca="false">Y32*X$7</f>
        <v>0</v>
      </c>
      <c r="Y32" s="251" t="n">
        <f aca="false">Y$8*$N32*CMF</f>
        <v>0</v>
      </c>
      <c r="Z32" s="252" t="n">
        <f aca="false">+Y32/Y$8</f>
        <v>0</v>
      </c>
      <c r="AA32" s="121"/>
      <c r="AB32" s="251" t="n">
        <f aca="false">+X32+T32</f>
        <v>0</v>
      </c>
      <c r="AC32" s="253" t="n">
        <f aca="false">+AB32/AB$7</f>
        <v>0</v>
      </c>
      <c r="AD32" s="252" t="n">
        <f aca="false">+AC32/AC$8</f>
        <v>0</v>
      </c>
      <c r="AE32" s="121"/>
      <c r="AF32" s="250"/>
      <c r="AG32" s="124" t="s">
        <v>188</v>
      </c>
      <c r="AH32" s="100" t="s">
        <v>189</v>
      </c>
      <c r="AI32" s="119" t="n">
        <f aca="false">AJ32/$AJ$48</f>
        <v>0.0111781986860388</v>
      </c>
      <c r="AJ32" s="125" t="n">
        <f aca="false">AB63+AB64</f>
        <v>147137.092341933</v>
      </c>
      <c r="AK32" s="125" t="n">
        <f aca="false">+AJ32/AK$7</f>
        <v>1106.29392738296</v>
      </c>
      <c r="AL32" s="122" t="n">
        <f aca="false">+AJ32/AL$7</f>
        <v>0.922680506574609</v>
      </c>
    </row>
    <row r="33" customFormat="false" ht="12" hidden="false" customHeight="false" outlineLevel="0" collapsed="false">
      <c r="A33" s="99" t="s">
        <v>168</v>
      </c>
      <c r="B33" s="100" t="s">
        <v>190</v>
      </c>
      <c r="C33" s="118"/>
      <c r="D33" s="119" t="n">
        <f aca="false">L33/$L$88</f>
        <v>0</v>
      </c>
      <c r="E33" s="120" t="s">
        <v>109</v>
      </c>
      <c r="F33" s="120" t="s">
        <v>109</v>
      </c>
      <c r="G33" s="120" t="s">
        <v>109</v>
      </c>
      <c r="H33" s="120" t="s">
        <v>109</v>
      </c>
      <c r="I33" s="120" t="s">
        <v>109</v>
      </c>
      <c r="J33" s="120" t="s">
        <v>109</v>
      </c>
      <c r="K33" s="120" t="s">
        <v>109</v>
      </c>
      <c r="L33" s="121" t="n">
        <f aca="false">M33*TRUnits</f>
        <v>0</v>
      </c>
      <c r="N33" s="122" t="n">
        <f aca="false">M33/1376</f>
        <v>0</v>
      </c>
      <c r="O33" s="122"/>
      <c r="P33" s="251" t="n">
        <f aca="false">Q33*P$7</f>
        <v>0</v>
      </c>
      <c r="Q33" s="251" t="n">
        <f aca="false">Q$8*$N33*CMF</f>
        <v>0</v>
      </c>
      <c r="R33" s="252" t="n">
        <f aca="false">+Q33/Q$8</f>
        <v>0</v>
      </c>
      <c r="S33" s="121"/>
      <c r="T33" s="251" t="n">
        <f aca="false">U33*T$7</f>
        <v>0</v>
      </c>
      <c r="U33" s="251" t="n">
        <f aca="false">U$8*$N33*CMF</f>
        <v>0</v>
      </c>
      <c r="V33" s="252" t="n">
        <f aca="false">+U33/U$8</f>
        <v>0</v>
      </c>
      <c r="W33" s="121"/>
      <c r="X33" s="251" t="n">
        <f aca="false">Y33*X$7</f>
        <v>0</v>
      </c>
      <c r="Y33" s="251" t="n">
        <f aca="false">Y$8*$N33*CMF</f>
        <v>0</v>
      </c>
      <c r="Z33" s="252" t="n">
        <f aca="false">+Y33/Y$8</f>
        <v>0</v>
      </c>
      <c r="AA33" s="121"/>
      <c r="AB33" s="251" t="n">
        <f aca="false">+X33+T33</f>
        <v>0</v>
      </c>
      <c r="AC33" s="253" t="n">
        <f aca="false">+AB33/AB$7</f>
        <v>0</v>
      </c>
      <c r="AD33" s="252" t="n">
        <f aca="false">+AC33/AC$8</f>
        <v>0</v>
      </c>
      <c r="AE33" s="121"/>
      <c r="AF33" s="250"/>
      <c r="AG33" s="124" t="s">
        <v>191</v>
      </c>
      <c r="AH33" s="100" t="s">
        <v>192</v>
      </c>
      <c r="AI33" s="119" t="n">
        <f aca="false">AJ33/$AJ$48</f>
        <v>0</v>
      </c>
      <c r="AJ33" s="125" t="n">
        <v>0</v>
      </c>
      <c r="AK33" s="125" t="n">
        <f aca="false">+AJ33/AK$7</f>
        <v>0</v>
      </c>
      <c r="AL33" s="122" t="n">
        <f aca="false">+AJ33/AL$7</f>
        <v>0</v>
      </c>
    </row>
    <row r="34" customFormat="false" ht="12" hidden="false" customHeight="false" outlineLevel="0" collapsed="false">
      <c r="A34" s="99" t="s">
        <v>193</v>
      </c>
      <c r="B34" s="100" t="s">
        <v>194</v>
      </c>
      <c r="C34" s="118"/>
      <c r="D34" s="119" t="n">
        <f aca="false">L34/$L$88</f>
        <v>0.00890149214498081</v>
      </c>
      <c r="E34" s="120" t="s">
        <v>109</v>
      </c>
      <c r="F34" s="120" t="s">
        <v>109</v>
      </c>
      <c r="G34" s="120" t="s">
        <v>109</v>
      </c>
      <c r="H34" s="120" t="s">
        <v>109</v>
      </c>
      <c r="I34" s="120" t="s">
        <v>109</v>
      </c>
      <c r="J34" s="120" t="s">
        <v>109</v>
      </c>
      <c r="K34" s="120" t="s">
        <v>109</v>
      </c>
      <c r="L34" s="121" t="n">
        <f aca="false">M34*TRUnits</f>
        <v>6258</v>
      </c>
      <c r="M34" s="121" t="n">
        <f aca="false">894/2</f>
        <v>447</v>
      </c>
      <c r="N34" s="122" t="n">
        <f aca="false">M34/1376</f>
        <v>0.324854651162791</v>
      </c>
      <c r="O34" s="122"/>
      <c r="P34" s="251" t="n">
        <f aca="false">Q34*P$7</f>
        <v>348.75</v>
      </c>
      <c r="Q34" s="251" t="n">
        <f aca="false">(120+80+70+40)*CMF</f>
        <v>348.75</v>
      </c>
      <c r="R34" s="252" t="n">
        <f aca="false">+Q34/Q$8</f>
        <v>0.291110183639399</v>
      </c>
      <c r="S34" s="121"/>
      <c r="T34" s="251" t="n">
        <f aca="false">U34*T$7</f>
        <v>43740</v>
      </c>
      <c r="U34" s="251" t="n">
        <f aca="false">(120+3*70+2*65+2*40)*CMF</f>
        <v>607.5</v>
      </c>
      <c r="V34" s="252" t="n">
        <f aca="false">+U34/U$8</f>
        <v>0.548780487804878</v>
      </c>
      <c r="W34" s="121"/>
      <c r="X34" s="251" t="n">
        <f aca="false">Y34*X$7</f>
        <v>45978.75</v>
      </c>
      <c r="Y34" s="251" t="n">
        <f aca="false">(120+4*80+70+4*40)*CMF</f>
        <v>753.75</v>
      </c>
      <c r="Z34" s="252" t="n">
        <f aca="false">+Y34/Y$8</f>
        <v>0.585664335664336</v>
      </c>
      <c r="AA34" s="121"/>
      <c r="AB34" s="251" t="n">
        <f aca="false">+X34+T34</f>
        <v>89718.75</v>
      </c>
      <c r="AC34" s="253" t="n">
        <f aca="false">+AB34/AB$7</f>
        <v>674.577067669173</v>
      </c>
      <c r="AD34" s="252" t="n">
        <f aca="false">+AC34/AC$8</f>
        <v>0.562616403393806</v>
      </c>
      <c r="AE34" s="121"/>
      <c r="AF34" s="250"/>
      <c r="AG34" s="124" t="s">
        <v>195</v>
      </c>
      <c r="AH34" s="100" t="s">
        <v>196</v>
      </c>
      <c r="AI34" s="119" t="n">
        <f aca="false">AJ34/$AJ$48</f>
        <v>0.0102304874766762</v>
      </c>
      <c r="AJ34" s="125" t="n">
        <f aca="false">+AB70</f>
        <v>134662.5</v>
      </c>
      <c r="AK34" s="125" t="n">
        <f aca="false">+AJ34/AK$7</f>
        <v>1012.5</v>
      </c>
      <c r="AL34" s="122" t="n">
        <f aca="false">+AJ34/AL$7</f>
        <v>0.844453711426189</v>
      </c>
    </row>
    <row r="35" customFormat="false" ht="12" hidden="false" customHeight="false" outlineLevel="0" collapsed="false">
      <c r="A35" s="99" t="s">
        <v>157</v>
      </c>
      <c r="B35" s="100" t="s">
        <v>197</v>
      </c>
      <c r="C35" s="118"/>
      <c r="D35" s="119" t="n">
        <f aca="false">L35/$L$88</f>
        <v>0.00597415580200055</v>
      </c>
      <c r="E35" s="120" t="s">
        <v>109</v>
      </c>
      <c r="F35" s="120" t="s">
        <v>109</v>
      </c>
      <c r="G35" s="120" t="s">
        <v>109</v>
      </c>
      <c r="H35" s="120" t="s">
        <v>109</v>
      </c>
      <c r="I35" s="120" t="s">
        <v>109</v>
      </c>
      <c r="J35" s="120" t="s">
        <v>109</v>
      </c>
      <c r="K35" s="120" t="s">
        <v>109</v>
      </c>
      <c r="L35" s="121" t="n">
        <f aca="false">M35*TRUnits</f>
        <v>4200</v>
      </c>
      <c r="M35" s="255" t="n">
        <f aca="false">600/2</f>
        <v>300</v>
      </c>
      <c r="N35" s="122" t="n">
        <f aca="false">M35/1376</f>
        <v>0.218023255813954</v>
      </c>
      <c r="O35" s="122"/>
      <c r="P35" s="251" t="n">
        <f aca="false">Q35*P$7</f>
        <v>582.75</v>
      </c>
      <c r="Q35" s="251" t="n">
        <f aca="false">((75+46+13)*2+180+70)*CMF</f>
        <v>582.75</v>
      </c>
      <c r="R35" s="252" t="n">
        <f aca="false">+Q35/Q$8</f>
        <v>0.486435726210351</v>
      </c>
      <c r="S35" s="121"/>
      <c r="T35" s="251" t="n">
        <f aca="false">U35*T$7</f>
        <v>41958</v>
      </c>
      <c r="U35" s="251" t="n">
        <f aca="false">((75+46+13)*2+180+70)*CMF</f>
        <v>582.75</v>
      </c>
      <c r="V35" s="252" t="n">
        <f aca="false">+U35/U$8</f>
        <v>0.526422764227642</v>
      </c>
      <c r="W35" s="121"/>
      <c r="X35" s="251" t="n">
        <f aca="false">Y35*X$7</f>
        <v>35547.75</v>
      </c>
      <c r="Y35" s="251" t="n">
        <f aca="false">((75+46+13)*2+180+70)*CMF</f>
        <v>582.75</v>
      </c>
      <c r="Z35" s="252" t="n">
        <f aca="false">+Y35/Y$8</f>
        <v>0.452797202797203</v>
      </c>
      <c r="AA35" s="121"/>
      <c r="AB35" s="251" t="n">
        <f aca="false">+X35+T35</f>
        <v>77505.75</v>
      </c>
      <c r="AC35" s="253" t="n">
        <f aca="false">+AB35/AB$7</f>
        <v>582.75</v>
      </c>
      <c r="AD35" s="252" t="n">
        <f aca="false">+AC35/AC$8</f>
        <v>0.486030025020851</v>
      </c>
      <c r="AE35" s="121"/>
      <c r="AF35" s="250"/>
      <c r="AG35" s="124" t="s">
        <v>198</v>
      </c>
      <c r="AH35" s="100" t="s">
        <v>199</v>
      </c>
      <c r="AI35" s="119" t="n">
        <f aca="false">AJ35/$AJ$48</f>
        <v>0.0164967610533863</v>
      </c>
      <c r="AJ35" s="125" t="n">
        <f aca="false">+AB71</f>
        <v>217144.5975</v>
      </c>
      <c r="AK35" s="125" t="n">
        <f aca="false">+AJ35/AK$7</f>
        <v>1632.66614661654</v>
      </c>
      <c r="AL35" s="122" t="n">
        <f aca="false">+AJ35/AL$7</f>
        <v>1.36168986373356</v>
      </c>
    </row>
    <row r="36" customFormat="false" ht="12" hidden="false" customHeight="false" outlineLevel="0" collapsed="false">
      <c r="B36" s="110" t="s">
        <v>200</v>
      </c>
      <c r="C36" s="118"/>
      <c r="D36" s="119"/>
      <c r="E36" s="120"/>
      <c r="F36" s="120"/>
      <c r="G36" s="120"/>
      <c r="H36" s="120"/>
      <c r="I36" s="120"/>
      <c r="J36" s="120"/>
      <c r="K36" s="120"/>
      <c r="L36" s="121"/>
      <c r="M36" s="121"/>
      <c r="N36" s="122"/>
      <c r="O36" s="122"/>
      <c r="P36" s="251"/>
      <c r="Q36" s="251"/>
      <c r="R36" s="252"/>
      <c r="S36" s="121"/>
      <c r="T36" s="251"/>
      <c r="U36" s="251"/>
      <c r="V36" s="252"/>
      <c r="W36" s="121"/>
      <c r="X36" s="251"/>
      <c r="Y36" s="251"/>
      <c r="Z36" s="252"/>
      <c r="AA36" s="121"/>
      <c r="AB36" s="251"/>
      <c r="AC36" s="253"/>
      <c r="AD36" s="252"/>
      <c r="AE36" s="121"/>
      <c r="AF36" s="250"/>
      <c r="AG36" s="124" t="s">
        <v>201</v>
      </c>
      <c r="AH36" s="100" t="s">
        <v>202</v>
      </c>
      <c r="AI36" s="119" t="n">
        <f aca="false">AJ36/$AJ$48</f>
        <v>0.00383643280375357</v>
      </c>
      <c r="AJ36" s="125" t="n">
        <f aca="false">SUM(AB73:AB76)</f>
        <v>50498.4375</v>
      </c>
      <c r="AK36" s="125" t="n">
        <f aca="false">+AJ36/AK$7</f>
        <v>379.6875</v>
      </c>
      <c r="AL36" s="122" t="n">
        <f aca="false">+AJ36/AL$7</f>
        <v>0.316670141784821</v>
      </c>
    </row>
    <row r="37" customFormat="false" ht="12" hidden="false" customHeight="false" outlineLevel="0" collapsed="false">
      <c r="A37" s="99" t="s">
        <v>203</v>
      </c>
      <c r="B37" s="100" t="s">
        <v>204</v>
      </c>
      <c r="C37" s="118"/>
      <c r="D37" s="119"/>
      <c r="E37" s="120"/>
      <c r="F37" s="120"/>
      <c r="G37" s="120"/>
      <c r="H37" s="120"/>
      <c r="I37" s="120"/>
      <c r="J37" s="120"/>
      <c r="K37" s="120"/>
      <c r="L37" s="121" t="n">
        <v>0</v>
      </c>
      <c r="M37" s="121" t="n">
        <v>0</v>
      </c>
      <c r="N37" s="122"/>
      <c r="O37" s="122"/>
      <c r="P37" s="251" t="n">
        <f aca="false">Q37*P$7</f>
        <v>168.75</v>
      </c>
      <c r="Q37" s="251" t="n">
        <f aca="false">(28-3)*3*2*CMF</f>
        <v>168.75</v>
      </c>
      <c r="R37" s="252" t="n">
        <f aca="false">+Q37/Q$8</f>
        <v>0.140859766277129</v>
      </c>
      <c r="S37" s="121"/>
      <c r="T37" s="251" t="n">
        <f aca="false">U37*T$7</f>
        <v>12150</v>
      </c>
      <c r="U37" s="251" t="n">
        <f aca="false">(28-3)*3*2*CMF</f>
        <v>168.75</v>
      </c>
      <c r="V37" s="252" t="n">
        <f aca="false">+U37/U$8</f>
        <v>0.152439024390244</v>
      </c>
      <c r="W37" s="121"/>
      <c r="X37" s="251" t="n">
        <f aca="false">Y37*X$7</f>
        <v>10293.75</v>
      </c>
      <c r="Y37" s="251" t="n">
        <f aca="false">(28-3)*3*2*CMF</f>
        <v>168.75</v>
      </c>
      <c r="Z37" s="252" t="n">
        <f aca="false">+Y37/Y$8</f>
        <v>0.131118881118881</v>
      </c>
      <c r="AA37" s="121"/>
      <c r="AB37" s="251" t="n">
        <f aca="false">+X37+T37</f>
        <v>22443.75</v>
      </c>
      <c r="AC37" s="253" t="n">
        <f aca="false">+AB37/AB$7</f>
        <v>168.75</v>
      </c>
      <c r="AD37" s="252" t="n">
        <f aca="false">+AC37/AC$8</f>
        <v>0.140742285237698</v>
      </c>
      <c r="AE37" s="121"/>
      <c r="AF37" s="250"/>
      <c r="AG37" s="124" t="s">
        <v>205</v>
      </c>
      <c r="AH37" s="100" t="s">
        <v>206</v>
      </c>
      <c r="AI37" s="119" t="n">
        <f aca="false">AJ37/$AJ$48</f>
        <v>0.00697074185658383</v>
      </c>
      <c r="AJ37" s="125" t="n">
        <f aca="false">+AB68</f>
        <v>91754.9166061046</v>
      </c>
      <c r="AK37" s="125" t="n">
        <f aca="false">+AJ37/AK$7</f>
        <v>689.886591023343</v>
      </c>
      <c r="AL37" s="122" t="n">
        <f aca="false">+AJ37/AL$7</f>
        <v>0.575384980002788</v>
      </c>
    </row>
    <row r="38" customFormat="false" ht="12" hidden="false" customHeight="false" outlineLevel="0" collapsed="false">
      <c r="A38" s="99" t="s">
        <v>203</v>
      </c>
      <c r="B38" s="100" t="s">
        <v>207</v>
      </c>
      <c r="C38" s="118"/>
      <c r="D38" s="119"/>
      <c r="E38" s="120"/>
      <c r="F38" s="120"/>
      <c r="G38" s="120"/>
      <c r="H38" s="120"/>
      <c r="I38" s="120"/>
      <c r="J38" s="120"/>
      <c r="K38" s="120"/>
      <c r="L38" s="121" t="n">
        <v>0</v>
      </c>
      <c r="M38" s="121" t="n">
        <v>0</v>
      </c>
      <c r="N38" s="122"/>
      <c r="O38" s="122"/>
      <c r="P38" s="251" t="n">
        <f aca="false">Q38*P$7</f>
        <v>295.3125</v>
      </c>
      <c r="Q38" s="251" t="n">
        <f aca="false">(28-3)*3*3.5*CMF</f>
        <v>295.3125</v>
      </c>
      <c r="R38" s="252" t="n">
        <f aca="false">+Q38/Q$8</f>
        <v>0.246504590984975</v>
      </c>
      <c r="S38" s="121"/>
      <c r="T38" s="251" t="n">
        <f aca="false">U38*T$7</f>
        <v>21262.5</v>
      </c>
      <c r="U38" s="251" t="n">
        <f aca="false">(28-3)*3*3.5*CMF</f>
        <v>295.3125</v>
      </c>
      <c r="V38" s="252" t="n">
        <f aca="false">+U38/U$8</f>
        <v>0.266768292682927</v>
      </c>
      <c r="W38" s="121"/>
      <c r="X38" s="251" t="n">
        <f aca="false">Y38*X$7</f>
        <v>18014.0625</v>
      </c>
      <c r="Y38" s="251" t="n">
        <f aca="false">(28-3)*3*3.5*CMF</f>
        <v>295.3125</v>
      </c>
      <c r="Z38" s="252" t="n">
        <f aca="false">+Y38/Y$8</f>
        <v>0.229458041958042</v>
      </c>
      <c r="AA38" s="121"/>
      <c r="AB38" s="251" t="n">
        <f aca="false">+X38+T38</f>
        <v>39276.5625</v>
      </c>
      <c r="AC38" s="253" t="n">
        <f aca="false">+AB38/AB$7</f>
        <v>295.3125</v>
      </c>
      <c r="AD38" s="252" t="n">
        <f aca="false">+AC38/AC$8</f>
        <v>0.246298999165972</v>
      </c>
      <c r="AE38" s="121"/>
      <c r="AF38" s="250"/>
      <c r="AG38" s="124" t="s">
        <v>208</v>
      </c>
      <c r="AH38" s="100" t="s">
        <v>209</v>
      </c>
      <c r="AI38" s="119" t="n">
        <f aca="false">AJ38/$AJ$48</f>
        <v>0.0100249290353215</v>
      </c>
      <c r="AJ38" s="125" t="n">
        <f aca="false">SUM(AB77:AB79)</f>
        <v>131956.7625</v>
      </c>
      <c r="AK38" s="125" t="n">
        <f aca="false">+AJ38/AK$7</f>
        <v>992.156109022557</v>
      </c>
      <c r="AL38" s="122" t="n">
        <f aca="false">+AJ38/AL$7</f>
        <v>0.827486329460014</v>
      </c>
    </row>
    <row r="39" customFormat="false" ht="12" hidden="false" customHeight="false" outlineLevel="0" collapsed="false">
      <c r="B39" s="110" t="s">
        <v>210</v>
      </c>
      <c r="C39" s="118"/>
      <c r="D39" s="119"/>
      <c r="E39" s="120"/>
      <c r="F39" s="120"/>
      <c r="G39" s="120"/>
      <c r="H39" s="120"/>
      <c r="I39" s="120"/>
      <c r="J39" s="120"/>
      <c r="K39" s="120"/>
      <c r="L39" s="121"/>
      <c r="M39" s="121"/>
      <c r="N39" s="122"/>
      <c r="O39" s="122"/>
      <c r="P39" s="251"/>
      <c r="Q39" s="251"/>
      <c r="R39" s="252"/>
      <c r="S39" s="121"/>
      <c r="T39" s="251"/>
      <c r="U39" s="251"/>
      <c r="V39" s="252"/>
      <c r="W39" s="121"/>
      <c r="X39" s="251"/>
      <c r="Y39" s="251"/>
      <c r="Z39" s="252"/>
      <c r="AA39" s="121"/>
      <c r="AB39" s="251"/>
      <c r="AC39" s="253"/>
      <c r="AD39" s="252"/>
      <c r="AE39" s="121"/>
      <c r="AF39" s="250"/>
      <c r="AG39" s="124" t="s">
        <v>211</v>
      </c>
      <c r="AH39" s="100" t="s">
        <v>212</v>
      </c>
      <c r="AI39" s="119" t="n">
        <f aca="false">AJ39/$AJ$48</f>
        <v>0.0183385814202203</v>
      </c>
      <c r="AJ39" s="131" t="n">
        <f aca="false">SUM(AB81:AB85)</f>
        <v>241388.225744913</v>
      </c>
      <c r="AK39" s="125" t="n">
        <f aca="false">+AJ39/AK$7</f>
        <v>1814.94906575122</v>
      </c>
      <c r="AL39" s="122" t="n">
        <f aca="false">+AJ39/AL$7</f>
        <v>1.51371898728209</v>
      </c>
    </row>
    <row r="40" customFormat="false" ht="14.45" hidden="false" customHeight="true" outlineLevel="0" collapsed="false">
      <c r="A40" s="99" t="s">
        <v>213</v>
      </c>
      <c r="B40" s="100" t="s">
        <v>204</v>
      </c>
      <c r="C40" s="118"/>
      <c r="D40" s="119" t="n">
        <f aca="false">L40/$L$88</f>
        <v>0.00746769475250068</v>
      </c>
      <c r="E40" s="120" t="s">
        <v>109</v>
      </c>
      <c r="F40" s="120" t="s">
        <v>109</v>
      </c>
      <c r="G40" s="120" t="s">
        <v>109</v>
      </c>
      <c r="H40" s="120" t="s">
        <v>109</v>
      </c>
      <c r="I40" s="120" t="s">
        <v>109</v>
      </c>
      <c r="J40" s="120" t="s">
        <v>109</v>
      </c>
      <c r="K40" s="120" t="s">
        <v>109</v>
      </c>
      <c r="L40" s="121" t="n">
        <f aca="false">M40*TRUnits</f>
        <v>5250</v>
      </c>
      <c r="M40" s="121" t="n">
        <f aca="false">750/2</f>
        <v>375</v>
      </c>
      <c r="N40" s="122" t="n">
        <f aca="false">M40/1376</f>
        <v>0.272529069767442</v>
      </c>
      <c r="O40" s="122"/>
      <c r="P40" s="251" t="n">
        <f aca="false">Q40*P$7</f>
        <v>490.15125</v>
      </c>
      <c r="Q40" s="251" t="n">
        <f aca="false">((R$8*1.2)/100*23.5)*CMF</f>
        <v>490.15125</v>
      </c>
      <c r="R40" s="252" t="n">
        <f aca="false">+Q40/Q$8</f>
        <v>0.409141277128548</v>
      </c>
      <c r="S40" s="121"/>
      <c r="T40" s="251" t="n">
        <f aca="false">U40*T$7</f>
        <v>25286.094</v>
      </c>
      <c r="U40" s="251" t="n">
        <f aca="false">((V$8*1.2)/100*23.5)*CMF</f>
        <v>351.19575</v>
      </c>
      <c r="V40" s="252" t="n">
        <f aca="false">+U40/U$8</f>
        <v>0.31725</v>
      </c>
      <c r="W40" s="121"/>
      <c r="X40" s="251" t="n">
        <f aca="false">Y40*X$7</f>
        <v>30866.83875</v>
      </c>
      <c r="Y40" s="251" t="n">
        <f aca="false">((Z$8*1.2)/100*23.5)*CMF</f>
        <v>506.01375</v>
      </c>
      <c r="Z40" s="252" t="n">
        <f aca="false">+Y40/Y$8</f>
        <v>0.393173076923077</v>
      </c>
      <c r="AA40" s="121"/>
      <c r="AB40" s="251" t="n">
        <f aca="false">+X40+T40</f>
        <v>56152.93275</v>
      </c>
      <c r="AC40" s="253" t="n">
        <f aca="false">+AB40/AB$7</f>
        <v>422.202501879699</v>
      </c>
      <c r="AD40" s="252" t="n">
        <f aca="false">+AC40/AC$8</f>
        <v>0.352128858948873</v>
      </c>
      <c r="AE40" s="121"/>
      <c r="AF40" s="250"/>
      <c r="AG40" s="124" t="s">
        <v>214</v>
      </c>
      <c r="AH40" s="100" t="s">
        <v>215</v>
      </c>
      <c r="AI40" s="119" t="n">
        <f aca="false">AJ40/$AJ$48</f>
        <v>0</v>
      </c>
      <c r="AJ40" s="131"/>
      <c r="AK40" s="125" t="n">
        <f aca="false">+AJ40/AK$7</f>
        <v>0</v>
      </c>
      <c r="AL40" s="122" t="n">
        <f aca="false">+AJ40/AL$7</f>
        <v>0</v>
      </c>
    </row>
    <row r="41" customFormat="false" ht="12" hidden="false" customHeight="false" outlineLevel="0" collapsed="false">
      <c r="A41" s="99" t="s">
        <v>213</v>
      </c>
      <c r="B41" s="100" t="s">
        <v>207</v>
      </c>
      <c r="C41" s="118"/>
      <c r="D41" s="119" t="n">
        <f aca="false">L41/$L$88</f>
        <v>0.00706941769903398</v>
      </c>
      <c r="E41" s="120" t="s">
        <v>109</v>
      </c>
      <c r="F41" s="120" t="s">
        <v>109</v>
      </c>
      <c r="G41" s="120" t="s">
        <v>109</v>
      </c>
      <c r="H41" s="120" t="s">
        <v>109</v>
      </c>
      <c r="I41" s="120" t="s">
        <v>109</v>
      </c>
      <c r="J41" s="120" t="s">
        <v>109</v>
      </c>
      <c r="K41" s="120" t="s">
        <v>109</v>
      </c>
      <c r="L41" s="121" t="n">
        <f aca="false">M41*TRUnits</f>
        <v>4970</v>
      </c>
      <c r="M41" s="121" t="n">
        <f aca="false">710/2</f>
        <v>355</v>
      </c>
      <c r="N41" s="122" t="n">
        <f aca="false">M41/1376</f>
        <v>0.257994186046512</v>
      </c>
      <c r="O41" s="122"/>
      <c r="P41" s="251" t="n">
        <f aca="false">Q41*P$7</f>
        <v>438.0075</v>
      </c>
      <c r="Q41" s="251" t="n">
        <f aca="false">((R$8*1.2)/100*21)*CMF</f>
        <v>438.0075</v>
      </c>
      <c r="R41" s="252" t="n">
        <f aca="false">+Q41/Q$8</f>
        <v>0.365615609348915</v>
      </c>
      <c r="S41" s="121"/>
      <c r="T41" s="251" t="n">
        <f aca="false">U41*T$7</f>
        <v>22596.084</v>
      </c>
      <c r="U41" s="251" t="n">
        <f aca="false">((V$8*1.2)/100*21)*CMF</f>
        <v>313.8345</v>
      </c>
      <c r="V41" s="252" t="n">
        <f aca="false">+U41/U$8</f>
        <v>0.2835</v>
      </c>
      <c r="W41" s="121"/>
      <c r="X41" s="251" t="n">
        <f aca="false">Y41*X$7</f>
        <v>27583.1325</v>
      </c>
      <c r="Y41" s="251" t="n">
        <f aca="false">((Z$8*1.2)/100*21)*CMF</f>
        <v>452.1825</v>
      </c>
      <c r="Z41" s="252" t="n">
        <f aca="false">+Y41/Y$8</f>
        <v>0.351346153846154</v>
      </c>
      <c r="AA41" s="121"/>
      <c r="AB41" s="251" t="n">
        <f aca="false">+X41+T41</f>
        <v>50179.2165</v>
      </c>
      <c r="AC41" s="253" t="n">
        <f aca="false">+AB41/AB$7</f>
        <v>377.287342105263</v>
      </c>
      <c r="AD41" s="252" t="n">
        <f aca="false">+AC41/AC$8</f>
        <v>0.314668342039419</v>
      </c>
      <c r="AE41" s="121"/>
      <c r="AF41" s="250"/>
      <c r="AG41" s="124" t="s">
        <v>216</v>
      </c>
      <c r="AH41" s="100" t="s">
        <v>217</v>
      </c>
      <c r="AI41" s="119" t="n">
        <f aca="false">AJ41/$AJ$48</f>
        <v>0.0280442233065128</v>
      </c>
      <c r="AJ41" s="131" t="n">
        <f aca="false">(SUM(AJ9:AJ40)+SUM(AJ42:AJ45))*1.0125*0.7*0.095/12*6</f>
        <v>369142.255403087</v>
      </c>
      <c r="AK41" s="125" t="n">
        <f aca="false">+AJ41/AK$7</f>
        <v>2775.50567972246</v>
      </c>
      <c r="AL41" s="122" t="n">
        <f aca="false">+AJ41/AL$7</f>
        <v>2.31485044180355</v>
      </c>
    </row>
    <row r="42" customFormat="false" ht="12" hidden="false" customHeight="false" outlineLevel="0" collapsed="false">
      <c r="B42" s="110" t="s">
        <v>218</v>
      </c>
      <c r="C42" s="118"/>
      <c r="E42" s="120"/>
      <c r="F42" s="120"/>
      <c r="G42" s="120"/>
      <c r="H42" s="120"/>
      <c r="I42" s="120"/>
      <c r="J42" s="120"/>
      <c r="K42" s="120"/>
      <c r="L42" s="121"/>
      <c r="M42" s="121"/>
      <c r="N42" s="122"/>
      <c r="O42" s="122"/>
      <c r="P42" s="251"/>
      <c r="Q42" s="251"/>
      <c r="R42" s="252"/>
      <c r="S42" s="121"/>
      <c r="T42" s="251"/>
      <c r="U42" s="251"/>
      <c r="V42" s="252"/>
      <c r="W42" s="121"/>
      <c r="X42" s="251"/>
      <c r="Y42" s="251"/>
      <c r="Z42" s="252"/>
      <c r="AA42" s="121"/>
      <c r="AB42" s="251"/>
      <c r="AC42" s="253" t="s">
        <v>219</v>
      </c>
      <c r="AD42" s="252"/>
      <c r="AE42" s="121"/>
      <c r="AF42" s="250"/>
      <c r="AG42" s="124" t="s">
        <v>220</v>
      </c>
      <c r="AH42" s="100" t="s">
        <v>221</v>
      </c>
      <c r="AI42" s="119" t="n">
        <f aca="false">AJ42/$AJ$48</f>
        <v>0.143902589538258</v>
      </c>
      <c r="AJ42" s="131" t="n">
        <f aca="false">(2.5*43560+75000)*10.3</f>
        <v>1894170</v>
      </c>
      <c r="AK42" s="125" t="n">
        <f aca="false">+AJ42/AK$7</f>
        <v>14241.8796992481</v>
      </c>
      <c r="AL42" s="122" t="n">
        <f aca="false">+AJ42/AL$7</f>
        <v>11.8781315256448</v>
      </c>
    </row>
    <row r="43" customFormat="false" ht="12" hidden="false" customHeight="false" outlineLevel="0" collapsed="false">
      <c r="A43" s="99" t="s">
        <v>222</v>
      </c>
      <c r="B43" s="100" t="s">
        <v>223</v>
      </c>
      <c r="C43" s="118" t="n">
        <v>0.1</v>
      </c>
      <c r="D43" s="119" t="n">
        <f aca="false">L43/$L$88</f>
        <v>0.00298707790100027</v>
      </c>
      <c r="E43" s="120" t="s">
        <v>109</v>
      </c>
      <c r="F43" s="120" t="s">
        <v>109</v>
      </c>
      <c r="G43" s="120" t="s">
        <v>109</v>
      </c>
      <c r="H43" s="120" t="s">
        <v>109</v>
      </c>
      <c r="I43" s="120" t="s">
        <v>109</v>
      </c>
      <c r="J43" s="120" t="s">
        <v>109</v>
      </c>
      <c r="K43" s="120" t="s">
        <v>109</v>
      </c>
      <c r="L43" s="121" t="n">
        <f aca="false">M43*TRUnits</f>
        <v>2100</v>
      </c>
      <c r="M43" s="121" t="n">
        <f aca="false">300/2</f>
        <v>150</v>
      </c>
      <c r="N43" s="122" t="n">
        <f aca="false">M43/1376</f>
        <v>0.109011627906977</v>
      </c>
      <c r="O43" s="122"/>
      <c r="P43" s="251" t="n">
        <f aca="false">Q43*P$7</f>
        <v>63.4398496240602</v>
      </c>
      <c r="Q43" s="251" t="n">
        <f aca="false">7500/SM134Units*CMF</f>
        <v>63.4398496240602</v>
      </c>
      <c r="R43" s="252" t="n">
        <f aca="false">+Q43/Q$8</f>
        <v>0.052954799352304</v>
      </c>
      <c r="S43" s="121"/>
      <c r="T43" s="251" t="n">
        <f aca="false">U43*T$7</f>
        <v>4567.66917293233</v>
      </c>
      <c r="U43" s="251" t="n">
        <f aca="false">7500/SM134Units*CMF</f>
        <v>63.4398496240602</v>
      </c>
      <c r="V43" s="252" t="n">
        <f aca="false">+U43/U$8</f>
        <v>0.0573079039061067</v>
      </c>
      <c r="W43" s="121"/>
      <c r="X43" s="251" t="n">
        <f aca="false">Y43*X$7</f>
        <v>3869.83082706767</v>
      </c>
      <c r="Y43" s="251" t="n">
        <f aca="false">7500/SM134Units*CMF</f>
        <v>63.4398496240602</v>
      </c>
      <c r="Z43" s="252" t="n">
        <f aca="false">+Y43/Y$8</f>
        <v>0.0492928124507072</v>
      </c>
      <c r="AA43" s="121"/>
      <c r="AB43" s="251" t="n">
        <f aca="false">+X43+T43</f>
        <v>8437.5</v>
      </c>
      <c r="AC43" s="253" t="n">
        <f aca="false">+AB43/AB$7</f>
        <v>63.4398496240602</v>
      </c>
      <c r="AD43" s="252" t="n">
        <f aca="false">+AC43/AC$8</f>
        <v>0.0529106335480068</v>
      </c>
      <c r="AE43" s="121"/>
      <c r="AF43" s="250"/>
      <c r="AG43" s="124" t="s">
        <v>224</v>
      </c>
      <c r="AH43" s="100" t="s">
        <v>225</v>
      </c>
      <c r="AI43" s="119" t="n">
        <f aca="false">AJ43/$AJ$48</f>
        <v>0.0126594572104633</v>
      </c>
      <c r="AJ43" s="131" t="n">
        <f aca="false">AB11+AB86</f>
        <v>166634.694631177</v>
      </c>
      <c r="AK43" s="125" t="n">
        <f aca="false">+AJ43/AK$7</f>
        <v>1252.89244083592</v>
      </c>
      <c r="AL43" s="122" t="n">
        <f aca="false">+AJ43/AL$7</f>
        <v>1.04494782388317</v>
      </c>
    </row>
    <row r="44" customFormat="false" ht="12.75" hidden="false" customHeight="false" outlineLevel="0" collapsed="false">
      <c r="A44" s="99" t="s">
        <v>222</v>
      </c>
      <c r="B44" s="100" t="s">
        <v>144</v>
      </c>
      <c r="C44" s="118" t="n">
        <v>0.5</v>
      </c>
      <c r="D44" s="119" t="n">
        <f aca="false">L44/$L$88</f>
        <v>0.0309759978333728</v>
      </c>
      <c r="E44" s="120" t="s">
        <v>109</v>
      </c>
      <c r="F44" s="120" t="s">
        <v>109</v>
      </c>
      <c r="G44" s="120" t="s">
        <v>109</v>
      </c>
      <c r="H44" s="120" t="s">
        <v>109</v>
      </c>
      <c r="I44" s="120" t="s">
        <v>109</v>
      </c>
      <c r="J44" s="120" t="s">
        <v>109</v>
      </c>
      <c r="K44" s="120" t="s">
        <v>109</v>
      </c>
      <c r="L44" s="121" t="n">
        <f aca="false">M44*TRUnits</f>
        <v>21777</v>
      </c>
      <c r="M44" s="121" t="n">
        <f aca="false">3111/2</f>
        <v>1555.5</v>
      </c>
      <c r="N44" s="122" t="n">
        <f aca="false">M44/1376</f>
        <v>1.13045058139535</v>
      </c>
      <c r="O44" s="122"/>
      <c r="P44" s="251" t="n">
        <f aca="false">Q44*P$7</f>
        <v>1698.165</v>
      </c>
      <c r="Q44" s="251" t="n">
        <f aca="false">2.1*CMF*60%*Q$8</f>
        <v>1698.165</v>
      </c>
      <c r="R44" s="252" t="n">
        <f aca="false">+Q44/Q$8</f>
        <v>1.4175</v>
      </c>
      <c r="S44" s="121"/>
      <c r="T44" s="251" t="n">
        <f aca="false">U44*T$7</f>
        <v>112980.42</v>
      </c>
      <c r="U44" s="251" t="n">
        <f aca="false">2.1*CMF*60%*U$8</f>
        <v>1569.1725</v>
      </c>
      <c r="V44" s="252" t="n">
        <f aca="false">+U44/U$8</f>
        <v>1.4175</v>
      </c>
      <c r="W44" s="121"/>
      <c r="X44" s="251" t="n">
        <f aca="false">Y44*X$7</f>
        <v>111283.6725</v>
      </c>
      <c r="Y44" s="251" t="n">
        <f aca="false">2.1*CMF*60%*Y$8</f>
        <v>1824.3225</v>
      </c>
      <c r="Z44" s="252" t="n">
        <f aca="false">+Y44/Y$8</f>
        <v>1.4175</v>
      </c>
      <c r="AA44" s="121"/>
      <c r="AB44" s="251" t="n">
        <f aca="false">+X44+T44</f>
        <v>224264.0925</v>
      </c>
      <c r="AC44" s="253" t="n">
        <f aca="false">+AB44/AB$7</f>
        <v>1686.19618421053</v>
      </c>
      <c r="AD44" s="252" t="n">
        <f aca="false">+AC44/AC$8</f>
        <v>1.4063354330363</v>
      </c>
      <c r="AE44" s="121"/>
      <c r="AF44" s="250"/>
      <c r="AG44" s="124" t="s">
        <v>226</v>
      </c>
      <c r="AH44" s="100" t="s">
        <v>227</v>
      </c>
      <c r="AI44" s="119" t="n">
        <f aca="false">AJ44/$AJ$48</f>
        <v>0.0175528354592862</v>
      </c>
      <c r="AJ44" s="131" t="n">
        <f aca="false">AB45+AB47+AB48+AB69</f>
        <v>231045.559698401</v>
      </c>
      <c r="AK44" s="125" t="n">
        <f aca="false">+AJ44/AK$7</f>
        <v>1737.18465938648</v>
      </c>
      <c r="AL44" s="122" t="n">
        <f aca="false">+AJ44/AL$7</f>
        <v>1.44886126721141</v>
      </c>
    </row>
    <row r="45" customFormat="false" ht="12.75" hidden="false" customHeight="false" outlineLevel="0" collapsed="false">
      <c r="A45" s="99" t="s">
        <v>228</v>
      </c>
      <c r="B45" s="44" t="s">
        <v>229</v>
      </c>
      <c r="C45" s="118" t="n">
        <v>0.4</v>
      </c>
      <c r="D45" s="119" t="n">
        <f aca="false">L45/$L$88</f>
        <v>0.0247827896519656</v>
      </c>
      <c r="E45" s="120" t="s">
        <v>109</v>
      </c>
      <c r="F45" s="120" t="s">
        <v>109</v>
      </c>
      <c r="G45" s="129"/>
      <c r="H45" s="120" t="s">
        <v>109</v>
      </c>
      <c r="I45" s="120" t="s">
        <v>109</v>
      </c>
      <c r="J45" s="129"/>
      <c r="K45" s="130" t="s">
        <v>109</v>
      </c>
      <c r="L45" s="121" t="n">
        <f aca="false">M45*TRUnits</f>
        <v>17423</v>
      </c>
      <c r="M45" s="121" t="n">
        <f aca="false">2489/2</f>
        <v>1244.5</v>
      </c>
      <c r="N45" s="122" t="n">
        <f aca="false">M45/1376</f>
        <v>0.904433139534884</v>
      </c>
      <c r="O45" s="122"/>
      <c r="P45" s="251" t="n">
        <f aca="false">Q45*P$7</f>
        <v>1132.11</v>
      </c>
      <c r="Q45" s="251" t="n">
        <f aca="false">2.1*CMF*40%*Q$8</f>
        <v>1132.11</v>
      </c>
      <c r="R45" s="252" t="n">
        <f aca="false">+Q45/Q$8</f>
        <v>0.945</v>
      </c>
      <c r="S45" s="121"/>
      <c r="T45" s="251" t="n">
        <f aca="false">U45*T$7</f>
        <v>75320.28</v>
      </c>
      <c r="U45" s="251" t="n">
        <f aca="false">2.1*CMF*40%*U$8</f>
        <v>1046.115</v>
      </c>
      <c r="V45" s="252" t="n">
        <f aca="false">+U45/U$8</f>
        <v>0.945</v>
      </c>
      <c r="W45" s="121"/>
      <c r="X45" s="251" t="n">
        <f aca="false">Y45*X$7</f>
        <v>74189.115</v>
      </c>
      <c r="Y45" s="251" t="n">
        <f aca="false">2.1*CMF*40%*Y$8</f>
        <v>1216.215</v>
      </c>
      <c r="Z45" s="252" t="n">
        <f aca="false">+Y45/Y$8</f>
        <v>0.945</v>
      </c>
      <c r="AA45" s="121"/>
      <c r="AB45" s="251" t="n">
        <f aca="false">+X45+T45</f>
        <v>149509.395</v>
      </c>
      <c r="AC45" s="253" t="n">
        <f aca="false">+AB45/AB$7</f>
        <v>1124.13078947368</v>
      </c>
      <c r="AD45" s="252" t="n">
        <f aca="false">+AC45/AC$8</f>
        <v>0.937556955357535</v>
      </c>
      <c r="AE45" s="121"/>
      <c r="AF45" s="250"/>
      <c r="AG45" s="124" t="s">
        <v>230</v>
      </c>
      <c r="AH45" s="100" t="s">
        <v>231</v>
      </c>
      <c r="AI45" s="119" t="n">
        <f aca="false">AJ45/$AJ$48</f>
        <v>0.0138778229241879</v>
      </c>
      <c r="AJ45" s="99" t="n">
        <f aca="false">+AB87</f>
        <v>182671.875</v>
      </c>
      <c r="AK45" s="125" t="n">
        <f aca="false">+AJ45/AK$7</f>
        <v>1373.4727443609</v>
      </c>
      <c r="AL45" s="122" t="n">
        <f aca="false">+AJ45/AL$7</f>
        <v>1.14551521631435</v>
      </c>
    </row>
    <row r="46" customFormat="false" ht="12" hidden="false" customHeight="false" outlineLevel="0" collapsed="false">
      <c r="B46" s="110" t="s">
        <v>232</v>
      </c>
      <c r="C46" s="118"/>
      <c r="E46" s="120"/>
      <c r="F46" s="120"/>
      <c r="G46" s="120"/>
      <c r="H46" s="120"/>
      <c r="I46" s="120"/>
      <c r="J46" s="120"/>
      <c r="K46" s="120"/>
      <c r="L46" s="121"/>
      <c r="N46" s="122"/>
      <c r="O46" s="122"/>
      <c r="P46" s="251"/>
      <c r="Q46" s="256"/>
      <c r="R46" s="252"/>
      <c r="S46" s="121"/>
      <c r="T46" s="251"/>
      <c r="U46" s="251"/>
      <c r="V46" s="252"/>
      <c r="W46" s="121"/>
      <c r="X46" s="251"/>
      <c r="Y46" s="251"/>
      <c r="Z46" s="252"/>
      <c r="AA46" s="121"/>
      <c r="AB46" s="251"/>
      <c r="AC46" s="253" t="s">
        <v>219</v>
      </c>
      <c r="AD46" s="252"/>
      <c r="AE46" s="121"/>
      <c r="AF46" s="250"/>
      <c r="AG46" s="124" t="s">
        <v>224</v>
      </c>
      <c r="AH46" s="100" t="s">
        <v>233</v>
      </c>
      <c r="AI46" s="119" t="n">
        <f aca="false">AJ46/$AJ$48</f>
        <v>0.0309263331506356</v>
      </c>
      <c r="AJ46" s="99" t="n">
        <f aca="false">(SUM(AJ$43:AJ45)+SUM(AJ$9:AJ$40))*0.1-500000</f>
        <v>407079.071001466</v>
      </c>
      <c r="AK46" s="125" t="n">
        <f aca="false">+AJ46/AK$7</f>
        <v>3060.74489474786</v>
      </c>
      <c r="AL46" s="122" t="n">
        <f aca="false">+AJ46/AL$7</f>
        <v>2.55274803565293</v>
      </c>
    </row>
    <row r="47" customFormat="false" ht="12" hidden="false" customHeight="false" outlineLevel="0" collapsed="false">
      <c r="A47" s="99" t="s">
        <v>228</v>
      </c>
      <c r="B47" s="100" t="s">
        <v>144</v>
      </c>
      <c r="C47" s="118" t="n">
        <v>0.75</v>
      </c>
      <c r="D47" s="119" t="n">
        <f aca="false">L47/$L$88</f>
        <v>0</v>
      </c>
      <c r="E47" s="120" t="s">
        <v>109</v>
      </c>
      <c r="F47" s="120" t="s">
        <v>109</v>
      </c>
      <c r="G47" s="120" t="s">
        <v>109</v>
      </c>
      <c r="H47" s="120" t="s">
        <v>109</v>
      </c>
      <c r="I47" s="120" t="s">
        <v>109</v>
      </c>
      <c r="J47" s="120" t="s">
        <v>109</v>
      </c>
      <c r="K47" s="120" t="s">
        <v>109</v>
      </c>
      <c r="L47" s="121" t="n">
        <f aca="false">M47*TRUnits</f>
        <v>0</v>
      </c>
      <c r="M47" s="121" t="n">
        <v>0</v>
      </c>
      <c r="N47" s="122" t="n">
        <f aca="false">M47/1376</f>
        <v>0</v>
      </c>
      <c r="O47" s="122"/>
      <c r="P47" s="251" t="n">
        <f aca="false">Q47*P$7</f>
        <v>0</v>
      </c>
      <c r="Q47" s="251" t="n">
        <f aca="false">0*CMF</f>
        <v>0</v>
      </c>
      <c r="R47" s="252" t="n">
        <f aca="false">+Q47/Q$8</f>
        <v>0</v>
      </c>
      <c r="S47" s="121"/>
      <c r="T47" s="251" t="n">
        <f aca="false">U47*T$7</f>
        <v>0</v>
      </c>
      <c r="U47" s="251" t="n">
        <f aca="false">0*CMF</f>
        <v>0</v>
      </c>
      <c r="V47" s="252" t="n">
        <f aca="false">+U47/U$8</f>
        <v>0</v>
      </c>
      <c r="W47" s="121"/>
      <c r="X47" s="251" t="n">
        <f aca="false">Y47*X$7</f>
        <v>0</v>
      </c>
      <c r="Y47" s="251" t="n">
        <f aca="false">0*CMF</f>
        <v>0</v>
      </c>
      <c r="Z47" s="252" t="n">
        <f aca="false">+Y47/Y$8</f>
        <v>0</v>
      </c>
      <c r="AA47" s="121"/>
      <c r="AB47" s="251" t="n">
        <f aca="false">+X47+T47</f>
        <v>0</v>
      </c>
      <c r="AC47" s="253" t="n">
        <f aca="false">+AB47/AB$7</f>
        <v>0</v>
      </c>
      <c r="AD47" s="252" t="n">
        <f aca="false">+AC47/AC$8</f>
        <v>0</v>
      </c>
      <c r="AE47" s="121"/>
      <c r="AF47" s="250"/>
      <c r="AG47" s="124" t="s">
        <v>226</v>
      </c>
      <c r="AH47" s="100" t="s">
        <v>234</v>
      </c>
      <c r="AI47" s="119" t="n">
        <f aca="false">AJ47/$AJ$48</f>
        <v>0.10800693745503</v>
      </c>
      <c r="AJ47" s="99" t="n">
        <f aca="false">(SUM(AJ$43:AJ46)+SUM(AJ$9:AJ$40))*0.15</f>
        <v>1421680.46715242</v>
      </c>
      <c r="AK47" s="125" t="n">
        <f aca="false">+AJ47/AK$7</f>
        <v>10689.3268206949</v>
      </c>
      <c r="AL47" s="122" t="n">
        <f aca="false">+AJ47/AL$7</f>
        <v>8.91520168531683</v>
      </c>
    </row>
    <row r="48" customFormat="false" ht="12.75" hidden="false" customHeight="false" outlineLevel="0" collapsed="false">
      <c r="A48" s="99" t="s">
        <v>228</v>
      </c>
      <c r="B48" s="100" t="s">
        <v>229</v>
      </c>
      <c r="C48" s="118" t="n">
        <v>0.25</v>
      </c>
      <c r="D48" s="119" t="n">
        <f aca="false">L48/$L$88</f>
        <v>0.00398277053466703</v>
      </c>
      <c r="E48" s="120" t="s">
        <v>109</v>
      </c>
      <c r="F48" s="120" t="s">
        <v>109</v>
      </c>
      <c r="G48" s="120" t="s">
        <v>109</v>
      </c>
      <c r="H48" s="120" t="s">
        <v>109</v>
      </c>
      <c r="I48" s="120" t="s">
        <v>109</v>
      </c>
      <c r="J48" s="120" t="s">
        <v>109</v>
      </c>
      <c r="K48" s="120" t="s">
        <v>109</v>
      </c>
      <c r="L48" s="121" t="n">
        <f aca="false">M48*TRUnits</f>
        <v>2800</v>
      </c>
      <c r="M48" s="121" t="n">
        <f aca="false">400/2</f>
        <v>200</v>
      </c>
      <c r="N48" s="122" t="n">
        <f aca="false">M48/1376</f>
        <v>0.145348837209302</v>
      </c>
      <c r="O48" s="122"/>
      <c r="P48" s="251" t="n">
        <f aca="false">Q48*P$7</f>
        <v>225</v>
      </c>
      <c r="Q48" s="251" t="n">
        <f aca="false">$M48*CMF</f>
        <v>225</v>
      </c>
      <c r="R48" s="252" t="n">
        <f aca="false">+Q48/Q$8</f>
        <v>0.187813021702838</v>
      </c>
      <c r="S48" s="121"/>
      <c r="T48" s="251" t="n">
        <f aca="false">U48*T$7</f>
        <v>16200</v>
      </c>
      <c r="U48" s="251" t="n">
        <f aca="false">$M48*CMF</f>
        <v>225</v>
      </c>
      <c r="V48" s="252" t="n">
        <f aca="false">+U48/U$8</f>
        <v>0.203252032520325</v>
      </c>
      <c r="W48" s="121"/>
      <c r="X48" s="251" t="n">
        <f aca="false">Y48*X$7</f>
        <v>13725</v>
      </c>
      <c r="Y48" s="251" t="n">
        <f aca="false">$M48*CMF</f>
        <v>225</v>
      </c>
      <c r="Z48" s="252" t="n">
        <f aca="false">+Y48/Y$8</f>
        <v>0.174825174825175</v>
      </c>
      <c r="AA48" s="121"/>
      <c r="AB48" s="251" t="n">
        <f aca="false">+X48+T48</f>
        <v>29925</v>
      </c>
      <c r="AC48" s="253" t="n">
        <f aca="false">+AB48/AB$7</f>
        <v>225</v>
      </c>
      <c r="AD48" s="252" t="n">
        <f aca="false">+AC48/AC$8</f>
        <v>0.187656380316931</v>
      </c>
      <c r="AE48" s="121"/>
      <c r="AF48" s="250"/>
      <c r="AG48" s="124"/>
      <c r="AH48" s="135" t="s">
        <v>97</v>
      </c>
      <c r="AI48" s="136" t="n">
        <f aca="false">SUM(AI9:AI47)</f>
        <v>1</v>
      </c>
      <c r="AJ48" s="137" t="n">
        <f aca="false">SUM(AJ9:AJ47)</f>
        <v>13162862.5035716</v>
      </c>
      <c r="AK48" s="137" t="n">
        <f aca="false">+AJ48/AK$7</f>
        <v>98968.891004298</v>
      </c>
      <c r="AL48" s="138" t="n">
        <f aca="false">+AJ48/AL$7</f>
        <v>82.5428615548774</v>
      </c>
    </row>
    <row r="49" customFormat="false" ht="12.75" hidden="false" customHeight="false" outlineLevel="0" collapsed="false">
      <c r="B49" s="110" t="s">
        <v>235</v>
      </c>
      <c r="C49" s="118"/>
      <c r="D49" s="119"/>
      <c r="E49" s="120"/>
      <c r="F49" s="120"/>
      <c r="G49" s="120"/>
      <c r="H49" s="120"/>
      <c r="I49" s="120"/>
      <c r="J49" s="120"/>
      <c r="K49" s="120"/>
      <c r="L49" s="121" t="n">
        <f aca="false">M49*TRUnits</f>
        <v>0</v>
      </c>
      <c r="M49" s="121"/>
      <c r="N49" s="122"/>
      <c r="O49" s="122"/>
      <c r="P49" s="251"/>
      <c r="Q49" s="251"/>
      <c r="R49" s="252"/>
      <c r="S49" s="121"/>
      <c r="T49" s="251"/>
      <c r="U49" s="251"/>
      <c r="V49" s="252"/>
      <c r="W49" s="121"/>
      <c r="X49" s="251"/>
      <c r="Y49" s="251"/>
      <c r="Z49" s="252"/>
      <c r="AA49" s="121"/>
      <c r="AB49" s="251"/>
      <c r="AC49" s="253" t="s">
        <v>219</v>
      </c>
      <c r="AD49" s="252"/>
      <c r="AE49" s="121"/>
      <c r="AF49" s="250"/>
      <c r="AG49" s="124"/>
      <c r="AH49" s="139" t="s">
        <v>236</v>
      </c>
    </row>
    <row r="50" customFormat="false" ht="12.75" hidden="false" customHeight="false" outlineLevel="0" collapsed="false">
      <c r="A50" s="99" t="s">
        <v>237</v>
      </c>
      <c r="B50" s="100" t="s">
        <v>144</v>
      </c>
      <c r="C50" s="118" t="n">
        <v>0.6</v>
      </c>
      <c r="D50" s="119" t="n">
        <f aca="false">L50/$L$88</f>
        <v>0.0238966232080022</v>
      </c>
      <c r="E50" s="120" t="s">
        <v>109</v>
      </c>
      <c r="F50" s="120" t="s">
        <v>109</v>
      </c>
      <c r="G50" s="120" t="s">
        <v>109</v>
      </c>
      <c r="H50" s="120" t="s">
        <v>109</v>
      </c>
      <c r="I50" s="120" t="s">
        <v>109</v>
      </c>
      <c r="J50" s="120" t="s">
        <v>109</v>
      </c>
      <c r="K50" s="120" t="s">
        <v>109</v>
      </c>
      <c r="L50" s="121" t="n">
        <f aca="false">M50*TRUnits</f>
        <v>16800</v>
      </c>
      <c r="M50" s="121" t="n">
        <f aca="false">2400/2</f>
        <v>1200</v>
      </c>
      <c r="N50" s="122" t="n">
        <f aca="false">M50/1376</f>
        <v>0.872093023255814</v>
      </c>
      <c r="O50" s="122"/>
      <c r="P50" s="251" t="n">
        <f aca="false">Q50*P$7</f>
        <v>1347.75</v>
      </c>
      <c r="Q50" s="251" t="n">
        <f aca="false">1*Q$8*CMF</f>
        <v>1347.75</v>
      </c>
      <c r="R50" s="252" t="n">
        <f aca="false">+Q50/Q$8</f>
        <v>1.125</v>
      </c>
      <c r="S50" s="121"/>
      <c r="T50" s="251" t="n">
        <f aca="false">U50*T$7</f>
        <v>89667</v>
      </c>
      <c r="U50" s="251" t="n">
        <f aca="false">1*U$8*CMF</f>
        <v>1245.375</v>
      </c>
      <c r="V50" s="252" t="n">
        <f aca="false">+U50/U$8</f>
        <v>1.125</v>
      </c>
      <c r="W50" s="121"/>
      <c r="X50" s="251" t="n">
        <f aca="false">Y50*X$7</f>
        <v>88320.375</v>
      </c>
      <c r="Y50" s="251" t="n">
        <f aca="false">1*Y$8*CMF</f>
        <v>1447.875</v>
      </c>
      <c r="Z50" s="252" t="n">
        <f aca="false">+Y50/Y$8</f>
        <v>1.125</v>
      </c>
      <c r="AA50" s="121"/>
      <c r="AB50" s="251" t="n">
        <f aca="false">+X50+T50</f>
        <v>177987.375</v>
      </c>
      <c r="AC50" s="253" t="n">
        <f aca="false">+AB50/AB$7</f>
        <v>1338.25093984962</v>
      </c>
      <c r="AD50" s="252" t="n">
        <f aca="false">+AC50/AC$8</f>
        <v>1.11613923256849</v>
      </c>
      <c r="AE50" s="121"/>
      <c r="AF50" s="250"/>
      <c r="AG50" s="124"/>
      <c r="AH50" s="100" t="s">
        <v>238</v>
      </c>
      <c r="AI50" s="119" t="n">
        <f aca="false">AJ50/$AJ$48</f>
        <v>-0.143902589538258</v>
      </c>
      <c r="AJ50" s="100" t="n">
        <f aca="false">-AJ42</f>
        <v>-1894170</v>
      </c>
      <c r="AK50" s="121" t="n">
        <f aca="false">AJ50/AK$7</f>
        <v>-14241.8796992481</v>
      </c>
      <c r="AL50" s="140" t="n">
        <f aca="false">AK50/AL$7</f>
        <v>-0.0893092595913143</v>
      </c>
    </row>
    <row r="51" customFormat="false" ht="12.75" hidden="false" customHeight="false" outlineLevel="0" collapsed="false">
      <c r="A51" s="99" t="s">
        <v>239</v>
      </c>
      <c r="B51" s="100" t="s">
        <v>240</v>
      </c>
      <c r="C51" s="118" t="n">
        <v>0.4</v>
      </c>
      <c r="D51" s="119" t="n">
        <f aca="false">L51/$L$88</f>
        <v>0.0159310821386681</v>
      </c>
      <c r="E51" s="120" t="s">
        <v>109</v>
      </c>
      <c r="F51" s="120" t="s">
        <v>109</v>
      </c>
      <c r="G51" s="129"/>
      <c r="H51" s="120" t="s">
        <v>109</v>
      </c>
      <c r="I51" s="120" t="s">
        <v>109</v>
      </c>
      <c r="J51" s="130" t="s">
        <v>109</v>
      </c>
      <c r="K51" s="120" t="s">
        <v>109</v>
      </c>
      <c r="L51" s="121" t="n">
        <f aca="false">M51*TRUnits</f>
        <v>11200</v>
      </c>
      <c r="M51" s="121" t="n">
        <f aca="false">1600/2</f>
        <v>800</v>
      </c>
      <c r="N51" s="122" t="n">
        <f aca="false">M51/1376</f>
        <v>0.581395348837209</v>
      </c>
      <c r="O51" s="122"/>
      <c r="P51" s="251" t="n">
        <f aca="false">Q51*P$7</f>
        <v>1347.75</v>
      </c>
      <c r="Q51" s="251" t="n">
        <f aca="false">1*Q$8*CMF</f>
        <v>1347.75</v>
      </c>
      <c r="R51" s="252" t="n">
        <f aca="false">+Q51/Q$8</f>
        <v>1.125</v>
      </c>
      <c r="S51" s="121"/>
      <c r="T51" s="251" t="n">
        <f aca="false">U51*T$7</f>
        <v>89667</v>
      </c>
      <c r="U51" s="251" t="n">
        <f aca="false">1*U$8*CMF</f>
        <v>1245.375</v>
      </c>
      <c r="V51" s="252" t="n">
        <f aca="false">+U51/U$8</f>
        <v>1.125</v>
      </c>
      <c r="W51" s="121"/>
      <c r="X51" s="251" t="n">
        <f aca="false">Y51*X$7</f>
        <v>88320.375</v>
      </c>
      <c r="Y51" s="251" t="n">
        <f aca="false">1*Y$8*CMF</f>
        <v>1447.875</v>
      </c>
      <c r="Z51" s="252" t="n">
        <f aca="false">+Y51/Y$8</f>
        <v>1.125</v>
      </c>
      <c r="AA51" s="121"/>
      <c r="AB51" s="251" t="n">
        <f aca="false">+X51+T51</f>
        <v>177987.375</v>
      </c>
      <c r="AC51" s="253" t="n">
        <f aca="false">+AB51/AB$7</f>
        <v>1338.25093984962</v>
      </c>
      <c r="AD51" s="252" t="n">
        <f aca="false">+AC51/AC$8</f>
        <v>1.11613923256849</v>
      </c>
      <c r="AE51" s="121"/>
      <c r="AF51" s="250"/>
      <c r="AG51" s="124"/>
      <c r="AH51" s="100" t="s">
        <v>241</v>
      </c>
      <c r="AI51" s="119" t="n">
        <f aca="false">AJ51/$AJ$48</f>
        <v>-0.0280442233065128</v>
      </c>
      <c r="AJ51" s="100" t="n">
        <f aca="false">-AJ41</f>
        <v>-369142.255403087</v>
      </c>
      <c r="AK51" s="121" t="n">
        <f aca="false">AJ51/AK$7</f>
        <v>-2775.50567972246</v>
      </c>
      <c r="AL51" s="140" t="n">
        <f aca="false">AK51/AL$7</f>
        <v>-0.0174048905398763</v>
      </c>
    </row>
    <row r="52" customFormat="false" ht="12" hidden="false" customHeight="false" outlineLevel="0" collapsed="false">
      <c r="A52" s="99" t="s">
        <v>242</v>
      </c>
      <c r="B52" s="110" t="s">
        <v>243</v>
      </c>
      <c r="C52" s="118"/>
      <c r="D52" s="119" t="n">
        <f aca="false">L52/$L$88</f>
        <v>0.00959051144747821</v>
      </c>
      <c r="E52" s="120" t="s">
        <v>109</v>
      </c>
      <c r="F52" s="120" t="s">
        <v>109</v>
      </c>
      <c r="G52" s="120" t="s">
        <v>109</v>
      </c>
      <c r="H52" s="120" t="s">
        <v>109</v>
      </c>
      <c r="I52" s="120" t="s">
        <v>109</v>
      </c>
      <c r="J52" s="120" t="s">
        <v>109</v>
      </c>
      <c r="K52" s="120" t="s">
        <v>109</v>
      </c>
      <c r="L52" s="121" t="n">
        <f aca="false">M52*TRUnits</f>
        <v>6742.4</v>
      </c>
      <c r="M52" s="121" t="n">
        <f aca="false">(1376*0.7)/2</f>
        <v>481.6</v>
      </c>
      <c r="N52" s="122" t="n">
        <f aca="false">M52/1376</f>
        <v>0.35</v>
      </c>
      <c r="O52" s="122"/>
      <c r="P52" s="251" t="n">
        <f aca="false">Q52*P$7</f>
        <v>1145.5875</v>
      </c>
      <c r="Q52" s="251" t="n">
        <f aca="false">Q$8*0.85*CMF</f>
        <v>1145.5875</v>
      </c>
      <c r="R52" s="252" t="n">
        <f aca="false">+Q52/Q$8</f>
        <v>0.95625</v>
      </c>
      <c r="S52" s="121"/>
      <c r="T52" s="251" t="n">
        <f aca="false">U52*T$7</f>
        <v>76216.95</v>
      </c>
      <c r="U52" s="251" t="n">
        <f aca="false">U$8*0.85*CMF</f>
        <v>1058.56875</v>
      </c>
      <c r="V52" s="252" t="n">
        <f aca="false">+U52/U$8</f>
        <v>0.95625</v>
      </c>
      <c r="W52" s="121"/>
      <c r="X52" s="251" t="n">
        <f aca="false">Y52*X$7</f>
        <v>75072.31875</v>
      </c>
      <c r="Y52" s="251" t="n">
        <f aca="false">Y$8*0.85*CMF</f>
        <v>1230.69375</v>
      </c>
      <c r="Z52" s="252" t="n">
        <f aca="false">+Y52/Y$8</f>
        <v>0.95625</v>
      </c>
      <c r="AA52" s="121"/>
      <c r="AB52" s="251" t="n">
        <f aca="false">+X52+T52</f>
        <v>151289.26875</v>
      </c>
      <c r="AC52" s="253" t="n">
        <f aca="false">+AB52/AB$7</f>
        <v>1137.51329887218</v>
      </c>
      <c r="AD52" s="252" t="n">
        <f aca="false">+AC52/AC$8</f>
        <v>0.94871834768322</v>
      </c>
      <c r="AE52" s="121"/>
      <c r="AF52" s="250"/>
      <c r="AG52" s="124"/>
      <c r="AH52" s="100" t="s">
        <v>233</v>
      </c>
      <c r="AI52" s="119" t="n">
        <f aca="false">AJ52/$AJ$48</f>
        <v>-0.0309263331506356</v>
      </c>
      <c r="AJ52" s="100" t="n">
        <f aca="false">-AJ46</f>
        <v>-407079.071001466</v>
      </c>
      <c r="AK52" s="121" t="n">
        <f aca="false">AJ52/AK$7</f>
        <v>-3060.74489474786</v>
      </c>
      <c r="AL52" s="140" t="n">
        <f aca="false">AK52/AL$7</f>
        <v>-0.0191935942530296</v>
      </c>
    </row>
    <row r="53" customFormat="false" ht="12" hidden="false" customHeight="false" outlineLevel="0" collapsed="false">
      <c r="A53" s="99" t="s">
        <v>244</v>
      </c>
      <c r="B53" s="110" t="s">
        <v>245</v>
      </c>
      <c r="C53" s="118"/>
      <c r="E53" s="120"/>
      <c r="F53" s="120"/>
      <c r="G53" s="120"/>
      <c r="H53" s="120"/>
      <c r="I53" s="120"/>
      <c r="K53" s="120"/>
      <c r="L53" s="121"/>
      <c r="M53" s="121"/>
      <c r="N53" s="122"/>
      <c r="O53" s="122"/>
      <c r="P53" s="251"/>
      <c r="Q53" s="251"/>
      <c r="R53" s="252"/>
      <c r="S53" s="121"/>
      <c r="T53" s="251"/>
      <c r="U53" s="251"/>
      <c r="V53" s="252"/>
      <c r="W53" s="121"/>
      <c r="X53" s="251"/>
      <c r="Y53" s="251"/>
      <c r="Z53" s="252"/>
      <c r="AA53" s="121"/>
      <c r="AB53" s="251"/>
      <c r="AC53" s="253" t="s">
        <v>219</v>
      </c>
      <c r="AD53" s="252"/>
      <c r="AE53" s="121"/>
      <c r="AF53" s="250"/>
      <c r="AG53" s="124"/>
      <c r="AH53" s="100" t="s">
        <v>246</v>
      </c>
      <c r="AI53" s="119" t="n">
        <f aca="false">AJ53/$AJ$48</f>
        <v>-0.10800693745503</v>
      </c>
      <c r="AJ53" s="100" t="n">
        <f aca="false">-AJ47</f>
        <v>-1421680.46715242</v>
      </c>
      <c r="AK53" s="121" t="n">
        <f aca="false">AJ53/AK$7</f>
        <v>-10689.3268206949</v>
      </c>
      <c r="AL53" s="140" t="n">
        <f aca="false">AK53/AL$7</f>
        <v>-0.0670315916189235</v>
      </c>
    </row>
    <row r="54" customFormat="false" ht="12.75" hidden="false" customHeight="false" outlineLevel="0" collapsed="false">
      <c r="A54" s="99" t="s">
        <v>244</v>
      </c>
      <c r="B54" s="100" t="s">
        <v>247</v>
      </c>
      <c r="C54" s="118"/>
      <c r="D54" s="119" t="n">
        <f aca="false">L54/$L$88</f>
        <v>0.029069246439901</v>
      </c>
      <c r="E54" s="120" t="s">
        <v>109</v>
      </c>
      <c r="F54" s="120" t="s">
        <v>109</v>
      </c>
      <c r="G54" s="120" t="s">
        <v>109</v>
      </c>
      <c r="H54" s="120" t="s">
        <v>109</v>
      </c>
      <c r="I54" s="120" t="s">
        <v>109</v>
      </c>
      <c r="J54" s="120" t="s">
        <v>109</v>
      </c>
      <c r="K54" s="120" t="s">
        <v>109</v>
      </c>
      <c r="L54" s="121" t="n">
        <f aca="false">7*M54</f>
        <v>20436.5</v>
      </c>
      <c r="M54" s="121" t="n">
        <f aca="false">(2739+(21700/7))/2</f>
        <v>2919.5</v>
      </c>
      <c r="N54" s="122" t="n">
        <f aca="false">M54/1376</f>
        <v>2.12172965116279</v>
      </c>
      <c r="O54" s="122"/>
      <c r="P54" s="251" t="n">
        <f aca="false">Q54*P$7</f>
        <v>2859.56113735465</v>
      </c>
      <c r="Q54" s="251" t="n">
        <f aca="false">Q$8*$N54*CMF</f>
        <v>2859.56113735465</v>
      </c>
      <c r="R54" s="252" t="n">
        <f aca="false">+Q54/Q$8</f>
        <v>2.38694585755814</v>
      </c>
      <c r="S54" s="121"/>
      <c r="T54" s="251" t="n">
        <f aca="false">U54*T$7</f>
        <v>190249.132630814</v>
      </c>
      <c r="U54" s="251" t="n">
        <f aca="false">U$8*$N54*CMF</f>
        <v>2642.34906431686</v>
      </c>
      <c r="V54" s="252" t="n">
        <f aca="false">+U54/U$8</f>
        <v>2.38694585755814</v>
      </c>
      <c r="W54" s="121"/>
      <c r="X54" s="251" t="n">
        <f aca="false">Y54*X$7</f>
        <v>187391.958439317</v>
      </c>
      <c r="Y54" s="251" t="n">
        <f aca="false">Y$8*$N54*CMF</f>
        <v>3071.99931867733</v>
      </c>
      <c r="Z54" s="252" t="n">
        <f aca="false">+Y54/Y$8</f>
        <v>2.38694585755814</v>
      </c>
      <c r="AA54" s="121"/>
      <c r="AB54" s="251" t="n">
        <f aca="false">+X54+T54</f>
        <v>377641.091070131</v>
      </c>
      <c r="AC54" s="253" t="n">
        <f aca="false">+AB54/AB$7</f>
        <v>2839.40669977542</v>
      </c>
      <c r="AD54" s="252" t="n">
        <f aca="false">+AC54/AC$8</f>
        <v>2.36814570456666</v>
      </c>
      <c r="AE54" s="121"/>
      <c r="AF54" s="250"/>
      <c r="AG54" s="124"/>
      <c r="AH54" s="135" t="s">
        <v>248</v>
      </c>
      <c r="AI54" s="136" t="n">
        <f aca="false">AJ54/$AJ$48</f>
        <v>0.689119916549563</v>
      </c>
      <c r="AJ54" s="137" t="n">
        <f aca="false">SUM(AJ48:AJ53)</f>
        <v>9070790.71001466</v>
      </c>
      <c r="AK54" s="137" t="n">
        <f aca="false">+AJ54/AK$7</f>
        <v>68201.4339098847</v>
      </c>
      <c r="AL54" s="138" t="n">
        <f aca="false">+AJ54/AL$7</f>
        <v>56.8819298664593</v>
      </c>
    </row>
    <row r="55" customFormat="false" ht="13.5" hidden="false" customHeight="false" outlineLevel="0" collapsed="false">
      <c r="A55" s="99" t="s">
        <v>244</v>
      </c>
      <c r="B55" s="100" t="s">
        <v>249</v>
      </c>
      <c r="C55" s="118"/>
      <c r="D55" s="119" t="n">
        <f aca="false">L55/$L$88</f>
        <v>0.0201627758317518</v>
      </c>
      <c r="E55" s="120" t="s">
        <v>109</v>
      </c>
      <c r="F55" s="120" t="s">
        <v>109</v>
      </c>
      <c r="G55" s="130" t="s">
        <v>109</v>
      </c>
      <c r="H55" s="120" t="s">
        <v>109</v>
      </c>
      <c r="I55" s="120" t="s">
        <v>109</v>
      </c>
      <c r="J55" s="130" t="s">
        <v>109</v>
      </c>
      <c r="K55" s="130" t="s">
        <v>109</v>
      </c>
      <c r="L55" s="121" t="n">
        <f aca="false">7*M55</f>
        <v>14175</v>
      </c>
      <c r="M55" s="121" t="n">
        <f aca="false">4050/2</f>
        <v>2025</v>
      </c>
      <c r="N55" s="122" t="n">
        <f aca="false">M55/1376</f>
        <v>1.47165697674419</v>
      </c>
      <c r="O55" s="122"/>
      <c r="P55" s="251" t="n">
        <f aca="false">Q55*P$7</f>
        <v>1983.42569040698</v>
      </c>
      <c r="Q55" s="251" t="n">
        <f aca="false">Q$8*$N55*CMF</f>
        <v>1983.42569040698</v>
      </c>
      <c r="R55" s="252" t="n">
        <f aca="false">+Q55/Q$8</f>
        <v>1.65561409883721</v>
      </c>
      <c r="S55" s="121"/>
      <c r="T55" s="251" t="n">
        <f aca="false">U55*T$7</f>
        <v>131959.066133721</v>
      </c>
      <c r="U55" s="251" t="n">
        <f aca="false">U$8*$N55*CMF</f>
        <v>1832.76480741279</v>
      </c>
      <c r="V55" s="252" t="n">
        <f aca="false">+U55/U$8</f>
        <v>1.65561409883721</v>
      </c>
      <c r="W55" s="121"/>
      <c r="X55" s="251" t="n">
        <f aca="false">Y55*X$7</f>
        <v>129977.296057413</v>
      </c>
      <c r="Y55" s="251" t="n">
        <f aca="false">Y$8*$N55*CMF</f>
        <v>2130.77534520349</v>
      </c>
      <c r="Z55" s="252" t="n">
        <f aca="false">+Y55/Y$8</f>
        <v>1.65561409883721</v>
      </c>
      <c r="AA55" s="121"/>
      <c r="AB55" s="251" t="n">
        <f aca="false">+X55+T55</f>
        <v>261936.362191134</v>
      </c>
      <c r="AC55" s="253" t="n">
        <f aca="false">+AB55/AB$7</f>
        <v>1969.44633226416</v>
      </c>
      <c r="AD55" s="252" t="n">
        <f aca="false">+AC55/AC$8</f>
        <v>1.64257408862733</v>
      </c>
      <c r="AE55" s="121"/>
      <c r="AF55" s="250"/>
      <c r="AG55" s="124"/>
    </row>
    <row r="56" customFormat="false" ht="12.75" hidden="false" customHeight="false" outlineLevel="0" collapsed="false">
      <c r="A56" s="99" t="s">
        <v>250</v>
      </c>
      <c r="B56" s="127" t="s">
        <v>251</v>
      </c>
      <c r="C56" s="118"/>
      <c r="D56" s="119" t="n">
        <f aca="false">L56/$L$88</f>
        <v>0.00363427811288367</v>
      </c>
      <c r="E56" s="120" t="s">
        <v>109</v>
      </c>
      <c r="F56" s="120" t="s">
        <v>109</v>
      </c>
      <c r="G56" s="129"/>
      <c r="H56" s="120" t="s">
        <v>109</v>
      </c>
      <c r="I56" s="120" t="s">
        <v>109</v>
      </c>
      <c r="J56" s="130" t="s">
        <v>109</v>
      </c>
      <c r="K56" s="130" t="s">
        <v>109</v>
      </c>
      <c r="L56" s="121" t="n">
        <f aca="false">7*M56</f>
        <v>2555</v>
      </c>
      <c r="M56" s="121" t="n">
        <f aca="false">730/2</f>
        <v>365</v>
      </c>
      <c r="N56" s="122" t="n">
        <f aca="false">M56/1376</f>
        <v>0.265261627906977</v>
      </c>
      <c r="O56" s="122"/>
      <c r="P56" s="251" t="n">
        <f aca="false">Q56*P$7</f>
        <v>225</v>
      </c>
      <c r="Q56" s="251" t="n">
        <f aca="false">200*CMF</f>
        <v>225</v>
      </c>
      <c r="R56" s="252" t="n">
        <f aca="false">+Q56/Q$8</f>
        <v>0.187813021702838</v>
      </c>
      <c r="S56" s="121"/>
      <c r="T56" s="251" t="n">
        <f aca="false">U56*T$7</f>
        <v>0</v>
      </c>
      <c r="U56" s="251" t="n">
        <v>0</v>
      </c>
      <c r="V56" s="252" t="n">
        <f aca="false">+U56/U$8</f>
        <v>0</v>
      </c>
      <c r="W56" s="121"/>
      <c r="X56" s="251" t="n">
        <f aca="false">Y56*X$7</f>
        <v>13725</v>
      </c>
      <c r="Y56" s="251" t="n">
        <f aca="false">200*CMF</f>
        <v>225</v>
      </c>
      <c r="Z56" s="252" t="n">
        <f aca="false">+Y56/Y$8</f>
        <v>0.174825174825175</v>
      </c>
      <c r="AA56" s="121"/>
      <c r="AB56" s="251" t="n">
        <f aca="false">+X56+T56</f>
        <v>13725</v>
      </c>
      <c r="AC56" s="253" t="n">
        <f aca="false">+AB56/AB$7</f>
        <v>103.195488721805</v>
      </c>
      <c r="AD56" s="252" t="n">
        <f aca="false">+AC56/AC$8</f>
        <v>0.0860679639047577</v>
      </c>
      <c r="AE56" s="121"/>
      <c r="AF56" s="250"/>
      <c r="AG56" s="124"/>
      <c r="AJ56" s="100" t="n">
        <f aca="false">0.75*AJ48</f>
        <v>9872146.87767872</v>
      </c>
    </row>
    <row r="57" customFormat="false" ht="12.75" hidden="false" customHeight="false" outlineLevel="0" collapsed="false">
      <c r="A57" s="99" t="s">
        <v>250</v>
      </c>
      <c r="B57" s="110" t="s">
        <v>253</v>
      </c>
      <c r="C57" s="118"/>
      <c r="D57" s="119"/>
      <c r="E57" s="120"/>
      <c r="F57" s="120"/>
      <c r="G57" s="120"/>
      <c r="H57" s="120"/>
      <c r="I57" s="120"/>
      <c r="J57" s="120"/>
      <c r="K57" s="120"/>
      <c r="L57" s="121"/>
      <c r="M57" s="81"/>
      <c r="N57" s="122"/>
      <c r="O57" s="122"/>
      <c r="P57" s="251"/>
      <c r="Q57" s="251"/>
      <c r="R57" s="252"/>
      <c r="S57" s="121"/>
      <c r="T57" s="251"/>
      <c r="U57" s="251"/>
      <c r="V57" s="252"/>
      <c r="W57" s="121"/>
      <c r="X57" s="251"/>
      <c r="Y57" s="251"/>
      <c r="Z57" s="252"/>
      <c r="AA57" s="121"/>
      <c r="AB57" s="251"/>
      <c r="AC57" s="253" t="s">
        <v>219</v>
      </c>
      <c r="AD57" s="252"/>
      <c r="AE57" s="121"/>
      <c r="AF57" s="250"/>
      <c r="AG57" s="124"/>
      <c r="AJ57" s="100" t="n">
        <f aca="false">+AJ48-AJ56</f>
        <v>3290715.62589291</v>
      </c>
    </row>
    <row r="58" customFormat="false" ht="12.75" hidden="false" customHeight="false" outlineLevel="0" collapsed="false">
      <c r="A58" s="99" t="s">
        <v>250</v>
      </c>
      <c r="B58" s="100" t="s">
        <v>254</v>
      </c>
      <c r="C58" s="118"/>
      <c r="D58" s="119" t="n">
        <f aca="false">L58/$L$88</f>
        <v>0.00734323317329234</v>
      </c>
      <c r="E58" s="120" t="s">
        <v>109</v>
      </c>
      <c r="F58" s="120" t="s">
        <v>109</v>
      </c>
      <c r="G58" s="129"/>
      <c r="H58" s="120" t="s">
        <v>109</v>
      </c>
      <c r="I58" s="120" t="s">
        <v>109</v>
      </c>
      <c r="J58" s="130" t="s">
        <v>109</v>
      </c>
      <c r="K58" s="130" t="s">
        <v>109</v>
      </c>
      <c r="L58" s="121" t="n">
        <f aca="false">7*M58</f>
        <v>5162.5</v>
      </c>
      <c r="M58" s="121" t="n">
        <f aca="false">1475/2</f>
        <v>737.5</v>
      </c>
      <c r="N58" s="122" t="n">
        <f aca="false">M58/1376</f>
        <v>0.535973837209302</v>
      </c>
      <c r="O58" s="122"/>
      <c r="P58" s="251" t="n">
        <f aca="false">Q58*P$7</f>
        <v>1012.5</v>
      </c>
      <c r="Q58" s="251" t="n">
        <f aca="false">12*75*CMF</f>
        <v>1012.5</v>
      </c>
      <c r="R58" s="252" t="n">
        <f aca="false">+Q58/Q$8</f>
        <v>0.845158597662771</v>
      </c>
      <c r="S58" s="121"/>
      <c r="T58" s="251" t="n">
        <f aca="false">U58*T$7</f>
        <v>72900</v>
      </c>
      <c r="U58" s="251" t="n">
        <f aca="false">12*75*CMF</f>
        <v>1012.5</v>
      </c>
      <c r="V58" s="252" t="n">
        <f aca="false">+U58/U$8</f>
        <v>0.914634146341463</v>
      </c>
      <c r="W58" s="121"/>
      <c r="X58" s="251" t="n">
        <f aca="false">Y58*X$7</f>
        <v>61762.5</v>
      </c>
      <c r="Y58" s="251" t="n">
        <f aca="false">12*75*CMF</f>
        <v>1012.5</v>
      </c>
      <c r="Z58" s="252" t="n">
        <f aca="false">+Y58/Y$8</f>
        <v>0.786713286713287</v>
      </c>
      <c r="AA58" s="121"/>
      <c r="AB58" s="251" t="n">
        <f aca="false">+X58+T58</f>
        <v>134662.5</v>
      </c>
      <c r="AC58" s="253" t="n">
        <f aca="false">+AB58/AB$7</f>
        <v>1012.5</v>
      </c>
      <c r="AD58" s="252" t="n">
        <f aca="false">+AC58/AC$8</f>
        <v>0.844453711426189</v>
      </c>
      <c r="AE58" s="121"/>
      <c r="AF58" s="250"/>
      <c r="AG58" s="124"/>
      <c r="AI58" s="119"/>
      <c r="AJ58" s="125" t="n">
        <f aca="false">AJ57-AJ47-AJ46</f>
        <v>1461956.08773902</v>
      </c>
    </row>
    <row r="59" customFormat="false" ht="12.75" hidden="false" customHeight="false" outlineLevel="0" collapsed="false">
      <c r="A59" s="99" t="s">
        <v>250</v>
      </c>
      <c r="B59" s="100" t="s">
        <v>255</v>
      </c>
      <c r="C59" s="118"/>
      <c r="D59" s="119" t="n">
        <f aca="false">L59/$L$88</f>
        <v>0.00629775590794224</v>
      </c>
      <c r="E59" s="120" t="s">
        <v>109</v>
      </c>
      <c r="F59" s="120" t="s">
        <v>109</v>
      </c>
      <c r="G59" s="129"/>
      <c r="H59" s="120" t="s">
        <v>109</v>
      </c>
      <c r="I59" s="120" t="s">
        <v>109</v>
      </c>
      <c r="J59" s="130" t="s">
        <v>109</v>
      </c>
      <c r="K59" s="130" t="s">
        <v>109</v>
      </c>
      <c r="L59" s="121" t="n">
        <f aca="false">7*M59</f>
        <v>4427.5</v>
      </c>
      <c r="M59" s="121" t="n">
        <f aca="false">1265/2</f>
        <v>632.5</v>
      </c>
      <c r="N59" s="122" t="n">
        <f aca="false">M59/1376</f>
        <v>0.459665697674419</v>
      </c>
      <c r="O59" s="122"/>
      <c r="P59" s="251" t="n">
        <f aca="false">Q59*P$7</f>
        <v>619.514444040698</v>
      </c>
      <c r="Q59" s="251" t="n">
        <f aca="false">Q$8*$N59*CMF</f>
        <v>619.514444040698</v>
      </c>
      <c r="R59" s="252" t="n">
        <f aca="false">+Q59/Q$8</f>
        <v>0.517123909883721</v>
      </c>
      <c r="S59" s="121"/>
      <c r="T59" s="251" t="n">
        <f aca="false">U59*T$7</f>
        <v>41216.8441133721</v>
      </c>
      <c r="U59" s="251" t="n">
        <f aca="false">U$8*$N59*CMF</f>
        <v>572.456168241279</v>
      </c>
      <c r="V59" s="252" t="n">
        <f aca="false">+U59/U$8</f>
        <v>0.517123909883721</v>
      </c>
      <c r="W59" s="121"/>
      <c r="X59" s="251" t="n">
        <f aca="false">Y59*X$7</f>
        <v>40597.8467932413</v>
      </c>
      <c r="Y59" s="251" t="n">
        <f aca="false">Y$8*$N59*CMF</f>
        <v>665.538472020349</v>
      </c>
      <c r="Z59" s="252" t="n">
        <f aca="false">+Y59/Y$8</f>
        <v>0.517123909883721</v>
      </c>
      <c r="AA59" s="121"/>
      <c r="AB59" s="251" t="n">
        <f aca="false">+X59+T59</f>
        <v>81814.6909066134</v>
      </c>
      <c r="AC59" s="253" t="n">
        <f aca="false">+AB59/AB$7</f>
        <v>615.148051929424</v>
      </c>
      <c r="AD59" s="252" t="n">
        <f aca="false">+AC59/AC$8</f>
        <v>0.513050919040387</v>
      </c>
      <c r="AE59" s="121"/>
      <c r="AF59" s="250"/>
      <c r="AG59" s="124"/>
      <c r="AI59" s="119"/>
      <c r="AJ59" s="125"/>
    </row>
    <row r="60" customFormat="false" ht="12.75" hidden="false" customHeight="false" outlineLevel="0" collapsed="false">
      <c r="A60" s="99" t="s">
        <v>250</v>
      </c>
      <c r="B60" s="100" t="s">
        <v>207</v>
      </c>
      <c r="C60" s="118"/>
      <c r="D60" s="119" t="n">
        <f aca="false">L60/$L$88</f>
        <v>0.00620814357091223</v>
      </c>
      <c r="E60" s="120" t="s">
        <v>109</v>
      </c>
      <c r="F60" s="120" t="s">
        <v>109</v>
      </c>
      <c r="G60" s="129"/>
      <c r="H60" s="120" t="s">
        <v>109</v>
      </c>
      <c r="I60" s="120" t="s">
        <v>109</v>
      </c>
      <c r="J60" s="130" t="s">
        <v>109</v>
      </c>
      <c r="K60" s="130" t="s">
        <v>109</v>
      </c>
      <c r="L60" s="121" t="n">
        <f aca="false">7*M60</f>
        <v>4364.5</v>
      </c>
      <c r="M60" s="121" t="n">
        <f aca="false">1247/2</f>
        <v>623.5</v>
      </c>
      <c r="N60" s="122" t="n">
        <f aca="false">M60/1376</f>
        <v>0.453125</v>
      </c>
      <c r="O60" s="122"/>
      <c r="P60" s="251" t="n">
        <f aca="false">Q60*P$7</f>
        <v>610.69921875</v>
      </c>
      <c r="Q60" s="251" t="n">
        <f aca="false">Q$8*$N60*CMF</f>
        <v>610.69921875</v>
      </c>
      <c r="R60" s="252" t="n">
        <f aca="false">+Q60/Q$8</f>
        <v>0.509765625</v>
      </c>
      <c r="S60" s="121"/>
      <c r="T60" s="251" t="n">
        <f aca="false">U60*T$7</f>
        <v>40630.359375</v>
      </c>
      <c r="U60" s="251" t="n">
        <f aca="false">U$8*$N60*CMF</f>
        <v>564.310546875</v>
      </c>
      <c r="V60" s="252" t="n">
        <f aca="false">+U60/U$8</f>
        <v>0.509765625</v>
      </c>
      <c r="W60" s="121"/>
      <c r="X60" s="251" t="n">
        <f aca="false">Y60*X$7</f>
        <v>40020.169921875</v>
      </c>
      <c r="Y60" s="251" t="n">
        <f aca="false">Y$8*$N60*CMF</f>
        <v>656.068359375</v>
      </c>
      <c r="Z60" s="252" t="n">
        <f aca="false">+Y60/Y$8</f>
        <v>0.509765625</v>
      </c>
      <c r="AA60" s="121"/>
      <c r="AB60" s="251" t="n">
        <f aca="false">+X60+T60</f>
        <v>80650.529296875</v>
      </c>
      <c r="AC60" s="253" t="n">
        <f aca="false">+AB60/AB$7</f>
        <v>606.394957119361</v>
      </c>
      <c r="AD60" s="252" t="n">
        <f aca="false">+AC60/AC$8</f>
        <v>0.505750589757599</v>
      </c>
      <c r="AE60" s="121"/>
      <c r="AF60" s="250"/>
      <c r="AG60" s="124"/>
      <c r="AI60" s="119"/>
      <c r="AJ60" s="121" t="n">
        <f aca="false">X7</f>
        <v>61</v>
      </c>
      <c r="AK60" s="100" t="n">
        <f aca="false">475*3</f>
        <v>1425</v>
      </c>
      <c r="AL60" s="100" t="n">
        <f aca="false">AK60*AJ60</f>
        <v>86925</v>
      </c>
      <c r="AN60" s="43" t="n">
        <f aca="false">AK60/AC$8</f>
        <v>1.1884904086739</v>
      </c>
    </row>
    <row r="61" customFormat="false" ht="12" hidden="false" customHeight="false" outlineLevel="0" collapsed="false">
      <c r="B61" s="110" t="s">
        <v>256</v>
      </c>
      <c r="C61" s="118"/>
      <c r="D61" s="119" t="n">
        <f aca="false">L61/$L$88</f>
        <v>0</v>
      </c>
      <c r="E61" s="120"/>
      <c r="F61" s="120"/>
      <c r="G61" s="120"/>
      <c r="H61" s="120"/>
      <c r="I61" s="120"/>
      <c r="J61" s="120"/>
      <c r="K61" s="120"/>
      <c r="L61" s="121"/>
      <c r="M61" s="121"/>
      <c r="N61" s="122"/>
      <c r="O61" s="122"/>
      <c r="P61" s="251"/>
      <c r="Q61" s="251"/>
      <c r="R61" s="252"/>
      <c r="S61" s="121"/>
      <c r="T61" s="251"/>
      <c r="U61" s="251"/>
      <c r="V61" s="252"/>
      <c r="W61" s="121"/>
      <c r="X61" s="251"/>
      <c r="Y61" s="251"/>
      <c r="Z61" s="252"/>
      <c r="AA61" s="121"/>
      <c r="AB61" s="251"/>
      <c r="AC61" s="253" t="s">
        <v>219</v>
      </c>
      <c r="AD61" s="252"/>
      <c r="AE61" s="121"/>
      <c r="AF61" s="250"/>
      <c r="AG61" s="124"/>
      <c r="AI61" s="119"/>
      <c r="AJ61" s="121" t="n">
        <f aca="false">T7</f>
        <v>72</v>
      </c>
      <c r="AK61" s="100" t="n">
        <v>1200</v>
      </c>
      <c r="AL61" s="100" t="n">
        <f aca="false">AK61*AJ61</f>
        <v>86400</v>
      </c>
      <c r="AN61" s="43" t="n">
        <f aca="false">AK61/U$8</f>
        <v>1.0840108401084</v>
      </c>
    </row>
    <row r="62" customFormat="false" ht="12.75" hidden="false" customHeight="false" outlineLevel="0" collapsed="false">
      <c r="A62" s="99" t="s">
        <v>257</v>
      </c>
      <c r="B62" s="100" t="s">
        <v>258</v>
      </c>
      <c r="C62" s="118"/>
      <c r="D62" s="119" t="n">
        <f aca="false">L62/$L$88</f>
        <v>0.0113260037079594</v>
      </c>
      <c r="E62" s="120" t="s">
        <v>109</v>
      </c>
      <c r="F62" s="120" t="s">
        <v>109</v>
      </c>
      <c r="G62" s="120" t="s">
        <v>109</v>
      </c>
      <c r="H62" s="120" t="s">
        <v>109</v>
      </c>
      <c r="I62" s="120" t="s">
        <v>109</v>
      </c>
      <c r="J62" s="120" t="s">
        <v>109</v>
      </c>
      <c r="K62" s="120" t="s">
        <v>109</v>
      </c>
      <c r="L62" s="121" t="n">
        <f aca="false">7*M62</f>
        <v>7962.5</v>
      </c>
      <c r="M62" s="121" t="n">
        <f aca="false">2275/2</f>
        <v>1137.5</v>
      </c>
      <c r="N62" s="122" t="n">
        <f aca="false">M62/1376</f>
        <v>0.826671511627907</v>
      </c>
      <c r="O62" s="122"/>
      <c r="P62" s="251" t="n">
        <f aca="false">Q62*P$7</f>
        <v>1003.7671875</v>
      </c>
      <c r="Q62" s="251" t="n">
        <f aca="false">1.75*R$8*0.33*CMF</f>
        <v>1003.7671875</v>
      </c>
      <c r="R62" s="252" t="n">
        <f aca="false">+Q62/Q$8</f>
        <v>0.83786910475793</v>
      </c>
      <c r="S62" s="121"/>
      <c r="T62" s="251" t="n">
        <f aca="false">U62*T$7</f>
        <v>74125.1544331395</v>
      </c>
      <c r="U62" s="251" t="n">
        <f aca="false">U$8*$N62*CMF</f>
        <v>1029.5160337936</v>
      </c>
      <c r="V62" s="252" t="n">
        <f aca="false">+U62/U$8</f>
        <v>0.930005450581395</v>
      </c>
      <c r="W62" s="121"/>
      <c r="X62" s="251" t="n">
        <f aca="false">Y62*X$7</f>
        <v>73011.9379087936</v>
      </c>
      <c r="Y62" s="251" t="n">
        <f aca="false">Y$8*$N62*CMF</f>
        <v>1196.91701489826</v>
      </c>
      <c r="Z62" s="252" t="n">
        <f aca="false">+Y62/Y$8</f>
        <v>0.930005450581395</v>
      </c>
      <c r="AA62" s="121"/>
      <c r="AB62" s="251" t="n">
        <f aca="false">+X62+T62</f>
        <v>147137.092341933</v>
      </c>
      <c r="AC62" s="253" t="n">
        <f aca="false">+AB62/AB$7</f>
        <v>1106.29392738296</v>
      </c>
      <c r="AD62" s="252" t="n">
        <f aca="false">+AC62/AC$8</f>
        <v>0.922680506574609</v>
      </c>
      <c r="AE62" s="121"/>
      <c r="AF62" s="250"/>
      <c r="AG62" s="124"/>
      <c r="AI62" s="119"/>
      <c r="AJ62" s="100" t="n">
        <f aca="false">P7</f>
        <v>1</v>
      </c>
      <c r="AK62" s="121" t="n">
        <v>1250</v>
      </c>
      <c r="AL62" s="100" t="n">
        <f aca="false">AK62*AJ62</f>
        <v>1250</v>
      </c>
      <c r="AM62" s="100" t="n">
        <f aca="false">SUM(AL60:AL62)</f>
        <v>174575</v>
      </c>
      <c r="AN62" s="43" t="n">
        <f aca="false">AK62/Q$8</f>
        <v>1.04340567612688</v>
      </c>
    </row>
    <row r="63" customFormat="false" ht="12.75" hidden="false" customHeight="false" outlineLevel="0" collapsed="false">
      <c r="A63" s="99" t="s">
        <v>259</v>
      </c>
      <c r="B63" s="100" t="s">
        <v>260</v>
      </c>
      <c r="C63" s="118"/>
      <c r="D63" s="119" t="n">
        <f aca="false">L63/$L$88</f>
        <v>0.00906080296636749</v>
      </c>
      <c r="E63" s="120" t="s">
        <v>109</v>
      </c>
      <c r="F63" s="120" t="s">
        <v>109</v>
      </c>
      <c r="G63" s="129"/>
      <c r="H63" s="120" t="s">
        <v>109</v>
      </c>
      <c r="I63" s="120" t="s">
        <v>109</v>
      </c>
      <c r="J63" s="130" t="s">
        <v>109</v>
      </c>
      <c r="K63" s="130" t="s">
        <v>109</v>
      </c>
      <c r="L63" s="121" t="n">
        <f aca="false">7*M63</f>
        <v>6370</v>
      </c>
      <c r="M63" s="121" t="n">
        <f aca="false">1820/2</f>
        <v>910</v>
      </c>
      <c r="N63" s="122" t="n">
        <f aca="false">M63/1376</f>
        <v>0.661337209302326</v>
      </c>
      <c r="O63" s="122"/>
      <c r="P63" s="251" t="n">
        <f aca="false">Q63*P$7</f>
        <v>2037.9515625</v>
      </c>
      <c r="Q63" s="251" t="n">
        <f aca="false">1.75*R$8*0.67*CMF</f>
        <v>2037.9515625</v>
      </c>
      <c r="R63" s="252" t="n">
        <f aca="false">+Q63/Q$8</f>
        <v>1.70112818238731</v>
      </c>
      <c r="S63" s="121"/>
      <c r="T63" s="251" t="n">
        <f aca="false">U63*T$7</f>
        <v>59300.1235465116</v>
      </c>
      <c r="U63" s="251" t="n">
        <f aca="false">U$8*$N63*CMF</f>
        <v>823.612827034884</v>
      </c>
      <c r="V63" s="252" t="n">
        <f aca="false">+U63/U$8</f>
        <v>0.744004360465116</v>
      </c>
      <c r="W63" s="121"/>
      <c r="X63" s="251" t="n">
        <f aca="false">Y63*X$7</f>
        <v>58409.5503270349</v>
      </c>
      <c r="Y63" s="251" t="n">
        <f aca="false">Y$8*$N63*CMF</f>
        <v>957.533611918605</v>
      </c>
      <c r="Z63" s="252" t="n">
        <f aca="false">+Y63/Y$8</f>
        <v>0.744004360465116</v>
      </c>
      <c r="AA63" s="121"/>
      <c r="AB63" s="251" t="n">
        <f aca="false">+X63+T63</f>
        <v>117709.673873547</v>
      </c>
      <c r="AC63" s="253" t="n">
        <f aca="false">+AB63/AB$7</f>
        <v>885.035141906365</v>
      </c>
      <c r="AD63" s="252" t="n">
        <f aca="false">+AC63/AC$8</f>
        <v>0.738144405259687</v>
      </c>
      <c r="AE63" s="121"/>
      <c r="AF63" s="250"/>
      <c r="AG63" s="124"/>
      <c r="AI63" s="119"/>
      <c r="AJ63" s="100" t="n">
        <f aca="false">2900000/28</f>
        <v>103571.428571429</v>
      </c>
      <c r="AK63" s="43" t="n">
        <f aca="false">AJ63/1343</f>
        <v>77.1194553770875</v>
      </c>
      <c r="AL63" s="121"/>
    </row>
    <row r="64" customFormat="false" ht="12.75" hidden="false" customHeight="false" outlineLevel="0" collapsed="false">
      <c r="A64" s="99" t="s">
        <v>259</v>
      </c>
      <c r="B64" s="100" t="s">
        <v>261</v>
      </c>
      <c r="C64" s="118"/>
      <c r="D64" s="119" t="n">
        <f aca="false">L64/$L$88</f>
        <v>0.00226520074159187</v>
      </c>
      <c r="E64" s="120" t="s">
        <v>109</v>
      </c>
      <c r="F64" s="120" t="s">
        <v>109</v>
      </c>
      <c r="G64" s="129"/>
      <c r="H64" s="120" t="s">
        <v>109</v>
      </c>
      <c r="I64" s="120" t="s">
        <v>109</v>
      </c>
      <c r="J64" s="130" t="s">
        <v>109</v>
      </c>
      <c r="K64" s="130" t="s">
        <v>109</v>
      </c>
      <c r="L64" s="121" t="n">
        <f aca="false">7*M64</f>
        <v>1592.5</v>
      </c>
      <c r="M64" s="121" t="n">
        <f aca="false">455/2</f>
        <v>227.5</v>
      </c>
      <c r="N64" s="122" t="n">
        <f aca="false">M64/1376</f>
        <v>0.165334302325581</v>
      </c>
      <c r="O64" s="122"/>
      <c r="P64" s="251" t="n">
        <f aca="false">Q64*P$7</f>
        <v>222.829305959302</v>
      </c>
      <c r="Q64" s="251" t="n">
        <f aca="false">Q$8*$N64*CMF</f>
        <v>222.829305959302</v>
      </c>
      <c r="R64" s="252" t="n">
        <f aca="false">+Q64/Q$8</f>
        <v>0.186001090116279</v>
      </c>
      <c r="S64" s="121"/>
      <c r="T64" s="251" t="n">
        <f aca="false">U64*T$7</f>
        <v>14825.0308866279</v>
      </c>
      <c r="U64" s="251" t="n">
        <f aca="false">U$8*$N64*CMF</f>
        <v>205.903206758721</v>
      </c>
      <c r="V64" s="252" t="n">
        <f aca="false">+U64/U$8</f>
        <v>0.186001090116279</v>
      </c>
      <c r="W64" s="121"/>
      <c r="X64" s="251" t="n">
        <f aca="false">Y64*X$7</f>
        <v>14602.3875817587</v>
      </c>
      <c r="Y64" s="251" t="n">
        <f aca="false">Y$8*$N64*CMF</f>
        <v>239.383402979651</v>
      </c>
      <c r="Z64" s="252" t="n">
        <f aca="false">+Y64/Y$8</f>
        <v>0.186001090116279</v>
      </c>
      <c r="AA64" s="121"/>
      <c r="AB64" s="251" t="n">
        <f aca="false">+X64+T64</f>
        <v>29427.4184683866</v>
      </c>
      <c r="AC64" s="253" t="n">
        <f aca="false">+AB64/AB$7</f>
        <v>221.258785476591</v>
      </c>
      <c r="AD64" s="252" t="n">
        <f aca="false">+AC64/AC$8</f>
        <v>0.184536101314922</v>
      </c>
      <c r="AE64" s="121"/>
      <c r="AF64" s="250"/>
      <c r="AG64" s="124"/>
      <c r="AJ64" s="100" t="n">
        <f aca="false">2700000/28</f>
        <v>96428.5714285714</v>
      </c>
      <c r="AK64" s="43" t="n">
        <f aca="false">AJ64/1343</f>
        <v>71.8008722476332</v>
      </c>
    </row>
    <row r="65" customFormat="false" ht="12" hidden="false" customHeight="false" outlineLevel="0" collapsed="false">
      <c r="B65" s="110" t="s">
        <v>262</v>
      </c>
      <c r="C65" s="118"/>
      <c r="D65" s="119"/>
      <c r="E65" s="120"/>
      <c r="F65" s="120"/>
      <c r="G65" s="120"/>
      <c r="H65" s="120"/>
      <c r="I65" s="120"/>
      <c r="J65" s="120"/>
      <c r="K65" s="120"/>
      <c r="L65" s="121"/>
      <c r="M65" s="121"/>
      <c r="N65" s="122" t="n">
        <f aca="false">M65/1376</f>
        <v>0</v>
      </c>
      <c r="O65" s="122"/>
      <c r="P65" s="251"/>
      <c r="Q65" s="251"/>
      <c r="R65" s="252"/>
      <c r="S65" s="121"/>
      <c r="T65" s="251"/>
      <c r="U65" s="251"/>
      <c r="V65" s="252"/>
      <c r="W65" s="121"/>
      <c r="X65" s="251"/>
      <c r="Y65" s="251"/>
      <c r="Z65" s="252"/>
      <c r="AA65" s="121"/>
      <c r="AB65" s="251"/>
      <c r="AC65" s="253" t="s">
        <v>219</v>
      </c>
      <c r="AD65" s="252"/>
      <c r="AE65" s="121"/>
      <c r="AF65" s="250"/>
      <c r="AG65" s="124"/>
    </row>
    <row r="66" customFormat="false" ht="12.75" hidden="false" customHeight="false" outlineLevel="0" collapsed="false">
      <c r="A66" s="99" t="s">
        <v>263</v>
      </c>
      <c r="B66" s="100" t="s">
        <v>264</v>
      </c>
      <c r="C66" s="118"/>
      <c r="D66" s="119" t="n">
        <f aca="false">L66/$L$88</f>
        <v>0.00943916616716086</v>
      </c>
      <c r="E66" s="120" t="s">
        <v>109</v>
      </c>
      <c r="F66" s="120" t="s">
        <v>109</v>
      </c>
      <c r="G66" s="120" t="s">
        <v>109</v>
      </c>
      <c r="H66" s="120" t="s">
        <v>109</v>
      </c>
      <c r="I66" s="120" t="s">
        <v>109</v>
      </c>
      <c r="J66" s="120" t="s">
        <v>109</v>
      </c>
      <c r="K66" s="120" t="s">
        <v>109</v>
      </c>
      <c r="L66" s="121" t="n">
        <f aca="false">7*M66</f>
        <v>6636</v>
      </c>
      <c r="M66" s="121" t="n">
        <f aca="false">1896/2</f>
        <v>948</v>
      </c>
      <c r="N66" s="122" t="n">
        <f aca="false">M66/1376</f>
        <v>0.688953488372093</v>
      </c>
      <c r="O66" s="122"/>
      <c r="P66" s="251" t="n">
        <f aca="false">Q66*P$7</f>
        <v>1237.5</v>
      </c>
      <c r="Q66" s="251" t="n">
        <f aca="false">1100*CMF</f>
        <v>1237.5</v>
      </c>
      <c r="R66" s="252" t="n">
        <f aca="false">+Q66/Q$8</f>
        <v>1.03297161936561</v>
      </c>
      <c r="S66" s="121"/>
      <c r="T66" s="251" t="n">
        <f aca="false">U66*T$7</f>
        <v>89100</v>
      </c>
      <c r="U66" s="251" t="n">
        <f aca="false">1100*CMF</f>
        <v>1237.5</v>
      </c>
      <c r="V66" s="252" t="n">
        <f aca="false">+U66/U$8</f>
        <v>1.11788617886179</v>
      </c>
      <c r="W66" s="121"/>
      <c r="X66" s="251" t="n">
        <f aca="false">Y66*X$7</f>
        <v>75487.5</v>
      </c>
      <c r="Y66" s="251" t="n">
        <f aca="false">1100*CMF</f>
        <v>1237.5</v>
      </c>
      <c r="Z66" s="252" t="n">
        <f aca="false">+Y66/Y$8</f>
        <v>0.961538461538462</v>
      </c>
      <c r="AA66" s="121"/>
      <c r="AB66" s="251" t="n">
        <f aca="false">+X66+T66</f>
        <v>164587.5</v>
      </c>
      <c r="AC66" s="253" t="n">
        <f aca="false">+AB66/AB$7</f>
        <v>1237.5</v>
      </c>
      <c r="AD66" s="252" t="n">
        <f aca="false">+AC66/AC$8</f>
        <v>1.03211009174312</v>
      </c>
      <c r="AE66" s="121"/>
      <c r="AF66" s="250"/>
      <c r="AG66" s="124"/>
      <c r="AJ66" s="142" t="n">
        <f aca="false">0.0725/12</f>
        <v>0.00604166666666667</v>
      </c>
    </row>
    <row r="67" customFormat="false" ht="12.75" hidden="false" customHeight="false" outlineLevel="0" collapsed="false">
      <c r="A67" s="99" t="s">
        <v>263</v>
      </c>
      <c r="B67" s="99" t="s">
        <v>265</v>
      </c>
      <c r="C67" s="118"/>
      <c r="D67" s="119" t="n">
        <f aca="false">L67/$L$88</f>
        <v>0.00588454346497054</v>
      </c>
      <c r="E67" s="120" t="s">
        <v>109</v>
      </c>
      <c r="F67" s="120" t="s">
        <v>109</v>
      </c>
      <c r="G67" s="129"/>
      <c r="H67" s="120" t="s">
        <v>109</v>
      </c>
      <c r="I67" s="120" t="s">
        <v>109</v>
      </c>
      <c r="J67" s="129"/>
      <c r="K67" s="143" t="s">
        <v>266</v>
      </c>
      <c r="L67" s="121" t="n">
        <f aca="false">7*M67</f>
        <v>4137</v>
      </c>
      <c r="M67" s="121" t="n">
        <f aca="false">1182/2</f>
        <v>591</v>
      </c>
      <c r="N67" s="122" t="n">
        <f aca="false">M67/1376</f>
        <v>0.429505813953488</v>
      </c>
      <c r="O67" s="122"/>
      <c r="P67" s="251" t="n">
        <f aca="false">Q67*P$7</f>
        <v>675</v>
      </c>
      <c r="Q67" s="251" t="n">
        <f aca="false">600*CMF</f>
        <v>675</v>
      </c>
      <c r="R67" s="252" t="n">
        <f aca="false">+Q67/Q$8</f>
        <v>0.563439065108514</v>
      </c>
      <c r="S67" s="121"/>
      <c r="T67" s="251" t="n">
        <f aca="false">U67*T$7</f>
        <v>48600</v>
      </c>
      <c r="U67" s="251" t="n">
        <f aca="false">600*CMF</f>
        <v>675</v>
      </c>
      <c r="V67" s="252" t="n">
        <f aca="false">+U67/U$8</f>
        <v>0.609756097560976</v>
      </c>
      <c r="W67" s="121"/>
      <c r="X67" s="251" t="n">
        <f aca="false">Y67*X$7</f>
        <v>41175</v>
      </c>
      <c r="Y67" s="251" t="n">
        <f aca="false">600*CMF</f>
        <v>675</v>
      </c>
      <c r="Z67" s="252" t="n">
        <f aca="false">+Y67/Y$8</f>
        <v>0.524475524475525</v>
      </c>
      <c r="AA67" s="121"/>
      <c r="AB67" s="251" t="n">
        <f aca="false">+X67+T67</f>
        <v>89775</v>
      </c>
      <c r="AC67" s="253" t="n">
        <f aca="false">+AB67/AB$7</f>
        <v>675</v>
      </c>
      <c r="AD67" s="252" t="n">
        <f aca="false">+AC67/AC$8</f>
        <v>0.562969140950792</v>
      </c>
      <c r="AE67" s="121"/>
      <c r="AF67" s="250"/>
      <c r="AG67" s="124"/>
      <c r="AJ67" s="100" t="n">
        <v>360</v>
      </c>
    </row>
    <row r="68" customFormat="false" ht="12.75" hidden="false" customHeight="false" outlineLevel="0" collapsed="false">
      <c r="A68" s="99" t="s">
        <v>267</v>
      </c>
      <c r="B68" s="99" t="s">
        <v>268</v>
      </c>
      <c r="C68" s="118"/>
      <c r="D68" s="119" t="n">
        <f aca="false">L68/$L$88</f>
        <v>0.0047594107889271</v>
      </c>
      <c r="E68" s="120" t="s">
        <v>109</v>
      </c>
      <c r="F68" s="120" t="s">
        <v>109</v>
      </c>
      <c r="G68" s="129"/>
      <c r="H68" s="120" t="s">
        <v>109</v>
      </c>
      <c r="I68" s="120" t="s">
        <v>109</v>
      </c>
      <c r="J68" s="129"/>
      <c r="K68" s="130" t="s">
        <v>109</v>
      </c>
      <c r="L68" s="121" t="n">
        <f aca="false">7*M68</f>
        <v>3346</v>
      </c>
      <c r="M68" s="121" t="n">
        <f aca="false">956/2</f>
        <v>478</v>
      </c>
      <c r="N68" s="122" t="n">
        <f aca="false">M68/1376</f>
        <v>0.347383720930233</v>
      </c>
      <c r="O68" s="122"/>
      <c r="P68" s="251" t="n">
        <f aca="false">Q68*P$7</f>
        <v>693.186409883721</v>
      </c>
      <c r="Q68" s="251" t="n">
        <f aca="false">(Q$8*$N68+200)*CMF</f>
        <v>693.186409883721</v>
      </c>
      <c r="R68" s="252" t="n">
        <f aca="false">+Q68/Q$8</f>
        <v>0.57861970774935</v>
      </c>
      <c r="S68" s="121"/>
      <c r="T68" s="251" t="n">
        <f aca="false">U68*T$7</f>
        <v>47348.8561046512</v>
      </c>
      <c r="U68" s="251" t="n">
        <f aca="false">(U$8*$N68+200)*CMF</f>
        <v>657.623001453488</v>
      </c>
      <c r="V68" s="252" t="n">
        <f aca="false">+U68/U$8</f>
        <v>0.594058718566837</v>
      </c>
      <c r="W68" s="121"/>
      <c r="X68" s="251" t="n">
        <f aca="false">Y68*X$7</f>
        <v>44406.0605014535</v>
      </c>
      <c r="Y68" s="251" t="n">
        <f aca="false">(Y$8*$N68+200)*CMF</f>
        <v>727.96820494186</v>
      </c>
      <c r="Z68" s="252" t="n">
        <f aca="false">+Y68/Y$8</f>
        <v>0.565631860871687</v>
      </c>
      <c r="AA68" s="121"/>
      <c r="AB68" s="251" t="n">
        <f aca="false">+X68+T68</f>
        <v>91754.9166061046</v>
      </c>
      <c r="AC68" s="253" t="n">
        <f aca="false">+AB68/AB$7</f>
        <v>689.886591023343</v>
      </c>
      <c r="AD68" s="252" t="n">
        <f aca="false">+AC68/AC$8</f>
        <v>0.575384980002788</v>
      </c>
      <c r="AE68" s="121"/>
      <c r="AF68" s="250"/>
      <c r="AG68" s="124"/>
      <c r="AI68" s="119"/>
      <c r="AJ68" s="121" t="n">
        <f aca="false">PMT(AJ66,AJ67,AJ48)</f>
        <v>-89793.9257757763</v>
      </c>
      <c r="AK68" s="121"/>
    </row>
    <row r="69" customFormat="false" ht="12.75" hidden="false" customHeight="false" outlineLevel="0" collapsed="false">
      <c r="A69" s="99" t="s">
        <v>228</v>
      </c>
      <c r="B69" s="99" t="s">
        <v>269</v>
      </c>
      <c r="C69" s="118"/>
      <c r="D69" s="119" t="n">
        <f aca="false">L69/$L$88</f>
        <v>0.00397281360833036</v>
      </c>
      <c r="E69" s="120" t="s">
        <v>109</v>
      </c>
      <c r="F69" s="120" t="s">
        <v>109</v>
      </c>
      <c r="G69" s="129"/>
      <c r="H69" s="120" t="s">
        <v>109</v>
      </c>
      <c r="I69" s="120" t="s">
        <v>109</v>
      </c>
      <c r="J69" s="130" t="s">
        <v>109</v>
      </c>
      <c r="K69" s="130" t="s">
        <v>109</v>
      </c>
      <c r="L69" s="121" t="n">
        <f aca="false">7*M69</f>
        <v>2793</v>
      </c>
      <c r="M69" s="121" t="n">
        <f aca="false">798/2</f>
        <v>399</v>
      </c>
      <c r="N69" s="122" t="n">
        <f aca="false">M69/1376</f>
        <v>0.289970930232558</v>
      </c>
      <c r="O69" s="122"/>
      <c r="P69" s="251" t="n">
        <f aca="false">Q69*P$7</f>
        <v>390.80832122093</v>
      </c>
      <c r="Q69" s="251" t="n">
        <f aca="false">Q$8*$N69*CMF</f>
        <v>390.80832122093</v>
      </c>
      <c r="R69" s="252" t="n">
        <f aca="false">+Q69/Q$8</f>
        <v>0.326217296511628</v>
      </c>
      <c r="S69" s="121"/>
      <c r="T69" s="251" t="n">
        <f aca="false">U69*T$7</f>
        <v>26000.8234011628</v>
      </c>
      <c r="U69" s="251" t="n">
        <f aca="false">U$8*$N69*CMF</f>
        <v>361.122547238372</v>
      </c>
      <c r="V69" s="252" t="n">
        <f aca="false">+U69/U$8</f>
        <v>0.326217296511628</v>
      </c>
      <c r="W69" s="121"/>
      <c r="X69" s="251" t="n">
        <f aca="false">Y69*X$7</f>
        <v>25610.3412972384</v>
      </c>
      <c r="Y69" s="251" t="n">
        <f aca="false">Y$8*$N69*CMF</f>
        <v>419.841660610465</v>
      </c>
      <c r="Z69" s="252" t="n">
        <f aca="false">+Y69/Y$8</f>
        <v>0.326217296511628</v>
      </c>
      <c r="AA69" s="121"/>
      <c r="AB69" s="251" t="n">
        <f aca="false">+X69+T69</f>
        <v>51611.1646984012</v>
      </c>
      <c r="AC69" s="253" t="n">
        <f aca="false">+AB69/AB$7</f>
        <v>388.053869912791</v>
      </c>
      <c r="AD69" s="252" t="n">
        <f aca="false">+AC69/AC$8</f>
        <v>0.32364793153694</v>
      </c>
      <c r="AE69" s="121"/>
      <c r="AF69" s="250"/>
      <c r="AG69" s="124"/>
      <c r="AI69" s="119" t="s">
        <v>270</v>
      </c>
      <c r="AJ69" s="121" t="n">
        <f aca="false">+AM62</f>
        <v>174575</v>
      </c>
      <c r="AK69" s="121"/>
      <c r="AL69" s="121" t="n">
        <f aca="false">2700000*0.105</f>
        <v>283500</v>
      </c>
    </row>
    <row r="70" customFormat="false" ht="12.75" hidden="false" customHeight="false" outlineLevel="0" collapsed="false">
      <c r="A70" s="99" t="s">
        <v>271</v>
      </c>
      <c r="B70" s="99" t="s">
        <v>196</v>
      </c>
      <c r="C70" s="118"/>
      <c r="D70" s="119" t="n">
        <f aca="false">L70/$L$88</f>
        <v>0.0103850741691443</v>
      </c>
      <c r="E70" s="120" t="s">
        <v>109</v>
      </c>
      <c r="F70" s="120" t="s">
        <v>109</v>
      </c>
      <c r="G70" s="129"/>
      <c r="H70" s="120" t="s">
        <v>109</v>
      </c>
      <c r="I70" s="120" t="s">
        <v>109</v>
      </c>
      <c r="J70" s="130" t="s">
        <v>109</v>
      </c>
      <c r="K70" s="130" t="s">
        <v>109</v>
      </c>
      <c r="L70" s="121" t="n">
        <f aca="false">7*M70</f>
        <v>7301</v>
      </c>
      <c r="M70" s="121" t="n">
        <f aca="false">2086/2</f>
        <v>1043</v>
      </c>
      <c r="N70" s="122" t="n">
        <f aca="false">M70/1376</f>
        <v>0.757994186046512</v>
      </c>
      <c r="O70" s="122"/>
      <c r="P70" s="251" t="n">
        <f aca="false">Q70*P$7</f>
        <v>1012.5</v>
      </c>
      <c r="Q70" s="251" t="n">
        <f aca="false">(250+300+250+100)*CMF</f>
        <v>1012.5</v>
      </c>
      <c r="R70" s="252" t="n">
        <f aca="false">+Q70/Q$8</f>
        <v>0.845158597662771</v>
      </c>
      <c r="S70" s="121"/>
      <c r="T70" s="251" t="n">
        <f aca="false">U70*T$7</f>
        <v>72900</v>
      </c>
      <c r="U70" s="251" t="n">
        <f aca="false">(250+300+250+100)*CMF</f>
        <v>1012.5</v>
      </c>
      <c r="V70" s="252" t="n">
        <f aca="false">+U70/U$8</f>
        <v>0.914634146341463</v>
      </c>
      <c r="W70" s="121"/>
      <c r="X70" s="251" t="n">
        <f aca="false">Y70*X$7</f>
        <v>61762.5</v>
      </c>
      <c r="Y70" s="251" t="n">
        <f aca="false">(250+300+250+100)*CMF</f>
        <v>1012.5</v>
      </c>
      <c r="Z70" s="252" t="n">
        <f aca="false">+Y70/Y$8</f>
        <v>0.786713286713287</v>
      </c>
      <c r="AA70" s="121"/>
      <c r="AB70" s="251" t="n">
        <f aca="false">+X70+T70</f>
        <v>134662.5</v>
      </c>
      <c r="AC70" s="253" t="n">
        <f aca="false">+AB70/AB$7</f>
        <v>1012.5</v>
      </c>
      <c r="AD70" s="252" t="n">
        <f aca="false">+AC70/AC$8</f>
        <v>0.844453711426189</v>
      </c>
      <c r="AE70" s="121"/>
      <c r="AF70" s="250"/>
      <c r="AG70" s="124"/>
      <c r="AH70" s="114"/>
      <c r="AJ70" s="121" t="n">
        <f aca="false">0.9*AJ69</f>
        <v>157117.5</v>
      </c>
      <c r="AK70" s="121"/>
      <c r="AL70" s="121" t="n">
        <f aca="false">AL69/12</f>
        <v>23625</v>
      </c>
    </row>
    <row r="71" customFormat="false" ht="12.75" hidden="false" customHeight="false" outlineLevel="0" collapsed="false">
      <c r="A71" s="99" t="s">
        <v>272</v>
      </c>
      <c r="B71" s="99" t="s">
        <v>273</v>
      </c>
      <c r="C71" s="118"/>
      <c r="D71" s="119" t="n">
        <f aca="false">L71/$L$88</f>
        <v>0.0159310821386681</v>
      </c>
      <c r="E71" s="120" t="s">
        <v>109</v>
      </c>
      <c r="F71" s="120" t="s">
        <v>109</v>
      </c>
      <c r="G71" s="129"/>
      <c r="H71" s="120" t="s">
        <v>109</v>
      </c>
      <c r="I71" s="120" t="s">
        <v>109</v>
      </c>
      <c r="J71" s="129"/>
      <c r="K71" s="130" t="s">
        <v>109</v>
      </c>
      <c r="L71" s="121" t="n">
        <f aca="false">7*M71</f>
        <v>11200</v>
      </c>
      <c r="M71" s="121" t="n">
        <f aca="false">3200/2</f>
        <v>1600</v>
      </c>
      <c r="N71" s="122" t="n">
        <f aca="false">M71/1376</f>
        <v>1.16279069767442</v>
      </c>
      <c r="O71" s="122"/>
      <c r="P71" s="251" t="n">
        <f aca="false">Q71*P$7</f>
        <v>1644.255</v>
      </c>
      <c r="Q71" s="251" t="n">
        <f aca="false">1.22*Q$8*CMF</f>
        <v>1644.255</v>
      </c>
      <c r="R71" s="252" t="n">
        <f aca="false">+Q71/Q$8</f>
        <v>1.3725</v>
      </c>
      <c r="S71" s="121"/>
      <c r="T71" s="251" t="n">
        <f aca="false">U71*T$7</f>
        <v>109393.74</v>
      </c>
      <c r="U71" s="251" t="n">
        <f aca="false">1.22*U$8*CMF</f>
        <v>1519.3575</v>
      </c>
      <c r="V71" s="252" t="n">
        <f aca="false">+U71/U$8</f>
        <v>1.3725</v>
      </c>
      <c r="W71" s="121"/>
      <c r="X71" s="251" t="n">
        <f aca="false">Y71*X$7</f>
        <v>107750.8575</v>
      </c>
      <c r="Y71" s="251" t="n">
        <f aca="false">1.22*Y$8*CMF</f>
        <v>1766.4075</v>
      </c>
      <c r="Z71" s="252" t="n">
        <f aca="false">+Y71/Y$8</f>
        <v>1.3725</v>
      </c>
      <c r="AA71" s="121"/>
      <c r="AB71" s="251" t="n">
        <f aca="false">+X71+T71</f>
        <v>217144.5975</v>
      </c>
      <c r="AC71" s="253" t="n">
        <f aca="false">+AB71/AB$7</f>
        <v>1632.66614661654</v>
      </c>
      <c r="AD71" s="252" t="n">
        <f aca="false">+AC71/AC$8</f>
        <v>1.36168986373356</v>
      </c>
      <c r="AE71" s="121"/>
      <c r="AF71" s="250"/>
      <c r="AG71" s="124"/>
      <c r="AI71" s="119"/>
      <c r="AJ71" s="102" t="n">
        <f aca="false">((110000/28/1343)*1187*134)/12</f>
        <v>38773.3131227174</v>
      </c>
      <c r="AK71" s="121"/>
      <c r="AL71" s="121"/>
    </row>
    <row r="72" customFormat="false" ht="12.75" hidden="false" customHeight="false" outlineLevel="0" collapsed="false">
      <c r="A72" s="99" t="s">
        <v>250</v>
      </c>
      <c r="B72" s="99" t="s">
        <v>274</v>
      </c>
      <c r="C72" s="118"/>
      <c r="D72" s="119" t="n">
        <f aca="false">L72/$L$88</f>
        <v>0.00155825897168848</v>
      </c>
      <c r="E72" s="120" t="s">
        <v>109</v>
      </c>
      <c r="F72" s="120" t="s">
        <v>109</v>
      </c>
      <c r="G72" s="143" t="s">
        <v>266</v>
      </c>
      <c r="H72" s="120" t="s">
        <v>109</v>
      </c>
      <c r="I72" s="120" t="s">
        <v>109</v>
      </c>
      <c r="J72" s="129"/>
      <c r="K72" s="143" t="s">
        <v>266</v>
      </c>
      <c r="L72" s="121" t="n">
        <f aca="false">7*M72</f>
        <v>1095.5</v>
      </c>
      <c r="M72" s="121" t="n">
        <f aca="false">313/2</f>
        <v>156.5</v>
      </c>
      <c r="N72" s="122" t="n">
        <f aca="false">M72/1376</f>
        <v>0.113735465116279</v>
      </c>
      <c r="O72" s="122"/>
      <c r="P72" s="251" t="n">
        <f aca="false">Q72*P$7</f>
        <v>153.286973110465</v>
      </c>
      <c r="Q72" s="251" t="n">
        <f aca="false">Q$8*$N72*CMF</f>
        <v>153.286973110465</v>
      </c>
      <c r="R72" s="252" t="n">
        <f aca="false">+Q72/Q$8</f>
        <v>0.127952398255814</v>
      </c>
      <c r="S72" s="121"/>
      <c r="T72" s="251" t="n">
        <f aca="false">U72*T$7</f>
        <v>10198.3179505814</v>
      </c>
      <c r="U72" s="251" t="n">
        <f aca="false">U$8*$N72*CMF</f>
        <v>141.643304869186</v>
      </c>
      <c r="V72" s="252" t="n">
        <f aca="false">+U72/U$8</f>
        <v>0.127952398255814</v>
      </c>
      <c r="W72" s="121"/>
      <c r="X72" s="251" t="n">
        <f aca="false">Y72*X$7</f>
        <v>10045.1589298692</v>
      </c>
      <c r="Y72" s="251" t="n">
        <f aca="false">Y$8*$N72*CMF</f>
        <v>164.674736555233</v>
      </c>
      <c r="Z72" s="252" t="n">
        <f aca="false">+Y72/Y$8</f>
        <v>0.127952398255814</v>
      </c>
      <c r="AA72" s="121"/>
      <c r="AB72" s="251" t="n">
        <f aca="false">+X72+T72</f>
        <v>20243.4768804506</v>
      </c>
      <c r="AC72" s="253" t="n">
        <f aca="false">+AB72/AB$7</f>
        <v>152.206593086095</v>
      </c>
      <c r="AD72" s="252" t="n">
        <f aca="false">+AC72/AC$8</f>
        <v>0.126944614750704</v>
      </c>
      <c r="AE72" s="121"/>
      <c r="AF72" s="250"/>
      <c r="AG72" s="124"/>
      <c r="AI72" s="119"/>
      <c r="AJ72" s="121" t="n">
        <f aca="false">+AJ70-AJ71</f>
        <v>118344.186877283</v>
      </c>
      <c r="AK72" s="121"/>
      <c r="AL72" s="121"/>
    </row>
    <row r="73" customFormat="false" ht="12" hidden="false" customHeight="false" outlineLevel="0" collapsed="false">
      <c r="A73" s="99" t="s">
        <v>275</v>
      </c>
      <c r="B73" s="127" t="s">
        <v>276</v>
      </c>
      <c r="C73" s="118"/>
      <c r="D73" s="119" t="n">
        <f aca="false">L73/$L$88</f>
        <v>0.0157070512960931</v>
      </c>
      <c r="E73" s="120"/>
      <c r="F73" s="120"/>
      <c r="G73" s="120"/>
      <c r="H73" s="120"/>
      <c r="I73" s="120"/>
      <c r="J73" s="120"/>
      <c r="K73" s="120"/>
      <c r="L73" s="121" t="n">
        <f aca="false">7*M73</f>
        <v>11042.5</v>
      </c>
      <c r="M73" s="121" t="n">
        <f aca="false">3155/2</f>
        <v>1577.5</v>
      </c>
      <c r="N73" s="122" t="n">
        <f aca="false">M73/1376</f>
        <v>1.14643895348837</v>
      </c>
      <c r="O73" s="122"/>
      <c r="P73" s="251" t="n">
        <f aca="false">Q73*P$7</f>
        <v>379.6875</v>
      </c>
      <c r="Q73" s="251" t="n">
        <f aca="false">15*10*2.25*CMF</f>
        <v>379.6875</v>
      </c>
      <c r="R73" s="252" t="n">
        <f aca="false">+Q73/Q$8</f>
        <v>0.316934474123539</v>
      </c>
      <c r="S73" s="121"/>
      <c r="T73" s="251" t="n">
        <f aca="false">U73*T$7</f>
        <v>27337.5</v>
      </c>
      <c r="U73" s="251" t="n">
        <f aca="false">15*10*2.25*CMF</f>
        <v>379.6875</v>
      </c>
      <c r="V73" s="252" t="n">
        <f aca="false">+U73/U$8</f>
        <v>0.342987804878049</v>
      </c>
      <c r="W73" s="121"/>
      <c r="X73" s="251" t="n">
        <f aca="false">Y73*X$7</f>
        <v>23160.9375</v>
      </c>
      <c r="Y73" s="251" t="n">
        <f aca="false">15*10*2.25*CMF</f>
        <v>379.6875</v>
      </c>
      <c r="Z73" s="252" t="n">
        <f aca="false">+Y73/Y$8</f>
        <v>0.295017482517483</v>
      </c>
      <c r="AA73" s="121"/>
      <c r="AB73" s="251" t="n">
        <f aca="false">+X73+T73</f>
        <v>50498.4375</v>
      </c>
      <c r="AC73" s="253" t="n">
        <f aca="false">+AB73/AB$7</f>
        <v>379.6875</v>
      </c>
      <c r="AD73" s="252" t="n">
        <f aca="false">+AC73/AC$8</f>
        <v>0.316670141784821</v>
      </c>
      <c r="AE73" s="121"/>
      <c r="AF73" s="250"/>
      <c r="AG73" s="124"/>
      <c r="AI73" s="119"/>
      <c r="AJ73" s="102" t="n">
        <f aca="false">+AJ72/-AJ68</f>
        <v>1.31795314499111</v>
      </c>
      <c r="AK73" s="121"/>
      <c r="AL73" s="121"/>
    </row>
    <row r="74" customFormat="false" ht="12.75" hidden="false" customHeight="false" outlineLevel="0" collapsed="false">
      <c r="A74" s="99" t="s">
        <v>275</v>
      </c>
      <c r="B74" s="99" t="s">
        <v>277</v>
      </c>
      <c r="C74" s="118"/>
      <c r="D74" s="119" t="n">
        <f aca="false">L74/$L$88</f>
        <v>0</v>
      </c>
      <c r="E74" s="120" t="s">
        <v>109</v>
      </c>
      <c r="F74" s="120" t="s">
        <v>109</v>
      </c>
      <c r="G74" s="120" t="s">
        <v>109</v>
      </c>
      <c r="H74" s="120" t="s">
        <v>109</v>
      </c>
      <c r="I74" s="120" t="s">
        <v>109</v>
      </c>
      <c r="J74" s="120" t="s">
        <v>109</v>
      </c>
      <c r="K74" s="120" t="s">
        <v>109</v>
      </c>
      <c r="L74" s="121" t="n">
        <f aca="false">7*M74</f>
        <v>0</v>
      </c>
      <c r="M74" s="121"/>
      <c r="N74" s="122" t="n">
        <f aca="false">M74/1376</f>
        <v>0</v>
      </c>
      <c r="O74" s="122"/>
      <c r="P74" s="251" t="n">
        <f aca="false">Q74*P$7</f>
        <v>0</v>
      </c>
      <c r="Q74" s="251" t="n">
        <f aca="false">$M74*CMF</f>
        <v>0</v>
      </c>
      <c r="R74" s="252" t="n">
        <f aca="false">+Q74/Q$8</f>
        <v>0</v>
      </c>
      <c r="S74" s="121"/>
      <c r="T74" s="251" t="n">
        <f aca="false">U74*T$7</f>
        <v>0</v>
      </c>
      <c r="U74" s="251" t="n">
        <f aca="false">$M74*CMF</f>
        <v>0</v>
      </c>
      <c r="V74" s="252" t="n">
        <f aca="false">+U74/U$8</f>
        <v>0</v>
      </c>
      <c r="W74" s="121"/>
      <c r="X74" s="251" t="n">
        <f aca="false">Y74*X$7</f>
        <v>0</v>
      </c>
      <c r="Y74" s="251" t="n">
        <f aca="false">$M74*CMF</f>
        <v>0</v>
      </c>
      <c r="Z74" s="252" t="n">
        <f aca="false">+Y74/Y$8</f>
        <v>0</v>
      </c>
      <c r="AA74" s="121"/>
      <c r="AB74" s="251" t="n">
        <f aca="false">+X74+T74</f>
        <v>0</v>
      </c>
      <c r="AC74" s="253" t="n">
        <f aca="false">+AB74/AB$7</f>
        <v>0</v>
      </c>
      <c r="AD74" s="252" t="n">
        <f aca="false">+AC74/AC$8</f>
        <v>0</v>
      </c>
      <c r="AE74" s="121"/>
      <c r="AF74" s="250"/>
      <c r="AG74" s="124"/>
      <c r="AH74" s="114"/>
      <c r="AI74" s="119"/>
      <c r="AJ74" s="121"/>
      <c r="AK74" s="121"/>
      <c r="AL74" s="121"/>
    </row>
    <row r="75" customFormat="false" ht="12.75" hidden="false" customHeight="false" outlineLevel="0" collapsed="false">
      <c r="A75" s="99" t="s">
        <v>275</v>
      </c>
      <c r="B75" s="99" t="s">
        <v>278</v>
      </c>
      <c r="C75" s="118"/>
      <c r="D75" s="119" t="n">
        <f aca="false">L75/$L$88</f>
        <v>0</v>
      </c>
      <c r="E75" s="120" t="s">
        <v>109</v>
      </c>
      <c r="F75" s="120" t="s">
        <v>109</v>
      </c>
      <c r="G75" s="129"/>
      <c r="H75" s="120" t="s">
        <v>109</v>
      </c>
      <c r="I75" s="120" t="s">
        <v>109</v>
      </c>
      <c r="J75" s="129"/>
      <c r="K75" s="143" t="s">
        <v>266</v>
      </c>
      <c r="L75" s="121" t="n">
        <f aca="false">7*M75</f>
        <v>0</v>
      </c>
      <c r="M75" s="121"/>
      <c r="N75" s="122" t="n">
        <f aca="false">M75/1376</f>
        <v>0</v>
      </c>
      <c r="O75" s="122"/>
      <c r="P75" s="251" t="n">
        <f aca="false">Q75*P$7</f>
        <v>0</v>
      </c>
      <c r="Q75" s="251" t="n">
        <f aca="false">$M75*CMF</f>
        <v>0</v>
      </c>
      <c r="R75" s="252" t="n">
        <f aca="false">+Q75/Q$8</f>
        <v>0</v>
      </c>
      <c r="S75" s="121"/>
      <c r="T75" s="251" t="n">
        <f aca="false">U75*T$7</f>
        <v>0</v>
      </c>
      <c r="U75" s="251" t="n">
        <f aca="false">$M75*CMF</f>
        <v>0</v>
      </c>
      <c r="V75" s="252" t="n">
        <f aca="false">+U75/U$8</f>
        <v>0</v>
      </c>
      <c r="W75" s="121"/>
      <c r="X75" s="251" t="n">
        <f aca="false">Y75*X$7</f>
        <v>0</v>
      </c>
      <c r="Y75" s="251" t="n">
        <f aca="false">$M75*CMF</f>
        <v>0</v>
      </c>
      <c r="Z75" s="252" t="n">
        <f aca="false">+Y75/Y$8</f>
        <v>0</v>
      </c>
      <c r="AA75" s="121"/>
      <c r="AB75" s="251" t="n">
        <f aca="false">+X75+T75</f>
        <v>0</v>
      </c>
      <c r="AC75" s="253" t="n">
        <f aca="false">+AB75/AB$7</f>
        <v>0</v>
      </c>
      <c r="AD75" s="252" t="n">
        <f aca="false">+AC75/AC$8</f>
        <v>0</v>
      </c>
      <c r="AE75" s="121"/>
      <c r="AF75" s="250"/>
      <c r="AG75" s="124"/>
      <c r="AJ75" s="121" t="n">
        <f aca="false">+AJ69-AJ71+0.05*AJ69</f>
        <v>144530.436877283</v>
      </c>
      <c r="AK75" s="121"/>
      <c r="AL75" s="100" t="n">
        <f aca="false">AO75*12</f>
        <v>16517764.2145466</v>
      </c>
      <c r="AO75" s="103" t="n">
        <f aca="false">AJ75/0.105</f>
        <v>1376480.35121222</v>
      </c>
    </row>
    <row r="76" customFormat="false" ht="12.75" hidden="false" customHeight="false" outlineLevel="0" collapsed="false">
      <c r="A76" s="99" t="s">
        <v>275</v>
      </c>
      <c r="B76" s="99" t="s">
        <v>279</v>
      </c>
      <c r="C76" s="118"/>
      <c r="D76" s="119" t="n">
        <f aca="false">L76/$L$88</f>
        <v>0</v>
      </c>
      <c r="E76" s="120" t="s">
        <v>109</v>
      </c>
      <c r="F76" s="120" t="s">
        <v>109</v>
      </c>
      <c r="G76" s="129"/>
      <c r="H76" s="120" t="s">
        <v>109</v>
      </c>
      <c r="I76" s="120" t="s">
        <v>109</v>
      </c>
      <c r="J76" s="129"/>
      <c r="K76" s="143" t="s">
        <v>266</v>
      </c>
      <c r="L76" s="121" t="n">
        <f aca="false">7*M76</f>
        <v>0</v>
      </c>
      <c r="M76" s="121"/>
      <c r="N76" s="122" t="n">
        <f aca="false">M76/1376</f>
        <v>0</v>
      </c>
      <c r="O76" s="122"/>
      <c r="P76" s="251" t="n">
        <f aca="false">Q76*P$7</f>
        <v>0</v>
      </c>
      <c r="Q76" s="251" t="n">
        <f aca="false">$M76*CMF</f>
        <v>0</v>
      </c>
      <c r="R76" s="252" t="n">
        <f aca="false">+Q76/Q$8</f>
        <v>0</v>
      </c>
      <c r="S76" s="121"/>
      <c r="T76" s="251" t="n">
        <f aca="false">U76*T$7</f>
        <v>0</v>
      </c>
      <c r="U76" s="251" t="n">
        <f aca="false">$M76*CMF</f>
        <v>0</v>
      </c>
      <c r="V76" s="252" t="n">
        <f aca="false">+U76/U$8</f>
        <v>0</v>
      </c>
      <c r="W76" s="121"/>
      <c r="X76" s="251" t="n">
        <f aca="false">Y76*X$7</f>
        <v>0</v>
      </c>
      <c r="Y76" s="251" t="n">
        <f aca="false">$M76*CMF</f>
        <v>0</v>
      </c>
      <c r="Z76" s="252" t="n">
        <f aca="false">+Y76/Y$8</f>
        <v>0</v>
      </c>
      <c r="AA76" s="121"/>
      <c r="AB76" s="251" t="n">
        <f aca="false">+X76+T76</f>
        <v>0</v>
      </c>
      <c r="AC76" s="253" t="n">
        <f aca="false">+AB76/AB$7</f>
        <v>0</v>
      </c>
      <c r="AD76" s="252" t="n">
        <f aca="false">+AC76/AC$8</f>
        <v>0</v>
      </c>
      <c r="AE76" s="121"/>
      <c r="AF76" s="250"/>
      <c r="AG76" s="124"/>
      <c r="AI76" s="119"/>
      <c r="AJ76" s="121" t="n">
        <f aca="false">+AJ68</f>
        <v>-89793.9257757763</v>
      </c>
      <c r="AK76" s="121"/>
      <c r="AL76" s="121" t="n">
        <f aca="false">0.8*AL75</f>
        <v>13214211.3716373</v>
      </c>
    </row>
    <row r="77" customFormat="false" ht="12.75" hidden="false" customHeight="false" outlineLevel="0" collapsed="false">
      <c r="A77" s="99" t="s">
        <v>280</v>
      </c>
      <c r="B77" s="127" t="s">
        <v>281</v>
      </c>
      <c r="C77" s="118"/>
      <c r="D77" s="119" t="n">
        <f aca="false">L77/$L$88</f>
        <v>0.00792073490081906</v>
      </c>
      <c r="E77" s="120" t="s">
        <v>109</v>
      </c>
      <c r="F77" s="120" t="s">
        <v>109</v>
      </c>
      <c r="G77" s="120" t="s">
        <v>109</v>
      </c>
      <c r="H77" s="120" t="s">
        <v>109</v>
      </c>
      <c r="I77" s="120" t="s">
        <v>109</v>
      </c>
      <c r="J77" s="120" t="s">
        <v>109</v>
      </c>
      <c r="K77" s="120" t="s">
        <v>109</v>
      </c>
      <c r="L77" s="121" t="n">
        <f aca="false">7*M77</f>
        <v>5568.5</v>
      </c>
      <c r="M77" s="121" t="n">
        <f aca="false">1591/2</f>
        <v>795.5</v>
      </c>
      <c r="N77" s="122" t="n">
        <f aca="false">M77/1376</f>
        <v>0.578125</v>
      </c>
      <c r="O77" s="122"/>
      <c r="P77" s="251" t="n">
        <f aca="false">Q77*P$7</f>
        <v>810</v>
      </c>
      <c r="Q77" s="251" t="n">
        <f aca="false">(28+20)*15*CMF</f>
        <v>810</v>
      </c>
      <c r="R77" s="252" t="n">
        <f aca="false">+Q77/Q$8</f>
        <v>0.676126878130217</v>
      </c>
      <c r="S77" s="121"/>
      <c r="T77" s="251" t="n">
        <f aca="false">U77*T$7</f>
        <v>43533.45</v>
      </c>
      <c r="U77" s="251" t="n">
        <f aca="false">(15.83+20)*15*CMF</f>
        <v>604.63125</v>
      </c>
      <c r="V77" s="252" t="n">
        <f aca="false">+U77/U$8</f>
        <v>0.546189024390244</v>
      </c>
      <c r="W77" s="121"/>
      <c r="X77" s="251" t="n">
        <f aca="false">Y77*X$7</f>
        <v>47351.25</v>
      </c>
      <c r="Y77" s="251" t="n">
        <f aca="false">(26+20)*15*CMF</f>
        <v>776.25</v>
      </c>
      <c r="Z77" s="252" t="n">
        <f aca="false">+Y77/Y$8</f>
        <v>0.603146853146853</v>
      </c>
      <c r="AA77" s="121"/>
      <c r="AB77" s="251" t="n">
        <f aca="false">+X77+T77</f>
        <v>90884.7</v>
      </c>
      <c r="AC77" s="253" t="n">
        <f aca="false">+AB77/AB$7</f>
        <v>683.343609022556</v>
      </c>
      <c r="AD77" s="252" t="n">
        <f aca="false">+AC77/AC$8</f>
        <v>0.569927947475026</v>
      </c>
      <c r="AE77" s="121"/>
      <c r="AF77" s="250"/>
      <c r="AG77" s="124"/>
      <c r="AH77" s="114"/>
      <c r="AJ77" s="121" t="n">
        <f aca="false">+AJ76+AJ75</f>
        <v>54736.5111015063</v>
      </c>
      <c r="AK77" s="121"/>
      <c r="AL77" s="121"/>
    </row>
    <row r="78" customFormat="false" ht="12.75" hidden="false" customHeight="false" outlineLevel="0" collapsed="false">
      <c r="A78" s="99" t="s">
        <v>280</v>
      </c>
      <c r="B78" s="127" t="s">
        <v>282</v>
      </c>
      <c r="C78" s="118"/>
      <c r="D78" s="119" t="n">
        <f aca="false">L78/$L$88</f>
        <v>0.00273317627941525</v>
      </c>
      <c r="E78" s="120" t="s">
        <v>109</v>
      </c>
      <c r="F78" s="120" t="s">
        <v>109</v>
      </c>
      <c r="G78" s="129"/>
      <c r="H78" s="120" t="s">
        <v>109</v>
      </c>
      <c r="I78" s="120" t="s">
        <v>109</v>
      </c>
      <c r="J78" s="129"/>
      <c r="K78" s="129"/>
      <c r="L78" s="121" t="n">
        <f aca="false">7*M78</f>
        <v>1921.5</v>
      </c>
      <c r="M78" s="121" t="n">
        <f aca="false">549/2</f>
        <v>274.5</v>
      </c>
      <c r="N78" s="122" t="n">
        <f aca="false">M78/1376</f>
        <v>0.199491279069767</v>
      </c>
      <c r="O78" s="122"/>
      <c r="P78" s="251" t="n">
        <f aca="false">Q78*P$7</f>
        <v>0</v>
      </c>
      <c r="Q78" s="121" t="n">
        <v>0</v>
      </c>
      <c r="R78" s="252" t="n">
        <f aca="false">+Q78/Q$8</f>
        <v>0</v>
      </c>
      <c r="S78" s="121"/>
      <c r="T78" s="251" t="n">
        <f aca="false">U78*T$7</f>
        <v>22234.5</v>
      </c>
      <c r="U78" s="251" t="n">
        <f aca="false">$M78*CMF</f>
        <v>308.8125</v>
      </c>
      <c r="V78" s="252" t="n">
        <f aca="false">+U78/U$8</f>
        <v>0.278963414634146</v>
      </c>
      <c r="W78" s="121"/>
      <c r="X78" s="251" t="n">
        <f aca="false">Y78*X$7</f>
        <v>18837.5625</v>
      </c>
      <c r="Y78" s="251" t="n">
        <f aca="false">$M78*CMF</f>
        <v>308.8125</v>
      </c>
      <c r="Z78" s="252" t="n">
        <f aca="false">+Y78/Y$8</f>
        <v>0.239947552447552</v>
      </c>
      <c r="AA78" s="121"/>
      <c r="AB78" s="251" t="n">
        <f aca="false">+X78+T78</f>
        <v>41072.0625</v>
      </c>
      <c r="AC78" s="253" t="n">
        <f aca="false">+AB78/AB$7</f>
        <v>308.8125</v>
      </c>
      <c r="AD78" s="252" t="n">
        <f aca="false">+AC78/AC$8</f>
        <v>0.257558381984988</v>
      </c>
      <c r="AE78" s="121"/>
      <c r="AF78" s="250"/>
      <c r="AG78" s="124"/>
      <c r="AI78" s="119"/>
      <c r="AJ78" s="121" t="n">
        <f aca="false">AJ77*12</f>
        <v>656838.133218075</v>
      </c>
      <c r="AK78" s="121"/>
      <c r="AL78" s="121"/>
    </row>
    <row r="79" customFormat="false" ht="12" hidden="false" customHeight="false" outlineLevel="0" collapsed="false">
      <c r="A79" s="99" t="s">
        <v>280</v>
      </c>
      <c r="B79" s="100" t="s">
        <v>283</v>
      </c>
      <c r="C79" s="118"/>
      <c r="D79" s="119" t="n">
        <f aca="false">L79/$L$88</f>
        <v>0</v>
      </c>
      <c r="E79" s="120" t="s">
        <v>284</v>
      </c>
      <c r="F79" s="120"/>
      <c r="G79" s="120"/>
      <c r="H79" s="120"/>
      <c r="I79" s="120"/>
      <c r="J79" s="120"/>
      <c r="K79" s="120"/>
      <c r="L79" s="121" t="n">
        <f aca="false">7*M79</f>
        <v>0</v>
      </c>
      <c r="M79" s="121" t="n">
        <f aca="false">0/2</f>
        <v>0</v>
      </c>
      <c r="N79" s="122" t="n">
        <f aca="false">M79/1376</f>
        <v>0</v>
      </c>
      <c r="O79" s="122"/>
      <c r="P79" s="251" t="n">
        <f aca="false">Q79*P$7</f>
        <v>0</v>
      </c>
      <c r="Q79" s="251"/>
      <c r="R79" s="252" t="n">
        <f aca="false">+Q79/Q$8</f>
        <v>0</v>
      </c>
      <c r="S79" s="121"/>
      <c r="T79" s="251" t="n">
        <f aca="false">U79*T$7</f>
        <v>0</v>
      </c>
      <c r="U79" s="251"/>
      <c r="V79" s="252" t="n">
        <f aca="false">+U79/U$8</f>
        <v>0</v>
      </c>
      <c r="W79" s="121"/>
      <c r="X79" s="251" t="n">
        <f aca="false">Y79*X$7</f>
        <v>0</v>
      </c>
      <c r="Y79" s="251"/>
      <c r="Z79" s="252" t="n">
        <f aca="false">+Y79/Y$8</f>
        <v>0</v>
      </c>
      <c r="AA79" s="121"/>
      <c r="AB79" s="251" t="n">
        <f aca="false">+X79+T79</f>
        <v>0</v>
      </c>
      <c r="AC79" s="253" t="n">
        <f aca="false">+AB79/AB$7</f>
        <v>0</v>
      </c>
      <c r="AD79" s="252" t="n">
        <f aca="false">+AC79/AC$8</f>
        <v>0</v>
      </c>
      <c r="AE79" s="121"/>
      <c r="AF79" s="250"/>
      <c r="AG79" s="124"/>
      <c r="AI79" s="119"/>
      <c r="AJ79" s="121" t="n">
        <f aca="false">AJ78/0.105</f>
        <v>6255601.26874358</v>
      </c>
      <c r="AK79" s="140"/>
      <c r="AL79" s="121"/>
    </row>
    <row r="80" customFormat="false" ht="12.75" hidden="false" customHeight="false" outlineLevel="0" collapsed="false">
      <c r="B80" s="110" t="s">
        <v>285</v>
      </c>
      <c r="C80" s="118"/>
      <c r="D80" s="119"/>
      <c r="E80" s="120"/>
      <c r="F80" s="120"/>
      <c r="G80" s="120"/>
      <c r="H80" s="120"/>
      <c r="I80" s="120"/>
      <c r="J80" s="120"/>
      <c r="K80" s="120"/>
      <c r="L80" s="121"/>
      <c r="M80" s="121"/>
      <c r="N80" s="122" t="n">
        <f aca="false">M80/1376</f>
        <v>0</v>
      </c>
      <c r="O80" s="122"/>
      <c r="P80" s="251"/>
      <c r="Q80" s="251"/>
      <c r="R80" s="252"/>
      <c r="S80" s="121"/>
      <c r="T80" s="251"/>
      <c r="U80" s="251"/>
      <c r="V80" s="252"/>
      <c r="W80" s="121"/>
      <c r="X80" s="251"/>
      <c r="Y80" s="251"/>
      <c r="Z80" s="252"/>
      <c r="AA80" s="121"/>
      <c r="AB80" s="251"/>
      <c r="AC80" s="253" t="s">
        <v>219</v>
      </c>
      <c r="AD80" s="252"/>
      <c r="AE80" s="121"/>
      <c r="AF80" s="250"/>
      <c r="AG80" s="124"/>
      <c r="AI80" s="119"/>
      <c r="AJ80" s="121"/>
      <c r="AK80" s="121"/>
      <c r="AL80" s="121"/>
    </row>
    <row r="81" customFormat="false" ht="12.75" hidden="false" customHeight="false" outlineLevel="0" collapsed="false">
      <c r="A81" s="99" t="s">
        <v>286</v>
      </c>
      <c r="B81" s="100" t="s">
        <v>287</v>
      </c>
      <c r="C81" s="118"/>
      <c r="D81" s="119" t="n">
        <f aca="false">L81/$L$88</f>
        <v>0.00478430310476877</v>
      </c>
      <c r="E81" s="120" t="s">
        <v>109</v>
      </c>
      <c r="F81" s="120" t="s">
        <v>109</v>
      </c>
      <c r="G81" s="129"/>
      <c r="H81" s="120" t="s">
        <v>109</v>
      </c>
      <c r="I81" s="120" t="s">
        <v>109</v>
      </c>
      <c r="J81" s="129"/>
      <c r="K81" s="130" t="s">
        <v>109</v>
      </c>
      <c r="L81" s="121" t="n">
        <f aca="false">7*M81</f>
        <v>3363.5</v>
      </c>
      <c r="M81" s="121" t="n">
        <f aca="false">961/2</f>
        <v>480.5</v>
      </c>
      <c r="N81" s="122" t="n">
        <f aca="false">M81/1376</f>
        <v>0.349200581395349</v>
      </c>
      <c r="O81" s="122"/>
      <c r="P81" s="251" t="n">
        <f aca="false">Q81*P$7</f>
        <v>540.5625</v>
      </c>
      <c r="Q81" s="251" t="n">
        <f aca="false">$M81*CMF</f>
        <v>540.5625</v>
      </c>
      <c r="R81" s="252" t="n">
        <f aca="false">+Q81/Q$8</f>
        <v>0.451220784641068</v>
      </c>
      <c r="S81" s="121"/>
      <c r="T81" s="251" t="n">
        <f aca="false">U81*T$7</f>
        <v>38920.5</v>
      </c>
      <c r="U81" s="251" t="n">
        <f aca="false">$M81*CMF</f>
        <v>540.5625</v>
      </c>
      <c r="V81" s="252" t="n">
        <f aca="false">+U81/U$8</f>
        <v>0.488313008130081</v>
      </c>
      <c r="W81" s="121"/>
      <c r="X81" s="251" t="n">
        <f aca="false">Y81*X$7</f>
        <v>32974.3125</v>
      </c>
      <c r="Y81" s="251" t="n">
        <f aca="false">$M81*CMF</f>
        <v>540.5625</v>
      </c>
      <c r="Z81" s="252" t="n">
        <f aca="false">+Y81/Y$8</f>
        <v>0.420017482517483</v>
      </c>
      <c r="AA81" s="121"/>
      <c r="AB81" s="251" t="n">
        <f aca="false">+X81+T81</f>
        <v>71894.8125</v>
      </c>
      <c r="AC81" s="253" t="n">
        <f aca="false">+AB81/AB$7</f>
        <v>540.5625</v>
      </c>
      <c r="AD81" s="252" t="n">
        <f aca="false">+AC81/AC$8</f>
        <v>0.450844453711426</v>
      </c>
      <c r="AE81" s="121"/>
      <c r="AF81" s="250"/>
      <c r="AG81" s="124"/>
      <c r="AH81" s="114"/>
      <c r="AJ81" s="121" t="n">
        <v>7000</v>
      </c>
      <c r="AK81" s="121"/>
      <c r="AL81" s="121"/>
    </row>
    <row r="82" customFormat="false" ht="12.75" hidden="false" customHeight="false" outlineLevel="0" collapsed="false">
      <c r="A82" s="99" t="s">
        <v>286</v>
      </c>
      <c r="B82" s="100" t="s">
        <v>288</v>
      </c>
      <c r="C82" s="118"/>
      <c r="D82" s="119" t="n">
        <f aca="false">L82/$L$88</f>
        <v>0.00174246210891683</v>
      </c>
      <c r="E82" s="120" t="s">
        <v>109</v>
      </c>
      <c r="F82" s="120" t="s">
        <v>109</v>
      </c>
      <c r="G82" s="129"/>
      <c r="H82" s="120" t="s">
        <v>109</v>
      </c>
      <c r="I82" s="120" t="s">
        <v>109</v>
      </c>
      <c r="J82" s="129"/>
      <c r="K82" s="130" t="s">
        <v>109</v>
      </c>
      <c r="L82" s="121" t="n">
        <f aca="false">7*M82</f>
        <v>1225</v>
      </c>
      <c r="M82" s="121" t="n">
        <f aca="false">350/2</f>
        <v>175</v>
      </c>
      <c r="N82" s="122" t="n">
        <f aca="false">M82/1376</f>
        <v>0.12718023255814</v>
      </c>
      <c r="O82" s="122"/>
      <c r="P82" s="251" t="n">
        <f aca="false">Q82*P$7</f>
        <v>171.407158430233</v>
      </c>
      <c r="Q82" s="251" t="n">
        <f aca="false">Q$8*$N82*CMF</f>
        <v>171.407158430233</v>
      </c>
      <c r="R82" s="252" t="n">
        <f aca="false">+Q82/Q$8</f>
        <v>0.143077761627907</v>
      </c>
      <c r="S82" s="121"/>
      <c r="T82" s="251" t="n">
        <f aca="false">U82*T$7</f>
        <v>11403.8699127907</v>
      </c>
      <c r="U82" s="251" t="n">
        <f aca="false">U$8*$N82*CMF</f>
        <v>158.387082122093</v>
      </c>
      <c r="V82" s="252" t="n">
        <f aca="false">+U82/U$8</f>
        <v>0.143077761627907</v>
      </c>
      <c r="W82" s="121"/>
      <c r="X82" s="251" t="n">
        <f aca="false">Y82*X$7</f>
        <v>11232.6058321221</v>
      </c>
      <c r="Y82" s="251" t="n">
        <f aca="false">Y$8*$N82*CMF</f>
        <v>184.141079215116</v>
      </c>
      <c r="Z82" s="252" t="n">
        <f aca="false">+Y82/Y$8</f>
        <v>0.143077761627907</v>
      </c>
      <c r="AA82" s="121"/>
      <c r="AB82" s="251" t="n">
        <f aca="false">+X82+T82</f>
        <v>22636.4757449128</v>
      </c>
      <c r="AC82" s="253" t="n">
        <f aca="false">+AB82/AB$7</f>
        <v>170.199065751224</v>
      </c>
      <c r="AD82" s="252" t="n">
        <f aca="false">+AC82/AC$8</f>
        <v>0.141950847165324</v>
      </c>
      <c r="AE82" s="121"/>
      <c r="AF82" s="250"/>
      <c r="AG82" s="124"/>
      <c r="AI82" s="119"/>
      <c r="AJ82" s="121" t="n">
        <f aca="false">1250*14+1220*14</f>
        <v>34580</v>
      </c>
      <c r="AK82" s="121"/>
      <c r="AL82" s="121"/>
    </row>
    <row r="83" customFormat="false" ht="12.75" hidden="false" customHeight="false" outlineLevel="0" collapsed="false">
      <c r="A83" s="99" t="s">
        <v>286</v>
      </c>
      <c r="B83" s="100" t="s">
        <v>289</v>
      </c>
      <c r="C83" s="118"/>
      <c r="D83" s="119" t="n">
        <f aca="false">L83/$L$88</f>
        <v>0.00488387236813545</v>
      </c>
      <c r="E83" s="120" t="s">
        <v>109</v>
      </c>
      <c r="F83" s="120" t="s">
        <v>109</v>
      </c>
      <c r="G83" s="129"/>
      <c r="H83" s="120" t="s">
        <v>109</v>
      </c>
      <c r="I83" s="120" t="s">
        <v>109</v>
      </c>
      <c r="J83" s="129"/>
      <c r="K83" s="130" t="s">
        <v>109</v>
      </c>
      <c r="L83" s="121" t="n">
        <f aca="false">7*M83</f>
        <v>3433.5</v>
      </c>
      <c r="M83" s="121" t="n">
        <f aca="false">981/2</f>
        <v>490.5</v>
      </c>
      <c r="N83" s="122" t="n">
        <f aca="false">M83/1376</f>
        <v>0.356468023255814</v>
      </c>
      <c r="O83" s="122"/>
      <c r="P83" s="251" t="n">
        <f aca="false">Q83*P$7</f>
        <v>551.8125</v>
      </c>
      <c r="Q83" s="251" t="n">
        <f aca="false">$M83*CMF</f>
        <v>551.8125</v>
      </c>
      <c r="R83" s="252" t="n">
        <f aca="false">+Q83/Q$8</f>
        <v>0.46061143572621</v>
      </c>
      <c r="S83" s="121"/>
      <c r="T83" s="251" t="n">
        <f aca="false">U83*T$7</f>
        <v>39730.5</v>
      </c>
      <c r="U83" s="251" t="n">
        <f aca="false">$M83*CMF</f>
        <v>551.8125</v>
      </c>
      <c r="V83" s="252" t="n">
        <f aca="false">+U83/U$8</f>
        <v>0.498475609756098</v>
      </c>
      <c r="W83" s="121"/>
      <c r="X83" s="251" t="n">
        <f aca="false">Y83*X$7</f>
        <v>33660.5625</v>
      </c>
      <c r="Y83" s="251" t="n">
        <f aca="false">$M83*CMF</f>
        <v>551.8125</v>
      </c>
      <c r="Z83" s="252" t="n">
        <f aca="false">+Y83/Y$8</f>
        <v>0.428758741258741</v>
      </c>
      <c r="AA83" s="121"/>
      <c r="AB83" s="251" t="n">
        <f aca="false">+X83+T83</f>
        <v>73391.0625</v>
      </c>
      <c r="AC83" s="253" t="n">
        <f aca="false">+AB83/AB$7</f>
        <v>551.8125</v>
      </c>
      <c r="AD83" s="252" t="n">
        <f aca="false">+AC83/AC$8</f>
        <v>0.460227272727273</v>
      </c>
      <c r="AE83" s="121"/>
      <c r="AF83" s="250"/>
      <c r="AG83" s="124"/>
      <c r="AI83" s="119"/>
      <c r="AJ83" s="121" t="n">
        <f aca="false">28*3*475</f>
        <v>39900</v>
      </c>
      <c r="AK83" s="121"/>
      <c r="AL83" s="121"/>
    </row>
    <row r="84" customFormat="false" ht="12.75" hidden="false" customHeight="false" outlineLevel="0" collapsed="false">
      <c r="A84" s="99" t="s">
        <v>286</v>
      </c>
      <c r="B84" s="100" t="s">
        <v>290</v>
      </c>
      <c r="C84" s="118"/>
      <c r="D84" s="119" t="n">
        <f aca="false">L84/$L$88</f>
        <v>0.00439598297763874</v>
      </c>
      <c r="E84" s="120" t="s">
        <v>109</v>
      </c>
      <c r="F84" s="120" t="s">
        <v>109</v>
      </c>
      <c r="G84" s="129"/>
      <c r="H84" s="120" t="s">
        <v>109</v>
      </c>
      <c r="I84" s="120" t="s">
        <v>109</v>
      </c>
      <c r="J84" s="129"/>
      <c r="K84" s="130" t="s">
        <v>109</v>
      </c>
      <c r="L84" s="121" t="n">
        <f aca="false">7*M84</f>
        <v>3090.5</v>
      </c>
      <c r="M84" s="121" t="n">
        <f aca="false">883/2</f>
        <v>441.5</v>
      </c>
      <c r="N84" s="122" t="n">
        <f aca="false">M84/1376</f>
        <v>0.320857558139535</v>
      </c>
      <c r="O84" s="122"/>
      <c r="P84" s="251" t="n">
        <f aca="false">Q84*P$7</f>
        <v>496.6875</v>
      </c>
      <c r="Q84" s="251" t="n">
        <f aca="false">$M84*CMF</f>
        <v>496.6875</v>
      </c>
      <c r="R84" s="252" t="n">
        <f aca="false">+Q84/Q$8</f>
        <v>0.414597245409015</v>
      </c>
      <c r="S84" s="121"/>
      <c r="T84" s="251" t="n">
        <f aca="false">U84*T$7</f>
        <v>35761.5</v>
      </c>
      <c r="U84" s="251" t="n">
        <f aca="false">$M84*CMF</f>
        <v>496.6875</v>
      </c>
      <c r="V84" s="252" t="n">
        <f aca="false">+U84/U$8</f>
        <v>0.448678861788618</v>
      </c>
      <c r="W84" s="121"/>
      <c r="X84" s="251" t="n">
        <f aca="false">Y84*X$7</f>
        <v>30297.9375</v>
      </c>
      <c r="Y84" s="251" t="n">
        <f aca="false">$M84*CMF</f>
        <v>496.6875</v>
      </c>
      <c r="Z84" s="252" t="n">
        <f aca="false">+Y84/Y$8</f>
        <v>0.385926573426573</v>
      </c>
      <c r="AA84" s="121"/>
      <c r="AB84" s="251" t="n">
        <f aca="false">+X84+T84</f>
        <v>66059.4375</v>
      </c>
      <c r="AC84" s="253" t="n">
        <f aca="false">+AB84/AB$7</f>
        <v>496.6875</v>
      </c>
      <c r="AD84" s="252" t="n">
        <f aca="false">+AC84/AC$8</f>
        <v>0.414251459549625</v>
      </c>
      <c r="AE84" s="121"/>
      <c r="AF84" s="250"/>
      <c r="AH84" s="114"/>
      <c r="AJ84" s="121" t="n">
        <f aca="false">+AJ83-AJ82</f>
        <v>5320</v>
      </c>
      <c r="AK84" s="121"/>
      <c r="AL84" s="121"/>
    </row>
    <row r="85" customFormat="false" ht="12.75" hidden="false" customHeight="false" outlineLevel="0" collapsed="false">
      <c r="A85" s="99" t="s">
        <v>286</v>
      </c>
      <c r="B85" s="100" t="s">
        <v>291</v>
      </c>
      <c r="C85" s="118"/>
      <c r="D85" s="119" t="n">
        <f aca="false">L85/$L$88</f>
        <v>0.000492867853665045</v>
      </c>
      <c r="E85" s="120" t="s">
        <v>109</v>
      </c>
      <c r="F85" s="120" t="s">
        <v>109</v>
      </c>
      <c r="G85" s="129"/>
      <c r="H85" s="120" t="s">
        <v>109</v>
      </c>
      <c r="I85" s="120" t="s">
        <v>109</v>
      </c>
      <c r="J85" s="129"/>
      <c r="K85" s="130" t="s">
        <v>109</v>
      </c>
      <c r="L85" s="121" t="n">
        <f aca="false">7*M85</f>
        <v>346.5</v>
      </c>
      <c r="M85" s="121" t="n">
        <f aca="false">99/2</f>
        <v>49.5</v>
      </c>
      <c r="N85" s="122" t="n">
        <f aca="false">M85/1376</f>
        <v>0.0359738372093023</v>
      </c>
      <c r="O85" s="122"/>
      <c r="P85" s="251" t="n">
        <f aca="false">Q85*P$7</f>
        <v>55.6875</v>
      </c>
      <c r="Q85" s="251" t="n">
        <f aca="false">$M85*CMF</f>
        <v>55.6875</v>
      </c>
      <c r="R85" s="252" t="n">
        <f aca="false">+Q85/Q$8</f>
        <v>0.0464837228714524</v>
      </c>
      <c r="S85" s="121"/>
      <c r="T85" s="251" t="n">
        <f aca="false">U85*T$7</f>
        <v>4009.5</v>
      </c>
      <c r="U85" s="251" t="n">
        <f aca="false">$M85*CMF</f>
        <v>55.6875</v>
      </c>
      <c r="V85" s="252" t="n">
        <f aca="false">+U85/U$8</f>
        <v>0.0503048780487805</v>
      </c>
      <c r="W85" s="121"/>
      <c r="X85" s="251" t="n">
        <f aca="false">Y85*X$7</f>
        <v>3396.9375</v>
      </c>
      <c r="Y85" s="251" t="n">
        <f aca="false">$M85*CMF</f>
        <v>55.6875</v>
      </c>
      <c r="Z85" s="252" t="n">
        <f aca="false">+Y85/Y$8</f>
        <v>0.0432692307692308</v>
      </c>
      <c r="AA85" s="121"/>
      <c r="AB85" s="251" t="n">
        <f aca="false">+X85+T85</f>
        <v>7406.4375</v>
      </c>
      <c r="AC85" s="253" t="n">
        <f aca="false">+AB85/AB$7</f>
        <v>55.6875</v>
      </c>
      <c r="AD85" s="252" t="n">
        <f aca="false">+AC85/AC$8</f>
        <v>0.0464449541284404</v>
      </c>
      <c r="AE85" s="121"/>
      <c r="AF85" s="250"/>
      <c r="AG85" s="121"/>
      <c r="AI85" s="119"/>
      <c r="AJ85" s="121" t="n">
        <f aca="false">+AJ84+AJ81</f>
        <v>12320</v>
      </c>
      <c r="AK85" s="121"/>
      <c r="AL85" s="121"/>
    </row>
    <row r="86" customFormat="false" ht="12.75" hidden="false" customHeight="false" outlineLevel="0" collapsed="false">
      <c r="A86" s="99" t="s">
        <v>116</v>
      </c>
      <c r="B86" s="110" t="s">
        <v>292</v>
      </c>
      <c r="C86" s="118"/>
      <c r="D86" s="119" t="n">
        <f aca="false">L86/$L$88</f>
        <v>0.00995692633666758</v>
      </c>
      <c r="E86" s="120" t="s">
        <v>109</v>
      </c>
      <c r="F86" s="120" t="s">
        <v>109</v>
      </c>
      <c r="G86" s="129"/>
      <c r="H86" s="120" t="s">
        <v>109</v>
      </c>
      <c r="I86" s="120" t="s">
        <v>109</v>
      </c>
      <c r="J86" s="129"/>
      <c r="K86" s="130" t="s">
        <v>109</v>
      </c>
      <c r="L86" s="121" t="n">
        <f aca="false">7*M86</f>
        <v>7000</v>
      </c>
      <c r="M86" s="121" t="n">
        <f aca="false">2000/2</f>
        <v>1000</v>
      </c>
      <c r="N86" s="122" t="n">
        <f aca="false">M86/1376</f>
        <v>0.726744186046512</v>
      </c>
      <c r="O86" s="122"/>
      <c r="P86" s="251" t="n">
        <f aca="false">Q86*P$7</f>
        <v>1125</v>
      </c>
      <c r="Q86" s="251" t="n">
        <f aca="false">$M86*CMF</f>
        <v>1125</v>
      </c>
      <c r="R86" s="252" t="n">
        <f aca="false">+Q86/Q$8</f>
        <v>0.93906510851419</v>
      </c>
      <c r="S86" s="121"/>
      <c r="T86" s="251" t="n">
        <f aca="false">U86*T$7</f>
        <v>81000</v>
      </c>
      <c r="U86" s="251" t="n">
        <f aca="false">$M86*CMF</f>
        <v>1125</v>
      </c>
      <c r="V86" s="252" t="n">
        <f aca="false">+U86/U$8</f>
        <v>1.01626016260163</v>
      </c>
      <c r="W86" s="121"/>
      <c r="X86" s="251" t="n">
        <f aca="false">Y86*X$7</f>
        <v>68625</v>
      </c>
      <c r="Y86" s="251" t="n">
        <f aca="false">$M86*CMF</f>
        <v>1125</v>
      </c>
      <c r="Z86" s="252" t="n">
        <f aca="false">+Y86/Y$8</f>
        <v>0.874125874125874</v>
      </c>
      <c r="AA86" s="121"/>
      <c r="AB86" s="251" t="n">
        <f aca="false">+X86+T86</f>
        <v>149625</v>
      </c>
      <c r="AC86" s="253" t="n">
        <f aca="false">+AB86/AB$7</f>
        <v>1125</v>
      </c>
      <c r="AD86" s="252" t="n">
        <f aca="false">+AC86/AC$8</f>
        <v>0.938281901584654</v>
      </c>
      <c r="AE86" s="121"/>
      <c r="AF86" s="250"/>
      <c r="AI86" s="119"/>
      <c r="AJ86" s="121" t="n">
        <f aca="false">AJ85*0.58</f>
        <v>7145.6</v>
      </c>
      <c r="AK86" s="121"/>
      <c r="AL86" s="121"/>
    </row>
    <row r="87" customFormat="false" ht="12.75" hidden="false" customHeight="false" outlineLevel="0" collapsed="false">
      <c r="A87" s="99" t="s">
        <v>293</v>
      </c>
      <c r="B87" s="110" t="s">
        <v>294</v>
      </c>
      <c r="C87" s="118"/>
      <c r="D87" s="119" t="n">
        <f aca="false">L87/$L$88</f>
        <v>0.0127996288057862</v>
      </c>
      <c r="E87" s="120" t="s">
        <v>109</v>
      </c>
      <c r="F87" s="120" t="s">
        <v>109</v>
      </c>
      <c r="G87" s="129"/>
      <c r="H87" s="120" t="s">
        <v>109</v>
      </c>
      <c r="I87" s="120" t="s">
        <v>109</v>
      </c>
      <c r="J87" s="129"/>
      <c r="K87" s="130" t="s">
        <v>109</v>
      </c>
      <c r="L87" s="121" t="n">
        <f aca="false">7*M87</f>
        <v>8998.5</v>
      </c>
      <c r="M87" s="121" t="n">
        <f aca="false">2571/2</f>
        <v>1285.5</v>
      </c>
      <c r="N87" s="122" t="n">
        <f aca="false">M87/1376</f>
        <v>0.934229651162791</v>
      </c>
      <c r="O87" s="122"/>
      <c r="P87" s="251" t="n">
        <f aca="false">Q87*P$7</f>
        <v>1373.4727443609</v>
      </c>
      <c r="Q87" s="251" t="n">
        <f aca="false">(((1000+500+500+500)*4.33*15)*CMF)/SM134Units</f>
        <v>1373.4727443609</v>
      </c>
      <c r="R87" s="252" t="n">
        <f aca="false">+Q87/Q$8</f>
        <v>1.14647140597738</v>
      </c>
      <c r="S87" s="121"/>
      <c r="T87" s="251" t="n">
        <f aca="false">U87*T$7</f>
        <v>98890.037593985</v>
      </c>
      <c r="U87" s="251" t="n">
        <f aca="false">(((1000+500+500+500)*4.33*15)*CMF)/SM134Units</f>
        <v>1373.4727443609</v>
      </c>
      <c r="V87" s="252" t="n">
        <f aca="false">+U87/U$8</f>
        <v>1.24071611956721</v>
      </c>
      <c r="W87" s="121"/>
      <c r="X87" s="251" t="n">
        <f aca="false">Y87*X$7</f>
        <v>83781.837406015</v>
      </c>
      <c r="Y87" s="251" t="n">
        <f aca="false">(((1000+500+500+500)*4.33*15)*CMF)/SM134Units</f>
        <v>1373.4727443609</v>
      </c>
      <c r="Z87" s="252" t="n">
        <f aca="false">+Y87/Y$8</f>
        <v>1.06718938955781</v>
      </c>
      <c r="AA87" s="121"/>
      <c r="AB87" s="251" t="n">
        <f aca="false">+X87+T87</f>
        <v>182671.875</v>
      </c>
      <c r="AC87" s="253" t="n">
        <f aca="false">+AB87/AB$7</f>
        <v>1373.4727443609</v>
      </c>
      <c r="AD87" s="252" t="n">
        <f aca="false">+AC87/AC$8</f>
        <v>1.14551521631435</v>
      </c>
      <c r="AE87" s="121"/>
      <c r="AF87" s="250"/>
      <c r="AH87" s="121"/>
      <c r="AJ87" s="100" t="n">
        <f aca="false">0.5*AJ78/12</f>
        <v>27368.2555507531</v>
      </c>
      <c r="AL87" s="121"/>
    </row>
    <row r="88" customFormat="false" ht="12.75" hidden="false" customHeight="false" outlineLevel="0" collapsed="false">
      <c r="A88" s="144"/>
      <c r="B88" s="145" t="s">
        <v>439</v>
      </c>
      <c r="C88" s="145"/>
      <c r="D88" s="146" t="n">
        <f aca="false">SUM(D9:D87)</f>
        <v>1</v>
      </c>
      <c r="E88" s="147" t="s">
        <v>296</v>
      </c>
      <c r="F88" s="147" t="s">
        <v>296</v>
      </c>
      <c r="G88" s="147"/>
      <c r="H88" s="147" t="s">
        <v>296</v>
      </c>
      <c r="I88" s="147" t="s">
        <v>296</v>
      </c>
      <c r="J88" s="147"/>
      <c r="K88" s="147"/>
      <c r="L88" s="148" t="n">
        <f aca="false">+SUM(L9:L87)</f>
        <v>703028.2</v>
      </c>
      <c r="M88" s="148" t="n">
        <f aca="false">+SUM(M9:M87)</f>
        <v>60898.05</v>
      </c>
      <c r="N88" s="151" t="n">
        <f aca="false">M88/1376</f>
        <v>44.2573037790698</v>
      </c>
      <c r="O88" s="151"/>
      <c r="P88" s="152" t="n">
        <f aca="false">+SUM(P9:P87)</f>
        <v>68702.0358724884</v>
      </c>
      <c r="Q88" s="148" t="n">
        <f aca="false">+SUM(Q9:Q87)</f>
        <v>68702.0358724884</v>
      </c>
      <c r="R88" s="152" t="n">
        <f aca="false">+Q88/Q$8</f>
        <v>57.3472753526614</v>
      </c>
      <c r="S88" s="153"/>
      <c r="T88" s="148" t="n">
        <f aca="false">+SUM(T9:T87)</f>
        <v>4682102.4296055</v>
      </c>
      <c r="U88" s="148" t="n">
        <f aca="false">+SUM(U9:U87)</f>
        <v>65029.2004111875</v>
      </c>
      <c r="V88" s="152" t="n">
        <f aca="false">+U88/U$8</f>
        <v>58.7436318077574</v>
      </c>
      <c r="W88" s="154"/>
      <c r="X88" s="148" t="n">
        <f aca="false">+SUM(X9:X87)</f>
        <v>4388688.28040916</v>
      </c>
      <c r="Y88" s="148" t="n">
        <f aca="false">+SUM(Y9:Y87)</f>
        <v>71945.7095149043</v>
      </c>
      <c r="Z88" s="152" t="n">
        <f aca="false">+Y88/Y$8</f>
        <v>55.9018721949528</v>
      </c>
      <c r="AA88" s="154"/>
      <c r="AB88" s="155" t="n">
        <f aca="false">+SUM(AB9:AB87)</f>
        <v>9070790.71001466</v>
      </c>
      <c r="AC88" s="148" t="n">
        <f aca="false">+SUM(AC9:AC87)</f>
        <v>68201.4339098847</v>
      </c>
      <c r="AD88" s="152" t="n">
        <f aca="false">+AC88/AC$8</f>
        <v>56.8819298664593</v>
      </c>
      <c r="AE88" s="156"/>
      <c r="AF88" s="257"/>
      <c r="AJ88" s="100" t="n">
        <f aca="false">+AJ87+AJ86</f>
        <v>34513.8555507531</v>
      </c>
    </row>
    <row r="89" customFormat="false" ht="12.75" hidden="false" customHeight="false" outlineLevel="0" collapsed="false">
      <c r="L89" s="125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250"/>
    </row>
    <row r="90" customFormat="false" ht="12" hidden="false" customHeight="false" outlineLevel="0" collapsed="false">
      <c r="L90" s="157" t="s">
        <v>300</v>
      </c>
      <c r="M90" s="157" t="s">
        <v>301</v>
      </c>
    </row>
    <row r="91" customFormat="false" ht="12" hidden="false" customHeight="false" outlineLevel="0" collapsed="false">
      <c r="B91" s="110" t="s">
        <v>302</v>
      </c>
      <c r="L91" s="100" t="n">
        <f aca="false">10.3*43560*2.5</f>
        <v>1121670</v>
      </c>
      <c r="M91" s="100" t="n">
        <f aca="false">L91/10.3</f>
        <v>108900</v>
      </c>
      <c r="P91" s="158" t="n">
        <f aca="false">Q91*P$7</f>
        <v>8433.60902255639</v>
      </c>
      <c r="Q91" s="158" t="n">
        <f aca="false">+$L91/SM134Units</f>
        <v>8433.60902255639</v>
      </c>
      <c r="R91" s="43" t="n">
        <f aca="false">+Q91/Q$8</f>
        <v>7.03974041949615</v>
      </c>
      <c r="T91" s="158" t="n">
        <f aca="false">U91*T$7</f>
        <v>607219.84962406</v>
      </c>
      <c r="U91" s="158" t="n">
        <f aca="false">+$L91/SM134Units</f>
        <v>8433.60902255639</v>
      </c>
      <c r="V91" s="43" t="n">
        <f aca="false">+U91/U$8</f>
        <v>7.61843633473929</v>
      </c>
      <c r="X91" s="158" t="n">
        <f aca="false">Y91*X$7</f>
        <v>514450.15037594</v>
      </c>
      <c r="Y91" s="158" t="n">
        <f aca="false">+$L91/SM134Units</f>
        <v>8433.60902255639</v>
      </c>
      <c r="Z91" s="43" t="n">
        <f aca="false">+Y91/Y$8</f>
        <v>6.55292076344708</v>
      </c>
      <c r="AB91" s="123" t="n">
        <f aca="false">+X91+T91</f>
        <v>1121670</v>
      </c>
      <c r="AC91" s="158" t="n">
        <f aca="false">+AB91/AB$7</f>
        <v>8433.60902255639</v>
      </c>
      <c r="AD91" s="43" t="n">
        <f aca="false">+AC91/AC$8</f>
        <v>7.03386907636063</v>
      </c>
    </row>
    <row r="92" customFormat="false" ht="12" hidden="false" customHeight="false" outlineLevel="0" collapsed="false">
      <c r="B92" s="139" t="s">
        <v>304</v>
      </c>
      <c r="P92" s="126"/>
      <c r="R92" s="122"/>
    </row>
    <row r="93" customFormat="false" ht="12" hidden="false" customHeight="false" outlineLevel="0" collapsed="false">
      <c r="B93" s="100" t="s">
        <v>440</v>
      </c>
      <c r="L93" s="100" t="n">
        <f aca="false">+L148*CMF</f>
        <v>294300</v>
      </c>
      <c r="M93" s="100" t="n">
        <f aca="false">L93/10.3</f>
        <v>28572.8155339806</v>
      </c>
      <c r="P93" s="126" t="n">
        <f aca="false">Q93*P$7</f>
        <v>2212.78195488722</v>
      </c>
      <c r="Q93" s="100" t="n">
        <f aca="false">+$L93/SM134Units</f>
        <v>2212.78195488722</v>
      </c>
      <c r="R93" s="43" t="n">
        <f aca="false">+Q93/Q$8</f>
        <v>1.84706340140836</v>
      </c>
      <c r="T93" s="158" t="n">
        <f aca="false">U93*T$7</f>
        <v>159320.30075188</v>
      </c>
      <c r="U93" s="100" t="n">
        <f aca="false">+$L93/SM134Units</f>
        <v>2212.78195488722</v>
      </c>
      <c r="V93" s="43" t="n">
        <f aca="false">+U93/U$8</f>
        <v>1.998899688245</v>
      </c>
      <c r="X93" s="158" t="n">
        <f aca="false">Y93*X$7</f>
        <v>134979.69924812</v>
      </c>
      <c r="Y93" s="100" t="n">
        <f aca="false">+$L93/SM134Units</f>
        <v>2212.78195488722</v>
      </c>
      <c r="Z93" s="43" t="n">
        <f aca="false">+Y93/Y$8</f>
        <v>1.71933329828067</v>
      </c>
      <c r="AB93" s="123" t="n">
        <f aca="false">+X93+T93</f>
        <v>294300</v>
      </c>
      <c r="AC93" s="158" t="n">
        <f aca="false">+AB93/AB$7</f>
        <v>2212.78195488722</v>
      </c>
      <c r="AD93" s="43" t="n">
        <f aca="false">+AC93/AC$8</f>
        <v>1.84552289815448</v>
      </c>
    </row>
    <row r="94" customFormat="false" ht="12" hidden="false" customHeight="false" outlineLevel="0" collapsed="false">
      <c r="B94" s="100" t="s">
        <v>441</v>
      </c>
      <c r="L94" s="100" t="n">
        <f aca="false">+L149*8*CMF</f>
        <v>41202</v>
      </c>
      <c r="M94" s="100" t="n">
        <f aca="false">L94/10.3</f>
        <v>4000.19417475728</v>
      </c>
      <c r="P94" s="126" t="n">
        <f aca="false">Q94*P$7</f>
        <v>309.789473684211</v>
      </c>
      <c r="Q94" s="100" t="n">
        <f aca="false">+$L94/SM134Units</f>
        <v>309.789473684211</v>
      </c>
      <c r="R94" s="122" t="n">
        <f aca="false">+Q94/Q$8</f>
        <v>0.258588876197171</v>
      </c>
      <c r="T94" s="126" t="n">
        <f aca="false">U94*T$7</f>
        <v>22304.8421052632</v>
      </c>
      <c r="U94" s="100" t="n">
        <f aca="false">+$L94/SM134Units</f>
        <v>309.789473684211</v>
      </c>
      <c r="V94" s="122" t="n">
        <f aca="false">+U94/U$8</f>
        <v>0.2798459563543</v>
      </c>
      <c r="X94" s="126" t="n">
        <f aca="false">Y94*X$7</f>
        <v>18897.1578947368</v>
      </c>
      <c r="Y94" s="100" t="n">
        <f aca="false">+$L94/SM134Units</f>
        <v>309.789473684211</v>
      </c>
      <c r="Z94" s="122" t="n">
        <f aca="false">+Y94/Y$8</f>
        <v>0.240706661759293</v>
      </c>
      <c r="AB94" s="121" t="n">
        <f aca="false">+X94+T94</f>
        <v>41202</v>
      </c>
      <c r="AC94" s="103" t="n">
        <f aca="false">+AB94/AB$7</f>
        <v>309.789473684211</v>
      </c>
      <c r="AD94" s="122" t="n">
        <f aca="false">+AC94/AC$8</f>
        <v>0.258373205741627</v>
      </c>
    </row>
    <row r="95" customFormat="false" ht="12" hidden="false" customHeight="false" outlineLevel="0" collapsed="false">
      <c r="B95" s="100" t="s">
        <v>323</v>
      </c>
      <c r="L95" s="100" t="n">
        <f aca="false">L147*0.5*CMF</f>
        <v>73575</v>
      </c>
      <c r="M95" s="100" t="n">
        <f aca="false">L95/10.3</f>
        <v>7143.20388349515</v>
      </c>
      <c r="P95" s="126" t="n">
        <f aca="false">Q95*P$7</f>
        <v>553.195488721805</v>
      </c>
      <c r="Q95" s="100" t="n">
        <f aca="false">+$L95/SM134Units</f>
        <v>553.195488721805</v>
      </c>
      <c r="R95" s="122" t="n">
        <f aca="false">+Q95/Q$8</f>
        <v>0.461765850352091</v>
      </c>
      <c r="T95" s="126" t="n">
        <f aca="false">U95*T$7</f>
        <v>39830.0751879699</v>
      </c>
      <c r="U95" s="100" t="n">
        <f aca="false">+$L95/SM134Units</f>
        <v>553.195488721805</v>
      </c>
      <c r="V95" s="122" t="n">
        <f aca="false">+U95/U$8</f>
        <v>0.499724922061251</v>
      </c>
      <c r="X95" s="126" t="n">
        <f aca="false">Y95*X$7</f>
        <v>33744.9248120301</v>
      </c>
      <c r="Y95" s="100" t="n">
        <f aca="false">+$L95/SM134Units</f>
        <v>553.195488721805</v>
      </c>
      <c r="Z95" s="122" t="n">
        <f aca="false">+Y95/Y$8</f>
        <v>0.429833324570167</v>
      </c>
      <c r="AB95" s="121" t="n">
        <f aca="false">+X95+T95</f>
        <v>73575</v>
      </c>
      <c r="AC95" s="103" t="n">
        <f aca="false">+AB95/AB$7</f>
        <v>553.195488721805</v>
      </c>
      <c r="AD95" s="122" t="n">
        <f aca="false">+AC95/AC$8</f>
        <v>0.461380724538619</v>
      </c>
    </row>
    <row r="96" customFormat="false" ht="12" hidden="false" customHeight="false" outlineLevel="0" collapsed="false">
      <c r="B96" s="100" t="s">
        <v>442</v>
      </c>
      <c r="L96" s="100" t="n">
        <f aca="false">545*4*35*CMF</f>
        <v>85837.5</v>
      </c>
      <c r="M96" s="100" t="n">
        <f aca="false">L96/10.3</f>
        <v>8333.73786407767</v>
      </c>
      <c r="P96" s="126" t="n">
        <f aca="false">Q96*P$7</f>
        <v>645.394736842105</v>
      </c>
      <c r="Q96" s="100" t="n">
        <f aca="false">+$L96/SM134Units</f>
        <v>645.394736842105</v>
      </c>
      <c r="R96" s="122" t="n">
        <f aca="false">+Q96/Q$8</f>
        <v>0.538726825410772</v>
      </c>
      <c r="T96" s="126" t="n">
        <f aca="false">U96*T$7</f>
        <v>46468.4210526316</v>
      </c>
      <c r="U96" s="100" t="n">
        <f aca="false">+$L96/SM134Units</f>
        <v>645.394736842105</v>
      </c>
      <c r="V96" s="122" t="n">
        <f aca="false">+U96/U$8</f>
        <v>0.583012409071459</v>
      </c>
      <c r="X96" s="126" t="n">
        <f aca="false">Y96*X$7</f>
        <v>39369.0789473684</v>
      </c>
      <c r="Y96" s="100" t="n">
        <f aca="false">+$L96/SM134Units</f>
        <v>645.394736842105</v>
      </c>
      <c r="Z96" s="122" t="n">
        <f aca="false">+Y96/Y$8</f>
        <v>0.501472211998528</v>
      </c>
      <c r="AB96" s="121" t="n">
        <f aca="false">+X96+T96</f>
        <v>85837.5</v>
      </c>
      <c r="AC96" s="103" t="n">
        <f aca="false">+AB96/AB$7</f>
        <v>645.394736842105</v>
      </c>
      <c r="AD96" s="122" t="n">
        <f aca="false">+AC96/AC$8</f>
        <v>0.538277511961723</v>
      </c>
    </row>
    <row r="97" customFormat="false" ht="12" hidden="false" customHeight="false" outlineLevel="0" collapsed="false">
      <c r="B97" s="100" t="s">
        <v>443</v>
      </c>
      <c r="L97" s="100" t="n">
        <f aca="false">N141*1.5*CMF</f>
        <v>237908.279806215</v>
      </c>
      <c r="M97" s="100" t="n">
        <f aca="false">L97/10.3</f>
        <v>23097.8912433218</v>
      </c>
      <c r="P97" s="126" t="n">
        <f aca="false">Q97*P$7</f>
        <v>1788.78405869334</v>
      </c>
      <c r="Q97" s="100" t="n">
        <f aca="false">+$L97/SM134Units</f>
        <v>1788.78405869334</v>
      </c>
      <c r="R97" s="122" t="n">
        <f aca="false">+Q97/Q$8</f>
        <v>1.49314195216473</v>
      </c>
      <c r="T97" s="126" t="n">
        <f aca="false">U97*T$7</f>
        <v>128792.452225921</v>
      </c>
      <c r="U97" s="100" t="n">
        <f aca="false">+$L97/SM134Units</f>
        <v>1788.78405869334</v>
      </c>
      <c r="V97" s="122" t="n">
        <f aca="false">+U97/U$8</f>
        <v>1.61588442519724</v>
      </c>
      <c r="X97" s="126" t="n">
        <f aca="false">Y97*X$7</f>
        <v>109115.827580294</v>
      </c>
      <c r="Y97" s="100" t="n">
        <f aca="false">+$L97/SM134Units</f>
        <v>1788.78405869334</v>
      </c>
      <c r="Z97" s="122" t="n">
        <f aca="false">+Y97/Y$8</f>
        <v>1.38988660349133</v>
      </c>
      <c r="AB97" s="121" t="n">
        <f aca="false">+X97+T97</f>
        <v>237908.279806215</v>
      </c>
      <c r="AC97" s="103" t="n">
        <f aca="false">+AB97/AB$7</f>
        <v>1788.78405869334</v>
      </c>
      <c r="AD97" s="122" t="n">
        <f aca="false">+AC97/AC$8</f>
        <v>1.49189662943565</v>
      </c>
    </row>
    <row r="98" customFormat="false" ht="12" hidden="false" customHeight="false" outlineLevel="0" collapsed="false">
      <c r="B98" s="100" t="s">
        <v>332</v>
      </c>
      <c r="L98" s="100" t="n">
        <f aca="false">+L158*CMF</f>
        <v>11250</v>
      </c>
      <c r="M98" s="100" t="n">
        <f aca="false">L98/10.3</f>
        <v>1092.23300970874</v>
      </c>
      <c r="P98" s="126" t="n">
        <f aca="false">Q98*P$7</f>
        <v>84.5864661654135</v>
      </c>
      <c r="Q98" s="100" t="n">
        <f aca="false">+$L98/SM134Units</f>
        <v>84.5864661654135</v>
      </c>
      <c r="R98" s="122" t="n">
        <f aca="false">+Q98/Q$8</f>
        <v>0.0706063991364053</v>
      </c>
      <c r="T98" s="126" t="n">
        <f aca="false">U98*T$7</f>
        <v>6090.22556390978</v>
      </c>
      <c r="U98" s="100" t="n">
        <f aca="false">+$L98/SM134Units</f>
        <v>84.5864661654135</v>
      </c>
      <c r="V98" s="122" t="n">
        <f aca="false">+U98/U$8</f>
        <v>0.0764105385414756</v>
      </c>
      <c r="X98" s="126" t="n">
        <f aca="false">Y98*X$7</f>
        <v>5159.77443609023</v>
      </c>
      <c r="Y98" s="100" t="n">
        <f aca="false">+$L98/SM134Units</f>
        <v>84.5864661654135</v>
      </c>
      <c r="Z98" s="122" t="n">
        <f aca="false">+Y98/Y$8</f>
        <v>0.0657237499342763</v>
      </c>
      <c r="AB98" s="121" t="n">
        <f aca="false">+X98+T98</f>
        <v>11250</v>
      </c>
      <c r="AC98" s="103" t="n">
        <f aca="false">+AB98/AB$7</f>
        <v>84.5864661654135</v>
      </c>
      <c r="AD98" s="122" t="n">
        <f aca="false">+AC98/AC$8</f>
        <v>0.0705475113973424</v>
      </c>
    </row>
    <row r="99" customFormat="false" ht="12" hidden="false" customHeight="false" outlineLevel="0" collapsed="false">
      <c r="B99" s="100" t="s">
        <v>328</v>
      </c>
      <c r="L99" s="100" t="n">
        <f aca="false">+L161*CMF</f>
        <v>35437.5</v>
      </c>
      <c r="M99" s="100" t="n">
        <f aca="false">L99/10.3</f>
        <v>3440.53398058252</v>
      </c>
      <c r="P99" s="126" t="n">
        <f aca="false">Q99*P$7</f>
        <v>266.447368421053</v>
      </c>
      <c r="Q99" s="100" t="n">
        <f aca="false">+$L99/SM134Units</f>
        <v>266.447368421053</v>
      </c>
      <c r="R99" s="122" t="n">
        <f aca="false">+Q99/Q$8</f>
        <v>0.222410157279677</v>
      </c>
      <c r="T99" s="126" t="n">
        <f aca="false">U99*T$7</f>
        <v>19184.2105263158</v>
      </c>
      <c r="U99" s="100" t="n">
        <f aca="false">+$L99/SM134Units</f>
        <v>266.447368421053</v>
      </c>
      <c r="V99" s="122" t="n">
        <f aca="false">+U99/U$8</f>
        <v>0.240693196405648</v>
      </c>
      <c r="X99" s="126" t="n">
        <f aca="false">Y99*X$7</f>
        <v>16253.2894736842</v>
      </c>
      <c r="Y99" s="100" t="n">
        <f aca="false">+$L99/SM134Units</f>
        <v>266.447368421053</v>
      </c>
      <c r="Z99" s="122" t="n">
        <f aca="false">+Y99/Y$8</f>
        <v>0.20702981229297</v>
      </c>
      <c r="AB99" s="121" t="n">
        <f aca="false">+X99+T99</f>
        <v>35437.5</v>
      </c>
      <c r="AC99" s="103" t="n">
        <f aca="false">+AB99/AB$7</f>
        <v>266.447368421053</v>
      </c>
      <c r="AD99" s="122" t="n">
        <f aca="false">+AC99/AC$8</f>
        <v>0.222224660901629</v>
      </c>
    </row>
    <row r="100" customFormat="false" ht="12" hidden="false" customHeight="false" outlineLevel="0" collapsed="false">
      <c r="B100" s="100" t="s">
        <v>444</v>
      </c>
      <c r="L100" s="100" t="n">
        <f aca="false">+L157*CMF</f>
        <v>28125</v>
      </c>
      <c r="M100" s="100" t="n">
        <f aca="false">L100/10.3</f>
        <v>2730.58252427184</v>
      </c>
      <c r="P100" s="126" t="n">
        <f aca="false">Q100*P$7</f>
        <v>211.466165413534</v>
      </c>
      <c r="Q100" s="100" t="n">
        <f aca="false">+$L100/SM134Units</f>
        <v>211.466165413534</v>
      </c>
      <c r="R100" s="122" t="n">
        <f aca="false">+Q100/Q$8</f>
        <v>0.176515997841013</v>
      </c>
      <c r="T100" s="126" t="n">
        <f aca="false">U100*T$7</f>
        <v>15225.5639097744</v>
      </c>
      <c r="U100" s="100" t="n">
        <f aca="false">+$L100/SM134Units</f>
        <v>211.466165413534</v>
      </c>
      <c r="V100" s="122" t="n">
        <f aca="false">+U100/U$8</f>
        <v>0.191026346353689</v>
      </c>
      <c r="X100" s="126" t="n">
        <f aca="false">Y100*X$7</f>
        <v>12899.4360902256</v>
      </c>
      <c r="Y100" s="100" t="n">
        <f aca="false">+$L100/SM134Units</f>
        <v>211.466165413534</v>
      </c>
      <c r="Z100" s="122" t="n">
        <f aca="false">+Y100/Y$8</f>
        <v>0.164309374835691</v>
      </c>
      <c r="AB100" s="121" t="n">
        <f aca="false">+X100+T100</f>
        <v>28125</v>
      </c>
      <c r="AC100" s="103" t="n">
        <f aca="false">+AB100/AB$7</f>
        <v>211.466165413534</v>
      </c>
      <c r="AD100" s="122" t="n">
        <f aca="false">+AC100/AC$8</f>
        <v>0.176368778493356</v>
      </c>
    </row>
    <row r="101" customFormat="false" ht="12" hidden="false" customHeight="false" outlineLevel="0" collapsed="false">
      <c r="B101" s="100" t="s">
        <v>445</v>
      </c>
      <c r="L101" s="100" t="n">
        <f aca="false">+L160*CMF</f>
        <v>16875</v>
      </c>
      <c r="M101" s="100" t="n">
        <f aca="false">L101/10.3</f>
        <v>1638.34951456311</v>
      </c>
      <c r="P101" s="126" t="n">
        <f aca="false">Q101*P$7</f>
        <v>126.87969924812</v>
      </c>
      <c r="Q101" s="100" t="n">
        <f aca="false">+$L101/SM134Units</f>
        <v>126.87969924812</v>
      </c>
      <c r="R101" s="122" t="n">
        <f aca="false">+Q101/Q$8</f>
        <v>0.105909598704608</v>
      </c>
      <c r="T101" s="126" t="n">
        <f aca="false">U101*T$7</f>
        <v>9135.33834586466</v>
      </c>
      <c r="U101" s="100" t="n">
        <f aca="false">+$L101/SM134Units</f>
        <v>126.87969924812</v>
      </c>
      <c r="V101" s="122" t="n">
        <f aca="false">+U101/U$8</f>
        <v>0.114615807812213</v>
      </c>
      <c r="X101" s="126" t="n">
        <f aca="false">Y101*X$7</f>
        <v>7739.66165413534</v>
      </c>
      <c r="Y101" s="100" t="n">
        <f aca="false">+$L101/SM134Units</f>
        <v>126.87969924812</v>
      </c>
      <c r="Z101" s="122" t="n">
        <f aca="false">+Y101/Y$8</f>
        <v>0.0985856249014144</v>
      </c>
      <c r="AB101" s="121" t="n">
        <f aca="false">+X101+T101</f>
        <v>16875</v>
      </c>
      <c r="AC101" s="103" t="n">
        <f aca="false">+AB101/AB$7</f>
        <v>126.87969924812</v>
      </c>
      <c r="AD101" s="122" t="n">
        <f aca="false">+AC101/AC$8</f>
        <v>0.105821267096014</v>
      </c>
    </row>
    <row r="102" customFormat="false" ht="12" hidden="false" customHeight="false" outlineLevel="0" collapsed="false">
      <c r="B102" s="100" t="s">
        <v>334</v>
      </c>
      <c r="L102" s="100" t="n">
        <f aca="false">15000*CMF</f>
        <v>16875</v>
      </c>
      <c r="M102" s="100" t="n">
        <f aca="false">L102/10.3</f>
        <v>1638.34951456311</v>
      </c>
      <c r="P102" s="126" t="n">
        <f aca="false">Q102*P$7</f>
        <v>126.87969924812</v>
      </c>
      <c r="Q102" s="100" t="n">
        <f aca="false">+$L102/SM134Units</f>
        <v>126.87969924812</v>
      </c>
      <c r="R102" s="122" t="n">
        <f aca="false">+Q102/Q$8</f>
        <v>0.105909598704608</v>
      </c>
      <c r="T102" s="126" t="n">
        <f aca="false">U102*T$7</f>
        <v>9135.33834586466</v>
      </c>
      <c r="U102" s="100" t="n">
        <f aca="false">+$L102/SM134Units</f>
        <v>126.87969924812</v>
      </c>
      <c r="V102" s="122" t="n">
        <f aca="false">+U102/U$8</f>
        <v>0.114615807812213</v>
      </c>
      <c r="X102" s="126" t="n">
        <f aca="false">Y102*X$7</f>
        <v>7739.66165413534</v>
      </c>
      <c r="Y102" s="100" t="n">
        <f aca="false">+$L102/SM134Units</f>
        <v>126.87969924812</v>
      </c>
      <c r="Z102" s="122" t="n">
        <f aca="false">+Y102/Y$8</f>
        <v>0.0985856249014144</v>
      </c>
      <c r="AB102" s="121" t="n">
        <f aca="false">+X102+T102</f>
        <v>16875</v>
      </c>
      <c r="AC102" s="103" t="n">
        <f aca="false">+AB102/AB$7</f>
        <v>126.87969924812</v>
      </c>
      <c r="AD102" s="122" t="n">
        <f aca="false">+AC102/AC$8</f>
        <v>0.105821267096014</v>
      </c>
    </row>
    <row r="103" customFormat="false" ht="12" hidden="false" customHeight="false" outlineLevel="0" collapsed="false">
      <c r="B103" s="166" t="s">
        <v>326</v>
      </c>
      <c r="C103" s="166"/>
      <c r="D103" s="166"/>
      <c r="E103" s="166"/>
      <c r="F103" s="166"/>
      <c r="G103" s="166"/>
      <c r="H103" s="166"/>
      <c r="I103" s="166"/>
      <c r="J103" s="166"/>
      <c r="K103" s="166"/>
      <c r="L103" s="166" t="n">
        <f aca="false">SUM(L93:L101)</f>
        <v>824510.279806215</v>
      </c>
      <c r="M103" s="166" t="n">
        <f aca="false">SUM(M93:M101)</f>
        <v>80049.5417287587</v>
      </c>
      <c r="P103" s="168" t="n">
        <f aca="false">SUM(P93:P102)</f>
        <v>6326.20511132492</v>
      </c>
      <c r="Q103" s="168" t="n">
        <f aca="false">SUM(Q93:Q102)</f>
        <v>6326.20511132492</v>
      </c>
      <c r="R103" s="170" t="n">
        <f aca="false">SUM(R93:R102)</f>
        <v>5.28063865719943</v>
      </c>
      <c r="T103" s="168" t="n">
        <f aca="false">SUM(T93:T102)</f>
        <v>455486.768015394</v>
      </c>
      <c r="U103" s="168" t="n">
        <f aca="false">SUM(U93:U102)</f>
        <v>6326.20511132492</v>
      </c>
      <c r="V103" s="170" t="n">
        <f aca="false">SUM(V93:V102)</f>
        <v>5.71472909785449</v>
      </c>
      <c r="X103" s="168" t="n">
        <f aca="false">SUM(X93:X102)</f>
        <v>385898.51179082</v>
      </c>
      <c r="Y103" s="168" t="n">
        <f aca="false">SUM(Y93:Y102)</f>
        <v>6326.20511132492</v>
      </c>
      <c r="Z103" s="170" t="n">
        <f aca="false">SUM(Z93:Z102)</f>
        <v>4.91546628696575</v>
      </c>
      <c r="AB103" s="168" t="n">
        <f aca="false">SUM(AB93:AB102)</f>
        <v>841385.279806215</v>
      </c>
      <c r="AC103" s="168" t="n">
        <f aca="false">SUM(AC93:AC102)</f>
        <v>6326.20511132492</v>
      </c>
      <c r="AD103" s="170" t="n">
        <f aca="false">SUM(AD93:AD102)</f>
        <v>5.27623445481645</v>
      </c>
    </row>
    <row r="104" customFormat="false" ht="12" hidden="false" customHeight="false" outlineLevel="0" collapsed="false">
      <c r="P104" s="126"/>
      <c r="R104" s="122"/>
      <c r="U104" s="100" t="n">
        <f aca="false">+$L104/SM134Units</f>
        <v>0</v>
      </c>
      <c r="Y104" s="100" t="n">
        <f aca="false">+$L104/SM134Units</f>
        <v>0</v>
      </c>
    </row>
    <row r="105" customFormat="false" ht="12" hidden="false" customHeight="false" outlineLevel="0" collapsed="false">
      <c r="B105" s="139" t="s">
        <v>446</v>
      </c>
      <c r="P105" s="126"/>
      <c r="R105" s="122"/>
      <c r="U105" s="100" t="n">
        <f aca="false">+$L105/SM134Units</f>
        <v>0</v>
      </c>
      <c r="Y105" s="100" t="n">
        <f aca="false">+$L105/SM134Units</f>
        <v>0</v>
      </c>
    </row>
    <row r="106" customFormat="false" ht="12" hidden="false" customHeight="false" outlineLevel="0" collapsed="false">
      <c r="B106" s="100" t="s">
        <v>336</v>
      </c>
      <c r="L106" s="100" t="n">
        <f aca="false">75000*CMF</f>
        <v>84375</v>
      </c>
      <c r="M106" s="100" t="n">
        <f aca="false">L106/10.3</f>
        <v>8191.74757281553</v>
      </c>
      <c r="P106" s="158" t="n">
        <f aca="false">Q106*P$7</f>
        <v>634.398496240602</v>
      </c>
      <c r="Q106" s="158" t="n">
        <f aca="false">+$L106/SM134Units</f>
        <v>634.398496240602</v>
      </c>
      <c r="R106" s="43" t="n">
        <f aca="false">+Q106/Q$8</f>
        <v>0.52954799352304</v>
      </c>
      <c r="T106" s="158" t="n">
        <f aca="false">U106*T$7</f>
        <v>45676.6917293233</v>
      </c>
      <c r="U106" s="158" t="n">
        <f aca="false">+$L106/SM134Units</f>
        <v>634.398496240602</v>
      </c>
      <c r="V106" s="43" t="n">
        <f aca="false">+U106/U$8</f>
        <v>0.573079039061067</v>
      </c>
      <c r="X106" s="158" t="n">
        <f aca="false">Y106*X$7</f>
        <v>38698.3082706767</v>
      </c>
      <c r="Y106" s="158" t="n">
        <f aca="false">+$L106/SM134Units</f>
        <v>634.398496240602</v>
      </c>
      <c r="Z106" s="43" t="n">
        <f aca="false">+Y106/Y$8</f>
        <v>0.492928124507072</v>
      </c>
      <c r="AB106" s="123" t="n">
        <f aca="false">+X106+T106</f>
        <v>84375</v>
      </c>
      <c r="AC106" s="103" t="n">
        <f aca="false">+AB106/AB$7</f>
        <v>634.398496240602</v>
      </c>
      <c r="AD106" s="122" t="n">
        <f aca="false">+AC106/AC$8</f>
        <v>0.529106335480068</v>
      </c>
    </row>
    <row r="107" customFormat="false" ht="12" hidden="false" customHeight="false" outlineLevel="0" collapsed="false">
      <c r="B107" s="100" t="s">
        <v>447</v>
      </c>
      <c r="L107" s="100" t="n">
        <f aca="false">4000*CMF</f>
        <v>4500</v>
      </c>
      <c r="M107" s="100" t="n">
        <f aca="false">L107/10.3</f>
        <v>436.893203883495</v>
      </c>
      <c r="P107" s="126" t="n">
        <f aca="false">Q107*P$7</f>
        <v>33.8345864661654</v>
      </c>
      <c r="Q107" s="100" t="n">
        <f aca="false">+$L107/SM134Units</f>
        <v>33.8345864661654</v>
      </c>
      <c r="R107" s="122" t="n">
        <f aca="false">+Q107/Q$8</f>
        <v>0.0282425596545621</v>
      </c>
      <c r="T107" s="126" t="n">
        <f aca="false">U107*T$7</f>
        <v>2436.09022556391</v>
      </c>
      <c r="U107" s="100" t="n">
        <f aca="false">+$L107/SM134Units</f>
        <v>33.8345864661654</v>
      </c>
      <c r="V107" s="122" t="n">
        <f aca="false">+U107/U$8</f>
        <v>0.0305642154165903</v>
      </c>
      <c r="X107" s="126" t="n">
        <f aca="false">Y107*X$7</f>
        <v>2063.90977443609</v>
      </c>
      <c r="Y107" s="100" t="n">
        <f aca="false">+$L107/SM134Units</f>
        <v>33.8345864661654</v>
      </c>
      <c r="Z107" s="122" t="n">
        <f aca="false">+Y107/Y$8</f>
        <v>0.0262894999737105</v>
      </c>
      <c r="AB107" s="121" t="n">
        <f aca="false">+X107+T107</f>
        <v>4500</v>
      </c>
      <c r="AC107" s="103" t="n">
        <f aca="false">+AB107/AB$7</f>
        <v>33.8345864661654</v>
      </c>
      <c r="AD107" s="122" t="n">
        <f aca="false">+AC107/AC$8</f>
        <v>0.028219004558937</v>
      </c>
    </row>
    <row r="108" customFormat="false" ht="12" hidden="false" customHeight="false" outlineLevel="0" collapsed="false">
      <c r="B108" s="100" t="s">
        <v>338</v>
      </c>
      <c r="L108" s="100" t="n">
        <f aca="false">4000*CMF</f>
        <v>4500</v>
      </c>
      <c r="M108" s="100" t="n">
        <f aca="false">L108/10.3</f>
        <v>436.893203883495</v>
      </c>
      <c r="P108" s="126" t="n">
        <f aca="false">Q108*P$7</f>
        <v>33.8345864661654</v>
      </c>
      <c r="Q108" s="100" t="n">
        <f aca="false">+$L108/SM134Units</f>
        <v>33.8345864661654</v>
      </c>
      <c r="R108" s="122" t="n">
        <f aca="false">+Q108/Q$8</f>
        <v>0.0282425596545621</v>
      </c>
      <c r="T108" s="126" t="n">
        <f aca="false">U108*T$7</f>
        <v>2436.09022556391</v>
      </c>
      <c r="U108" s="100" t="n">
        <f aca="false">+$L108/SM134Units</f>
        <v>33.8345864661654</v>
      </c>
      <c r="V108" s="122" t="n">
        <f aca="false">+U108/U$8</f>
        <v>0.0305642154165903</v>
      </c>
      <c r="X108" s="126" t="n">
        <f aca="false">Y108*X$7</f>
        <v>2063.90977443609</v>
      </c>
      <c r="Y108" s="100" t="n">
        <f aca="false">+$L108/SM134Units</f>
        <v>33.8345864661654</v>
      </c>
      <c r="Z108" s="122" t="n">
        <f aca="false">+Y108/Y$8</f>
        <v>0.0262894999737105</v>
      </c>
      <c r="AB108" s="121" t="n">
        <f aca="false">+X108+T108</f>
        <v>4500</v>
      </c>
      <c r="AC108" s="103" t="n">
        <f aca="false">+AB108/AB$7</f>
        <v>33.8345864661654</v>
      </c>
      <c r="AD108" s="122" t="n">
        <f aca="false">+AC108/AC$8</f>
        <v>0.028219004558937</v>
      </c>
    </row>
    <row r="109" customFormat="false" ht="12" hidden="false" customHeight="false" outlineLevel="0" collapsed="false">
      <c r="B109" s="100" t="s">
        <v>448</v>
      </c>
      <c r="P109" s="126" t="n">
        <v>0</v>
      </c>
      <c r="Q109" s="100" t="n">
        <v>0</v>
      </c>
      <c r="R109" s="122" t="n">
        <f aca="false">+Q109/Q$8</f>
        <v>0</v>
      </c>
      <c r="T109" s="126" t="n">
        <f aca="false">U109*T$7</f>
        <v>53687.7121945924</v>
      </c>
      <c r="U109" s="100" t="n">
        <f aca="false">+$Q123/SM134Units</f>
        <v>745.662669369339</v>
      </c>
      <c r="V109" s="122" t="n">
        <f aca="false">+U109/U$8</f>
        <v>0.673588680550442</v>
      </c>
      <c r="X109" s="126" t="n">
        <f aca="false">Y109*X$7</f>
        <v>45485.4228315297</v>
      </c>
      <c r="Y109" s="100" t="n">
        <f aca="false">+$Q123/SM134Units</f>
        <v>745.662669369339</v>
      </c>
      <c r="Z109" s="122" t="n">
        <f aca="false">+Y109/Y$8</f>
        <v>0.57938047348045</v>
      </c>
      <c r="AB109" s="121" t="n">
        <f aca="false">+X109+T109</f>
        <v>99173.1350261221</v>
      </c>
      <c r="AC109" s="103" t="n">
        <f aca="false">+AB109/AB$7</f>
        <v>745.662669369339</v>
      </c>
      <c r="AD109" s="122" t="n">
        <f aca="false">+AC109/AC$8</f>
        <v>0.621903810983602</v>
      </c>
    </row>
    <row r="110" customFormat="false" ht="12" hidden="false" customHeight="false" outlineLevel="0" collapsed="false">
      <c r="B110" s="166" t="s">
        <v>340</v>
      </c>
      <c r="C110" s="166"/>
      <c r="D110" s="166"/>
      <c r="E110" s="166"/>
      <c r="F110" s="166"/>
      <c r="G110" s="166"/>
      <c r="H110" s="166"/>
      <c r="I110" s="166"/>
      <c r="J110" s="166"/>
      <c r="K110" s="166"/>
      <c r="L110" s="166" t="n">
        <f aca="false">SUM(L106:L108)</f>
        <v>93375</v>
      </c>
      <c r="M110" s="166" t="n">
        <f aca="false">SUM(M106:M108)</f>
        <v>9065.53398058252</v>
      </c>
      <c r="P110" s="168" t="n">
        <f aca="false">SUM(P106:P109)</f>
        <v>702.067669172932</v>
      </c>
      <c r="Q110" s="168" t="n">
        <f aca="false">SUM(Q106:Q108)</f>
        <v>702.067669172932</v>
      </c>
      <c r="R110" s="170" t="n">
        <f aca="false">+Q110/Q$8</f>
        <v>0.586033112832164</v>
      </c>
      <c r="T110" s="168" t="n">
        <f aca="false">SUM(T106:T109)</f>
        <v>104236.584375044</v>
      </c>
      <c r="U110" s="168" t="n">
        <f aca="false">SUM(U106:U108)</f>
        <v>702.067669172932</v>
      </c>
      <c r="V110" s="170" t="n">
        <f aca="false">+U110/U$8</f>
        <v>0.634207469894248</v>
      </c>
      <c r="X110" s="168" t="n">
        <f aca="false">SUM(X106:X109)</f>
        <v>88311.5506510786</v>
      </c>
      <c r="Y110" s="168" t="n">
        <f aca="false">SUM(Y106:Y108)</f>
        <v>702.067669172932</v>
      </c>
      <c r="Z110" s="170" t="n">
        <f aca="false">+Y110/Y$8</f>
        <v>0.545507124454493</v>
      </c>
      <c r="AB110" s="168" t="n">
        <f aca="false">SUM(AB106:AB109)</f>
        <v>192548.135026122</v>
      </c>
      <c r="AC110" s="168" t="n">
        <f aca="false">SUM(AC106:AC108)</f>
        <v>702.067669172932</v>
      </c>
      <c r="AD110" s="170" t="n">
        <f aca="false">SUM(AD106:AD108)</f>
        <v>0.585544344597942</v>
      </c>
    </row>
    <row r="111" customFormat="false" ht="12" hidden="false" customHeight="false" outlineLevel="0" collapsed="false">
      <c r="B111" s="173" t="s">
        <v>341</v>
      </c>
      <c r="C111" s="166"/>
      <c r="D111" s="166"/>
      <c r="E111" s="166"/>
      <c r="F111" s="166"/>
      <c r="G111" s="166"/>
      <c r="H111" s="166"/>
      <c r="I111" s="166"/>
      <c r="J111" s="166"/>
      <c r="K111" s="166"/>
      <c r="L111" s="166" t="n">
        <f aca="false">+L110+L103</f>
        <v>917885.279806215</v>
      </c>
      <c r="M111" s="166" t="n">
        <f aca="false">+M110+M103</f>
        <v>89115.0757093412</v>
      </c>
      <c r="P111" s="168" t="n">
        <f aca="false">+P110+P103</f>
        <v>7028.27278049785</v>
      </c>
      <c r="Q111" s="168" t="n">
        <f aca="false">+Q110+Q103</f>
        <v>7028.27278049785</v>
      </c>
      <c r="R111" s="170" t="n">
        <f aca="false">+Q111/Q$8</f>
        <v>5.8666717700316</v>
      </c>
      <c r="T111" s="168" t="n">
        <f aca="false">+T110+T103</f>
        <v>559723.352390438</v>
      </c>
      <c r="U111" s="168" t="n">
        <f aca="false">+U110+U103</f>
        <v>7028.27278049785</v>
      </c>
      <c r="V111" s="170" t="n">
        <f aca="false">+U111/U$8</f>
        <v>6.34893656774874</v>
      </c>
      <c r="X111" s="168" t="n">
        <f aca="false">+X110+X103</f>
        <v>474210.062441899</v>
      </c>
      <c r="Y111" s="168" t="n">
        <f aca="false">+Y110+Y103</f>
        <v>7028.27278049785</v>
      </c>
      <c r="Z111" s="170" t="n">
        <f aca="false">+Y111/Y$8</f>
        <v>5.46097341142024</v>
      </c>
      <c r="AB111" s="168" t="n">
        <f aca="false">+AB110+AB103</f>
        <v>1033933.41483234</v>
      </c>
      <c r="AC111" s="168" t="n">
        <f aca="false">+AC110+AC103</f>
        <v>7028.27278049785</v>
      </c>
      <c r="AD111" s="170" t="n">
        <f aca="false">+AD110+AD103</f>
        <v>5.86177879941439</v>
      </c>
    </row>
    <row r="112" customFormat="false" ht="12" hidden="false" customHeight="false" outlineLevel="0" collapsed="false">
      <c r="B112" s="173" t="s">
        <v>342</v>
      </c>
      <c r="C112" s="173"/>
      <c r="D112" s="174"/>
      <c r="E112" s="175"/>
      <c r="F112" s="175"/>
      <c r="G112" s="175"/>
      <c r="H112" s="175"/>
      <c r="I112" s="175"/>
      <c r="J112" s="175"/>
      <c r="K112" s="175"/>
      <c r="L112" s="176" t="n">
        <f aca="false">+L111+L91</f>
        <v>2039555.27980621</v>
      </c>
      <c r="M112" s="176" t="n">
        <f aca="false">+M111+M91</f>
        <v>198015.075709341</v>
      </c>
      <c r="N112" s="177"/>
      <c r="O112" s="177"/>
      <c r="P112" s="176" t="n">
        <f aca="false">+P111+P91</f>
        <v>15461.8818030542</v>
      </c>
      <c r="Q112" s="176" t="n">
        <f aca="false">+Q111+Q91</f>
        <v>15461.8818030542</v>
      </c>
      <c r="R112" s="178" t="n">
        <f aca="false">+Q112/Q$8</f>
        <v>12.9064121895278</v>
      </c>
      <c r="S112" s="179"/>
      <c r="T112" s="176" t="n">
        <f aca="false">+T111+T91</f>
        <v>1166943.2020145</v>
      </c>
      <c r="U112" s="176" t="n">
        <f aca="false">+U111+U91</f>
        <v>15461.8818030542</v>
      </c>
      <c r="V112" s="178" t="n">
        <f aca="false">+U112/U$8</f>
        <v>13.967372902488</v>
      </c>
      <c r="W112" s="179"/>
      <c r="X112" s="176" t="n">
        <f aca="false">+X111+X91</f>
        <v>988660.212817839</v>
      </c>
      <c r="Y112" s="176" t="n">
        <f aca="false">+Y111+Y91</f>
        <v>15461.8818030542</v>
      </c>
      <c r="Z112" s="178" t="n">
        <f aca="false">+Y112/Y$8</f>
        <v>12.0138941748673</v>
      </c>
      <c r="AA112" s="179"/>
      <c r="AB112" s="180" t="n">
        <f aca="false">+AB111+AB91</f>
        <v>2155603.41483234</v>
      </c>
      <c r="AC112" s="176" t="n">
        <f aca="false">+AC111+AC91</f>
        <v>15461.8818030542</v>
      </c>
      <c r="AD112" s="178" t="n">
        <f aca="false">+AD111+AD91</f>
        <v>12.895647875775</v>
      </c>
    </row>
    <row r="113" customFormat="false" ht="12" hidden="false" customHeight="false" outlineLevel="0" collapsed="false">
      <c r="B113" s="44" t="s">
        <v>246</v>
      </c>
      <c r="L113" s="100" t="n">
        <f aca="false">0.15*(L111+L88)</f>
        <v>243137.021970932</v>
      </c>
      <c r="P113" s="100" t="n">
        <f aca="false">0.15*(P111+P88)</f>
        <v>11359.5462979479</v>
      </c>
      <c r="Q113" s="100" t="n">
        <f aca="false">0.15*(Q111+Q88)</f>
        <v>11359.5462979479</v>
      </c>
      <c r="R113" s="140" t="n">
        <f aca="false">+Q113/Q$8</f>
        <v>9.48209206840395</v>
      </c>
      <c r="T113" s="100" t="n">
        <f aca="false">0.15*(T111+T88)</f>
        <v>786273.867299391</v>
      </c>
      <c r="U113" s="100" t="n">
        <f aca="false">0.15*(U111+U88)</f>
        <v>10808.6209787528</v>
      </c>
      <c r="V113" s="140" t="n">
        <f aca="false">+U113/U$8</f>
        <v>9.76388525632593</v>
      </c>
      <c r="X113" s="100" t="n">
        <f aca="false">0.15*(X111+X88)</f>
        <v>729434.751427659</v>
      </c>
      <c r="Y113" s="100" t="n">
        <f aca="false">0.15*(Y111+Y88)</f>
        <v>11846.0973443103</v>
      </c>
      <c r="Z113" s="140" t="n">
        <f aca="false">+Y113/Y$8</f>
        <v>9.20442684095596</v>
      </c>
      <c r="AB113" s="100" t="n">
        <f aca="false">+X113+T113</f>
        <v>1515708.61872705</v>
      </c>
      <c r="AC113" s="100" t="n">
        <f aca="false">0.15*(AC111+AC88)</f>
        <v>11284.4560035574</v>
      </c>
      <c r="AD113" s="100" t="n">
        <f aca="false">0.15*(AD111+AD88)</f>
        <v>9.41155629988105</v>
      </c>
    </row>
    <row r="114" customFormat="false" ht="12" hidden="false" customHeight="false" outlineLevel="0" collapsed="false">
      <c r="B114" s="173" t="s">
        <v>343</v>
      </c>
      <c r="C114" s="173"/>
      <c r="D114" s="174"/>
      <c r="E114" s="175"/>
      <c r="F114" s="175"/>
      <c r="G114" s="175"/>
      <c r="H114" s="175"/>
      <c r="I114" s="175"/>
      <c r="J114" s="175"/>
      <c r="K114" s="175"/>
      <c r="L114" s="176" t="n">
        <f aca="false">+L113+L112+L88</f>
        <v>2985720.50177715</v>
      </c>
      <c r="M114" s="176"/>
      <c r="N114" s="177"/>
      <c r="O114" s="177"/>
      <c r="P114" s="176" t="n">
        <f aca="false">+P113+P112+P88</f>
        <v>95523.4639734906</v>
      </c>
      <c r="Q114" s="176" t="n">
        <f aca="false">+Q113+Q112+Q88</f>
        <v>95523.4639734906</v>
      </c>
      <c r="R114" s="178" t="n">
        <f aca="false">+Q114/Q$8</f>
        <v>79.7357796105931</v>
      </c>
      <c r="S114" s="179"/>
      <c r="T114" s="176" t="n">
        <f aca="false">+T113+T112+T88</f>
        <v>6635319.49891939</v>
      </c>
      <c r="U114" s="176" t="n">
        <f aca="false">+U113+U112+U88</f>
        <v>91299.7031929945</v>
      </c>
      <c r="V114" s="178" t="n">
        <f aca="false">+U114/U$8</f>
        <v>82.4748899665714</v>
      </c>
      <c r="W114" s="179"/>
      <c r="X114" s="176" t="n">
        <f aca="false">+X113+X112+X88</f>
        <v>6106783.24465466</v>
      </c>
      <c r="Y114" s="176" t="n">
        <f aca="false">+Y113+Y112+Y88</f>
        <v>99253.6886622688</v>
      </c>
      <c r="Z114" s="178" t="n">
        <f aca="false">+Y114/Y$8</f>
        <v>77.1201932107761</v>
      </c>
      <c r="AA114" s="179"/>
      <c r="AB114" s="180" t="n">
        <f aca="false">+AB113+AB112+AB88</f>
        <v>12742102.743574</v>
      </c>
      <c r="AC114" s="176" t="n">
        <f aca="false">+AC113+AC112+AC88</f>
        <v>94947.7717164963</v>
      </c>
      <c r="AD114" s="178" t="n">
        <f aca="false">+AD113+AD112+AD88</f>
        <v>79.1891340421153</v>
      </c>
    </row>
    <row r="115" customFormat="false" ht="12" hidden="false" customHeight="false" outlineLevel="0" collapsed="false">
      <c r="B115" s="44"/>
      <c r="R115" s="122"/>
    </row>
    <row r="116" customFormat="false" ht="12" hidden="false" customHeight="false" outlineLevel="0" collapsed="false">
      <c r="B116" s="139" t="s">
        <v>344</v>
      </c>
    </row>
    <row r="117" customFormat="false" ht="12" hidden="false" customHeight="false" outlineLevel="0" collapsed="false">
      <c r="B117" s="100" t="s">
        <v>345</v>
      </c>
      <c r="L117" s="100" t="n">
        <v>4000</v>
      </c>
      <c r="P117" s="158" t="n">
        <f aca="false">Q117*P$7</f>
        <v>30.0751879699248</v>
      </c>
      <c r="Q117" s="158" t="n">
        <f aca="false">+$L117/SM134Units</f>
        <v>30.0751879699248</v>
      </c>
      <c r="R117" s="43" t="n">
        <f aca="false">+Q117/Q$8</f>
        <v>0.0251044974707219</v>
      </c>
      <c r="T117" s="158" t="n">
        <f aca="false">U117*T$7</f>
        <v>2165.41353383459</v>
      </c>
      <c r="U117" s="158" t="n">
        <f aca="false">+$L117/SM134Units</f>
        <v>30.0751879699248</v>
      </c>
      <c r="V117" s="43" t="n">
        <f aca="false">+U117/U$8</f>
        <v>0.0271681914814136</v>
      </c>
      <c r="X117" s="158" t="n">
        <f aca="false">Y117*X$7</f>
        <v>1834.58646616541</v>
      </c>
      <c r="Y117" s="158" t="n">
        <f aca="false">+$L117/SM134Units</f>
        <v>30.0751879699248</v>
      </c>
      <c r="Z117" s="43" t="n">
        <f aca="false">+Y117/Y$8</f>
        <v>0.023368444421076</v>
      </c>
      <c r="AB117" s="123" t="n">
        <f aca="false">+X117+T117</f>
        <v>4000</v>
      </c>
      <c r="AC117" s="103" t="n">
        <f aca="false">+AB117/AB$7</f>
        <v>30.0751879699248</v>
      </c>
      <c r="AD117" s="122" t="n">
        <f aca="false">+AC117/AC$8</f>
        <v>0.025083559607944</v>
      </c>
    </row>
    <row r="118" customFormat="false" ht="12" hidden="false" customHeight="false" outlineLevel="0" collapsed="false">
      <c r="B118" s="100" t="s">
        <v>346</v>
      </c>
      <c r="L118" s="100" t="n">
        <f aca="false">0.0075*0.75*13000000</f>
        <v>73125</v>
      </c>
      <c r="P118" s="126" t="n">
        <f aca="false">Q118*P$7</f>
        <v>549.812030075188</v>
      </c>
      <c r="Q118" s="100" t="n">
        <f aca="false">+$L118/SM134Units</f>
        <v>549.812030075188</v>
      </c>
      <c r="R118" s="122" t="n">
        <f aca="false">+Q118/Q$8</f>
        <v>0.458941594386634</v>
      </c>
      <c r="T118" s="126" t="n">
        <f aca="false">U118*T$7</f>
        <v>39586.4661654135</v>
      </c>
      <c r="U118" s="100" t="n">
        <f aca="false">+$L118/SM134Units</f>
        <v>549.812030075188</v>
      </c>
      <c r="V118" s="122" t="n">
        <f aca="false">+U118/U$8</f>
        <v>0.496668500519592</v>
      </c>
      <c r="X118" s="126" t="n">
        <f aca="false">Y118*X$7</f>
        <v>33538.5338345865</v>
      </c>
      <c r="Y118" s="100" t="n">
        <f aca="false">+$L118/SM134Units</f>
        <v>549.812030075188</v>
      </c>
      <c r="Z118" s="122" t="n">
        <f aca="false">+Y118/Y$8</f>
        <v>0.427204374572796</v>
      </c>
      <c r="AB118" s="121" t="n">
        <f aca="false">+X118+T118</f>
        <v>73125</v>
      </c>
      <c r="AC118" s="103" t="n">
        <f aca="false">+AB118/AB$7</f>
        <v>549.812030075188</v>
      </c>
      <c r="AD118" s="122" t="n">
        <f aca="false">+AC118/AC$8</f>
        <v>0.458558824082726</v>
      </c>
    </row>
    <row r="119" customFormat="false" ht="12" hidden="false" customHeight="false" outlineLevel="0" collapsed="false">
      <c r="B119" s="100" t="s">
        <v>347</v>
      </c>
      <c r="L119" s="100" t="n">
        <f aca="false">0.0025*0.75*13000000</f>
        <v>24375</v>
      </c>
      <c r="P119" s="126" t="n">
        <f aca="false">Q119*P$7</f>
        <v>183.270676691729</v>
      </c>
      <c r="Q119" s="100" t="n">
        <f aca="false">+$L119/SM134Units</f>
        <v>183.270676691729</v>
      </c>
      <c r="R119" s="122" t="n">
        <f aca="false">+Q119/Q$8</f>
        <v>0.152980531462211</v>
      </c>
      <c r="T119" s="126" t="n">
        <f aca="false">U119*T$7</f>
        <v>13195.4887218045</v>
      </c>
      <c r="U119" s="100" t="n">
        <f aca="false">+$L119/SM134Units</f>
        <v>183.270676691729</v>
      </c>
      <c r="V119" s="122" t="n">
        <f aca="false">+U119/U$8</f>
        <v>0.165556166839864</v>
      </c>
      <c r="X119" s="126" t="n">
        <f aca="false">Y119*X$7</f>
        <v>11179.5112781955</v>
      </c>
      <c r="Y119" s="100" t="n">
        <f aca="false">+$L119/SM134Units</f>
        <v>183.270676691729</v>
      </c>
      <c r="Z119" s="122" t="n">
        <f aca="false">+Y119/Y$8</f>
        <v>0.142401458190932</v>
      </c>
      <c r="AB119" s="121" t="n">
        <f aca="false">+X119+T119</f>
        <v>24375</v>
      </c>
      <c r="AC119" s="103" t="n">
        <f aca="false">+AB119/AB$7</f>
        <v>183.270676691729</v>
      </c>
      <c r="AD119" s="122" t="n">
        <f aca="false">+AC119/AC$8</f>
        <v>0.152852941360909</v>
      </c>
    </row>
    <row r="120" customFormat="false" ht="12" hidden="false" customHeight="false" outlineLevel="0" collapsed="false">
      <c r="B120" s="100" t="s">
        <v>348</v>
      </c>
      <c r="L120" s="100" t="n">
        <f aca="false">13000000*0.75*0.75*0.105*0.5</f>
        <v>383906.25</v>
      </c>
      <c r="P120" s="126" t="n">
        <f aca="false">Q120*P$7</f>
        <v>2886.51315789474</v>
      </c>
      <c r="Q120" s="100" t="n">
        <f aca="false">+$L120/SM134Units</f>
        <v>2886.51315789474</v>
      </c>
      <c r="R120" s="122" t="n">
        <f aca="false">+Q120/Q$8</f>
        <v>2.40944337052983</v>
      </c>
      <c r="T120" s="126" t="n">
        <f aca="false">U120*T$7</f>
        <v>207828.947368421</v>
      </c>
      <c r="U120" s="100" t="n">
        <f aca="false">+$L120/SM134Units</f>
        <v>2886.51315789474</v>
      </c>
      <c r="V120" s="122" t="n">
        <f aca="false">+U120/U$8</f>
        <v>2.60750962772786</v>
      </c>
      <c r="X120" s="126" t="n">
        <f aca="false">Y120*X$7</f>
        <v>176077.302631579</v>
      </c>
      <c r="Y120" s="100" t="n">
        <f aca="false">+$L120/SM134Units</f>
        <v>2886.51315789474</v>
      </c>
      <c r="Z120" s="122" t="n">
        <f aca="false">+Y120/Y$8</f>
        <v>2.24282296650718</v>
      </c>
      <c r="AB120" s="121" t="n">
        <f aca="false">+X120+T120</f>
        <v>383906.25</v>
      </c>
      <c r="AC120" s="103" t="n">
        <f aca="false">+AB120/AB$7</f>
        <v>2886.51315789474</v>
      </c>
      <c r="AD120" s="122" t="n">
        <f aca="false">+AC120/AC$8</f>
        <v>2.40743382643431</v>
      </c>
    </row>
    <row r="121" customFormat="false" ht="12" hidden="false" customHeight="false" outlineLevel="0" collapsed="false">
      <c r="B121" s="172" t="s">
        <v>349</v>
      </c>
      <c r="L121" s="172" t="n">
        <f aca="false">SUM(L117:L120)</f>
        <v>485406.25</v>
      </c>
      <c r="M121" s="172"/>
      <c r="P121" s="181" t="n">
        <f aca="false">SUM(P117:P120)</f>
        <v>3649.67105263158</v>
      </c>
      <c r="Q121" s="181" t="n">
        <f aca="false">SUM(Q117:Q120)</f>
        <v>3649.67105263158</v>
      </c>
      <c r="R121" s="182" t="n">
        <f aca="false">SUM(R117:R120)</f>
        <v>3.0464699938494</v>
      </c>
      <c r="T121" s="181" t="n">
        <f aca="false">SUM(T117:T120)</f>
        <v>262776.315789474</v>
      </c>
      <c r="U121" s="181" t="n">
        <f aca="false">SUM(U117:U120)</f>
        <v>3649.67105263158</v>
      </c>
      <c r="V121" s="182" t="n">
        <f aca="false">SUM(V117:V120)</f>
        <v>3.29690248656873</v>
      </c>
      <c r="X121" s="181" t="n">
        <f aca="false">SUM(X117:X120)</f>
        <v>222629.934210526</v>
      </c>
      <c r="Y121" s="181" t="n">
        <f aca="false">SUM(Y117:Y120)</f>
        <v>3649.67105263158</v>
      </c>
      <c r="Z121" s="182" t="n">
        <f aca="false">SUM(Z117:Z120)</f>
        <v>2.83579724369198</v>
      </c>
      <c r="AB121" s="181" t="n">
        <f aca="false">SUM(AB117:AB120)</f>
        <v>485406.25</v>
      </c>
      <c r="AC121" s="181" t="n">
        <f aca="false">SUM(AC117:AC120)</f>
        <v>3649.67105263158</v>
      </c>
      <c r="AD121" s="182" t="n">
        <f aca="false">SUM(AD117:AD120)</f>
        <v>3.04392915148589</v>
      </c>
    </row>
    <row r="122" customFormat="false" ht="12" hidden="false" customHeight="false" outlineLevel="0" collapsed="false">
      <c r="B122" s="166"/>
      <c r="L122" s="166"/>
      <c r="M122" s="166"/>
      <c r="P122" s="168"/>
      <c r="Q122" s="168"/>
      <c r="R122" s="183"/>
      <c r="T122" s="168"/>
      <c r="U122" s="168"/>
      <c r="V122" s="183"/>
      <c r="X122" s="168"/>
      <c r="Y122" s="168"/>
      <c r="Z122" s="183"/>
      <c r="AB122" s="168"/>
      <c r="AC122" s="168"/>
      <c r="AD122" s="183"/>
    </row>
    <row r="123" customFormat="false" ht="12.75" hidden="false" customHeight="false" outlineLevel="0" collapsed="false">
      <c r="B123" s="135" t="s">
        <v>350</v>
      </c>
      <c r="L123" s="135" t="n">
        <f aca="false">+L121+L114+L88</f>
        <v>4174154.95177715</v>
      </c>
      <c r="M123" s="135"/>
      <c r="P123" s="137" t="n">
        <f aca="false">+P121+P114</f>
        <v>99173.1350261221</v>
      </c>
      <c r="Q123" s="137" t="n">
        <f aca="false">+Q121+Q114</f>
        <v>99173.1350261221</v>
      </c>
      <c r="R123" s="138" t="n">
        <f aca="false">+R121+R114</f>
        <v>82.7822496044425</v>
      </c>
      <c r="T123" s="137" t="n">
        <f aca="false">+T121+T114</f>
        <v>6898095.81470886</v>
      </c>
      <c r="U123" s="137" t="n">
        <f aca="false">+U121+U114</f>
        <v>94949.3742456261</v>
      </c>
      <c r="V123" s="138" t="n">
        <f aca="false">+V121+V114</f>
        <v>85.7717924531401</v>
      </c>
      <c r="X123" s="137" t="n">
        <f aca="false">+X121+X114</f>
        <v>6329413.17886519</v>
      </c>
      <c r="Y123" s="137" t="n">
        <f aca="false">+Y121+Y114</f>
        <v>102903.3597149</v>
      </c>
      <c r="Z123" s="138" t="n">
        <f aca="false">+Z121+Z114</f>
        <v>79.9559904544681</v>
      </c>
      <c r="AB123" s="137" t="n">
        <f aca="false">+AB121+AB114</f>
        <v>13227508.993574</v>
      </c>
      <c r="AC123" s="137" t="n">
        <f aca="false">+AC121+AC114</f>
        <v>98597.4427691279</v>
      </c>
      <c r="AD123" s="138" t="n">
        <f aca="false">+AD121+AD114</f>
        <v>82.2330631936012</v>
      </c>
    </row>
    <row r="124" customFormat="false" ht="12.75" hidden="false" customHeight="false" outlineLevel="0" collapsed="false"/>
    <row r="125" customFormat="false" ht="12" hidden="false" customHeight="false" outlineLevel="0" collapsed="false">
      <c r="B125" s="100" t="s">
        <v>449</v>
      </c>
      <c r="L125" s="101" t="n">
        <v>0.75</v>
      </c>
      <c r="M125" s="100" t="s">
        <v>356</v>
      </c>
      <c r="T125" s="100" t="n">
        <f aca="false">0.75*T123</f>
        <v>5173571.86103165</v>
      </c>
      <c r="U125" s="100" t="n">
        <f aca="false">0.75*U123</f>
        <v>71212.0306842196</v>
      </c>
      <c r="V125" s="100" t="n">
        <f aca="false">0.75*V123</f>
        <v>64.3288443398551</v>
      </c>
      <c r="X125" s="100" t="n">
        <f aca="false">0.75*X123</f>
        <v>4747059.88414889</v>
      </c>
      <c r="Y125" s="100" t="n">
        <f aca="false">0.75*Y123</f>
        <v>77177.5197861753</v>
      </c>
      <c r="Z125" s="100" t="n">
        <f aca="false">0.75*Z123</f>
        <v>59.9669928408511</v>
      </c>
      <c r="AB125" s="100" t="n">
        <f aca="false">0.75*AB123</f>
        <v>9920631.74518053</v>
      </c>
      <c r="AC125" s="100" t="n">
        <f aca="false">0.75*AC123</f>
        <v>73948.0820768459</v>
      </c>
      <c r="AD125" s="100" t="n">
        <f aca="false">0.75*AD123</f>
        <v>61.6747973952009</v>
      </c>
    </row>
    <row r="126" customFormat="false" ht="12" hidden="false" customHeight="false" outlineLevel="0" collapsed="false">
      <c r="B126" s="187" t="s">
        <v>450</v>
      </c>
    </row>
    <row r="127" customFormat="false" ht="12" hidden="false" customHeight="false" outlineLevel="0" collapsed="false">
      <c r="B127" s="100" t="s">
        <v>300</v>
      </c>
      <c r="T127" s="100" t="n">
        <f aca="false">+T123-T125</f>
        <v>1724523.95367722</v>
      </c>
      <c r="X127" s="100" t="n">
        <f aca="false">+X123-X125</f>
        <v>1582353.2947163</v>
      </c>
      <c r="AB127" s="100" t="n">
        <f aca="false">+AB123-AB125</f>
        <v>3306877.24839351</v>
      </c>
    </row>
    <row r="128" customFormat="false" ht="12" hidden="false" customHeight="false" outlineLevel="0" collapsed="false">
      <c r="B128" s="100" t="s">
        <v>365</v>
      </c>
      <c r="T128" s="100" t="n">
        <f aca="false">-T113</f>
        <v>-786273.867299391</v>
      </c>
      <c r="X128" s="100" t="n">
        <f aca="false">-X113</f>
        <v>-729434.751427659</v>
      </c>
      <c r="AB128" s="100" t="n">
        <f aca="false">-AB113</f>
        <v>-1515708.61872705</v>
      </c>
    </row>
    <row r="129" customFormat="false" ht="12" hidden="false" customHeight="false" outlineLevel="0" collapsed="false">
      <c r="B129" s="100" t="s">
        <v>451</v>
      </c>
      <c r="T129" s="100" t="n">
        <f aca="false">+T128+T127</f>
        <v>938250.086377825</v>
      </c>
      <c r="X129" s="100" t="n">
        <f aca="false">+X128+X127</f>
        <v>852918.543288638</v>
      </c>
      <c r="AB129" s="100" t="n">
        <f aca="false">+AB128+AB127</f>
        <v>1791168.62966646</v>
      </c>
    </row>
    <row r="135" customFormat="false" ht="12" hidden="false" customHeight="false" outlineLevel="0" collapsed="false">
      <c r="L135" s="100" t="n">
        <f aca="false">10.3*43560</f>
        <v>448668</v>
      </c>
      <c r="P135" s="100" t="n">
        <f aca="false">P$7*28</f>
        <v>28</v>
      </c>
      <c r="T135" s="100" t="n">
        <f aca="false">T7*15.83</f>
        <v>1139.76</v>
      </c>
      <c r="X135" s="100" t="n">
        <f aca="false">X7*26</f>
        <v>1586</v>
      </c>
    </row>
    <row r="136" customFormat="false" ht="12" hidden="false" customHeight="false" outlineLevel="0" collapsed="false">
      <c r="L136" s="100" t="n">
        <f aca="false">SQRT(L135)</f>
        <v>669.826843296087</v>
      </c>
      <c r="M136" s="100" t="n">
        <f aca="false">L136*25</f>
        <v>16745.6710824022</v>
      </c>
      <c r="N136" s="100" t="n">
        <f aca="false">M136*4</f>
        <v>66982.6843296086</v>
      </c>
      <c r="P136" s="100" t="n">
        <f aca="false">P$7*20</f>
        <v>20</v>
      </c>
      <c r="T136" s="100" t="n">
        <f aca="false">T$7*20</f>
        <v>1440</v>
      </c>
      <c r="X136" s="100" t="n">
        <f aca="false">X$7*20</f>
        <v>1220</v>
      </c>
    </row>
    <row r="137" customFormat="false" ht="12" hidden="false" customHeight="false" outlineLevel="0" collapsed="false">
      <c r="L137" s="100" t="n">
        <f aca="false">L136*4-120</f>
        <v>2559.30737318435</v>
      </c>
      <c r="N137" s="100" t="n">
        <f aca="false">300*300</f>
        <v>90000</v>
      </c>
      <c r="P137" s="100" t="n">
        <f aca="false">+P136+P135</f>
        <v>48</v>
      </c>
      <c r="T137" s="100" t="n">
        <f aca="false">+T136+T135</f>
        <v>2579.76</v>
      </c>
      <c r="X137" s="100" t="n">
        <f aca="false">+X136+X135</f>
        <v>2806</v>
      </c>
    </row>
    <row r="138" customFormat="false" ht="12" hidden="false" customHeight="false" outlineLevel="0" collapsed="false">
      <c r="L138" s="100" t="n">
        <f aca="false">30*L137</f>
        <v>76779.2211955304</v>
      </c>
      <c r="N138" s="100" t="n">
        <f aca="false">+N137+N136</f>
        <v>156982.684329609</v>
      </c>
    </row>
    <row r="139" customFormat="false" ht="12" hidden="false" customHeight="false" outlineLevel="0" collapsed="false">
      <c r="N139" s="100" t="n">
        <f aca="false">-2.5*60*80</f>
        <v>-12000</v>
      </c>
    </row>
    <row r="140" customFormat="false" ht="12" hidden="false" customHeight="false" outlineLevel="0" collapsed="false">
      <c r="N140" s="100" t="n">
        <f aca="false">-4000</f>
        <v>-4000</v>
      </c>
    </row>
    <row r="141" customFormat="false" ht="12" hidden="false" customHeight="false" outlineLevel="0" collapsed="false">
      <c r="N141" s="100" t="n">
        <f aca="false">SUM(N138:N140)</f>
        <v>140982.684329609</v>
      </c>
    </row>
    <row r="142" customFormat="false" ht="12" hidden="false" customHeight="false" outlineLevel="0" collapsed="false">
      <c r="N142" s="100" t="n">
        <f aca="false">N141/134</f>
        <v>1052.10958454932</v>
      </c>
    </row>
    <row r="143" customFormat="false" ht="12" hidden="false" customHeight="false" outlineLevel="0" collapsed="false">
      <c r="N143" s="100" t="n">
        <f aca="false">6500*12</f>
        <v>78000</v>
      </c>
    </row>
    <row r="144" customFormat="false" ht="12" hidden="false" customHeight="false" outlineLevel="0" collapsed="false">
      <c r="L144" s="100" t="n">
        <f aca="false">670-(37.5*2+25*2)</f>
        <v>545</v>
      </c>
    </row>
    <row r="145" customFormat="false" ht="12" hidden="false" customHeight="false" outlineLevel="0" collapsed="false">
      <c r="L145" s="100" t="n">
        <v>60</v>
      </c>
    </row>
    <row r="146" customFormat="false" ht="12" hidden="false" customHeight="false" outlineLevel="0" collapsed="false">
      <c r="L146" s="100" t="n">
        <v>4</v>
      </c>
    </row>
    <row r="147" customFormat="false" ht="12" hidden="false" customHeight="false" outlineLevel="0" collapsed="false">
      <c r="L147" s="100" t="n">
        <f aca="false">L146*L145*L144</f>
        <v>130800</v>
      </c>
    </row>
    <row r="148" customFormat="false" ht="12" hidden="false" customHeight="false" outlineLevel="0" collapsed="false">
      <c r="L148" s="100" t="n">
        <f aca="false">2*L147</f>
        <v>261600</v>
      </c>
    </row>
    <row r="149" customFormat="false" ht="12" hidden="false" customHeight="false" outlineLevel="0" collapsed="false">
      <c r="L149" s="100" t="n">
        <f aca="false">L144*L146*2.1</f>
        <v>4578</v>
      </c>
    </row>
    <row r="150" customFormat="false" ht="12" hidden="false" customHeight="false" outlineLevel="0" collapsed="false">
      <c r="L150" s="100" t="n">
        <f aca="false">10*L149</f>
        <v>45780</v>
      </c>
    </row>
    <row r="151" customFormat="false" ht="12" hidden="false" customHeight="false" outlineLevel="0" collapsed="false">
      <c r="L151" s="100" t="n">
        <f aca="false">+L150+L148</f>
        <v>307380</v>
      </c>
      <c r="M151" s="100" t="n">
        <f aca="false">75000*10.3</f>
        <v>772500</v>
      </c>
      <c r="N151" s="101" t="n">
        <f aca="false">+L151/M151</f>
        <v>0.397902912621359</v>
      </c>
    </row>
    <row r="152" customFormat="false" ht="12" hidden="false" customHeight="false" outlineLevel="0" collapsed="false">
      <c r="L152" s="100" t="n">
        <f aca="false">+N141*1.5</f>
        <v>211474.026494413</v>
      </c>
    </row>
    <row r="153" customFormat="false" ht="12" hidden="false" customHeight="false" outlineLevel="0" collapsed="false">
      <c r="B153" s="100" t="s">
        <v>452</v>
      </c>
      <c r="L153" s="100" t="n">
        <f aca="false">545*4*35</f>
        <v>76300</v>
      </c>
      <c r="M153" s="100" t="n">
        <v>16</v>
      </c>
    </row>
    <row r="154" customFormat="false" ht="12" hidden="false" customHeight="false" outlineLevel="0" collapsed="false">
      <c r="B154" s="100" t="s">
        <v>453</v>
      </c>
    </row>
    <row r="155" customFormat="false" ht="12" hidden="false" customHeight="false" outlineLevel="0" collapsed="false">
      <c r="B155" s="100" t="s">
        <v>454</v>
      </c>
    </row>
    <row r="156" customFormat="false" ht="12" hidden="false" customHeight="false" outlineLevel="0" collapsed="false">
      <c r="B156" s="100" t="s">
        <v>455</v>
      </c>
    </row>
    <row r="157" customFormat="false" ht="12" hidden="false" customHeight="false" outlineLevel="0" collapsed="false">
      <c r="B157" s="100" t="s">
        <v>444</v>
      </c>
      <c r="L157" s="100" t="n">
        <v>25000</v>
      </c>
    </row>
    <row r="158" customFormat="false" ht="12" hidden="false" customHeight="false" outlineLevel="0" collapsed="false">
      <c r="B158" s="100" t="s">
        <v>456</v>
      </c>
      <c r="L158" s="100" t="n">
        <f aca="false">10000</f>
        <v>10000</v>
      </c>
    </row>
    <row r="159" customFormat="false" ht="12" hidden="false" customHeight="false" outlineLevel="0" collapsed="false">
      <c r="B159" s="100" t="s">
        <v>457</v>
      </c>
      <c r="L159" s="100" t="n">
        <v>15000</v>
      </c>
    </row>
    <row r="160" customFormat="false" ht="12" hidden="false" customHeight="false" outlineLevel="0" collapsed="false">
      <c r="B160" s="100" t="s">
        <v>445</v>
      </c>
      <c r="L160" s="100" t="n">
        <v>15000</v>
      </c>
    </row>
    <row r="161" customFormat="false" ht="12" hidden="false" customHeight="false" outlineLevel="0" collapsed="false">
      <c r="B161" s="100" t="s">
        <v>458</v>
      </c>
      <c r="L161" s="100" t="n">
        <f aca="false">900*35</f>
        <v>31500</v>
      </c>
      <c r="M161" s="100" t="n">
        <f aca="false">SUM(L151:L161)</f>
        <v>691654.026494413</v>
      </c>
      <c r="N161" s="100" t="n">
        <f aca="false">M161/10.3</f>
        <v>67150.8763586809</v>
      </c>
    </row>
    <row r="162" customFormat="false" ht="12" hidden="false" customHeight="false" outlineLevel="0" collapsed="false">
      <c r="B162" s="100" t="s">
        <v>71</v>
      </c>
      <c r="L162" s="100" t="n">
        <v>75000</v>
      </c>
    </row>
    <row r="163" customFormat="false" ht="12" hidden="false" customHeight="false" outlineLevel="0" collapsed="false">
      <c r="B163" s="100" t="s">
        <v>459</v>
      </c>
      <c r="L163" s="100" t="n">
        <v>4000</v>
      </c>
    </row>
    <row r="164" customFormat="false" ht="12" hidden="false" customHeight="false" outlineLevel="0" collapsed="false">
      <c r="B164" s="100" t="s">
        <v>460</v>
      </c>
      <c r="L164" s="100" t="n">
        <v>4000</v>
      </c>
      <c r="M164" s="100" t="n">
        <f aca="false">SUM(L151:L164)</f>
        <v>774654.026494413</v>
      </c>
      <c r="N164" s="100" t="n">
        <f aca="false">M164/10.3</f>
        <v>75209.1287858653</v>
      </c>
    </row>
  </sheetData>
  <mergeCells count="4">
    <mergeCell ref="P5:R5"/>
    <mergeCell ref="T5:V5"/>
    <mergeCell ref="X5:Z5"/>
    <mergeCell ref="AB5:AD5"/>
  </mergeCells>
  <printOptions headings="false" gridLines="true" gridLinesSet="true" horizontalCentered="true" verticalCentered="false"/>
  <pageMargins left="0.5" right="0.5" top="1.80972222222222" bottom="0.8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&amp;C&amp;"Arial,Bold"&amp;11&amp;UConstruction Cost Summary
By Unit</oddHeader>
    <oddFooter>&amp;L&amp;F&amp;C&amp;D&amp;RPage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1998-01-21T01:49:53Z</dcterms:created>
  <dc:creator>George W. Richards</dc:creator>
  <dc:description/>
  <dc:language>en-US</dc:language>
  <cp:lastModifiedBy>pallen</cp:lastModifiedBy>
  <cp:lastPrinted>2000-12-18T14:20:50Z</cp:lastPrinted>
  <dcterms:modified xsi:type="dcterms:W3CDTF">2000-12-17T01:36:17Z</dcterms:modified>
  <cp:revision>0</cp:revision>
  <dc:subject/>
  <dc:title/>
</cp:coreProperties>
</file>